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byleo/Box/Depot - dDAVP-time course - Kirby/Scripts/FinalDirectory/time_course_bayes/data_files/"/>
    </mc:Choice>
  </mc:AlternateContent>
  <xr:revisionPtr revIDLastSave="0" documentId="13_ncr:1_{AC68BB81-3782-1A42-BE0F-F2535D3D06CD}" xr6:coauthVersionLast="47" xr6:coauthVersionMax="47" xr10:uidLastSave="{00000000-0000-0000-0000-000000000000}"/>
  <bookViews>
    <workbookView xWindow="1360" yWindow="880" windowWidth="26900" windowHeight="16680" tabRatio="803" xr2:uid="{00000000-000D-0000-FFFF-FFFF00000000}"/>
  </bookViews>
  <sheets>
    <sheet name="README" sheetId="10" r:id="rId1"/>
    <sheet name="raw_data" sheetId="1" r:id="rId2"/>
    <sheet name="cluster_distr" sheetId="3" r:id="rId3"/>
    <sheet name="kinase_distr" sheetId="5" r:id="rId4"/>
    <sheet name="coloc dot ranking" sheetId="9" r:id="rId5"/>
  </sheets>
  <definedNames>
    <definedName name="_xlnm._FilterDatabase" localSheetId="4" hidden="1">'coloc dot ranking'!$A$1:$O$1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609" i="1" l="1"/>
  <c r="A8609" i="1"/>
  <c r="I8609" i="1" s="1"/>
  <c r="I8608" i="1"/>
  <c r="H8608" i="1"/>
  <c r="A8608" i="1"/>
  <c r="H8607" i="1"/>
  <c r="A8607" i="1"/>
  <c r="I8607" i="1" s="1"/>
  <c r="H8606" i="1"/>
  <c r="I8606" i="1" s="1"/>
  <c r="A8606" i="1"/>
  <c r="H8605" i="1"/>
  <c r="A8605" i="1"/>
  <c r="I8605" i="1" s="1"/>
  <c r="I8604" i="1"/>
  <c r="H8604" i="1"/>
  <c r="A8604" i="1"/>
  <c r="I8603" i="1"/>
  <c r="H8603" i="1"/>
  <c r="A8603" i="1"/>
  <c r="H8602" i="1"/>
  <c r="A8602" i="1"/>
  <c r="I8602" i="1" s="1"/>
  <c r="I8601" i="1"/>
  <c r="H8601" i="1"/>
  <c r="A8601" i="1"/>
  <c r="I8600" i="1"/>
  <c r="H8600" i="1"/>
  <c r="A8600" i="1"/>
  <c r="H8599" i="1"/>
  <c r="A8599" i="1"/>
  <c r="I8598" i="1"/>
  <c r="H8598" i="1"/>
  <c r="A8598" i="1"/>
  <c r="H8597" i="1"/>
  <c r="A8597" i="1"/>
  <c r="I8597" i="1" s="1"/>
  <c r="H8596" i="1"/>
  <c r="I8596" i="1" s="1"/>
  <c r="A8596" i="1"/>
  <c r="I8595" i="1"/>
  <c r="H8595" i="1"/>
  <c r="A8595" i="1"/>
  <c r="H8594" i="1"/>
  <c r="A8594" i="1"/>
  <c r="I8594" i="1" s="1"/>
  <c r="H8593" i="1"/>
  <c r="I8593" i="1" s="1"/>
  <c r="A8593" i="1"/>
  <c r="I8592" i="1"/>
  <c r="H8592" i="1"/>
  <c r="A8592" i="1"/>
  <c r="H8591" i="1"/>
  <c r="A8591" i="1"/>
  <c r="I8591" i="1" s="1"/>
  <c r="H8590" i="1"/>
  <c r="I8590" i="1" s="1"/>
  <c r="A8590" i="1"/>
  <c r="H8589" i="1"/>
  <c r="A8589" i="1"/>
  <c r="I8589" i="1" s="1"/>
  <c r="H8588" i="1"/>
  <c r="A8588" i="1"/>
  <c r="I8588" i="1" s="1"/>
  <c r="I8587" i="1"/>
  <c r="H8587" i="1"/>
  <c r="A8587" i="1"/>
  <c r="H8586" i="1"/>
  <c r="A8586" i="1"/>
  <c r="I8586" i="1" s="1"/>
  <c r="H8585" i="1"/>
  <c r="A8585" i="1"/>
  <c r="I8585" i="1" s="1"/>
  <c r="I8584" i="1"/>
  <c r="H8584" i="1"/>
  <c r="A8584" i="1"/>
  <c r="H8583" i="1"/>
  <c r="A8583" i="1"/>
  <c r="I8582" i="1"/>
  <c r="H8582" i="1"/>
  <c r="A8582" i="1"/>
  <c r="H8581" i="1"/>
  <c r="A8581" i="1"/>
  <c r="I8581" i="1" s="1"/>
  <c r="H8580" i="1"/>
  <c r="A8580" i="1"/>
  <c r="I8580" i="1" s="1"/>
  <c r="I8579" i="1"/>
  <c r="H8579" i="1"/>
  <c r="A8579" i="1"/>
  <c r="H8578" i="1"/>
  <c r="A8578" i="1"/>
  <c r="I8578" i="1" s="1"/>
  <c r="H8577" i="1"/>
  <c r="A8577" i="1"/>
  <c r="I8577" i="1" s="1"/>
  <c r="I8576" i="1"/>
  <c r="H8576" i="1"/>
  <c r="A8576" i="1"/>
  <c r="H8575" i="1"/>
  <c r="A8575" i="1"/>
  <c r="I8575" i="1" s="1"/>
  <c r="H8574" i="1"/>
  <c r="I8574" i="1" s="1"/>
  <c r="A8574" i="1"/>
  <c r="H8573" i="1"/>
  <c r="A8573" i="1"/>
  <c r="I8573" i="1" s="1"/>
  <c r="I8572" i="1"/>
  <c r="H8572" i="1"/>
  <c r="A8572" i="1"/>
  <c r="H8571" i="1"/>
  <c r="I8571" i="1" s="1"/>
  <c r="A8571" i="1"/>
  <c r="H8570" i="1"/>
  <c r="A8570" i="1"/>
  <c r="I8570" i="1" s="1"/>
  <c r="I8569" i="1"/>
  <c r="H8569" i="1"/>
  <c r="A8569" i="1"/>
  <c r="I8568" i="1"/>
  <c r="H8568" i="1"/>
  <c r="A8568" i="1"/>
  <c r="H8567" i="1"/>
  <c r="A8567" i="1"/>
  <c r="I8566" i="1"/>
  <c r="H8566" i="1"/>
  <c r="A8566" i="1"/>
  <c r="H8565" i="1"/>
  <c r="A8565" i="1"/>
  <c r="I8565" i="1" s="1"/>
  <c r="H8564" i="1"/>
  <c r="I8564" i="1" s="1"/>
  <c r="A8564" i="1"/>
  <c r="I8563" i="1"/>
  <c r="H8563" i="1"/>
  <c r="A8563" i="1"/>
  <c r="H8562" i="1"/>
  <c r="A8562" i="1"/>
  <c r="I8562" i="1" s="1"/>
  <c r="H8561" i="1"/>
  <c r="I8561" i="1" s="1"/>
  <c r="A8561" i="1"/>
  <c r="I8560" i="1"/>
  <c r="H8560" i="1"/>
  <c r="A8560" i="1"/>
  <c r="H8559" i="1"/>
  <c r="A8559" i="1"/>
  <c r="I8559" i="1" s="1"/>
  <c r="H8558" i="1"/>
  <c r="I8558" i="1" s="1"/>
  <c r="A8558" i="1"/>
  <c r="H8557" i="1"/>
  <c r="A8557" i="1"/>
  <c r="I8557" i="1" s="1"/>
  <c r="H8556" i="1"/>
  <c r="A8556" i="1"/>
  <c r="I8556" i="1" s="1"/>
  <c r="H8555" i="1"/>
  <c r="I8555" i="1" s="1"/>
  <c r="A8555" i="1"/>
  <c r="H8554" i="1"/>
  <c r="A8554" i="1"/>
  <c r="I8554" i="1" s="1"/>
  <c r="H8553" i="1"/>
  <c r="A8553" i="1"/>
  <c r="I8553" i="1" s="1"/>
  <c r="I8552" i="1"/>
  <c r="H8552" i="1"/>
  <c r="A8552" i="1"/>
  <c r="H8551" i="1"/>
  <c r="A8551" i="1"/>
  <c r="H8550" i="1"/>
  <c r="A8550" i="1"/>
  <c r="I8550" i="1" s="1"/>
  <c r="H8549" i="1"/>
  <c r="A8549" i="1"/>
  <c r="I8549" i="1" s="1"/>
  <c r="H8548" i="1"/>
  <c r="A8548" i="1"/>
  <c r="I8548" i="1" s="1"/>
  <c r="I8547" i="1"/>
  <c r="H8547" i="1"/>
  <c r="A8547" i="1"/>
  <c r="H8546" i="1"/>
  <c r="A8546" i="1"/>
  <c r="I8546" i="1" s="1"/>
  <c r="H8545" i="1"/>
  <c r="A8545" i="1"/>
  <c r="I8545" i="1" s="1"/>
  <c r="I8544" i="1"/>
  <c r="H8544" i="1"/>
  <c r="A8544" i="1"/>
  <c r="H8543" i="1"/>
  <c r="A8543" i="1"/>
  <c r="I8543" i="1" s="1"/>
  <c r="H8542" i="1"/>
  <c r="A8542" i="1"/>
  <c r="I8542" i="1" s="1"/>
  <c r="H8541" i="1"/>
  <c r="A8541" i="1"/>
  <c r="I8541" i="1" s="1"/>
  <c r="I8540" i="1"/>
  <c r="H8540" i="1"/>
  <c r="A8540" i="1"/>
  <c r="H8539" i="1"/>
  <c r="I8539" i="1" s="1"/>
  <c r="A8539" i="1"/>
  <c r="H8538" i="1"/>
  <c r="A8538" i="1"/>
  <c r="I8538" i="1" s="1"/>
  <c r="I8537" i="1"/>
  <c r="H8537" i="1"/>
  <c r="A8537" i="1"/>
  <c r="I8536" i="1"/>
  <c r="H8536" i="1"/>
  <c r="A8536" i="1"/>
  <c r="H8535" i="1"/>
  <c r="A8535" i="1"/>
  <c r="I8534" i="1"/>
  <c r="H8534" i="1"/>
  <c r="A8534" i="1"/>
  <c r="H8533" i="1"/>
  <c r="A8533" i="1"/>
  <c r="I8533" i="1" s="1"/>
  <c r="H8532" i="1"/>
  <c r="I8532" i="1" s="1"/>
  <c r="A8532" i="1"/>
  <c r="I8531" i="1"/>
  <c r="H8531" i="1"/>
  <c r="A8531" i="1"/>
  <c r="H8530" i="1"/>
  <c r="A8530" i="1"/>
  <c r="I8530" i="1" s="1"/>
  <c r="H8529" i="1"/>
  <c r="I8529" i="1" s="1"/>
  <c r="A8529" i="1"/>
  <c r="I8528" i="1"/>
  <c r="H8528" i="1"/>
  <c r="A8528" i="1"/>
  <c r="H8527" i="1"/>
  <c r="A8527" i="1"/>
  <c r="I8527" i="1" s="1"/>
  <c r="H8526" i="1"/>
  <c r="I8526" i="1" s="1"/>
  <c r="A8526" i="1"/>
  <c r="H8525" i="1"/>
  <c r="A8525" i="1"/>
  <c r="I8525" i="1" s="1"/>
  <c r="H8524" i="1"/>
  <c r="A8524" i="1"/>
  <c r="I8524" i="1" s="1"/>
  <c r="H8523" i="1"/>
  <c r="I8523" i="1" s="1"/>
  <c r="A8523" i="1"/>
  <c r="H8522" i="1"/>
  <c r="A8522" i="1"/>
  <c r="I8522" i="1" s="1"/>
  <c r="H8521" i="1"/>
  <c r="A8521" i="1"/>
  <c r="I8521" i="1" s="1"/>
  <c r="I8520" i="1"/>
  <c r="H8520" i="1"/>
  <c r="A8520" i="1"/>
  <c r="H8519" i="1"/>
  <c r="A8519" i="1"/>
  <c r="H8518" i="1"/>
  <c r="A8518" i="1"/>
  <c r="I8518" i="1" s="1"/>
  <c r="H8517" i="1"/>
  <c r="A8517" i="1"/>
  <c r="I8517" i="1" s="1"/>
  <c r="H8516" i="1"/>
  <c r="A8516" i="1"/>
  <c r="I8516" i="1" s="1"/>
  <c r="I8515" i="1"/>
  <c r="H8515" i="1"/>
  <c r="A8515" i="1"/>
  <c r="H8514" i="1"/>
  <c r="A8514" i="1"/>
  <c r="I8514" i="1" s="1"/>
  <c r="H8513" i="1"/>
  <c r="A8513" i="1"/>
  <c r="I8513" i="1" s="1"/>
  <c r="I8512" i="1"/>
  <c r="H8512" i="1"/>
  <c r="A8512" i="1"/>
  <c r="H8511" i="1"/>
  <c r="A8511" i="1"/>
  <c r="I8511" i="1" s="1"/>
  <c r="H8510" i="1"/>
  <c r="A8510" i="1"/>
  <c r="I8510" i="1" s="1"/>
  <c r="H8509" i="1"/>
  <c r="A8509" i="1"/>
  <c r="I8509" i="1" s="1"/>
  <c r="I8508" i="1"/>
  <c r="H8508" i="1"/>
  <c r="A8508" i="1"/>
  <c r="H8507" i="1"/>
  <c r="I8507" i="1" s="1"/>
  <c r="A8507" i="1"/>
  <c r="H8506" i="1"/>
  <c r="A8506" i="1"/>
  <c r="I8506" i="1" s="1"/>
  <c r="I8505" i="1"/>
  <c r="H8505" i="1"/>
  <c r="A8505" i="1"/>
  <c r="I8504" i="1"/>
  <c r="H8504" i="1"/>
  <c r="A8504" i="1"/>
  <c r="H8503" i="1"/>
  <c r="A8503" i="1"/>
  <c r="I8502" i="1"/>
  <c r="H8502" i="1"/>
  <c r="A8502" i="1"/>
  <c r="H8501" i="1"/>
  <c r="A8501" i="1"/>
  <c r="I8501" i="1" s="1"/>
  <c r="H8500" i="1"/>
  <c r="I8500" i="1" s="1"/>
  <c r="A8500" i="1"/>
  <c r="I8499" i="1"/>
  <c r="H8499" i="1"/>
  <c r="A8499" i="1"/>
  <c r="H8498" i="1"/>
  <c r="A8498" i="1"/>
  <c r="I8498" i="1" s="1"/>
  <c r="H8497" i="1"/>
  <c r="I8497" i="1" s="1"/>
  <c r="A8497" i="1"/>
  <c r="I8496" i="1"/>
  <c r="H8496" i="1"/>
  <c r="A8496" i="1"/>
  <c r="H8495" i="1"/>
  <c r="A8495" i="1"/>
  <c r="I8495" i="1" s="1"/>
  <c r="H8494" i="1"/>
  <c r="I8494" i="1" s="1"/>
  <c r="A8494" i="1"/>
  <c r="H8493" i="1"/>
  <c r="A8493" i="1"/>
  <c r="I8493" i="1" s="1"/>
  <c r="H8492" i="1"/>
  <c r="A8492" i="1"/>
  <c r="I8492" i="1" s="1"/>
  <c r="H8491" i="1"/>
  <c r="I8491" i="1" s="1"/>
  <c r="A8491" i="1"/>
  <c r="H8490" i="1"/>
  <c r="A8490" i="1"/>
  <c r="I8490" i="1" s="1"/>
  <c r="H8489" i="1"/>
  <c r="A8489" i="1"/>
  <c r="I8489" i="1" s="1"/>
  <c r="I8488" i="1"/>
  <c r="H8488" i="1"/>
  <c r="A8488" i="1"/>
  <c r="H8487" i="1"/>
  <c r="A8487" i="1"/>
  <c r="H8486" i="1"/>
  <c r="A8486" i="1"/>
  <c r="I8486" i="1" s="1"/>
  <c r="H8485" i="1"/>
  <c r="A8485" i="1"/>
  <c r="I8485" i="1" s="1"/>
  <c r="H8484" i="1"/>
  <c r="A8484" i="1"/>
  <c r="I8484" i="1" s="1"/>
  <c r="I8483" i="1"/>
  <c r="H8483" i="1"/>
  <c r="A8483" i="1"/>
  <c r="H8482" i="1"/>
  <c r="A8482" i="1"/>
  <c r="I8482" i="1" s="1"/>
  <c r="H8481" i="1"/>
  <c r="A8481" i="1"/>
  <c r="I8481" i="1" s="1"/>
  <c r="I8480" i="1"/>
  <c r="H8480" i="1"/>
  <c r="A8480" i="1"/>
  <c r="H8479" i="1"/>
  <c r="A8479" i="1"/>
  <c r="I8479" i="1" s="1"/>
  <c r="H8478" i="1"/>
  <c r="A8478" i="1"/>
  <c r="I8478" i="1" s="1"/>
  <c r="H8477" i="1"/>
  <c r="A8477" i="1"/>
  <c r="I8477" i="1" s="1"/>
  <c r="I8476" i="1"/>
  <c r="H8476" i="1"/>
  <c r="A8476" i="1"/>
  <c r="H8475" i="1"/>
  <c r="I8475" i="1" s="1"/>
  <c r="A8475" i="1"/>
  <c r="H8474" i="1"/>
  <c r="A8474" i="1"/>
  <c r="I8474" i="1" s="1"/>
  <c r="I8473" i="1"/>
  <c r="H8473" i="1"/>
  <c r="A8473" i="1"/>
  <c r="I8472" i="1"/>
  <c r="H8472" i="1"/>
  <c r="A8472" i="1"/>
  <c r="H8471" i="1"/>
  <c r="A8471" i="1"/>
  <c r="I8470" i="1"/>
  <c r="H8470" i="1"/>
  <c r="A8470" i="1"/>
  <c r="H8469" i="1"/>
  <c r="A8469" i="1"/>
  <c r="I8469" i="1" s="1"/>
  <c r="H8468" i="1"/>
  <c r="I8468" i="1" s="1"/>
  <c r="A8468" i="1"/>
  <c r="I8467" i="1"/>
  <c r="H8467" i="1"/>
  <c r="A8467" i="1"/>
  <c r="H8466" i="1"/>
  <c r="A8466" i="1"/>
  <c r="I8466" i="1" s="1"/>
  <c r="H8465" i="1"/>
  <c r="I8465" i="1" s="1"/>
  <c r="A8465" i="1"/>
  <c r="I8464" i="1"/>
  <c r="H8464" i="1"/>
  <c r="A8464" i="1"/>
  <c r="H8463" i="1"/>
  <c r="A8463" i="1"/>
  <c r="I8463" i="1" s="1"/>
  <c r="H8462" i="1"/>
  <c r="I8462" i="1" s="1"/>
  <c r="A8462" i="1"/>
  <c r="H8461" i="1"/>
  <c r="A8461" i="1"/>
  <c r="I8461" i="1" s="1"/>
  <c r="H8460" i="1"/>
  <c r="A8460" i="1"/>
  <c r="I8460" i="1" s="1"/>
  <c r="H8459" i="1"/>
  <c r="I8459" i="1" s="1"/>
  <c r="A8459" i="1"/>
  <c r="H8458" i="1"/>
  <c r="A8458" i="1"/>
  <c r="I8458" i="1" s="1"/>
  <c r="H8457" i="1"/>
  <c r="A8457" i="1"/>
  <c r="I8457" i="1" s="1"/>
  <c r="I8456" i="1"/>
  <c r="H8456" i="1"/>
  <c r="A8456" i="1"/>
  <c r="H8455" i="1"/>
  <c r="A8455" i="1"/>
  <c r="H8454" i="1"/>
  <c r="A8454" i="1"/>
  <c r="I8454" i="1" s="1"/>
  <c r="H8453" i="1"/>
  <c r="A8453" i="1"/>
  <c r="I8453" i="1" s="1"/>
  <c r="H8452" i="1"/>
  <c r="A8452" i="1"/>
  <c r="I8452" i="1" s="1"/>
  <c r="I8451" i="1"/>
  <c r="H8451" i="1"/>
  <c r="A8451" i="1"/>
  <c r="I8450" i="1"/>
  <c r="H8450" i="1"/>
  <c r="A8450" i="1"/>
  <c r="I8449" i="1"/>
  <c r="H8449" i="1"/>
  <c r="A8449" i="1"/>
  <c r="H8448" i="1"/>
  <c r="A8448" i="1"/>
  <c r="I8448" i="1" s="1"/>
  <c r="H8447" i="1"/>
  <c r="A8447" i="1"/>
  <c r="I8446" i="1"/>
  <c r="H8446" i="1"/>
  <c r="A8446" i="1"/>
  <c r="H8445" i="1"/>
  <c r="A8445" i="1"/>
  <c r="I8445" i="1" s="1"/>
  <c r="H8444" i="1"/>
  <c r="I8444" i="1" s="1"/>
  <c r="A8444" i="1"/>
  <c r="I8443" i="1"/>
  <c r="H8443" i="1"/>
  <c r="A8443" i="1"/>
  <c r="H8442" i="1"/>
  <c r="A8442" i="1"/>
  <c r="I8442" i="1" s="1"/>
  <c r="H8441" i="1"/>
  <c r="A8441" i="1"/>
  <c r="I8441" i="1" s="1"/>
  <c r="I8440" i="1"/>
  <c r="H8440" i="1"/>
  <c r="A8440" i="1"/>
  <c r="H8439" i="1"/>
  <c r="A8439" i="1"/>
  <c r="H8438" i="1"/>
  <c r="A8438" i="1"/>
  <c r="I8438" i="1" s="1"/>
  <c r="H8437" i="1"/>
  <c r="A8437" i="1"/>
  <c r="I8437" i="1" s="1"/>
  <c r="H8436" i="1"/>
  <c r="A8436" i="1"/>
  <c r="I8436" i="1" s="1"/>
  <c r="I8435" i="1"/>
  <c r="H8435" i="1"/>
  <c r="A8435" i="1"/>
  <c r="I8434" i="1"/>
  <c r="H8434" i="1"/>
  <c r="A8434" i="1"/>
  <c r="I8433" i="1"/>
  <c r="H8433" i="1"/>
  <c r="A8433" i="1"/>
  <c r="H8432" i="1"/>
  <c r="A8432" i="1"/>
  <c r="I8432" i="1" s="1"/>
  <c r="H8431" i="1"/>
  <c r="A8431" i="1"/>
  <c r="I8430" i="1"/>
  <c r="H8430" i="1"/>
  <c r="A8430" i="1"/>
  <c r="H8429" i="1"/>
  <c r="A8429" i="1"/>
  <c r="I8429" i="1" s="1"/>
  <c r="H8428" i="1"/>
  <c r="I8428" i="1" s="1"/>
  <c r="A8428" i="1"/>
  <c r="I8427" i="1"/>
  <c r="H8427" i="1"/>
  <c r="A8427" i="1"/>
  <c r="H8426" i="1"/>
  <c r="A8426" i="1"/>
  <c r="I8426" i="1" s="1"/>
  <c r="H8425" i="1"/>
  <c r="A8425" i="1"/>
  <c r="I8425" i="1" s="1"/>
  <c r="I8424" i="1"/>
  <c r="H8424" i="1"/>
  <c r="A8424" i="1"/>
  <c r="H8423" i="1"/>
  <c r="A8423" i="1"/>
  <c r="H8422" i="1"/>
  <c r="A8422" i="1"/>
  <c r="I8422" i="1" s="1"/>
  <c r="H8421" i="1"/>
  <c r="A8421" i="1"/>
  <c r="I8421" i="1" s="1"/>
  <c r="H8420" i="1"/>
  <c r="A8420" i="1"/>
  <c r="I8420" i="1" s="1"/>
  <c r="I8419" i="1"/>
  <c r="H8419" i="1"/>
  <c r="A8419" i="1"/>
  <c r="I8418" i="1"/>
  <c r="H8418" i="1"/>
  <c r="A8418" i="1"/>
  <c r="I8417" i="1"/>
  <c r="H8417" i="1"/>
  <c r="A8417" i="1"/>
  <c r="H8416" i="1"/>
  <c r="A8416" i="1"/>
  <c r="I8416" i="1" s="1"/>
  <c r="H8415" i="1"/>
  <c r="A8415" i="1"/>
  <c r="I8414" i="1"/>
  <c r="H8414" i="1"/>
  <c r="A8414" i="1"/>
  <c r="H8413" i="1"/>
  <c r="A8413" i="1"/>
  <c r="I8413" i="1" s="1"/>
  <c r="H8412" i="1"/>
  <c r="I8412" i="1" s="1"/>
  <c r="A8412" i="1"/>
  <c r="I8411" i="1"/>
  <c r="H8411" i="1"/>
  <c r="A8411" i="1"/>
  <c r="H8410" i="1"/>
  <c r="A8410" i="1"/>
  <c r="I8410" i="1" s="1"/>
  <c r="H8409" i="1"/>
  <c r="A8409" i="1"/>
  <c r="I8409" i="1" s="1"/>
  <c r="I8408" i="1"/>
  <c r="H8408" i="1"/>
  <c r="A8408" i="1"/>
  <c r="H8407" i="1"/>
  <c r="A8407" i="1"/>
  <c r="H8406" i="1"/>
  <c r="A8406" i="1"/>
  <c r="I8406" i="1" s="1"/>
  <c r="H8405" i="1"/>
  <c r="A8405" i="1"/>
  <c r="I8405" i="1" s="1"/>
  <c r="H8404" i="1"/>
  <c r="A8404" i="1"/>
  <c r="I8404" i="1" s="1"/>
  <c r="I8403" i="1"/>
  <c r="H8403" i="1"/>
  <c r="A8403" i="1"/>
  <c r="I8402" i="1"/>
  <c r="H8402" i="1"/>
  <c r="A8402" i="1"/>
  <c r="I8401" i="1"/>
  <c r="H8401" i="1"/>
  <c r="A8401" i="1"/>
  <c r="H8400" i="1"/>
  <c r="A8400" i="1"/>
  <c r="I8400" i="1" s="1"/>
  <c r="H8399" i="1"/>
  <c r="A8399" i="1"/>
  <c r="I8398" i="1"/>
  <c r="H8398" i="1"/>
  <c r="A8398" i="1"/>
  <c r="H8397" i="1"/>
  <c r="A8397" i="1"/>
  <c r="I8397" i="1" s="1"/>
  <c r="I8396" i="1"/>
  <c r="H8396" i="1"/>
  <c r="A8396" i="1"/>
  <c r="I8395" i="1"/>
  <c r="H8395" i="1"/>
  <c r="A8395" i="1"/>
  <c r="H8394" i="1"/>
  <c r="A8394" i="1"/>
  <c r="I8394" i="1" s="1"/>
  <c r="H8393" i="1"/>
  <c r="A8393" i="1"/>
  <c r="I8393" i="1" s="1"/>
  <c r="I8392" i="1"/>
  <c r="H8392" i="1"/>
  <c r="A8392" i="1"/>
  <c r="H8391" i="1"/>
  <c r="A8391" i="1"/>
  <c r="I8391" i="1" s="1"/>
  <c r="H8390" i="1"/>
  <c r="A8390" i="1"/>
  <c r="I8390" i="1" s="1"/>
  <c r="H8389" i="1"/>
  <c r="A8389" i="1"/>
  <c r="I8389" i="1" s="1"/>
  <c r="H8388" i="1"/>
  <c r="A8388" i="1"/>
  <c r="I8388" i="1" s="1"/>
  <c r="I8387" i="1"/>
  <c r="H8387" i="1"/>
  <c r="A8387" i="1"/>
  <c r="I8386" i="1"/>
  <c r="H8386" i="1"/>
  <c r="A8386" i="1"/>
  <c r="H8385" i="1"/>
  <c r="I8385" i="1" s="1"/>
  <c r="A8385" i="1"/>
  <c r="H8384" i="1"/>
  <c r="A8384" i="1"/>
  <c r="I8384" i="1" s="1"/>
  <c r="H8383" i="1"/>
  <c r="A8383" i="1"/>
  <c r="H8382" i="1"/>
  <c r="I8382" i="1" s="1"/>
  <c r="A8382" i="1"/>
  <c r="H8381" i="1"/>
  <c r="A8381" i="1"/>
  <c r="I8381" i="1" s="1"/>
  <c r="H8380" i="1"/>
  <c r="I8380" i="1" s="1"/>
  <c r="A8380" i="1"/>
  <c r="H8379" i="1"/>
  <c r="I8379" i="1" s="1"/>
  <c r="A8379" i="1"/>
  <c r="H8378" i="1"/>
  <c r="A8378" i="1"/>
  <c r="I8378" i="1" s="1"/>
  <c r="H8377" i="1"/>
  <c r="A8377" i="1"/>
  <c r="I8377" i="1" s="1"/>
  <c r="I8376" i="1"/>
  <c r="H8376" i="1"/>
  <c r="A8376" i="1"/>
  <c r="H8375" i="1"/>
  <c r="A8375" i="1"/>
  <c r="H8374" i="1"/>
  <c r="A8374" i="1"/>
  <c r="I8374" i="1" s="1"/>
  <c r="H8373" i="1"/>
  <c r="A8373" i="1"/>
  <c r="H8372" i="1"/>
  <c r="A8372" i="1"/>
  <c r="I8372" i="1" s="1"/>
  <c r="I8371" i="1"/>
  <c r="H8371" i="1"/>
  <c r="A8371" i="1"/>
  <c r="I8370" i="1"/>
  <c r="H8370" i="1"/>
  <c r="A8370" i="1"/>
  <c r="I8369" i="1"/>
  <c r="H8369" i="1"/>
  <c r="A8369" i="1"/>
  <c r="H8368" i="1"/>
  <c r="A8368" i="1"/>
  <c r="I8368" i="1" s="1"/>
  <c r="H8367" i="1"/>
  <c r="A8367" i="1"/>
  <c r="I8366" i="1"/>
  <c r="H8366" i="1"/>
  <c r="A8366" i="1"/>
  <c r="H8365" i="1"/>
  <c r="A8365" i="1"/>
  <c r="I8365" i="1" s="1"/>
  <c r="I8364" i="1"/>
  <c r="H8364" i="1"/>
  <c r="A8364" i="1"/>
  <c r="I8363" i="1"/>
  <c r="H8363" i="1"/>
  <c r="A8363" i="1"/>
  <c r="H8362" i="1"/>
  <c r="A8362" i="1"/>
  <c r="I8362" i="1" s="1"/>
  <c r="H8361" i="1"/>
  <c r="A8361" i="1"/>
  <c r="I8361" i="1" s="1"/>
  <c r="I8360" i="1"/>
  <c r="H8360" i="1"/>
  <c r="A8360" i="1"/>
  <c r="H8359" i="1"/>
  <c r="A8359" i="1"/>
  <c r="I8359" i="1" s="1"/>
  <c r="H8358" i="1"/>
  <c r="A8358" i="1"/>
  <c r="I8358" i="1" s="1"/>
  <c r="H8357" i="1"/>
  <c r="A8357" i="1"/>
  <c r="I8357" i="1" s="1"/>
  <c r="H8356" i="1"/>
  <c r="A8356" i="1"/>
  <c r="I8356" i="1" s="1"/>
  <c r="I8355" i="1"/>
  <c r="H8355" i="1"/>
  <c r="A8355" i="1"/>
  <c r="I8354" i="1"/>
  <c r="H8354" i="1"/>
  <c r="A8354" i="1"/>
  <c r="H8353" i="1"/>
  <c r="I8353" i="1" s="1"/>
  <c r="A8353" i="1"/>
  <c r="H8352" i="1"/>
  <c r="A8352" i="1"/>
  <c r="I8352" i="1" s="1"/>
  <c r="H8351" i="1"/>
  <c r="A8351" i="1"/>
  <c r="H8350" i="1"/>
  <c r="I8350" i="1" s="1"/>
  <c r="A8350" i="1"/>
  <c r="H8349" i="1"/>
  <c r="A8349" i="1"/>
  <c r="I8349" i="1" s="1"/>
  <c r="H8348" i="1"/>
  <c r="I8348" i="1" s="1"/>
  <c r="A8348" i="1"/>
  <c r="H8347" i="1"/>
  <c r="I8347" i="1" s="1"/>
  <c r="A8347" i="1"/>
  <c r="H8346" i="1"/>
  <c r="A8346" i="1"/>
  <c r="I8346" i="1" s="1"/>
  <c r="H8345" i="1"/>
  <c r="A8345" i="1"/>
  <c r="I8345" i="1" s="1"/>
  <c r="I8344" i="1"/>
  <c r="H8344" i="1"/>
  <c r="A8344" i="1"/>
  <c r="H8343" i="1"/>
  <c r="A8343" i="1"/>
  <c r="H8342" i="1"/>
  <c r="A8342" i="1"/>
  <c r="I8342" i="1" s="1"/>
  <c r="H8341" i="1"/>
  <c r="A8341" i="1"/>
  <c r="H8340" i="1"/>
  <c r="A8340" i="1"/>
  <c r="I8340" i="1" s="1"/>
  <c r="I8339" i="1"/>
  <c r="H8339" i="1"/>
  <c r="A8339" i="1"/>
  <c r="I8338" i="1"/>
  <c r="H8338" i="1"/>
  <c r="A8338" i="1"/>
  <c r="I8337" i="1"/>
  <c r="H8337" i="1"/>
  <c r="A8337" i="1"/>
  <c r="H8336" i="1"/>
  <c r="A8336" i="1"/>
  <c r="I8336" i="1" s="1"/>
  <c r="H8335" i="1"/>
  <c r="A8335" i="1"/>
  <c r="I8334" i="1"/>
  <c r="H8334" i="1"/>
  <c r="A8334" i="1"/>
  <c r="H8333" i="1"/>
  <c r="A8333" i="1"/>
  <c r="I8333" i="1" s="1"/>
  <c r="I8332" i="1"/>
  <c r="H8332" i="1"/>
  <c r="A8332" i="1"/>
  <c r="I8331" i="1"/>
  <c r="H8331" i="1"/>
  <c r="A8331" i="1"/>
  <c r="H8330" i="1"/>
  <c r="A8330" i="1"/>
  <c r="I8330" i="1" s="1"/>
  <c r="H8329" i="1"/>
  <c r="A8329" i="1"/>
  <c r="I8329" i="1" s="1"/>
  <c r="I8328" i="1"/>
  <c r="H8328" i="1"/>
  <c r="A8328" i="1"/>
  <c r="H8327" i="1"/>
  <c r="A8327" i="1"/>
  <c r="I8327" i="1" s="1"/>
  <c r="H8326" i="1"/>
  <c r="A8326" i="1"/>
  <c r="I8326" i="1" s="1"/>
  <c r="H8325" i="1"/>
  <c r="A8325" i="1"/>
  <c r="H8324" i="1"/>
  <c r="A8324" i="1"/>
  <c r="I8324" i="1" s="1"/>
  <c r="I8323" i="1"/>
  <c r="H8323" i="1"/>
  <c r="A8323" i="1"/>
  <c r="I8322" i="1"/>
  <c r="H8322" i="1"/>
  <c r="A8322" i="1"/>
  <c r="H8321" i="1"/>
  <c r="I8321" i="1" s="1"/>
  <c r="A8321" i="1"/>
  <c r="H8320" i="1"/>
  <c r="A8320" i="1"/>
  <c r="I8320" i="1" s="1"/>
  <c r="H8319" i="1"/>
  <c r="A8319" i="1"/>
  <c r="H8318" i="1"/>
  <c r="I8318" i="1" s="1"/>
  <c r="A8318" i="1"/>
  <c r="H8317" i="1"/>
  <c r="A8317" i="1"/>
  <c r="I8317" i="1" s="1"/>
  <c r="I8316" i="1"/>
  <c r="H8316" i="1"/>
  <c r="A8316" i="1"/>
  <c r="H8315" i="1"/>
  <c r="I8315" i="1" s="1"/>
  <c r="A8315" i="1"/>
  <c r="H8314" i="1"/>
  <c r="A8314" i="1"/>
  <c r="I8314" i="1" s="1"/>
  <c r="H8313" i="1"/>
  <c r="A8313" i="1"/>
  <c r="I8313" i="1" s="1"/>
  <c r="I8312" i="1"/>
  <c r="H8312" i="1"/>
  <c r="A8312" i="1"/>
  <c r="I8311" i="1"/>
  <c r="H8311" i="1"/>
  <c r="A8311" i="1"/>
  <c r="H8310" i="1"/>
  <c r="A8310" i="1"/>
  <c r="I8310" i="1" s="1"/>
  <c r="H8309" i="1"/>
  <c r="A8309" i="1"/>
  <c r="I8308" i="1"/>
  <c r="H8308" i="1"/>
  <c r="A8308" i="1"/>
  <c r="H8307" i="1"/>
  <c r="I8307" i="1" s="1"/>
  <c r="A8307" i="1"/>
  <c r="H8306" i="1"/>
  <c r="A8306" i="1"/>
  <c r="I8306" i="1" s="1"/>
  <c r="I8305" i="1"/>
  <c r="H8305" i="1"/>
  <c r="A8305" i="1"/>
  <c r="I8304" i="1"/>
  <c r="H8304" i="1"/>
  <c r="A8304" i="1"/>
  <c r="H8303" i="1"/>
  <c r="A8303" i="1"/>
  <c r="I8303" i="1" s="1"/>
  <c r="H8302" i="1"/>
  <c r="A8302" i="1"/>
  <c r="I8302" i="1" s="1"/>
  <c r="H8301" i="1"/>
  <c r="A8301" i="1"/>
  <c r="H8300" i="1"/>
  <c r="A8300" i="1"/>
  <c r="I8300" i="1" s="1"/>
  <c r="I8299" i="1"/>
  <c r="H8299" i="1"/>
  <c r="A8299" i="1"/>
  <c r="I8298" i="1"/>
  <c r="H8298" i="1"/>
  <c r="A8298" i="1"/>
  <c r="I8297" i="1"/>
  <c r="H8297" i="1"/>
  <c r="A8297" i="1"/>
  <c r="H8296" i="1"/>
  <c r="A8296" i="1"/>
  <c r="I8296" i="1" s="1"/>
  <c r="H8295" i="1"/>
  <c r="A8295" i="1"/>
  <c r="I8295" i="1" s="1"/>
  <c r="I8294" i="1"/>
  <c r="H8294" i="1"/>
  <c r="A8294" i="1"/>
  <c r="H8293" i="1"/>
  <c r="A8293" i="1"/>
  <c r="I8293" i="1" s="1"/>
  <c r="H8292" i="1"/>
  <c r="A8292" i="1"/>
  <c r="I8292" i="1" s="1"/>
  <c r="I8291" i="1"/>
  <c r="H8291" i="1"/>
  <c r="A8291" i="1"/>
  <c r="H8290" i="1"/>
  <c r="I8290" i="1" s="1"/>
  <c r="A8290" i="1"/>
  <c r="H8289" i="1"/>
  <c r="A8289" i="1"/>
  <c r="I8289" i="1" s="1"/>
  <c r="H8288" i="1"/>
  <c r="A8288" i="1"/>
  <c r="I8288" i="1" s="1"/>
  <c r="I8287" i="1"/>
  <c r="H8287" i="1"/>
  <c r="A8287" i="1"/>
  <c r="I8286" i="1"/>
  <c r="H8286" i="1"/>
  <c r="A8286" i="1"/>
  <c r="H8285" i="1"/>
  <c r="A8285" i="1"/>
  <c r="I8285" i="1" s="1"/>
  <c r="I8284" i="1"/>
  <c r="H8284" i="1"/>
  <c r="A8284" i="1"/>
  <c r="I8283" i="1"/>
  <c r="H8283" i="1"/>
  <c r="A8283" i="1"/>
  <c r="H8282" i="1"/>
  <c r="A8282" i="1"/>
  <c r="I8282" i="1" s="1"/>
  <c r="H8281" i="1"/>
  <c r="A8281" i="1"/>
  <c r="I8281" i="1" s="1"/>
  <c r="I8280" i="1"/>
  <c r="H8280" i="1"/>
  <c r="A8280" i="1"/>
  <c r="H8279" i="1"/>
  <c r="I8279" i="1" s="1"/>
  <c r="A8279" i="1"/>
  <c r="H8278" i="1"/>
  <c r="A8278" i="1"/>
  <c r="I8278" i="1" s="1"/>
  <c r="H8277" i="1"/>
  <c r="A8277" i="1"/>
  <c r="H8276" i="1"/>
  <c r="I8276" i="1" s="1"/>
  <c r="A8276" i="1"/>
  <c r="H8275" i="1"/>
  <c r="I8275" i="1" s="1"/>
  <c r="A8275" i="1"/>
  <c r="H8274" i="1"/>
  <c r="A8274" i="1"/>
  <c r="I8274" i="1" s="1"/>
  <c r="I8273" i="1"/>
  <c r="H8273" i="1"/>
  <c r="A8273" i="1"/>
  <c r="I8272" i="1"/>
  <c r="H8272" i="1"/>
  <c r="A8272" i="1"/>
  <c r="H8271" i="1"/>
  <c r="A8271" i="1"/>
  <c r="I8271" i="1" s="1"/>
  <c r="H8270" i="1"/>
  <c r="A8270" i="1"/>
  <c r="I8270" i="1" s="1"/>
  <c r="H8269" i="1"/>
  <c r="A8269" i="1"/>
  <c r="H8268" i="1"/>
  <c r="A8268" i="1"/>
  <c r="I8268" i="1" s="1"/>
  <c r="I8267" i="1"/>
  <c r="H8267" i="1"/>
  <c r="A8267" i="1"/>
  <c r="I8266" i="1"/>
  <c r="H8266" i="1"/>
  <c r="A8266" i="1"/>
  <c r="H8265" i="1"/>
  <c r="I8265" i="1" s="1"/>
  <c r="A8265" i="1"/>
  <c r="H8264" i="1"/>
  <c r="A8264" i="1"/>
  <c r="I8264" i="1" s="1"/>
  <c r="H8263" i="1"/>
  <c r="A8263" i="1"/>
  <c r="I8263" i="1" s="1"/>
  <c r="I8262" i="1"/>
  <c r="H8262" i="1"/>
  <c r="A8262" i="1"/>
  <c r="H8261" i="1"/>
  <c r="A8261" i="1"/>
  <c r="H8260" i="1"/>
  <c r="A8260" i="1"/>
  <c r="I8260" i="1" s="1"/>
  <c r="I8259" i="1"/>
  <c r="H8259" i="1"/>
  <c r="A8259" i="1"/>
  <c r="I8258" i="1"/>
  <c r="H8258" i="1"/>
  <c r="A8258" i="1"/>
  <c r="H8257" i="1"/>
  <c r="A8257" i="1"/>
  <c r="I8257" i="1" s="1"/>
  <c r="H8256" i="1"/>
  <c r="A8256" i="1"/>
  <c r="I8256" i="1" s="1"/>
  <c r="I8255" i="1"/>
  <c r="H8255" i="1"/>
  <c r="A8255" i="1"/>
  <c r="H8254" i="1"/>
  <c r="I8254" i="1" s="1"/>
  <c r="A8254" i="1"/>
  <c r="H8253" i="1"/>
  <c r="A8253" i="1"/>
  <c r="I8253" i="1" s="1"/>
  <c r="H8252" i="1"/>
  <c r="A8252" i="1"/>
  <c r="I8252" i="1" s="1"/>
  <c r="I8251" i="1"/>
  <c r="H8251" i="1"/>
  <c r="A8251" i="1"/>
  <c r="I8250" i="1"/>
  <c r="H8250" i="1"/>
  <c r="A8250" i="1"/>
  <c r="H8249" i="1"/>
  <c r="A8249" i="1"/>
  <c r="I8249" i="1" s="1"/>
  <c r="H8248" i="1"/>
  <c r="A8248" i="1"/>
  <c r="I8248" i="1" s="1"/>
  <c r="I8247" i="1"/>
  <c r="H8247" i="1"/>
  <c r="A8247" i="1"/>
  <c r="H8246" i="1"/>
  <c r="I8246" i="1" s="1"/>
  <c r="A8246" i="1"/>
  <c r="H8245" i="1"/>
  <c r="A8245" i="1"/>
  <c r="I8245" i="1" s="1"/>
  <c r="H8244" i="1"/>
  <c r="A8244" i="1"/>
  <c r="I8244" i="1" s="1"/>
  <c r="I8243" i="1"/>
  <c r="H8243" i="1"/>
  <c r="A8243" i="1"/>
  <c r="I8242" i="1"/>
  <c r="H8242" i="1"/>
  <c r="A8242" i="1"/>
  <c r="H8241" i="1"/>
  <c r="A8241" i="1"/>
  <c r="I8241" i="1" s="1"/>
  <c r="H8240" i="1"/>
  <c r="A8240" i="1"/>
  <c r="I8240" i="1" s="1"/>
  <c r="I8239" i="1"/>
  <c r="H8239" i="1"/>
  <c r="A8239" i="1"/>
  <c r="H8238" i="1"/>
  <c r="I8238" i="1" s="1"/>
  <c r="A8238" i="1"/>
  <c r="H8237" i="1"/>
  <c r="A8237" i="1"/>
  <c r="I8237" i="1" s="1"/>
  <c r="H8236" i="1"/>
  <c r="A8236" i="1"/>
  <c r="I8236" i="1" s="1"/>
  <c r="I8235" i="1"/>
  <c r="H8235" i="1"/>
  <c r="A8235" i="1"/>
  <c r="I8234" i="1"/>
  <c r="H8234" i="1"/>
  <c r="A8234" i="1"/>
  <c r="H8233" i="1"/>
  <c r="A8233" i="1"/>
  <c r="I8233" i="1" s="1"/>
  <c r="H8232" i="1"/>
  <c r="A8232" i="1"/>
  <c r="I8232" i="1" s="1"/>
  <c r="I8231" i="1"/>
  <c r="H8231" i="1"/>
  <c r="A8231" i="1"/>
  <c r="H8230" i="1"/>
  <c r="I8230" i="1" s="1"/>
  <c r="A8230" i="1"/>
  <c r="H8229" i="1"/>
  <c r="A8229" i="1"/>
  <c r="I8229" i="1" s="1"/>
  <c r="H8228" i="1"/>
  <c r="A8228" i="1"/>
  <c r="I8228" i="1" s="1"/>
  <c r="I8227" i="1"/>
  <c r="H8227" i="1"/>
  <c r="A8227" i="1"/>
  <c r="I8226" i="1"/>
  <c r="H8226" i="1"/>
  <c r="A8226" i="1"/>
  <c r="H8225" i="1"/>
  <c r="A8225" i="1"/>
  <c r="I8225" i="1" s="1"/>
  <c r="H8224" i="1"/>
  <c r="A8224" i="1"/>
  <c r="I8224" i="1" s="1"/>
  <c r="I8223" i="1"/>
  <c r="H8223" i="1"/>
  <c r="A8223" i="1"/>
  <c r="H8222" i="1"/>
  <c r="I8222" i="1" s="1"/>
  <c r="A8222" i="1"/>
  <c r="H8221" i="1"/>
  <c r="A8221" i="1"/>
  <c r="I8221" i="1" s="1"/>
  <c r="H8220" i="1"/>
  <c r="A8220" i="1"/>
  <c r="I8220" i="1" s="1"/>
  <c r="I8219" i="1"/>
  <c r="H8219" i="1"/>
  <c r="A8219" i="1"/>
  <c r="I8218" i="1"/>
  <c r="H8218" i="1"/>
  <c r="A8218" i="1"/>
  <c r="H8217" i="1"/>
  <c r="A8217" i="1"/>
  <c r="I8217" i="1" s="1"/>
  <c r="H8216" i="1"/>
  <c r="A8216" i="1"/>
  <c r="I8216" i="1" s="1"/>
  <c r="I8215" i="1"/>
  <c r="H8215" i="1"/>
  <c r="A8215" i="1"/>
  <c r="H8214" i="1"/>
  <c r="I8214" i="1" s="1"/>
  <c r="A8214" i="1"/>
  <c r="H8213" i="1"/>
  <c r="A8213" i="1"/>
  <c r="I8213" i="1" s="1"/>
  <c r="H8212" i="1"/>
  <c r="A8212" i="1"/>
  <c r="I8212" i="1" s="1"/>
  <c r="I8211" i="1"/>
  <c r="H8211" i="1"/>
  <c r="A8211" i="1"/>
  <c r="I8210" i="1"/>
  <c r="H8210" i="1"/>
  <c r="A8210" i="1"/>
  <c r="H8209" i="1"/>
  <c r="A8209" i="1"/>
  <c r="I8209" i="1" s="1"/>
  <c r="H8208" i="1"/>
  <c r="A8208" i="1"/>
  <c r="I8208" i="1" s="1"/>
  <c r="I8207" i="1"/>
  <c r="H8207" i="1"/>
  <c r="A8207" i="1"/>
  <c r="H8206" i="1"/>
  <c r="I8206" i="1" s="1"/>
  <c r="A8206" i="1"/>
  <c r="H8205" i="1"/>
  <c r="A8205" i="1"/>
  <c r="I8205" i="1" s="1"/>
  <c r="H8204" i="1"/>
  <c r="A8204" i="1"/>
  <c r="I8204" i="1" s="1"/>
  <c r="I8203" i="1"/>
  <c r="H8203" i="1"/>
  <c r="A8203" i="1"/>
  <c r="I8202" i="1"/>
  <c r="H8202" i="1"/>
  <c r="A8202" i="1"/>
  <c r="H8201" i="1"/>
  <c r="A8201" i="1"/>
  <c r="I8201" i="1" s="1"/>
  <c r="H8200" i="1"/>
  <c r="A8200" i="1"/>
  <c r="I8200" i="1" s="1"/>
  <c r="I8199" i="1"/>
  <c r="H8199" i="1"/>
  <c r="A8199" i="1"/>
  <c r="H8198" i="1"/>
  <c r="I8198" i="1" s="1"/>
  <c r="A8198" i="1"/>
  <c r="H8197" i="1"/>
  <c r="A8197" i="1"/>
  <c r="I8197" i="1" s="1"/>
  <c r="H8196" i="1"/>
  <c r="A8196" i="1"/>
  <c r="I8196" i="1" s="1"/>
  <c r="I8195" i="1"/>
  <c r="H8195" i="1"/>
  <c r="A8195" i="1"/>
  <c r="I8194" i="1"/>
  <c r="H8194" i="1"/>
  <c r="A8194" i="1"/>
  <c r="H8193" i="1"/>
  <c r="A8193" i="1"/>
  <c r="I8193" i="1" s="1"/>
  <c r="H8192" i="1"/>
  <c r="A8192" i="1"/>
  <c r="I8192" i="1" s="1"/>
  <c r="I8191" i="1"/>
  <c r="H8191" i="1"/>
  <c r="A8191" i="1"/>
  <c r="H8190" i="1"/>
  <c r="I8190" i="1" s="1"/>
  <c r="A8190" i="1"/>
  <c r="H8189" i="1"/>
  <c r="A8189" i="1"/>
  <c r="I8189" i="1" s="1"/>
  <c r="H8188" i="1"/>
  <c r="A8188" i="1"/>
  <c r="I8188" i="1" s="1"/>
  <c r="I8187" i="1"/>
  <c r="H8187" i="1"/>
  <c r="A8187" i="1"/>
  <c r="I8186" i="1"/>
  <c r="H8186" i="1"/>
  <c r="A8186" i="1"/>
  <c r="H8185" i="1"/>
  <c r="A8185" i="1"/>
  <c r="I8185" i="1" s="1"/>
  <c r="H8184" i="1"/>
  <c r="A8184" i="1"/>
  <c r="I8184" i="1" s="1"/>
  <c r="I8183" i="1"/>
  <c r="H8183" i="1"/>
  <c r="A8183" i="1"/>
  <c r="H8182" i="1"/>
  <c r="I8182" i="1" s="1"/>
  <c r="A8182" i="1"/>
  <c r="H8181" i="1"/>
  <c r="A8181" i="1"/>
  <c r="I8181" i="1" s="1"/>
  <c r="H8180" i="1"/>
  <c r="A8180" i="1"/>
  <c r="I8180" i="1" s="1"/>
  <c r="I8179" i="1"/>
  <c r="H8179" i="1"/>
  <c r="A8179" i="1"/>
  <c r="I8178" i="1"/>
  <c r="H8178" i="1"/>
  <c r="A8178" i="1"/>
  <c r="H8177" i="1"/>
  <c r="A8177" i="1"/>
  <c r="I8177" i="1" s="1"/>
  <c r="H8176" i="1"/>
  <c r="A8176" i="1"/>
  <c r="I8176" i="1" s="1"/>
  <c r="I8175" i="1"/>
  <c r="H8175" i="1"/>
  <c r="A8175" i="1"/>
  <c r="H8174" i="1"/>
  <c r="I8174" i="1" s="1"/>
  <c r="A8174" i="1"/>
  <c r="H8173" i="1"/>
  <c r="A8173" i="1"/>
  <c r="I8173" i="1" s="1"/>
  <c r="H8172" i="1"/>
  <c r="A8172" i="1"/>
  <c r="I8172" i="1" s="1"/>
  <c r="I8171" i="1"/>
  <c r="H8171" i="1"/>
  <c r="A8171" i="1"/>
  <c r="I8170" i="1"/>
  <c r="H8170" i="1"/>
  <c r="A8170" i="1"/>
  <c r="H8169" i="1"/>
  <c r="A8169" i="1"/>
  <c r="I8169" i="1" s="1"/>
  <c r="H8168" i="1"/>
  <c r="A8168" i="1"/>
  <c r="I8168" i="1" s="1"/>
  <c r="I8167" i="1"/>
  <c r="H8167" i="1"/>
  <c r="A8167" i="1"/>
  <c r="H8166" i="1"/>
  <c r="I8166" i="1" s="1"/>
  <c r="A8166" i="1"/>
  <c r="H8165" i="1"/>
  <c r="A8165" i="1"/>
  <c r="I8165" i="1" s="1"/>
  <c r="H8164" i="1"/>
  <c r="A8164" i="1"/>
  <c r="I8164" i="1" s="1"/>
  <c r="I8163" i="1"/>
  <c r="H8163" i="1"/>
  <c r="A8163" i="1"/>
  <c r="I8162" i="1"/>
  <c r="H8162" i="1"/>
  <c r="A8162" i="1"/>
  <c r="H8161" i="1"/>
  <c r="A8161" i="1"/>
  <c r="I8161" i="1" s="1"/>
  <c r="H8160" i="1"/>
  <c r="A8160" i="1"/>
  <c r="I8160" i="1" s="1"/>
  <c r="I8159" i="1"/>
  <c r="H8159" i="1"/>
  <c r="A8159" i="1"/>
  <c r="H8158" i="1"/>
  <c r="I8158" i="1" s="1"/>
  <c r="A8158" i="1"/>
  <c r="H8157" i="1"/>
  <c r="A8157" i="1"/>
  <c r="I8157" i="1" s="1"/>
  <c r="H8156" i="1"/>
  <c r="A8156" i="1"/>
  <c r="I8156" i="1" s="1"/>
  <c r="I8155" i="1"/>
  <c r="H8155" i="1"/>
  <c r="A8155" i="1"/>
  <c r="I8154" i="1"/>
  <c r="H8154" i="1"/>
  <c r="A8154" i="1"/>
  <c r="H8153" i="1"/>
  <c r="A8153" i="1"/>
  <c r="I8153" i="1" s="1"/>
  <c r="H8152" i="1"/>
  <c r="A8152" i="1"/>
  <c r="I8152" i="1" s="1"/>
  <c r="I8151" i="1"/>
  <c r="H8151" i="1"/>
  <c r="A8151" i="1"/>
  <c r="H8150" i="1"/>
  <c r="I8150" i="1" s="1"/>
  <c r="A8150" i="1"/>
  <c r="H8149" i="1"/>
  <c r="A8149" i="1"/>
  <c r="I8149" i="1" s="1"/>
  <c r="H8148" i="1"/>
  <c r="A8148" i="1"/>
  <c r="I8148" i="1" s="1"/>
  <c r="I8147" i="1"/>
  <c r="H8147" i="1"/>
  <c r="A8147" i="1"/>
  <c r="I8146" i="1"/>
  <c r="H8146" i="1"/>
  <c r="A8146" i="1"/>
  <c r="H8145" i="1"/>
  <c r="A8145" i="1"/>
  <c r="I8145" i="1" s="1"/>
  <c r="H8144" i="1"/>
  <c r="A8144" i="1"/>
  <c r="I8144" i="1" s="1"/>
  <c r="I8143" i="1"/>
  <c r="H8143" i="1"/>
  <c r="A8143" i="1"/>
  <c r="H8142" i="1"/>
  <c r="I8142" i="1" s="1"/>
  <c r="A8142" i="1"/>
  <c r="H8141" i="1"/>
  <c r="A8141" i="1"/>
  <c r="I8141" i="1" s="1"/>
  <c r="H8140" i="1"/>
  <c r="A8140" i="1"/>
  <c r="I8140" i="1" s="1"/>
  <c r="I8139" i="1"/>
  <c r="H8139" i="1"/>
  <c r="A8139" i="1"/>
  <c r="I8138" i="1"/>
  <c r="H8138" i="1"/>
  <c r="A8138" i="1"/>
  <c r="H8137" i="1"/>
  <c r="A8137" i="1"/>
  <c r="I8137" i="1" s="1"/>
  <c r="H8136" i="1"/>
  <c r="A8136" i="1"/>
  <c r="I8136" i="1" s="1"/>
  <c r="I8135" i="1"/>
  <c r="H8135" i="1"/>
  <c r="A8135" i="1"/>
  <c r="H8134" i="1"/>
  <c r="I8134" i="1" s="1"/>
  <c r="A8134" i="1"/>
  <c r="H8133" i="1"/>
  <c r="A8133" i="1"/>
  <c r="I8133" i="1" s="1"/>
  <c r="H8132" i="1"/>
  <c r="A8132" i="1"/>
  <c r="I8132" i="1" s="1"/>
  <c r="I8131" i="1"/>
  <c r="H8131" i="1"/>
  <c r="A8131" i="1"/>
  <c r="I8130" i="1"/>
  <c r="H8130" i="1"/>
  <c r="A8130" i="1"/>
  <c r="H8129" i="1"/>
  <c r="A8129" i="1"/>
  <c r="I8129" i="1" s="1"/>
  <c r="H8128" i="1"/>
  <c r="A8128" i="1"/>
  <c r="I8128" i="1" s="1"/>
  <c r="I8127" i="1"/>
  <c r="H8127" i="1"/>
  <c r="A8127" i="1"/>
  <c r="H8126" i="1"/>
  <c r="I8126" i="1" s="1"/>
  <c r="A8126" i="1"/>
  <c r="H8125" i="1"/>
  <c r="A8125" i="1"/>
  <c r="I8125" i="1" s="1"/>
  <c r="H8124" i="1"/>
  <c r="A8124" i="1"/>
  <c r="I8124" i="1" s="1"/>
  <c r="I8123" i="1"/>
  <c r="H8123" i="1"/>
  <c r="A8123" i="1"/>
  <c r="I8122" i="1"/>
  <c r="H8122" i="1"/>
  <c r="A8122" i="1"/>
  <c r="H8121" i="1"/>
  <c r="A8121" i="1"/>
  <c r="I8121" i="1" s="1"/>
  <c r="H8120" i="1"/>
  <c r="A8120" i="1"/>
  <c r="I8120" i="1" s="1"/>
  <c r="I8119" i="1"/>
  <c r="H8119" i="1"/>
  <c r="A8119" i="1"/>
  <c r="H8118" i="1"/>
  <c r="I8118" i="1" s="1"/>
  <c r="A8118" i="1"/>
  <c r="H8117" i="1"/>
  <c r="A8117" i="1"/>
  <c r="I8117" i="1" s="1"/>
  <c r="H8116" i="1"/>
  <c r="A8116" i="1"/>
  <c r="I8116" i="1" s="1"/>
  <c r="I8115" i="1"/>
  <c r="H8115" i="1"/>
  <c r="A8115" i="1"/>
  <c r="I8114" i="1"/>
  <c r="H8114" i="1"/>
  <c r="A8114" i="1"/>
  <c r="H8113" i="1"/>
  <c r="A8113" i="1"/>
  <c r="I8113" i="1" s="1"/>
  <c r="H8112" i="1"/>
  <c r="A8112" i="1"/>
  <c r="I8112" i="1" s="1"/>
  <c r="I8111" i="1"/>
  <c r="H8111" i="1"/>
  <c r="A8111" i="1"/>
  <c r="H8110" i="1"/>
  <c r="I8110" i="1" s="1"/>
  <c r="A8110" i="1"/>
  <c r="H8109" i="1"/>
  <c r="A8109" i="1"/>
  <c r="I8109" i="1" s="1"/>
  <c r="H8108" i="1"/>
  <c r="A8108" i="1"/>
  <c r="I8108" i="1" s="1"/>
  <c r="I8107" i="1"/>
  <c r="H8107" i="1"/>
  <c r="A8107" i="1"/>
  <c r="I8106" i="1"/>
  <c r="H8106" i="1"/>
  <c r="A8106" i="1"/>
  <c r="H8105" i="1"/>
  <c r="A8105" i="1"/>
  <c r="I8105" i="1" s="1"/>
  <c r="H8104" i="1"/>
  <c r="A8104" i="1"/>
  <c r="I8104" i="1" s="1"/>
  <c r="I8103" i="1"/>
  <c r="H8103" i="1"/>
  <c r="A8103" i="1"/>
  <c r="H8102" i="1"/>
  <c r="I8102" i="1" s="1"/>
  <c r="A8102" i="1"/>
  <c r="H8101" i="1"/>
  <c r="A8101" i="1"/>
  <c r="I8101" i="1" s="1"/>
  <c r="H8100" i="1"/>
  <c r="A8100" i="1"/>
  <c r="I8100" i="1" s="1"/>
  <c r="I8099" i="1"/>
  <c r="H8099" i="1"/>
  <c r="A8099" i="1"/>
  <c r="I8098" i="1"/>
  <c r="H8098" i="1"/>
  <c r="A8098" i="1"/>
  <c r="H8097" i="1"/>
  <c r="A8097" i="1"/>
  <c r="I8097" i="1" s="1"/>
  <c r="H8096" i="1"/>
  <c r="A8096" i="1"/>
  <c r="I8096" i="1" s="1"/>
  <c r="I8095" i="1"/>
  <c r="H8095" i="1"/>
  <c r="A8095" i="1"/>
  <c r="H8094" i="1"/>
  <c r="I8094" i="1" s="1"/>
  <c r="A8094" i="1"/>
  <c r="H8093" i="1"/>
  <c r="A8093" i="1"/>
  <c r="I8093" i="1" s="1"/>
  <c r="H8092" i="1"/>
  <c r="A8092" i="1"/>
  <c r="I8092" i="1" s="1"/>
  <c r="I8091" i="1"/>
  <c r="H8091" i="1"/>
  <c r="A8091" i="1"/>
  <c r="I8090" i="1"/>
  <c r="H8090" i="1"/>
  <c r="A8090" i="1"/>
  <c r="H8089" i="1"/>
  <c r="A8089" i="1"/>
  <c r="I8089" i="1" s="1"/>
  <c r="H8088" i="1"/>
  <c r="A8088" i="1"/>
  <c r="I8088" i="1" s="1"/>
  <c r="I8087" i="1"/>
  <c r="H8087" i="1"/>
  <c r="A8087" i="1"/>
  <c r="H8086" i="1"/>
  <c r="I8086" i="1" s="1"/>
  <c r="A8086" i="1"/>
  <c r="H8085" i="1"/>
  <c r="A8085" i="1"/>
  <c r="I8085" i="1" s="1"/>
  <c r="H8084" i="1"/>
  <c r="A8084" i="1"/>
  <c r="I8084" i="1" s="1"/>
  <c r="I8083" i="1"/>
  <c r="H8083" i="1"/>
  <c r="A8083" i="1"/>
  <c r="I8082" i="1"/>
  <c r="H8082" i="1"/>
  <c r="A8082" i="1"/>
  <c r="H8081" i="1"/>
  <c r="A8081" i="1"/>
  <c r="I8081" i="1" s="1"/>
  <c r="H8080" i="1"/>
  <c r="A8080" i="1"/>
  <c r="I8080" i="1" s="1"/>
  <c r="I8079" i="1"/>
  <c r="H8079" i="1"/>
  <c r="A8079" i="1"/>
  <c r="H8078" i="1"/>
  <c r="I8078" i="1" s="1"/>
  <c r="A8078" i="1"/>
  <c r="H8077" i="1"/>
  <c r="A8077" i="1"/>
  <c r="I8077" i="1" s="1"/>
  <c r="H8076" i="1"/>
  <c r="A8076" i="1"/>
  <c r="I8076" i="1" s="1"/>
  <c r="I8075" i="1"/>
  <c r="H8075" i="1"/>
  <c r="A8075" i="1"/>
  <c r="I8074" i="1"/>
  <c r="H8074" i="1"/>
  <c r="A8074" i="1"/>
  <c r="H8073" i="1"/>
  <c r="A8073" i="1"/>
  <c r="I8073" i="1" s="1"/>
  <c r="H8072" i="1"/>
  <c r="A8072" i="1"/>
  <c r="I8072" i="1" s="1"/>
  <c r="I8071" i="1"/>
  <c r="H8071" i="1"/>
  <c r="A8071" i="1"/>
  <c r="H8070" i="1"/>
  <c r="I8070" i="1" s="1"/>
  <c r="A8070" i="1"/>
  <c r="H8069" i="1"/>
  <c r="A8069" i="1"/>
  <c r="I8069" i="1" s="1"/>
  <c r="H8068" i="1"/>
  <c r="A8068" i="1"/>
  <c r="I8068" i="1" s="1"/>
  <c r="I8067" i="1"/>
  <c r="H8067" i="1"/>
  <c r="A8067" i="1"/>
  <c r="I8066" i="1"/>
  <c r="H8066" i="1"/>
  <c r="A8066" i="1"/>
  <c r="H8065" i="1"/>
  <c r="A8065" i="1"/>
  <c r="I8065" i="1" s="1"/>
  <c r="H8064" i="1"/>
  <c r="A8064" i="1"/>
  <c r="I8064" i="1" s="1"/>
  <c r="I8063" i="1"/>
  <c r="H8063" i="1"/>
  <c r="A8063" i="1"/>
  <c r="H8062" i="1"/>
  <c r="I8062" i="1" s="1"/>
  <c r="A8062" i="1"/>
  <c r="H8061" i="1"/>
  <c r="A8061" i="1"/>
  <c r="I8061" i="1" s="1"/>
  <c r="H8060" i="1"/>
  <c r="A8060" i="1"/>
  <c r="I8060" i="1" s="1"/>
  <c r="I8059" i="1"/>
  <c r="H8059" i="1"/>
  <c r="A8059" i="1"/>
  <c r="I8058" i="1"/>
  <c r="H8058" i="1"/>
  <c r="A8058" i="1"/>
  <c r="H8057" i="1"/>
  <c r="A8057" i="1"/>
  <c r="I8057" i="1" s="1"/>
  <c r="H8056" i="1"/>
  <c r="A8056" i="1"/>
  <c r="I8056" i="1" s="1"/>
  <c r="I8055" i="1"/>
  <c r="H8055" i="1"/>
  <c r="A8055" i="1"/>
  <c r="H8054" i="1"/>
  <c r="I8054" i="1" s="1"/>
  <c r="A8054" i="1"/>
  <c r="H8053" i="1"/>
  <c r="A8053" i="1"/>
  <c r="I8053" i="1" s="1"/>
  <c r="H8052" i="1"/>
  <c r="A8052" i="1"/>
  <c r="I8052" i="1" s="1"/>
  <c r="I8051" i="1"/>
  <c r="H8051" i="1"/>
  <c r="A8051" i="1"/>
  <c r="I8050" i="1"/>
  <c r="H8050" i="1"/>
  <c r="A8050" i="1"/>
  <c r="H8049" i="1"/>
  <c r="A8049" i="1"/>
  <c r="I8049" i="1" s="1"/>
  <c r="H8048" i="1"/>
  <c r="A8048" i="1"/>
  <c r="I8048" i="1" s="1"/>
  <c r="I8047" i="1"/>
  <c r="H8047" i="1"/>
  <c r="A8047" i="1"/>
  <c r="H8046" i="1"/>
  <c r="I8046" i="1" s="1"/>
  <c r="A8046" i="1"/>
  <c r="H8045" i="1"/>
  <c r="A8045" i="1"/>
  <c r="H8044" i="1"/>
  <c r="A8044" i="1"/>
  <c r="I8044" i="1" s="1"/>
  <c r="I8043" i="1"/>
  <c r="H8043" i="1"/>
  <c r="A8043" i="1"/>
  <c r="I8042" i="1"/>
  <c r="H8042" i="1"/>
  <c r="A8042" i="1"/>
  <c r="H8041" i="1"/>
  <c r="A8041" i="1"/>
  <c r="I8041" i="1" s="1"/>
  <c r="H8040" i="1"/>
  <c r="A8040" i="1"/>
  <c r="I8040" i="1" s="1"/>
  <c r="I8039" i="1"/>
  <c r="H8039" i="1"/>
  <c r="A8039" i="1"/>
  <c r="H8038" i="1"/>
  <c r="I8038" i="1" s="1"/>
  <c r="A8038" i="1"/>
  <c r="H8037" i="1"/>
  <c r="A8037" i="1"/>
  <c r="I8037" i="1" s="1"/>
  <c r="H8036" i="1"/>
  <c r="A8036" i="1"/>
  <c r="I8036" i="1" s="1"/>
  <c r="I8035" i="1"/>
  <c r="H8035" i="1"/>
  <c r="A8035" i="1"/>
  <c r="I8034" i="1"/>
  <c r="H8034" i="1"/>
  <c r="A8034" i="1"/>
  <c r="H8033" i="1"/>
  <c r="A8033" i="1"/>
  <c r="I8033" i="1" s="1"/>
  <c r="H8032" i="1"/>
  <c r="A8032" i="1"/>
  <c r="I8032" i="1" s="1"/>
  <c r="I8031" i="1"/>
  <c r="H8031" i="1"/>
  <c r="A8031" i="1"/>
  <c r="H8030" i="1"/>
  <c r="I8030" i="1" s="1"/>
  <c r="A8030" i="1"/>
  <c r="H8029" i="1"/>
  <c r="A8029" i="1"/>
  <c r="H8028" i="1"/>
  <c r="A8028" i="1"/>
  <c r="I8028" i="1" s="1"/>
  <c r="I8027" i="1"/>
  <c r="H8027" i="1"/>
  <c r="A8027" i="1"/>
  <c r="I8026" i="1"/>
  <c r="H8026" i="1"/>
  <c r="A8026" i="1"/>
  <c r="H8025" i="1"/>
  <c r="A8025" i="1"/>
  <c r="I8025" i="1" s="1"/>
  <c r="H8024" i="1"/>
  <c r="A8024" i="1"/>
  <c r="I8024" i="1" s="1"/>
  <c r="I8023" i="1"/>
  <c r="H8023" i="1"/>
  <c r="A8023" i="1"/>
  <c r="H8022" i="1"/>
  <c r="I8022" i="1" s="1"/>
  <c r="A8022" i="1"/>
  <c r="H8021" i="1"/>
  <c r="A8021" i="1"/>
  <c r="I8021" i="1" s="1"/>
  <c r="H8020" i="1"/>
  <c r="A8020" i="1"/>
  <c r="I8020" i="1" s="1"/>
  <c r="I8019" i="1"/>
  <c r="H8019" i="1"/>
  <c r="A8019" i="1"/>
  <c r="I8018" i="1"/>
  <c r="H8018" i="1"/>
  <c r="A8018" i="1"/>
  <c r="H8017" i="1"/>
  <c r="A8017" i="1"/>
  <c r="I8017" i="1" s="1"/>
  <c r="H8016" i="1"/>
  <c r="A8016" i="1"/>
  <c r="I8016" i="1" s="1"/>
  <c r="I8015" i="1"/>
  <c r="H8015" i="1"/>
  <c r="A8015" i="1"/>
  <c r="H8014" i="1"/>
  <c r="I8014" i="1" s="1"/>
  <c r="A8014" i="1"/>
  <c r="H8013" i="1"/>
  <c r="A8013" i="1"/>
  <c r="H8012" i="1"/>
  <c r="A8012" i="1"/>
  <c r="I8012" i="1" s="1"/>
  <c r="I8011" i="1"/>
  <c r="H8011" i="1"/>
  <c r="A8011" i="1"/>
  <c r="I8010" i="1"/>
  <c r="H8010" i="1"/>
  <c r="A8010" i="1"/>
  <c r="H8009" i="1"/>
  <c r="A8009" i="1"/>
  <c r="I8009" i="1" s="1"/>
  <c r="H8008" i="1"/>
  <c r="A8008" i="1"/>
  <c r="I8008" i="1" s="1"/>
  <c r="I8007" i="1"/>
  <c r="H8007" i="1"/>
  <c r="A8007" i="1"/>
  <c r="H8006" i="1"/>
  <c r="I8006" i="1" s="1"/>
  <c r="A8006" i="1"/>
  <c r="H8005" i="1"/>
  <c r="A8005" i="1"/>
  <c r="I8005" i="1" s="1"/>
  <c r="H8004" i="1"/>
  <c r="A8004" i="1"/>
  <c r="I8004" i="1" s="1"/>
  <c r="I8003" i="1"/>
  <c r="H8003" i="1"/>
  <c r="A8003" i="1"/>
  <c r="I8002" i="1"/>
  <c r="H8002" i="1"/>
  <c r="A8002" i="1"/>
  <c r="H8001" i="1"/>
  <c r="A8001" i="1"/>
  <c r="I8001" i="1" s="1"/>
  <c r="H8000" i="1"/>
  <c r="A8000" i="1"/>
  <c r="I8000" i="1" s="1"/>
  <c r="I7999" i="1"/>
  <c r="H7999" i="1"/>
  <c r="A7999" i="1"/>
  <c r="H7998" i="1"/>
  <c r="I7998" i="1" s="1"/>
  <c r="A7998" i="1"/>
  <c r="H7997" i="1"/>
  <c r="A7997" i="1"/>
  <c r="H7996" i="1"/>
  <c r="A7996" i="1"/>
  <c r="I7996" i="1" s="1"/>
  <c r="I7995" i="1"/>
  <c r="H7995" i="1"/>
  <c r="A7995" i="1"/>
  <c r="I7994" i="1"/>
  <c r="H7994" i="1"/>
  <c r="A7994" i="1"/>
  <c r="H7993" i="1"/>
  <c r="A7993" i="1"/>
  <c r="I7993" i="1" s="1"/>
  <c r="H7992" i="1"/>
  <c r="A7992" i="1"/>
  <c r="I7992" i="1" s="1"/>
  <c r="I7991" i="1"/>
  <c r="H7991" i="1"/>
  <c r="A7991" i="1"/>
  <c r="H7990" i="1"/>
  <c r="I7990" i="1" s="1"/>
  <c r="A7990" i="1"/>
  <c r="H7989" i="1"/>
  <c r="A7989" i="1"/>
  <c r="I7989" i="1" s="1"/>
  <c r="H7988" i="1"/>
  <c r="A7988" i="1"/>
  <c r="I7988" i="1" s="1"/>
  <c r="I7987" i="1"/>
  <c r="H7987" i="1"/>
  <c r="A7987" i="1"/>
  <c r="I7986" i="1"/>
  <c r="H7986" i="1"/>
  <c r="A7986" i="1"/>
  <c r="H7985" i="1"/>
  <c r="A7985" i="1"/>
  <c r="I7985" i="1" s="1"/>
  <c r="H7984" i="1"/>
  <c r="A7984" i="1"/>
  <c r="I7984" i="1" s="1"/>
  <c r="I7983" i="1"/>
  <c r="H7983" i="1"/>
  <c r="A7983" i="1"/>
  <c r="H7982" i="1"/>
  <c r="I7982" i="1" s="1"/>
  <c r="A7982" i="1"/>
  <c r="H7981" i="1"/>
  <c r="A7981" i="1"/>
  <c r="I7981" i="1" s="1"/>
  <c r="H7980" i="1"/>
  <c r="A7980" i="1"/>
  <c r="I7980" i="1" s="1"/>
  <c r="I7979" i="1"/>
  <c r="H7979" i="1"/>
  <c r="A7979" i="1"/>
  <c r="I7978" i="1"/>
  <c r="H7978" i="1"/>
  <c r="A7978" i="1"/>
  <c r="H7977" i="1"/>
  <c r="A7977" i="1"/>
  <c r="I7977" i="1" s="1"/>
  <c r="H7976" i="1"/>
  <c r="A7976" i="1"/>
  <c r="I7976" i="1" s="1"/>
  <c r="I7975" i="1"/>
  <c r="H7975" i="1"/>
  <c r="A7975" i="1"/>
  <c r="H7974" i="1"/>
  <c r="I7974" i="1" s="1"/>
  <c r="A7974" i="1"/>
  <c r="H7973" i="1"/>
  <c r="A7973" i="1"/>
  <c r="I7973" i="1" s="1"/>
  <c r="H7972" i="1"/>
  <c r="A7972" i="1"/>
  <c r="I7972" i="1" s="1"/>
  <c r="I7971" i="1"/>
  <c r="H7971" i="1"/>
  <c r="A7971" i="1"/>
  <c r="I7970" i="1"/>
  <c r="H7970" i="1"/>
  <c r="A7970" i="1"/>
  <c r="H7969" i="1"/>
  <c r="A7969" i="1"/>
  <c r="I7969" i="1" s="1"/>
  <c r="H7968" i="1"/>
  <c r="A7968" i="1"/>
  <c r="I7968" i="1" s="1"/>
  <c r="I7967" i="1"/>
  <c r="H7967" i="1"/>
  <c r="A7967" i="1"/>
  <c r="H7966" i="1"/>
  <c r="I7966" i="1" s="1"/>
  <c r="A7966" i="1"/>
  <c r="H7965" i="1"/>
  <c r="A7965" i="1"/>
  <c r="H7964" i="1"/>
  <c r="A7964" i="1"/>
  <c r="I7964" i="1" s="1"/>
  <c r="I7963" i="1"/>
  <c r="H7963" i="1"/>
  <c r="A7963" i="1"/>
  <c r="I7962" i="1"/>
  <c r="H7962" i="1"/>
  <c r="A7962" i="1"/>
  <c r="H7961" i="1"/>
  <c r="A7961" i="1"/>
  <c r="I7961" i="1" s="1"/>
  <c r="H7960" i="1"/>
  <c r="A7960" i="1"/>
  <c r="I7960" i="1" s="1"/>
  <c r="I7959" i="1"/>
  <c r="H7959" i="1"/>
  <c r="A7959" i="1"/>
  <c r="H7958" i="1"/>
  <c r="I7958" i="1" s="1"/>
  <c r="A7958" i="1"/>
  <c r="H7957" i="1"/>
  <c r="A7957" i="1"/>
  <c r="I7957" i="1" s="1"/>
  <c r="H7956" i="1"/>
  <c r="A7956" i="1"/>
  <c r="I7956" i="1" s="1"/>
  <c r="I7955" i="1"/>
  <c r="H7955" i="1"/>
  <c r="A7955" i="1"/>
  <c r="I7954" i="1"/>
  <c r="H7954" i="1"/>
  <c r="A7954" i="1"/>
  <c r="H7953" i="1"/>
  <c r="A7953" i="1"/>
  <c r="I7953" i="1" s="1"/>
  <c r="H7952" i="1"/>
  <c r="A7952" i="1"/>
  <c r="I7952" i="1" s="1"/>
  <c r="I7951" i="1"/>
  <c r="H7951" i="1"/>
  <c r="A7951" i="1"/>
  <c r="H7950" i="1"/>
  <c r="I7950" i="1" s="1"/>
  <c r="A7950" i="1"/>
  <c r="H7949" i="1"/>
  <c r="A7949" i="1"/>
  <c r="H7948" i="1"/>
  <c r="A7948" i="1"/>
  <c r="I7948" i="1" s="1"/>
  <c r="I7947" i="1"/>
  <c r="H7947" i="1"/>
  <c r="A7947" i="1"/>
  <c r="I7946" i="1"/>
  <c r="H7946" i="1"/>
  <c r="A7946" i="1"/>
  <c r="H7945" i="1"/>
  <c r="A7945" i="1"/>
  <c r="I7945" i="1" s="1"/>
  <c r="H7944" i="1"/>
  <c r="A7944" i="1"/>
  <c r="I7944" i="1" s="1"/>
  <c r="I7943" i="1"/>
  <c r="H7943" i="1"/>
  <c r="A7943" i="1"/>
  <c r="H7942" i="1"/>
  <c r="I7942" i="1" s="1"/>
  <c r="A7942" i="1"/>
  <c r="H7941" i="1"/>
  <c r="A7941" i="1"/>
  <c r="H7940" i="1"/>
  <c r="A7940" i="1"/>
  <c r="I7940" i="1" s="1"/>
  <c r="I7939" i="1"/>
  <c r="H7939" i="1"/>
  <c r="A7939" i="1"/>
  <c r="I7938" i="1"/>
  <c r="H7938" i="1"/>
  <c r="A7938" i="1"/>
  <c r="H7937" i="1"/>
  <c r="A7937" i="1"/>
  <c r="I7937" i="1" s="1"/>
  <c r="H7936" i="1"/>
  <c r="A7936" i="1"/>
  <c r="I7936" i="1" s="1"/>
  <c r="I7935" i="1"/>
  <c r="H7935" i="1"/>
  <c r="A7935" i="1"/>
  <c r="H7934" i="1"/>
  <c r="I7934" i="1" s="1"/>
  <c r="A7934" i="1"/>
  <c r="H7933" i="1"/>
  <c r="A7933" i="1"/>
  <c r="H7932" i="1"/>
  <c r="A7932" i="1"/>
  <c r="I7932" i="1" s="1"/>
  <c r="I7931" i="1"/>
  <c r="H7931" i="1"/>
  <c r="A7931" i="1"/>
  <c r="I7930" i="1"/>
  <c r="H7930" i="1"/>
  <c r="A7930" i="1"/>
  <c r="H7929" i="1"/>
  <c r="A7929" i="1"/>
  <c r="I7929" i="1" s="1"/>
  <c r="H7928" i="1"/>
  <c r="A7928" i="1"/>
  <c r="I7928" i="1" s="1"/>
  <c r="I7927" i="1"/>
  <c r="H7927" i="1"/>
  <c r="A7927" i="1"/>
  <c r="H7926" i="1"/>
  <c r="I7926" i="1" s="1"/>
  <c r="A7926" i="1"/>
  <c r="H7925" i="1"/>
  <c r="A7925" i="1"/>
  <c r="I7925" i="1" s="1"/>
  <c r="H7924" i="1"/>
  <c r="A7924" i="1"/>
  <c r="I7924" i="1" s="1"/>
  <c r="I7923" i="1"/>
  <c r="H7923" i="1"/>
  <c r="A7923" i="1"/>
  <c r="I7922" i="1"/>
  <c r="H7922" i="1"/>
  <c r="A7922" i="1"/>
  <c r="H7921" i="1"/>
  <c r="A7921" i="1"/>
  <c r="I7921" i="1" s="1"/>
  <c r="H7920" i="1"/>
  <c r="A7920" i="1"/>
  <c r="I7920" i="1" s="1"/>
  <c r="I7919" i="1"/>
  <c r="H7919" i="1"/>
  <c r="A7919" i="1"/>
  <c r="H7918" i="1"/>
  <c r="I7918" i="1" s="1"/>
  <c r="A7918" i="1"/>
  <c r="H7917" i="1"/>
  <c r="A7917" i="1"/>
  <c r="I7917" i="1" s="1"/>
  <c r="H7916" i="1"/>
  <c r="A7916" i="1"/>
  <c r="I7916" i="1" s="1"/>
  <c r="I7915" i="1"/>
  <c r="H7915" i="1"/>
  <c r="A7915" i="1"/>
  <c r="I7914" i="1"/>
  <c r="H7914" i="1"/>
  <c r="A7914" i="1"/>
  <c r="H7913" i="1"/>
  <c r="A7913" i="1"/>
  <c r="I7913" i="1" s="1"/>
  <c r="H7912" i="1"/>
  <c r="A7912" i="1"/>
  <c r="I7912" i="1" s="1"/>
  <c r="I7911" i="1"/>
  <c r="H7911" i="1"/>
  <c r="A7911" i="1"/>
  <c r="H7910" i="1"/>
  <c r="I7910" i="1" s="1"/>
  <c r="A7910" i="1"/>
  <c r="H7909" i="1"/>
  <c r="A7909" i="1"/>
  <c r="I7909" i="1" s="1"/>
  <c r="H7908" i="1"/>
  <c r="A7908" i="1"/>
  <c r="I7908" i="1" s="1"/>
  <c r="I7907" i="1"/>
  <c r="H7907" i="1"/>
  <c r="A7907" i="1"/>
  <c r="I7906" i="1"/>
  <c r="H7906" i="1"/>
  <c r="A7906" i="1"/>
  <c r="H7905" i="1"/>
  <c r="A7905" i="1"/>
  <c r="I7905" i="1" s="1"/>
  <c r="H7904" i="1"/>
  <c r="A7904" i="1"/>
  <c r="I7904" i="1" s="1"/>
  <c r="I7903" i="1"/>
  <c r="H7903" i="1"/>
  <c r="A7903" i="1"/>
  <c r="H7902" i="1"/>
  <c r="I7902" i="1" s="1"/>
  <c r="A7902" i="1"/>
  <c r="H7901" i="1"/>
  <c r="A7901" i="1"/>
  <c r="I7901" i="1" s="1"/>
  <c r="H7900" i="1"/>
  <c r="A7900" i="1"/>
  <c r="I7900" i="1" s="1"/>
  <c r="I7899" i="1"/>
  <c r="H7899" i="1"/>
  <c r="A7899" i="1"/>
  <c r="I7898" i="1"/>
  <c r="H7898" i="1"/>
  <c r="A7898" i="1"/>
  <c r="H7897" i="1"/>
  <c r="A7897" i="1"/>
  <c r="I7897" i="1" s="1"/>
  <c r="H7896" i="1"/>
  <c r="A7896" i="1"/>
  <c r="I7896" i="1" s="1"/>
  <c r="I7895" i="1"/>
  <c r="H7895" i="1"/>
  <c r="A7895" i="1"/>
  <c r="H7894" i="1"/>
  <c r="I7894" i="1" s="1"/>
  <c r="A7894" i="1"/>
  <c r="H7893" i="1"/>
  <c r="A7893" i="1"/>
  <c r="I7893" i="1" s="1"/>
  <c r="H7892" i="1"/>
  <c r="A7892" i="1"/>
  <c r="I7892" i="1" s="1"/>
  <c r="I7891" i="1"/>
  <c r="H7891" i="1"/>
  <c r="A7891" i="1"/>
  <c r="I7890" i="1"/>
  <c r="H7890" i="1"/>
  <c r="A7890" i="1"/>
  <c r="H7889" i="1"/>
  <c r="A7889" i="1"/>
  <c r="I7889" i="1" s="1"/>
  <c r="H7888" i="1"/>
  <c r="A7888" i="1"/>
  <c r="I7888" i="1" s="1"/>
  <c r="I7887" i="1"/>
  <c r="H7887" i="1"/>
  <c r="A7887" i="1"/>
  <c r="H7886" i="1"/>
  <c r="I7886" i="1" s="1"/>
  <c r="A7886" i="1"/>
  <c r="H7885" i="1"/>
  <c r="A7885" i="1"/>
  <c r="H7884" i="1"/>
  <c r="A7884" i="1"/>
  <c r="I7884" i="1" s="1"/>
  <c r="I7883" i="1"/>
  <c r="H7883" i="1"/>
  <c r="A7883" i="1"/>
  <c r="I7882" i="1"/>
  <c r="H7882" i="1"/>
  <c r="A7882" i="1"/>
  <c r="H7881" i="1"/>
  <c r="A7881" i="1"/>
  <c r="I7881" i="1" s="1"/>
  <c r="H7880" i="1"/>
  <c r="A7880" i="1"/>
  <c r="I7880" i="1" s="1"/>
  <c r="I7879" i="1"/>
  <c r="H7879" i="1"/>
  <c r="A7879" i="1"/>
  <c r="H7878" i="1"/>
  <c r="I7878" i="1" s="1"/>
  <c r="A7878" i="1"/>
  <c r="H7877" i="1"/>
  <c r="A7877" i="1"/>
  <c r="H7876" i="1"/>
  <c r="A7876" i="1"/>
  <c r="I7876" i="1" s="1"/>
  <c r="I7875" i="1"/>
  <c r="H7875" i="1"/>
  <c r="A7875" i="1"/>
  <c r="I7874" i="1"/>
  <c r="H7874" i="1"/>
  <c r="A7874" i="1"/>
  <c r="H7873" i="1"/>
  <c r="A7873" i="1"/>
  <c r="I7873" i="1" s="1"/>
  <c r="H7872" i="1"/>
  <c r="A7872" i="1"/>
  <c r="I7872" i="1" s="1"/>
  <c r="I7871" i="1"/>
  <c r="H7871" i="1"/>
  <c r="A7871" i="1"/>
  <c r="H7870" i="1"/>
  <c r="I7870" i="1" s="1"/>
  <c r="A7870" i="1"/>
  <c r="H7869" i="1"/>
  <c r="A7869" i="1"/>
  <c r="H7868" i="1"/>
  <c r="A7868" i="1"/>
  <c r="I7868" i="1" s="1"/>
  <c r="I7867" i="1"/>
  <c r="H7867" i="1"/>
  <c r="A7867" i="1"/>
  <c r="I7866" i="1"/>
  <c r="H7866" i="1"/>
  <c r="A7866" i="1"/>
  <c r="H7865" i="1"/>
  <c r="A7865" i="1"/>
  <c r="I7865" i="1" s="1"/>
  <c r="H7864" i="1"/>
  <c r="A7864" i="1"/>
  <c r="I7864" i="1" s="1"/>
  <c r="I7863" i="1"/>
  <c r="H7863" i="1"/>
  <c r="A7863" i="1"/>
  <c r="H7862" i="1"/>
  <c r="I7862" i="1" s="1"/>
  <c r="A7862" i="1"/>
  <c r="H7861" i="1"/>
  <c r="A7861" i="1"/>
  <c r="H7860" i="1"/>
  <c r="A7860" i="1"/>
  <c r="I7860" i="1" s="1"/>
  <c r="I7859" i="1"/>
  <c r="H7859" i="1"/>
  <c r="A7859" i="1"/>
  <c r="I7858" i="1"/>
  <c r="H7858" i="1"/>
  <c r="A7858" i="1"/>
  <c r="H7857" i="1"/>
  <c r="A7857" i="1"/>
  <c r="I7857" i="1" s="1"/>
  <c r="H7856" i="1"/>
  <c r="A7856" i="1"/>
  <c r="I7856" i="1" s="1"/>
  <c r="I7855" i="1"/>
  <c r="H7855" i="1"/>
  <c r="A7855" i="1"/>
  <c r="H7854" i="1"/>
  <c r="I7854" i="1" s="1"/>
  <c r="A7854" i="1"/>
  <c r="H7853" i="1"/>
  <c r="A7853" i="1"/>
  <c r="I7853" i="1" s="1"/>
  <c r="H7852" i="1"/>
  <c r="A7852" i="1"/>
  <c r="I7852" i="1" s="1"/>
  <c r="I7851" i="1"/>
  <c r="H7851" i="1"/>
  <c r="A7851" i="1"/>
  <c r="I7850" i="1"/>
  <c r="H7850" i="1"/>
  <c r="A7850" i="1"/>
  <c r="H7849" i="1"/>
  <c r="A7849" i="1"/>
  <c r="I7849" i="1" s="1"/>
  <c r="H7848" i="1"/>
  <c r="A7848" i="1"/>
  <c r="I7848" i="1" s="1"/>
  <c r="I7847" i="1"/>
  <c r="H7847" i="1"/>
  <c r="A7847" i="1"/>
  <c r="H7846" i="1"/>
  <c r="I7846" i="1" s="1"/>
  <c r="A7846" i="1"/>
  <c r="H7845" i="1"/>
  <c r="A7845" i="1"/>
  <c r="I7845" i="1" s="1"/>
  <c r="H7844" i="1"/>
  <c r="A7844" i="1"/>
  <c r="I7844" i="1" s="1"/>
  <c r="I7843" i="1"/>
  <c r="H7843" i="1"/>
  <c r="A7843" i="1"/>
  <c r="I7842" i="1"/>
  <c r="H7842" i="1"/>
  <c r="A7842" i="1"/>
  <c r="H7841" i="1"/>
  <c r="A7841" i="1"/>
  <c r="I7841" i="1" s="1"/>
  <c r="H7840" i="1"/>
  <c r="A7840" i="1"/>
  <c r="I7840" i="1" s="1"/>
  <c r="I7839" i="1"/>
  <c r="H7839" i="1"/>
  <c r="A7839" i="1"/>
  <c r="H7838" i="1"/>
  <c r="I7838" i="1" s="1"/>
  <c r="A7838" i="1"/>
  <c r="H7837" i="1"/>
  <c r="A7837" i="1"/>
  <c r="I7837" i="1" s="1"/>
  <c r="H7836" i="1"/>
  <c r="A7836" i="1"/>
  <c r="I7836" i="1" s="1"/>
  <c r="I7835" i="1"/>
  <c r="H7835" i="1"/>
  <c r="A7835" i="1"/>
  <c r="I7834" i="1"/>
  <c r="H7834" i="1"/>
  <c r="A7834" i="1"/>
  <c r="H7833" i="1"/>
  <c r="A7833" i="1"/>
  <c r="I7833" i="1" s="1"/>
  <c r="H7832" i="1"/>
  <c r="A7832" i="1"/>
  <c r="I7832" i="1" s="1"/>
  <c r="I7831" i="1"/>
  <c r="H7831" i="1"/>
  <c r="A7831" i="1"/>
  <c r="H7830" i="1"/>
  <c r="I7830" i="1" s="1"/>
  <c r="A7830" i="1"/>
  <c r="H7829" i="1"/>
  <c r="A7829" i="1"/>
  <c r="I7829" i="1" s="1"/>
  <c r="H7828" i="1"/>
  <c r="A7828" i="1"/>
  <c r="I7828" i="1" s="1"/>
  <c r="I7827" i="1"/>
  <c r="H7827" i="1"/>
  <c r="A7827" i="1"/>
  <c r="I7826" i="1"/>
  <c r="H7826" i="1"/>
  <c r="A7826" i="1"/>
  <c r="H7825" i="1"/>
  <c r="A7825" i="1"/>
  <c r="I7825" i="1" s="1"/>
  <c r="H7824" i="1"/>
  <c r="A7824" i="1"/>
  <c r="I7824" i="1" s="1"/>
  <c r="I7823" i="1"/>
  <c r="H7823" i="1"/>
  <c r="A7823" i="1"/>
  <c r="H7822" i="1"/>
  <c r="I7822" i="1" s="1"/>
  <c r="A7822" i="1"/>
  <c r="H7821" i="1"/>
  <c r="A7821" i="1"/>
  <c r="H7820" i="1"/>
  <c r="A7820" i="1"/>
  <c r="I7820" i="1" s="1"/>
  <c r="I7819" i="1"/>
  <c r="H7819" i="1"/>
  <c r="A7819" i="1"/>
  <c r="I7818" i="1"/>
  <c r="H7818" i="1"/>
  <c r="A7818" i="1"/>
  <c r="H7817" i="1"/>
  <c r="A7817" i="1"/>
  <c r="I7817" i="1" s="1"/>
  <c r="H7816" i="1"/>
  <c r="A7816" i="1"/>
  <c r="I7816" i="1" s="1"/>
  <c r="I7815" i="1"/>
  <c r="H7815" i="1"/>
  <c r="A7815" i="1"/>
  <c r="H7814" i="1"/>
  <c r="I7814" i="1" s="1"/>
  <c r="A7814" i="1"/>
  <c r="H7813" i="1"/>
  <c r="A7813" i="1"/>
  <c r="H7812" i="1"/>
  <c r="A7812" i="1"/>
  <c r="I7812" i="1" s="1"/>
  <c r="I7811" i="1"/>
  <c r="H7811" i="1"/>
  <c r="A7811" i="1"/>
  <c r="I7810" i="1"/>
  <c r="H7810" i="1"/>
  <c r="A7810" i="1"/>
  <c r="H7809" i="1"/>
  <c r="A7809" i="1"/>
  <c r="I7809" i="1" s="1"/>
  <c r="H7808" i="1"/>
  <c r="A7808" i="1"/>
  <c r="I7808" i="1" s="1"/>
  <c r="I7807" i="1"/>
  <c r="H7807" i="1"/>
  <c r="A7807" i="1"/>
  <c r="H7806" i="1"/>
  <c r="I7806" i="1" s="1"/>
  <c r="A7806" i="1"/>
  <c r="H7805" i="1"/>
  <c r="A7805" i="1"/>
  <c r="H7804" i="1"/>
  <c r="A7804" i="1"/>
  <c r="I7804" i="1" s="1"/>
  <c r="I7803" i="1"/>
  <c r="H7803" i="1"/>
  <c r="A7803" i="1"/>
  <c r="I7802" i="1"/>
  <c r="H7802" i="1"/>
  <c r="A7802" i="1"/>
  <c r="H7801" i="1"/>
  <c r="A7801" i="1"/>
  <c r="I7801" i="1" s="1"/>
  <c r="H7800" i="1"/>
  <c r="A7800" i="1"/>
  <c r="I7800" i="1" s="1"/>
  <c r="I7799" i="1"/>
  <c r="H7799" i="1"/>
  <c r="A7799" i="1"/>
  <c r="H7798" i="1"/>
  <c r="I7798" i="1" s="1"/>
  <c r="A7798" i="1"/>
  <c r="H7797" i="1"/>
  <c r="A7797" i="1"/>
  <c r="H7796" i="1"/>
  <c r="A7796" i="1"/>
  <c r="I7796" i="1" s="1"/>
  <c r="I7795" i="1"/>
  <c r="H7795" i="1"/>
  <c r="A7795" i="1"/>
  <c r="I7794" i="1"/>
  <c r="H7794" i="1"/>
  <c r="A7794" i="1"/>
  <c r="H7793" i="1"/>
  <c r="A7793" i="1"/>
  <c r="I7793" i="1" s="1"/>
  <c r="H7792" i="1"/>
  <c r="A7792" i="1"/>
  <c r="I7792" i="1" s="1"/>
  <c r="I7791" i="1"/>
  <c r="H7791" i="1"/>
  <c r="A7791" i="1"/>
  <c r="H7790" i="1"/>
  <c r="I7790" i="1" s="1"/>
  <c r="A7790" i="1"/>
  <c r="H7789" i="1"/>
  <c r="A7789" i="1"/>
  <c r="I7789" i="1" s="1"/>
  <c r="H7788" i="1"/>
  <c r="A7788" i="1"/>
  <c r="I7788" i="1" s="1"/>
  <c r="I7787" i="1"/>
  <c r="H7787" i="1"/>
  <c r="A7787" i="1"/>
  <c r="I7786" i="1"/>
  <c r="H7786" i="1"/>
  <c r="A7786" i="1"/>
  <c r="H7785" i="1"/>
  <c r="A7785" i="1"/>
  <c r="I7785" i="1" s="1"/>
  <c r="H7784" i="1"/>
  <c r="A7784" i="1"/>
  <c r="I7784" i="1" s="1"/>
  <c r="I7783" i="1"/>
  <c r="H7783" i="1"/>
  <c r="A7783" i="1"/>
  <c r="H7782" i="1"/>
  <c r="I7782" i="1" s="1"/>
  <c r="A7782" i="1"/>
  <c r="H7781" i="1"/>
  <c r="A7781" i="1"/>
  <c r="I7781" i="1" s="1"/>
  <c r="H7780" i="1"/>
  <c r="A7780" i="1"/>
  <c r="I7780" i="1" s="1"/>
  <c r="I7779" i="1"/>
  <c r="H7779" i="1"/>
  <c r="A7779" i="1"/>
  <c r="I7778" i="1"/>
  <c r="H7778" i="1"/>
  <c r="A7778" i="1"/>
  <c r="H7777" i="1"/>
  <c r="A7777" i="1"/>
  <c r="I7777" i="1" s="1"/>
  <c r="H7776" i="1"/>
  <c r="A7776" i="1"/>
  <c r="I7776" i="1" s="1"/>
  <c r="I7775" i="1"/>
  <c r="H7775" i="1"/>
  <c r="A7775" i="1"/>
  <c r="H7774" i="1"/>
  <c r="I7774" i="1" s="1"/>
  <c r="A7774" i="1"/>
  <c r="H7773" i="1"/>
  <c r="A7773" i="1"/>
  <c r="I7773" i="1" s="1"/>
  <c r="H7772" i="1"/>
  <c r="A7772" i="1"/>
  <c r="I7772" i="1" s="1"/>
  <c r="I7771" i="1"/>
  <c r="H7771" i="1"/>
  <c r="A7771" i="1"/>
  <c r="I7770" i="1"/>
  <c r="H7770" i="1"/>
  <c r="A7770" i="1"/>
  <c r="H7769" i="1"/>
  <c r="A7769" i="1"/>
  <c r="I7769" i="1" s="1"/>
  <c r="H7768" i="1"/>
  <c r="A7768" i="1"/>
  <c r="I7768" i="1" s="1"/>
  <c r="I7767" i="1"/>
  <c r="H7767" i="1"/>
  <c r="A7767" i="1"/>
  <c r="H7766" i="1"/>
  <c r="I7766" i="1" s="1"/>
  <c r="A7766" i="1"/>
  <c r="H7765" i="1"/>
  <c r="A7765" i="1"/>
  <c r="I7765" i="1" s="1"/>
  <c r="H7764" i="1"/>
  <c r="A7764" i="1"/>
  <c r="I7764" i="1" s="1"/>
  <c r="I7763" i="1"/>
  <c r="H7763" i="1"/>
  <c r="A7763" i="1"/>
  <c r="I7762" i="1"/>
  <c r="H7762" i="1"/>
  <c r="A7762" i="1"/>
  <c r="H7761" i="1"/>
  <c r="A7761" i="1"/>
  <c r="I7761" i="1" s="1"/>
  <c r="H7760" i="1"/>
  <c r="A7760" i="1"/>
  <c r="I7760" i="1" s="1"/>
  <c r="I7759" i="1"/>
  <c r="H7759" i="1"/>
  <c r="A7759" i="1"/>
  <c r="H7758" i="1"/>
  <c r="I7758" i="1" s="1"/>
  <c r="A7758" i="1"/>
  <c r="H7757" i="1"/>
  <c r="A7757" i="1"/>
  <c r="I7757" i="1" s="1"/>
  <c r="H7756" i="1"/>
  <c r="A7756" i="1"/>
  <c r="I7756" i="1" s="1"/>
  <c r="I7755" i="1"/>
  <c r="H7755" i="1"/>
  <c r="A7755" i="1"/>
  <c r="I7754" i="1"/>
  <c r="H7754" i="1"/>
  <c r="A7754" i="1"/>
  <c r="H7753" i="1"/>
  <c r="A7753" i="1"/>
  <c r="I7753" i="1" s="1"/>
  <c r="H7752" i="1"/>
  <c r="A7752" i="1"/>
  <c r="I7752" i="1" s="1"/>
  <c r="I7751" i="1"/>
  <c r="H7751" i="1"/>
  <c r="A7751" i="1"/>
  <c r="H7750" i="1"/>
  <c r="I7750" i="1" s="1"/>
  <c r="A7750" i="1"/>
  <c r="H7749" i="1"/>
  <c r="A7749" i="1"/>
  <c r="H7748" i="1"/>
  <c r="A7748" i="1"/>
  <c r="I7748" i="1" s="1"/>
  <c r="I7747" i="1"/>
  <c r="H7747" i="1"/>
  <c r="A7747" i="1"/>
  <c r="I7746" i="1"/>
  <c r="H7746" i="1"/>
  <c r="A7746" i="1"/>
  <c r="H7745" i="1"/>
  <c r="A7745" i="1"/>
  <c r="I7745" i="1" s="1"/>
  <c r="H7744" i="1"/>
  <c r="A7744" i="1"/>
  <c r="I7744" i="1" s="1"/>
  <c r="I7743" i="1"/>
  <c r="H7743" i="1"/>
  <c r="A7743" i="1"/>
  <c r="H7742" i="1"/>
  <c r="I7742" i="1" s="1"/>
  <c r="A7742" i="1"/>
  <c r="H7741" i="1"/>
  <c r="A7741" i="1"/>
  <c r="H7740" i="1"/>
  <c r="A7740" i="1"/>
  <c r="I7740" i="1" s="1"/>
  <c r="I7739" i="1"/>
  <c r="H7739" i="1"/>
  <c r="A7739" i="1"/>
  <c r="I7738" i="1"/>
  <c r="H7738" i="1"/>
  <c r="A7738" i="1"/>
  <c r="H7737" i="1"/>
  <c r="A7737" i="1"/>
  <c r="I7737" i="1" s="1"/>
  <c r="H7736" i="1"/>
  <c r="A7736" i="1"/>
  <c r="I7736" i="1" s="1"/>
  <c r="I7735" i="1"/>
  <c r="H7735" i="1"/>
  <c r="A7735" i="1"/>
  <c r="H7734" i="1"/>
  <c r="I7734" i="1" s="1"/>
  <c r="A7734" i="1"/>
  <c r="H7733" i="1"/>
  <c r="A7733" i="1"/>
  <c r="H7732" i="1"/>
  <c r="A7732" i="1"/>
  <c r="I7732" i="1" s="1"/>
  <c r="I7731" i="1"/>
  <c r="H7731" i="1"/>
  <c r="A7731" i="1"/>
  <c r="I7730" i="1"/>
  <c r="H7730" i="1"/>
  <c r="A7730" i="1"/>
  <c r="H7729" i="1"/>
  <c r="A7729" i="1"/>
  <c r="I7729" i="1" s="1"/>
  <c r="H7728" i="1"/>
  <c r="A7728" i="1"/>
  <c r="I7728" i="1" s="1"/>
  <c r="I7727" i="1"/>
  <c r="H7727" i="1"/>
  <c r="A7727" i="1"/>
  <c r="H7726" i="1"/>
  <c r="I7726" i="1" s="1"/>
  <c r="A7726" i="1"/>
  <c r="H7725" i="1"/>
  <c r="A7725" i="1"/>
  <c r="I7725" i="1" s="1"/>
  <c r="H7724" i="1"/>
  <c r="A7724" i="1"/>
  <c r="I7724" i="1" s="1"/>
  <c r="I7723" i="1"/>
  <c r="H7723" i="1"/>
  <c r="A7723" i="1"/>
  <c r="I7722" i="1"/>
  <c r="H7722" i="1"/>
  <c r="A7722" i="1"/>
  <c r="H7721" i="1"/>
  <c r="A7721" i="1"/>
  <c r="I7721" i="1" s="1"/>
  <c r="H7720" i="1"/>
  <c r="A7720" i="1"/>
  <c r="I7720" i="1" s="1"/>
  <c r="I7719" i="1"/>
  <c r="H7719" i="1"/>
  <c r="A7719" i="1"/>
  <c r="H7718" i="1"/>
  <c r="I7718" i="1" s="1"/>
  <c r="A7718" i="1"/>
  <c r="H7717" i="1"/>
  <c r="A7717" i="1"/>
  <c r="H7716" i="1"/>
  <c r="A7716" i="1"/>
  <c r="I7716" i="1" s="1"/>
  <c r="I7715" i="1"/>
  <c r="H7715" i="1"/>
  <c r="A7715" i="1"/>
  <c r="I7714" i="1"/>
  <c r="H7714" i="1"/>
  <c r="A7714" i="1"/>
  <c r="H7713" i="1"/>
  <c r="A7713" i="1"/>
  <c r="I7713" i="1" s="1"/>
  <c r="H7712" i="1"/>
  <c r="A7712" i="1"/>
  <c r="I7712" i="1" s="1"/>
  <c r="I7711" i="1"/>
  <c r="H7711" i="1"/>
  <c r="A7711" i="1"/>
  <c r="H7710" i="1"/>
  <c r="I7710" i="1" s="1"/>
  <c r="A7710" i="1"/>
  <c r="H7709" i="1"/>
  <c r="A7709" i="1"/>
  <c r="I7709" i="1" s="1"/>
  <c r="H7708" i="1"/>
  <c r="A7708" i="1"/>
  <c r="I7708" i="1" s="1"/>
  <c r="I7707" i="1"/>
  <c r="H7707" i="1"/>
  <c r="A7707" i="1"/>
  <c r="I7706" i="1"/>
  <c r="H7706" i="1"/>
  <c r="A7706" i="1"/>
  <c r="H7705" i="1"/>
  <c r="A7705" i="1"/>
  <c r="I7705" i="1" s="1"/>
  <c r="H7704" i="1"/>
  <c r="A7704" i="1"/>
  <c r="I7704" i="1" s="1"/>
  <c r="I7703" i="1"/>
  <c r="H7703" i="1"/>
  <c r="A7703" i="1"/>
  <c r="H7702" i="1"/>
  <c r="I7702" i="1" s="1"/>
  <c r="A7702" i="1"/>
  <c r="H7701" i="1"/>
  <c r="A7701" i="1"/>
  <c r="I7701" i="1" s="1"/>
  <c r="H7700" i="1"/>
  <c r="A7700" i="1"/>
  <c r="I7700" i="1" s="1"/>
  <c r="I7699" i="1"/>
  <c r="H7699" i="1"/>
  <c r="A7699" i="1"/>
  <c r="I7698" i="1"/>
  <c r="H7698" i="1"/>
  <c r="A7698" i="1"/>
  <c r="H7697" i="1"/>
  <c r="A7697" i="1"/>
  <c r="I7697" i="1" s="1"/>
  <c r="H7696" i="1"/>
  <c r="A7696" i="1"/>
  <c r="I7696" i="1" s="1"/>
  <c r="I7695" i="1"/>
  <c r="H7695" i="1"/>
  <c r="A7695" i="1"/>
  <c r="H7694" i="1"/>
  <c r="I7694" i="1" s="1"/>
  <c r="A7694" i="1"/>
  <c r="H7693" i="1"/>
  <c r="A7693" i="1"/>
  <c r="I7693" i="1" s="1"/>
  <c r="H7692" i="1"/>
  <c r="A7692" i="1"/>
  <c r="I7692" i="1" s="1"/>
  <c r="I7691" i="1"/>
  <c r="H7691" i="1"/>
  <c r="A7691" i="1"/>
  <c r="I7690" i="1"/>
  <c r="H7690" i="1"/>
  <c r="A7690" i="1"/>
  <c r="H7689" i="1"/>
  <c r="A7689" i="1"/>
  <c r="I7689" i="1" s="1"/>
  <c r="H7688" i="1"/>
  <c r="A7688" i="1"/>
  <c r="I7688" i="1" s="1"/>
  <c r="I7687" i="1"/>
  <c r="H7687" i="1"/>
  <c r="A7687" i="1"/>
  <c r="H7686" i="1"/>
  <c r="I7686" i="1" s="1"/>
  <c r="A7686" i="1"/>
  <c r="H7685" i="1"/>
  <c r="A7685" i="1"/>
  <c r="H7684" i="1"/>
  <c r="A7684" i="1"/>
  <c r="I7684" i="1" s="1"/>
  <c r="I7683" i="1"/>
  <c r="H7683" i="1"/>
  <c r="A7683" i="1"/>
  <c r="I7682" i="1"/>
  <c r="H7682" i="1"/>
  <c r="A7682" i="1"/>
  <c r="H7681" i="1"/>
  <c r="A7681" i="1"/>
  <c r="I7681" i="1" s="1"/>
  <c r="H7680" i="1"/>
  <c r="A7680" i="1"/>
  <c r="I7680" i="1" s="1"/>
  <c r="I7679" i="1"/>
  <c r="H7679" i="1"/>
  <c r="A7679" i="1"/>
  <c r="H7678" i="1"/>
  <c r="I7678" i="1" s="1"/>
  <c r="A7678" i="1"/>
  <c r="H7677" i="1"/>
  <c r="A7677" i="1"/>
  <c r="H7676" i="1"/>
  <c r="A7676" i="1"/>
  <c r="I7676" i="1" s="1"/>
  <c r="I7675" i="1"/>
  <c r="H7675" i="1"/>
  <c r="A7675" i="1"/>
  <c r="I7674" i="1"/>
  <c r="H7674" i="1"/>
  <c r="A7674" i="1"/>
  <c r="H7673" i="1"/>
  <c r="A7673" i="1"/>
  <c r="I7673" i="1" s="1"/>
  <c r="H7672" i="1"/>
  <c r="A7672" i="1"/>
  <c r="I7672" i="1" s="1"/>
  <c r="I7671" i="1"/>
  <c r="H7671" i="1"/>
  <c r="A7671" i="1"/>
  <c r="H7670" i="1"/>
  <c r="I7670" i="1" s="1"/>
  <c r="A7670" i="1"/>
  <c r="H7669" i="1"/>
  <c r="A7669" i="1"/>
  <c r="H7668" i="1"/>
  <c r="A7668" i="1"/>
  <c r="I7668" i="1" s="1"/>
  <c r="I7667" i="1"/>
  <c r="H7667" i="1"/>
  <c r="A7667" i="1"/>
  <c r="I7666" i="1"/>
  <c r="H7666" i="1"/>
  <c r="A7666" i="1"/>
  <c r="H7665" i="1"/>
  <c r="A7665" i="1"/>
  <c r="I7665" i="1" s="1"/>
  <c r="H7664" i="1"/>
  <c r="A7664" i="1"/>
  <c r="I7664" i="1" s="1"/>
  <c r="I7663" i="1"/>
  <c r="H7663" i="1"/>
  <c r="A7663" i="1"/>
  <c r="H7662" i="1"/>
  <c r="I7662" i="1" s="1"/>
  <c r="A7662" i="1"/>
  <c r="H7661" i="1"/>
  <c r="A7661" i="1"/>
  <c r="I7661" i="1" s="1"/>
  <c r="H7660" i="1"/>
  <c r="A7660" i="1"/>
  <c r="I7660" i="1" s="1"/>
  <c r="I7659" i="1"/>
  <c r="H7659" i="1"/>
  <c r="A7659" i="1"/>
  <c r="I7658" i="1"/>
  <c r="H7658" i="1"/>
  <c r="A7658" i="1"/>
  <c r="H7657" i="1"/>
  <c r="A7657" i="1"/>
  <c r="I7657" i="1" s="1"/>
  <c r="H7656" i="1"/>
  <c r="A7656" i="1"/>
  <c r="I7656" i="1" s="1"/>
  <c r="I7655" i="1"/>
  <c r="H7655" i="1"/>
  <c r="A7655" i="1"/>
  <c r="H7654" i="1"/>
  <c r="I7654" i="1" s="1"/>
  <c r="A7654" i="1"/>
  <c r="H7653" i="1"/>
  <c r="A7653" i="1"/>
  <c r="H7652" i="1"/>
  <c r="A7652" i="1"/>
  <c r="I7652" i="1" s="1"/>
  <c r="I7651" i="1"/>
  <c r="H7651" i="1"/>
  <c r="A7651" i="1"/>
  <c r="I7650" i="1"/>
  <c r="H7650" i="1"/>
  <c r="A7650" i="1"/>
  <c r="H7649" i="1"/>
  <c r="A7649" i="1"/>
  <c r="I7649" i="1" s="1"/>
  <c r="H7648" i="1"/>
  <c r="A7648" i="1"/>
  <c r="I7648" i="1" s="1"/>
  <c r="I7647" i="1"/>
  <c r="H7647" i="1"/>
  <c r="A7647" i="1"/>
  <c r="H7646" i="1"/>
  <c r="I7646" i="1" s="1"/>
  <c r="A7646" i="1"/>
  <c r="H7645" i="1"/>
  <c r="A7645" i="1"/>
  <c r="I7645" i="1" s="1"/>
  <c r="H7644" i="1"/>
  <c r="A7644" i="1"/>
  <c r="I7644" i="1" s="1"/>
  <c r="I7643" i="1"/>
  <c r="H7643" i="1"/>
  <c r="A7643" i="1"/>
  <c r="I7642" i="1"/>
  <c r="H7642" i="1"/>
  <c r="A7642" i="1"/>
  <c r="H7641" i="1"/>
  <c r="A7641" i="1"/>
  <c r="I7641" i="1" s="1"/>
  <c r="H7640" i="1"/>
  <c r="A7640" i="1"/>
  <c r="I7640" i="1" s="1"/>
  <c r="I7639" i="1"/>
  <c r="H7639" i="1"/>
  <c r="A7639" i="1"/>
  <c r="H7638" i="1"/>
  <c r="I7638" i="1" s="1"/>
  <c r="A7638" i="1"/>
  <c r="H7637" i="1"/>
  <c r="A7637" i="1"/>
  <c r="I7637" i="1" s="1"/>
  <c r="H7636" i="1"/>
  <c r="A7636" i="1"/>
  <c r="I7636" i="1" s="1"/>
  <c r="I7635" i="1"/>
  <c r="H7635" i="1"/>
  <c r="A7635" i="1"/>
  <c r="I7634" i="1"/>
  <c r="H7634" i="1"/>
  <c r="A7634" i="1"/>
  <c r="H7633" i="1"/>
  <c r="A7633" i="1"/>
  <c r="I7633" i="1" s="1"/>
  <c r="H7632" i="1"/>
  <c r="A7632" i="1"/>
  <c r="I7632" i="1" s="1"/>
  <c r="I7631" i="1"/>
  <c r="H7631" i="1"/>
  <c r="A7631" i="1"/>
  <c r="H7630" i="1"/>
  <c r="I7630" i="1" s="1"/>
  <c r="A7630" i="1"/>
  <c r="H7629" i="1"/>
  <c r="A7629" i="1"/>
  <c r="I7629" i="1" s="1"/>
  <c r="H7628" i="1"/>
  <c r="A7628" i="1"/>
  <c r="I7628" i="1" s="1"/>
  <c r="I7627" i="1"/>
  <c r="H7627" i="1"/>
  <c r="A7627" i="1"/>
  <c r="I7626" i="1"/>
  <c r="H7626" i="1"/>
  <c r="A7626" i="1"/>
  <c r="H7625" i="1"/>
  <c r="A7625" i="1"/>
  <c r="I7625" i="1" s="1"/>
  <c r="H7624" i="1"/>
  <c r="A7624" i="1"/>
  <c r="I7624" i="1" s="1"/>
  <c r="I7623" i="1"/>
  <c r="H7623" i="1"/>
  <c r="A7623" i="1"/>
  <c r="H7622" i="1"/>
  <c r="I7622" i="1" s="1"/>
  <c r="A7622" i="1"/>
  <c r="H7621" i="1"/>
  <c r="A7621" i="1"/>
  <c r="H7620" i="1"/>
  <c r="A7620" i="1"/>
  <c r="I7620" i="1" s="1"/>
  <c r="I7619" i="1"/>
  <c r="H7619" i="1"/>
  <c r="A7619" i="1"/>
  <c r="I7618" i="1"/>
  <c r="H7618" i="1"/>
  <c r="A7618" i="1"/>
  <c r="H7617" i="1"/>
  <c r="A7617" i="1"/>
  <c r="I7617" i="1" s="1"/>
  <c r="H7616" i="1"/>
  <c r="A7616" i="1"/>
  <c r="I7616" i="1" s="1"/>
  <c r="I7615" i="1"/>
  <c r="H7615" i="1"/>
  <c r="A7615" i="1"/>
  <c r="H7614" i="1"/>
  <c r="I7614" i="1" s="1"/>
  <c r="A7614" i="1"/>
  <c r="H7613" i="1"/>
  <c r="A7613" i="1"/>
  <c r="H7612" i="1"/>
  <c r="A7612" i="1"/>
  <c r="I7612" i="1" s="1"/>
  <c r="I7611" i="1"/>
  <c r="H7611" i="1"/>
  <c r="A7611" i="1"/>
  <c r="I7610" i="1"/>
  <c r="H7610" i="1"/>
  <c r="A7610" i="1"/>
  <c r="H7609" i="1"/>
  <c r="A7609" i="1"/>
  <c r="I7609" i="1" s="1"/>
  <c r="H7608" i="1"/>
  <c r="A7608" i="1"/>
  <c r="I7608" i="1" s="1"/>
  <c r="I7607" i="1"/>
  <c r="H7607" i="1"/>
  <c r="A7607" i="1"/>
  <c r="H7606" i="1"/>
  <c r="I7606" i="1" s="1"/>
  <c r="A7606" i="1"/>
  <c r="H7605" i="1"/>
  <c r="A7605" i="1"/>
  <c r="H7604" i="1"/>
  <c r="A7604" i="1"/>
  <c r="I7604" i="1" s="1"/>
  <c r="I7603" i="1"/>
  <c r="H7603" i="1"/>
  <c r="A7603" i="1"/>
  <c r="H7602" i="1"/>
  <c r="I7602" i="1" s="1"/>
  <c r="A7602" i="1"/>
  <c r="H7601" i="1"/>
  <c r="A7601" i="1"/>
  <c r="I7601" i="1" s="1"/>
  <c r="H7600" i="1"/>
  <c r="A7600" i="1"/>
  <c r="I7600" i="1" s="1"/>
  <c r="I7599" i="1"/>
  <c r="H7599" i="1"/>
  <c r="A7599" i="1"/>
  <c r="H7598" i="1"/>
  <c r="I7598" i="1" s="1"/>
  <c r="A7598" i="1"/>
  <c r="H7597" i="1"/>
  <c r="A7597" i="1"/>
  <c r="I7597" i="1" s="1"/>
  <c r="H7596" i="1"/>
  <c r="A7596" i="1"/>
  <c r="I7596" i="1" s="1"/>
  <c r="I7595" i="1"/>
  <c r="H7595" i="1"/>
  <c r="A7595" i="1"/>
  <c r="I7594" i="1"/>
  <c r="H7594" i="1"/>
  <c r="A7594" i="1"/>
  <c r="H7593" i="1"/>
  <c r="A7593" i="1"/>
  <c r="I7593" i="1" s="1"/>
  <c r="H7592" i="1"/>
  <c r="A7592" i="1"/>
  <c r="I7592" i="1" s="1"/>
  <c r="I7591" i="1"/>
  <c r="H7591" i="1"/>
  <c r="A7591" i="1"/>
  <c r="H7590" i="1"/>
  <c r="I7590" i="1" s="1"/>
  <c r="A7590" i="1"/>
  <c r="H7589" i="1"/>
  <c r="A7589" i="1"/>
  <c r="H7588" i="1"/>
  <c r="A7588" i="1"/>
  <c r="I7588" i="1" s="1"/>
  <c r="I7587" i="1"/>
  <c r="H7587" i="1"/>
  <c r="A7587" i="1"/>
  <c r="I7586" i="1"/>
  <c r="H7586" i="1"/>
  <c r="A7586" i="1"/>
  <c r="H7585" i="1"/>
  <c r="A7585" i="1"/>
  <c r="I7585" i="1" s="1"/>
  <c r="H7584" i="1"/>
  <c r="A7584" i="1"/>
  <c r="I7584" i="1" s="1"/>
  <c r="I7583" i="1"/>
  <c r="H7583" i="1"/>
  <c r="A7583" i="1"/>
  <c r="H7582" i="1"/>
  <c r="I7582" i="1" s="1"/>
  <c r="A7582" i="1"/>
  <c r="H7581" i="1"/>
  <c r="A7581" i="1"/>
  <c r="I7581" i="1" s="1"/>
  <c r="H7580" i="1"/>
  <c r="A7580" i="1"/>
  <c r="I7580" i="1" s="1"/>
  <c r="I7579" i="1"/>
  <c r="H7579" i="1"/>
  <c r="A7579" i="1"/>
  <c r="I7578" i="1"/>
  <c r="H7578" i="1"/>
  <c r="A7578" i="1"/>
  <c r="H7577" i="1"/>
  <c r="A7577" i="1"/>
  <c r="I7577" i="1" s="1"/>
  <c r="H7576" i="1"/>
  <c r="A7576" i="1"/>
  <c r="I7576" i="1" s="1"/>
  <c r="I7575" i="1"/>
  <c r="H7575" i="1"/>
  <c r="A7575" i="1"/>
  <c r="H7574" i="1"/>
  <c r="I7574" i="1" s="1"/>
  <c r="A7574" i="1"/>
  <c r="H7573" i="1"/>
  <c r="A7573" i="1"/>
  <c r="I7573" i="1" s="1"/>
  <c r="H7572" i="1"/>
  <c r="A7572" i="1"/>
  <c r="I7572" i="1" s="1"/>
  <c r="I7571" i="1"/>
  <c r="H7571" i="1"/>
  <c r="A7571" i="1"/>
  <c r="H7570" i="1"/>
  <c r="I7570" i="1" s="1"/>
  <c r="A7570" i="1"/>
  <c r="H7569" i="1"/>
  <c r="A7569" i="1"/>
  <c r="I7569" i="1" s="1"/>
  <c r="H7568" i="1"/>
  <c r="A7568" i="1"/>
  <c r="I7568" i="1" s="1"/>
  <c r="I7567" i="1"/>
  <c r="H7567" i="1"/>
  <c r="A7567" i="1"/>
  <c r="H7566" i="1"/>
  <c r="I7566" i="1" s="1"/>
  <c r="A7566" i="1"/>
  <c r="H7565" i="1"/>
  <c r="A7565" i="1"/>
  <c r="I7565" i="1" s="1"/>
  <c r="H7564" i="1"/>
  <c r="A7564" i="1"/>
  <c r="I7564" i="1" s="1"/>
  <c r="I7563" i="1"/>
  <c r="H7563" i="1"/>
  <c r="A7563" i="1"/>
  <c r="I7562" i="1"/>
  <c r="H7562" i="1"/>
  <c r="A7562" i="1"/>
  <c r="H7561" i="1"/>
  <c r="A7561" i="1"/>
  <c r="I7561" i="1" s="1"/>
  <c r="H7560" i="1"/>
  <c r="A7560" i="1"/>
  <c r="I7560" i="1" s="1"/>
  <c r="I7559" i="1"/>
  <c r="H7559" i="1"/>
  <c r="A7559" i="1"/>
  <c r="H7558" i="1"/>
  <c r="I7558" i="1" s="1"/>
  <c r="A7558" i="1"/>
  <c r="H7557" i="1"/>
  <c r="A7557" i="1"/>
  <c r="H7556" i="1"/>
  <c r="A7556" i="1"/>
  <c r="I7556" i="1" s="1"/>
  <c r="I7555" i="1"/>
  <c r="H7555" i="1"/>
  <c r="A7555" i="1"/>
  <c r="H7554" i="1"/>
  <c r="I7554" i="1" s="1"/>
  <c r="A7554" i="1"/>
  <c r="H7553" i="1"/>
  <c r="A7553" i="1"/>
  <c r="I7553" i="1" s="1"/>
  <c r="H7552" i="1"/>
  <c r="A7552" i="1"/>
  <c r="I7552" i="1" s="1"/>
  <c r="I7551" i="1"/>
  <c r="H7551" i="1"/>
  <c r="A7551" i="1"/>
  <c r="H7550" i="1"/>
  <c r="I7550" i="1" s="1"/>
  <c r="A7550" i="1"/>
  <c r="H7549" i="1"/>
  <c r="A7549" i="1"/>
  <c r="H7548" i="1"/>
  <c r="A7548" i="1"/>
  <c r="I7548" i="1" s="1"/>
  <c r="I7547" i="1"/>
  <c r="H7547" i="1"/>
  <c r="A7547" i="1"/>
  <c r="H7546" i="1"/>
  <c r="I7546" i="1" s="1"/>
  <c r="A7546" i="1"/>
  <c r="H7545" i="1"/>
  <c r="A7545" i="1"/>
  <c r="I7545" i="1" s="1"/>
  <c r="H7544" i="1"/>
  <c r="A7544" i="1"/>
  <c r="I7544" i="1" s="1"/>
  <c r="I7543" i="1"/>
  <c r="H7543" i="1"/>
  <c r="A7543" i="1"/>
  <c r="H7542" i="1"/>
  <c r="I7542" i="1" s="1"/>
  <c r="A7542" i="1"/>
  <c r="H7541" i="1"/>
  <c r="A7541" i="1"/>
  <c r="H7540" i="1"/>
  <c r="A7540" i="1"/>
  <c r="I7540" i="1" s="1"/>
  <c r="I7539" i="1"/>
  <c r="H7539" i="1"/>
  <c r="A7539" i="1"/>
  <c r="H7538" i="1"/>
  <c r="I7538" i="1" s="1"/>
  <c r="A7538" i="1"/>
  <c r="H7537" i="1"/>
  <c r="A7537" i="1"/>
  <c r="I7537" i="1" s="1"/>
  <c r="H7536" i="1"/>
  <c r="A7536" i="1"/>
  <c r="I7536" i="1" s="1"/>
  <c r="I7535" i="1"/>
  <c r="H7535" i="1"/>
  <c r="A7535" i="1"/>
  <c r="H7534" i="1"/>
  <c r="I7534" i="1" s="1"/>
  <c r="A7534" i="1"/>
  <c r="H7533" i="1"/>
  <c r="A7533" i="1"/>
  <c r="I7533" i="1" s="1"/>
  <c r="H7532" i="1"/>
  <c r="A7532" i="1"/>
  <c r="I7532" i="1" s="1"/>
  <c r="I7531" i="1"/>
  <c r="H7531" i="1"/>
  <c r="A7531" i="1"/>
  <c r="I7530" i="1"/>
  <c r="H7530" i="1"/>
  <c r="A7530" i="1"/>
  <c r="H7529" i="1"/>
  <c r="A7529" i="1"/>
  <c r="I7529" i="1" s="1"/>
  <c r="H7528" i="1"/>
  <c r="A7528" i="1"/>
  <c r="I7528" i="1" s="1"/>
  <c r="I7527" i="1"/>
  <c r="H7527" i="1"/>
  <c r="A7527" i="1"/>
  <c r="H7526" i="1"/>
  <c r="I7526" i="1" s="1"/>
  <c r="A7526" i="1"/>
  <c r="H7525" i="1"/>
  <c r="A7525" i="1"/>
  <c r="H7524" i="1"/>
  <c r="A7524" i="1"/>
  <c r="I7524" i="1" s="1"/>
  <c r="I7523" i="1"/>
  <c r="H7523" i="1"/>
  <c r="A7523" i="1"/>
  <c r="I7522" i="1"/>
  <c r="H7522" i="1"/>
  <c r="A7522" i="1"/>
  <c r="H7521" i="1"/>
  <c r="A7521" i="1"/>
  <c r="I7521" i="1" s="1"/>
  <c r="H7520" i="1"/>
  <c r="A7520" i="1"/>
  <c r="I7520" i="1" s="1"/>
  <c r="I7519" i="1"/>
  <c r="H7519" i="1"/>
  <c r="A7519" i="1"/>
  <c r="H7518" i="1"/>
  <c r="I7518" i="1" s="1"/>
  <c r="A7518" i="1"/>
  <c r="H7517" i="1"/>
  <c r="A7517" i="1"/>
  <c r="I7517" i="1" s="1"/>
  <c r="H7516" i="1"/>
  <c r="A7516" i="1"/>
  <c r="I7516" i="1" s="1"/>
  <c r="I7515" i="1"/>
  <c r="H7515" i="1"/>
  <c r="A7515" i="1"/>
  <c r="I7514" i="1"/>
  <c r="H7514" i="1"/>
  <c r="A7514" i="1"/>
  <c r="H7513" i="1"/>
  <c r="A7513" i="1"/>
  <c r="I7513" i="1" s="1"/>
  <c r="H7512" i="1"/>
  <c r="A7512" i="1"/>
  <c r="I7512" i="1" s="1"/>
  <c r="I7511" i="1"/>
  <c r="H7511" i="1"/>
  <c r="A7511" i="1"/>
  <c r="H7510" i="1"/>
  <c r="I7510" i="1" s="1"/>
  <c r="A7510" i="1"/>
  <c r="H7509" i="1"/>
  <c r="A7509" i="1"/>
  <c r="I7509" i="1" s="1"/>
  <c r="H7508" i="1"/>
  <c r="A7508" i="1"/>
  <c r="I7508" i="1" s="1"/>
  <c r="I7507" i="1"/>
  <c r="H7507" i="1"/>
  <c r="A7507" i="1"/>
  <c r="H7506" i="1"/>
  <c r="I7506" i="1" s="1"/>
  <c r="A7506" i="1"/>
  <c r="H7505" i="1"/>
  <c r="A7505" i="1"/>
  <c r="I7505" i="1" s="1"/>
  <c r="H7504" i="1"/>
  <c r="A7504" i="1"/>
  <c r="I7504" i="1" s="1"/>
  <c r="I7503" i="1"/>
  <c r="H7503" i="1"/>
  <c r="A7503" i="1"/>
  <c r="H7502" i="1"/>
  <c r="I7502" i="1" s="1"/>
  <c r="A7502" i="1"/>
  <c r="H7501" i="1"/>
  <c r="A7501" i="1"/>
  <c r="I7501" i="1" s="1"/>
  <c r="H7500" i="1"/>
  <c r="A7500" i="1"/>
  <c r="I7500" i="1" s="1"/>
  <c r="I7499" i="1"/>
  <c r="H7499" i="1"/>
  <c r="A7499" i="1"/>
  <c r="I7498" i="1"/>
  <c r="H7498" i="1"/>
  <c r="A7498" i="1"/>
  <c r="H7497" i="1"/>
  <c r="A7497" i="1"/>
  <c r="I7497" i="1" s="1"/>
  <c r="H7496" i="1"/>
  <c r="A7496" i="1"/>
  <c r="I7496" i="1" s="1"/>
  <c r="I7495" i="1"/>
  <c r="H7495" i="1"/>
  <c r="A7495" i="1"/>
  <c r="H7494" i="1"/>
  <c r="I7494" i="1" s="1"/>
  <c r="A7494" i="1"/>
  <c r="H7493" i="1"/>
  <c r="A7493" i="1"/>
  <c r="H7492" i="1"/>
  <c r="A7492" i="1"/>
  <c r="I7492" i="1" s="1"/>
  <c r="I7491" i="1"/>
  <c r="H7491" i="1"/>
  <c r="A7491" i="1"/>
  <c r="H7490" i="1"/>
  <c r="I7490" i="1" s="1"/>
  <c r="A7490" i="1"/>
  <c r="H7489" i="1"/>
  <c r="A7489" i="1"/>
  <c r="I7489" i="1" s="1"/>
  <c r="H7488" i="1"/>
  <c r="A7488" i="1"/>
  <c r="I7488" i="1" s="1"/>
  <c r="I7487" i="1"/>
  <c r="H7487" i="1"/>
  <c r="A7487" i="1"/>
  <c r="H7486" i="1"/>
  <c r="I7486" i="1" s="1"/>
  <c r="A7486" i="1"/>
  <c r="H7485" i="1"/>
  <c r="A7485" i="1"/>
  <c r="H7484" i="1"/>
  <c r="A7484" i="1"/>
  <c r="I7484" i="1" s="1"/>
  <c r="I7483" i="1"/>
  <c r="H7483" i="1"/>
  <c r="A7483" i="1"/>
  <c r="H7482" i="1"/>
  <c r="I7482" i="1" s="1"/>
  <c r="A7482" i="1"/>
  <c r="H7481" i="1"/>
  <c r="A7481" i="1"/>
  <c r="I7481" i="1" s="1"/>
  <c r="H7480" i="1"/>
  <c r="A7480" i="1"/>
  <c r="I7480" i="1" s="1"/>
  <c r="I7479" i="1"/>
  <c r="H7479" i="1"/>
  <c r="A7479" i="1"/>
  <c r="H7478" i="1"/>
  <c r="I7478" i="1" s="1"/>
  <c r="A7478" i="1"/>
  <c r="H7477" i="1"/>
  <c r="A7477" i="1"/>
  <c r="H7476" i="1"/>
  <c r="A7476" i="1"/>
  <c r="I7476" i="1" s="1"/>
  <c r="I7475" i="1"/>
  <c r="H7475" i="1"/>
  <c r="A7475" i="1"/>
  <c r="H7474" i="1"/>
  <c r="I7474" i="1" s="1"/>
  <c r="A7474" i="1"/>
  <c r="H7473" i="1"/>
  <c r="A7473" i="1"/>
  <c r="I7473" i="1" s="1"/>
  <c r="H7472" i="1"/>
  <c r="A7472" i="1"/>
  <c r="I7472" i="1" s="1"/>
  <c r="I7471" i="1"/>
  <c r="H7471" i="1"/>
  <c r="A7471" i="1"/>
  <c r="H7470" i="1"/>
  <c r="I7470" i="1" s="1"/>
  <c r="A7470" i="1"/>
  <c r="H7469" i="1"/>
  <c r="A7469" i="1"/>
  <c r="I7469" i="1" s="1"/>
  <c r="H7468" i="1"/>
  <c r="A7468" i="1"/>
  <c r="I7468" i="1" s="1"/>
  <c r="I7467" i="1"/>
  <c r="H7467" i="1"/>
  <c r="A7467" i="1"/>
  <c r="I7466" i="1"/>
  <c r="H7466" i="1"/>
  <c r="A7466" i="1"/>
  <c r="H7465" i="1"/>
  <c r="A7465" i="1"/>
  <c r="I7465" i="1" s="1"/>
  <c r="H7464" i="1"/>
  <c r="A7464" i="1"/>
  <c r="I7464" i="1" s="1"/>
  <c r="I7463" i="1"/>
  <c r="H7463" i="1"/>
  <c r="A7463" i="1"/>
  <c r="H7462" i="1"/>
  <c r="I7462" i="1" s="1"/>
  <c r="A7462" i="1"/>
  <c r="H7461" i="1"/>
  <c r="A7461" i="1"/>
  <c r="H7460" i="1"/>
  <c r="A7460" i="1"/>
  <c r="I7460" i="1" s="1"/>
  <c r="I7459" i="1"/>
  <c r="H7459" i="1"/>
  <c r="A7459" i="1"/>
  <c r="I7458" i="1"/>
  <c r="H7458" i="1"/>
  <c r="A7458" i="1"/>
  <c r="H7457" i="1"/>
  <c r="A7457" i="1"/>
  <c r="I7457" i="1" s="1"/>
  <c r="H7456" i="1"/>
  <c r="A7456" i="1"/>
  <c r="I7456" i="1" s="1"/>
  <c r="I7455" i="1"/>
  <c r="H7455" i="1"/>
  <c r="A7455" i="1"/>
  <c r="H7454" i="1"/>
  <c r="I7454" i="1" s="1"/>
  <c r="A7454" i="1"/>
  <c r="H7453" i="1"/>
  <c r="A7453" i="1"/>
  <c r="I7453" i="1" s="1"/>
  <c r="H7452" i="1"/>
  <c r="A7452" i="1"/>
  <c r="I7452" i="1" s="1"/>
  <c r="I7451" i="1"/>
  <c r="H7451" i="1"/>
  <c r="A7451" i="1"/>
  <c r="I7450" i="1"/>
  <c r="H7450" i="1"/>
  <c r="A7450" i="1"/>
  <c r="H7449" i="1"/>
  <c r="A7449" i="1"/>
  <c r="I7449" i="1" s="1"/>
  <c r="H7448" i="1"/>
  <c r="A7448" i="1"/>
  <c r="I7448" i="1" s="1"/>
  <c r="I7447" i="1"/>
  <c r="H7447" i="1"/>
  <c r="A7447" i="1"/>
  <c r="H7446" i="1"/>
  <c r="I7446" i="1" s="1"/>
  <c r="A7446" i="1"/>
  <c r="H7445" i="1"/>
  <c r="A7445" i="1"/>
  <c r="I7445" i="1" s="1"/>
  <c r="H7444" i="1"/>
  <c r="A7444" i="1"/>
  <c r="I7444" i="1" s="1"/>
  <c r="I7443" i="1"/>
  <c r="H7443" i="1"/>
  <c r="A7443" i="1"/>
  <c r="H7442" i="1"/>
  <c r="I7442" i="1" s="1"/>
  <c r="A7442" i="1"/>
  <c r="H7441" i="1"/>
  <c r="A7441" i="1"/>
  <c r="I7441" i="1" s="1"/>
  <c r="H7440" i="1"/>
  <c r="A7440" i="1"/>
  <c r="I7440" i="1" s="1"/>
  <c r="I7439" i="1"/>
  <c r="H7439" i="1"/>
  <c r="A7439" i="1"/>
  <c r="H7438" i="1"/>
  <c r="I7438" i="1" s="1"/>
  <c r="A7438" i="1"/>
  <c r="H7437" i="1"/>
  <c r="A7437" i="1"/>
  <c r="I7437" i="1" s="1"/>
  <c r="H7436" i="1"/>
  <c r="A7436" i="1"/>
  <c r="I7436" i="1" s="1"/>
  <c r="I7435" i="1"/>
  <c r="H7435" i="1"/>
  <c r="A7435" i="1"/>
  <c r="I7434" i="1"/>
  <c r="H7434" i="1"/>
  <c r="A7434" i="1"/>
  <c r="H7433" i="1"/>
  <c r="A7433" i="1"/>
  <c r="I7433" i="1" s="1"/>
  <c r="H7432" i="1"/>
  <c r="A7432" i="1"/>
  <c r="I7432" i="1" s="1"/>
  <c r="I7431" i="1"/>
  <c r="H7431" i="1"/>
  <c r="A7431" i="1"/>
  <c r="H7430" i="1"/>
  <c r="I7430" i="1" s="1"/>
  <c r="A7430" i="1"/>
  <c r="H7429" i="1"/>
  <c r="A7429" i="1"/>
  <c r="H7428" i="1"/>
  <c r="A7428" i="1"/>
  <c r="I7428" i="1" s="1"/>
  <c r="I7427" i="1"/>
  <c r="H7427" i="1"/>
  <c r="A7427" i="1"/>
  <c r="H7426" i="1"/>
  <c r="I7426" i="1" s="1"/>
  <c r="A7426" i="1"/>
  <c r="H7425" i="1"/>
  <c r="A7425" i="1"/>
  <c r="I7425" i="1" s="1"/>
  <c r="H7424" i="1"/>
  <c r="A7424" i="1"/>
  <c r="I7424" i="1" s="1"/>
  <c r="I7423" i="1"/>
  <c r="H7423" i="1"/>
  <c r="A7423" i="1"/>
  <c r="H7422" i="1"/>
  <c r="I7422" i="1" s="1"/>
  <c r="A7422" i="1"/>
  <c r="H7421" i="1"/>
  <c r="A7421" i="1"/>
  <c r="H7420" i="1"/>
  <c r="A7420" i="1"/>
  <c r="I7420" i="1" s="1"/>
  <c r="I7419" i="1"/>
  <c r="H7419" i="1"/>
  <c r="A7419" i="1"/>
  <c r="H7418" i="1"/>
  <c r="I7418" i="1" s="1"/>
  <c r="A7418" i="1"/>
  <c r="H7417" i="1"/>
  <c r="A7417" i="1"/>
  <c r="I7417" i="1" s="1"/>
  <c r="H7416" i="1"/>
  <c r="A7416" i="1"/>
  <c r="I7416" i="1" s="1"/>
  <c r="I7415" i="1"/>
  <c r="H7415" i="1"/>
  <c r="A7415" i="1"/>
  <c r="H7414" i="1"/>
  <c r="I7414" i="1" s="1"/>
  <c r="A7414" i="1"/>
  <c r="H7413" i="1"/>
  <c r="A7413" i="1"/>
  <c r="H7412" i="1"/>
  <c r="A7412" i="1"/>
  <c r="I7412" i="1" s="1"/>
  <c r="I7411" i="1"/>
  <c r="H7411" i="1"/>
  <c r="A7411" i="1"/>
  <c r="H7410" i="1"/>
  <c r="I7410" i="1" s="1"/>
  <c r="A7410" i="1"/>
  <c r="H7409" i="1"/>
  <c r="A7409" i="1"/>
  <c r="H7408" i="1"/>
  <c r="A7408" i="1"/>
  <c r="I7408" i="1" s="1"/>
  <c r="I7407" i="1"/>
  <c r="H7407" i="1"/>
  <c r="A7407" i="1"/>
  <c r="H7406" i="1"/>
  <c r="I7406" i="1" s="1"/>
  <c r="A7406" i="1"/>
  <c r="H7405" i="1"/>
  <c r="A7405" i="1"/>
  <c r="I7405" i="1" s="1"/>
  <c r="H7404" i="1"/>
  <c r="A7404" i="1"/>
  <c r="I7404" i="1" s="1"/>
  <c r="I7403" i="1"/>
  <c r="H7403" i="1"/>
  <c r="A7403" i="1"/>
  <c r="H7402" i="1"/>
  <c r="I7402" i="1" s="1"/>
  <c r="A7402" i="1"/>
  <c r="H7401" i="1"/>
  <c r="A7401" i="1"/>
  <c r="H7400" i="1"/>
  <c r="A7400" i="1"/>
  <c r="I7400" i="1" s="1"/>
  <c r="I7399" i="1"/>
  <c r="H7399" i="1"/>
  <c r="A7399" i="1"/>
  <c r="I7398" i="1"/>
  <c r="H7398" i="1"/>
  <c r="A7398" i="1"/>
  <c r="H7397" i="1"/>
  <c r="A7397" i="1"/>
  <c r="H7396" i="1"/>
  <c r="A7396" i="1"/>
  <c r="I7396" i="1" s="1"/>
  <c r="I7395" i="1"/>
  <c r="H7395" i="1"/>
  <c r="A7395" i="1"/>
  <c r="H7394" i="1"/>
  <c r="I7394" i="1" s="1"/>
  <c r="A7394" i="1"/>
  <c r="H7393" i="1"/>
  <c r="A7393" i="1"/>
  <c r="H7392" i="1"/>
  <c r="A7392" i="1"/>
  <c r="I7392" i="1" s="1"/>
  <c r="I7391" i="1"/>
  <c r="H7391" i="1"/>
  <c r="A7391" i="1"/>
  <c r="H7390" i="1"/>
  <c r="I7390" i="1" s="1"/>
  <c r="A7390" i="1"/>
  <c r="H7389" i="1"/>
  <c r="A7389" i="1"/>
  <c r="I7389" i="1" s="1"/>
  <c r="H7388" i="1"/>
  <c r="A7388" i="1"/>
  <c r="I7388" i="1" s="1"/>
  <c r="I7387" i="1"/>
  <c r="H7387" i="1"/>
  <c r="A7387" i="1"/>
  <c r="H7386" i="1"/>
  <c r="I7386" i="1" s="1"/>
  <c r="A7386" i="1"/>
  <c r="H7385" i="1"/>
  <c r="A7385" i="1"/>
  <c r="H7384" i="1"/>
  <c r="A7384" i="1"/>
  <c r="I7384" i="1" s="1"/>
  <c r="I7383" i="1"/>
  <c r="H7383" i="1"/>
  <c r="A7383" i="1"/>
  <c r="I7382" i="1"/>
  <c r="H7382" i="1"/>
  <c r="A7382" i="1"/>
  <c r="H7381" i="1"/>
  <c r="A7381" i="1"/>
  <c r="H7380" i="1"/>
  <c r="A7380" i="1"/>
  <c r="I7380" i="1" s="1"/>
  <c r="I7379" i="1"/>
  <c r="H7379" i="1"/>
  <c r="A7379" i="1"/>
  <c r="H7378" i="1"/>
  <c r="I7378" i="1" s="1"/>
  <c r="A7378" i="1"/>
  <c r="H7377" i="1"/>
  <c r="A7377" i="1"/>
  <c r="H7376" i="1"/>
  <c r="A7376" i="1"/>
  <c r="I7376" i="1" s="1"/>
  <c r="I7375" i="1"/>
  <c r="H7375" i="1"/>
  <c r="A7375" i="1"/>
  <c r="H7374" i="1"/>
  <c r="I7374" i="1" s="1"/>
  <c r="A7374" i="1"/>
  <c r="H7373" i="1"/>
  <c r="A7373" i="1"/>
  <c r="I7373" i="1" s="1"/>
  <c r="H7372" i="1"/>
  <c r="A7372" i="1"/>
  <c r="I7372" i="1" s="1"/>
  <c r="I7371" i="1"/>
  <c r="H7371" i="1"/>
  <c r="A7371" i="1"/>
  <c r="I7370" i="1"/>
  <c r="H7370" i="1"/>
  <c r="A7370" i="1"/>
  <c r="H7369" i="1"/>
  <c r="A7369" i="1"/>
  <c r="H7368" i="1"/>
  <c r="A7368" i="1"/>
  <c r="I7368" i="1" s="1"/>
  <c r="I7367" i="1"/>
  <c r="H7367" i="1"/>
  <c r="A7367" i="1"/>
  <c r="I7366" i="1"/>
  <c r="H7366" i="1"/>
  <c r="A7366" i="1"/>
  <c r="H7365" i="1"/>
  <c r="A7365" i="1"/>
  <c r="H7364" i="1"/>
  <c r="A7364" i="1"/>
  <c r="I7364" i="1" s="1"/>
  <c r="I7363" i="1"/>
  <c r="H7363" i="1"/>
  <c r="A7363" i="1"/>
  <c r="H7362" i="1"/>
  <c r="I7362" i="1" s="1"/>
  <c r="A7362" i="1"/>
  <c r="H7361" i="1"/>
  <c r="A7361" i="1"/>
  <c r="H7360" i="1"/>
  <c r="A7360" i="1"/>
  <c r="I7360" i="1" s="1"/>
  <c r="I7359" i="1"/>
  <c r="H7359" i="1"/>
  <c r="A7359" i="1"/>
  <c r="H7358" i="1"/>
  <c r="I7358" i="1" s="1"/>
  <c r="A7358" i="1"/>
  <c r="H7357" i="1"/>
  <c r="A7357" i="1"/>
  <c r="I7357" i="1" s="1"/>
  <c r="H7356" i="1"/>
  <c r="A7356" i="1"/>
  <c r="I7356" i="1" s="1"/>
  <c r="I7355" i="1"/>
  <c r="H7355" i="1"/>
  <c r="A7355" i="1"/>
  <c r="I7354" i="1"/>
  <c r="H7354" i="1"/>
  <c r="A7354" i="1"/>
  <c r="H7353" i="1"/>
  <c r="A7353" i="1"/>
  <c r="H7352" i="1"/>
  <c r="A7352" i="1"/>
  <c r="I7352" i="1" s="1"/>
  <c r="I7351" i="1"/>
  <c r="H7351" i="1"/>
  <c r="A7351" i="1"/>
  <c r="I7350" i="1"/>
  <c r="H7350" i="1"/>
  <c r="A7350" i="1"/>
  <c r="H7349" i="1"/>
  <c r="A7349" i="1"/>
  <c r="H7348" i="1"/>
  <c r="A7348" i="1"/>
  <c r="I7348" i="1" s="1"/>
  <c r="I7347" i="1"/>
  <c r="H7347" i="1"/>
  <c r="A7347" i="1"/>
  <c r="H7346" i="1"/>
  <c r="I7346" i="1" s="1"/>
  <c r="A7346" i="1"/>
  <c r="H7345" i="1"/>
  <c r="A7345" i="1"/>
  <c r="H7344" i="1"/>
  <c r="A7344" i="1"/>
  <c r="I7344" i="1" s="1"/>
  <c r="I7343" i="1"/>
  <c r="H7343" i="1"/>
  <c r="A7343" i="1"/>
  <c r="H7342" i="1"/>
  <c r="I7342" i="1" s="1"/>
  <c r="A7342" i="1"/>
  <c r="H7341" i="1"/>
  <c r="A7341" i="1"/>
  <c r="I7341" i="1" s="1"/>
  <c r="H7340" i="1"/>
  <c r="A7340" i="1"/>
  <c r="I7340" i="1" s="1"/>
  <c r="I7339" i="1"/>
  <c r="H7339" i="1"/>
  <c r="A7339" i="1"/>
  <c r="I7338" i="1"/>
  <c r="H7338" i="1"/>
  <c r="A7338" i="1"/>
  <c r="H7337" i="1"/>
  <c r="A7337" i="1"/>
  <c r="H7336" i="1"/>
  <c r="A7336" i="1"/>
  <c r="I7336" i="1" s="1"/>
  <c r="I7335" i="1"/>
  <c r="H7335" i="1"/>
  <c r="A7335" i="1"/>
  <c r="I7334" i="1"/>
  <c r="H7334" i="1"/>
  <c r="A7334" i="1"/>
  <c r="H7333" i="1"/>
  <c r="A7333" i="1"/>
  <c r="H7332" i="1"/>
  <c r="A7332" i="1"/>
  <c r="I7332" i="1" s="1"/>
  <c r="I7331" i="1"/>
  <c r="H7331" i="1"/>
  <c r="A7331" i="1"/>
  <c r="H7330" i="1"/>
  <c r="I7330" i="1" s="1"/>
  <c r="A7330" i="1"/>
  <c r="H7329" i="1"/>
  <c r="A7329" i="1"/>
  <c r="H7328" i="1"/>
  <c r="A7328" i="1"/>
  <c r="I7328" i="1" s="1"/>
  <c r="I7327" i="1"/>
  <c r="H7327" i="1"/>
  <c r="A7327" i="1"/>
  <c r="H7326" i="1"/>
  <c r="I7326" i="1" s="1"/>
  <c r="A7326" i="1"/>
  <c r="H7325" i="1"/>
  <c r="A7325" i="1"/>
  <c r="I7325" i="1" s="1"/>
  <c r="H7324" i="1"/>
  <c r="A7324" i="1"/>
  <c r="I7324" i="1" s="1"/>
  <c r="I7323" i="1"/>
  <c r="H7323" i="1"/>
  <c r="A7323" i="1"/>
  <c r="I7322" i="1"/>
  <c r="H7322" i="1"/>
  <c r="A7322" i="1"/>
  <c r="H7321" i="1"/>
  <c r="A7321" i="1"/>
  <c r="H7320" i="1"/>
  <c r="A7320" i="1"/>
  <c r="I7320" i="1" s="1"/>
  <c r="I7319" i="1"/>
  <c r="H7319" i="1"/>
  <c r="A7319" i="1"/>
  <c r="I7318" i="1"/>
  <c r="H7318" i="1"/>
  <c r="A7318" i="1"/>
  <c r="H7317" i="1"/>
  <c r="A7317" i="1"/>
  <c r="H7316" i="1"/>
  <c r="A7316" i="1"/>
  <c r="I7316" i="1" s="1"/>
  <c r="I7315" i="1"/>
  <c r="H7315" i="1"/>
  <c r="A7315" i="1"/>
  <c r="H7314" i="1"/>
  <c r="A7314" i="1"/>
  <c r="I7314" i="1" s="1"/>
  <c r="H7313" i="1"/>
  <c r="A7313" i="1"/>
  <c r="H7312" i="1"/>
  <c r="A7312" i="1"/>
  <c r="I7312" i="1" s="1"/>
  <c r="I7311" i="1"/>
  <c r="H7311" i="1"/>
  <c r="A7311" i="1"/>
  <c r="H7310" i="1"/>
  <c r="I7310" i="1" s="1"/>
  <c r="A7310" i="1"/>
  <c r="H7309" i="1"/>
  <c r="A7309" i="1"/>
  <c r="I7309" i="1" s="1"/>
  <c r="H7308" i="1"/>
  <c r="A7308" i="1"/>
  <c r="I7308" i="1" s="1"/>
  <c r="I7307" i="1"/>
  <c r="H7307" i="1"/>
  <c r="A7307" i="1"/>
  <c r="H7306" i="1"/>
  <c r="A7306" i="1"/>
  <c r="I7306" i="1" s="1"/>
  <c r="H7305" i="1"/>
  <c r="A7305" i="1"/>
  <c r="I7305" i="1" s="1"/>
  <c r="H7304" i="1"/>
  <c r="A7304" i="1"/>
  <c r="I7304" i="1" s="1"/>
  <c r="H7303" i="1"/>
  <c r="I7303" i="1" s="1"/>
  <c r="A7303" i="1"/>
  <c r="H7302" i="1"/>
  <c r="A7302" i="1"/>
  <c r="I7302" i="1" s="1"/>
  <c r="I7301" i="1"/>
  <c r="H7301" i="1"/>
  <c r="A7301" i="1"/>
  <c r="I7300" i="1"/>
  <c r="H7300" i="1"/>
  <c r="A7300" i="1"/>
  <c r="H7299" i="1"/>
  <c r="A7299" i="1"/>
  <c r="I7299" i="1" s="1"/>
  <c r="H7298" i="1"/>
  <c r="A7298" i="1"/>
  <c r="I7298" i="1" s="1"/>
  <c r="H7297" i="1"/>
  <c r="A7297" i="1"/>
  <c r="H7296" i="1"/>
  <c r="A7296" i="1"/>
  <c r="I7296" i="1" s="1"/>
  <c r="I7295" i="1"/>
  <c r="H7295" i="1"/>
  <c r="A7295" i="1"/>
  <c r="H7294" i="1"/>
  <c r="A7294" i="1"/>
  <c r="I7294" i="1" s="1"/>
  <c r="H7293" i="1"/>
  <c r="A7293" i="1"/>
  <c r="I7293" i="1" s="1"/>
  <c r="H7292" i="1"/>
  <c r="A7292" i="1"/>
  <c r="I7292" i="1" s="1"/>
  <c r="H7291" i="1"/>
  <c r="A7291" i="1"/>
  <c r="I7291" i="1" s="1"/>
  <c r="I7290" i="1"/>
  <c r="H7290" i="1"/>
  <c r="A7290" i="1"/>
  <c r="I7289" i="1"/>
  <c r="H7289" i="1"/>
  <c r="A7289" i="1"/>
  <c r="H7288" i="1"/>
  <c r="A7288" i="1"/>
  <c r="I7288" i="1" s="1"/>
  <c r="H7287" i="1"/>
  <c r="A7287" i="1"/>
  <c r="I7287" i="1" s="1"/>
  <c r="H7286" i="1"/>
  <c r="A7286" i="1"/>
  <c r="I7286" i="1" s="1"/>
  <c r="H7285" i="1"/>
  <c r="A7285" i="1"/>
  <c r="I7285" i="1" s="1"/>
  <c r="H7284" i="1"/>
  <c r="A7284" i="1"/>
  <c r="I7284" i="1" s="1"/>
  <c r="H7283" i="1"/>
  <c r="A7283" i="1"/>
  <c r="I7283" i="1" s="1"/>
  <c r="I7282" i="1"/>
  <c r="H7282" i="1"/>
  <c r="A7282" i="1"/>
  <c r="I7281" i="1"/>
  <c r="H7281" i="1"/>
  <c r="A7281" i="1"/>
  <c r="H7280" i="1"/>
  <c r="A7280" i="1"/>
  <c r="I7280" i="1" s="1"/>
  <c r="H7279" i="1"/>
  <c r="A7279" i="1"/>
  <c r="I7279" i="1" s="1"/>
  <c r="H7278" i="1"/>
  <c r="A7278" i="1"/>
  <c r="I7278" i="1" s="1"/>
  <c r="H7277" i="1"/>
  <c r="A7277" i="1"/>
  <c r="I7277" i="1" s="1"/>
  <c r="H7276" i="1"/>
  <c r="A7276" i="1"/>
  <c r="I7276" i="1" s="1"/>
  <c r="H7275" i="1"/>
  <c r="A7275" i="1"/>
  <c r="I7275" i="1" s="1"/>
  <c r="I7274" i="1"/>
  <c r="H7274" i="1"/>
  <c r="A7274" i="1"/>
  <c r="I7273" i="1"/>
  <c r="H7273" i="1"/>
  <c r="A7273" i="1"/>
  <c r="H7272" i="1"/>
  <c r="A7272" i="1"/>
  <c r="I7272" i="1" s="1"/>
  <c r="H7271" i="1"/>
  <c r="A7271" i="1"/>
  <c r="I7271" i="1" s="1"/>
  <c r="H7270" i="1"/>
  <c r="A7270" i="1"/>
  <c r="I7270" i="1" s="1"/>
  <c r="H7269" i="1"/>
  <c r="A7269" i="1"/>
  <c r="I7269" i="1" s="1"/>
  <c r="H7268" i="1"/>
  <c r="I7268" i="1" s="1"/>
  <c r="A7268" i="1"/>
  <c r="H7267" i="1"/>
  <c r="A7267" i="1"/>
  <c r="I7267" i="1" s="1"/>
  <c r="I7266" i="1"/>
  <c r="H7266" i="1"/>
  <c r="A7266" i="1"/>
  <c r="I7265" i="1"/>
  <c r="H7265" i="1"/>
  <c r="A7265" i="1"/>
  <c r="H7264" i="1"/>
  <c r="A7264" i="1"/>
  <c r="I7264" i="1" s="1"/>
  <c r="H7263" i="1"/>
  <c r="A7263" i="1"/>
  <c r="I7263" i="1" s="1"/>
  <c r="H7262" i="1"/>
  <c r="A7262" i="1"/>
  <c r="I7262" i="1" s="1"/>
  <c r="H7261" i="1"/>
  <c r="A7261" i="1"/>
  <c r="I7261" i="1" s="1"/>
  <c r="H7260" i="1"/>
  <c r="I7260" i="1" s="1"/>
  <c r="A7260" i="1"/>
  <c r="H7259" i="1"/>
  <c r="A7259" i="1"/>
  <c r="I7259" i="1" s="1"/>
  <c r="I7258" i="1"/>
  <c r="H7258" i="1"/>
  <c r="A7258" i="1"/>
  <c r="I7257" i="1"/>
  <c r="H7257" i="1"/>
  <c r="A7257" i="1"/>
  <c r="H7256" i="1"/>
  <c r="A7256" i="1"/>
  <c r="I7256" i="1" s="1"/>
  <c r="H7255" i="1"/>
  <c r="A7255" i="1"/>
  <c r="I7255" i="1" s="1"/>
  <c r="H7254" i="1"/>
  <c r="A7254" i="1"/>
  <c r="I7254" i="1" s="1"/>
  <c r="H7253" i="1"/>
  <c r="A7253" i="1"/>
  <c r="I7253" i="1" s="1"/>
  <c r="H7252" i="1"/>
  <c r="I7252" i="1" s="1"/>
  <c r="A7252" i="1"/>
  <c r="H7251" i="1"/>
  <c r="A7251" i="1"/>
  <c r="I7251" i="1" s="1"/>
  <c r="I7250" i="1"/>
  <c r="H7250" i="1"/>
  <c r="A7250" i="1"/>
  <c r="I7249" i="1"/>
  <c r="H7249" i="1"/>
  <c r="A7249" i="1"/>
  <c r="H7248" i="1"/>
  <c r="A7248" i="1"/>
  <c r="I7248" i="1" s="1"/>
  <c r="H7247" i="1"/>
  <c r="A7247" i="1"/>
  <c r="I7247" i="1" s="1"/>
  <c r="H7246" i="1"/>
  <c r="A7246" i="1"/>
  <c r="I7246" i="1" s="1"/>
  <c r="H7245" i="1"/>
  <c r="A7245" i="1"/>
  <c r="I7245" i="1" s="1"/>
  <c r="H7244" i="1"/>
  <c r="I7244" i="1" s="1"/>
  <c r="A7244" i="1"/>
  <c r="H7243" i="1"/>
  <c r="A7243" i="1"/>
  <c r="I7243" i="1" s="1"/>
  <c r="I7242" i="1"/>
  <c r="H7242" i="1"/>
  <c r="A7242" i="1"/>
  <c r="I7241" i="1"/>
  <c r="H7241" i="1"/>
  <c r="A7241" i="1"/>
  <c r="H7240" i="1"/>
  <c r="A7240" i="1"/>
  <c r="I7240" i="1" s="1"/>
  <c r="H7239" i="1"/>
  <c r="A7239" i="1"/>
  <c r="I7239" i="1" s="1"/>
  <c r="H7238" i="1"/>
  <c r="A7238" i="1"/>
  <c r="I7238" i="1" s="1"/>
  <c r="H7237" i="1"/>
  <c r="A7237" i="1"/>
  <c r="I7237" i="1" s="1"/>
  <c r="H7236" i="1"/>
  <c r="I7236" i="1" s="1"/>
  <c r="A7236" i="1"/>
  <c r="H7235" i="1"/>
  <c r="A7235" i="1"/>
  <c r="I7235" i="1" s="1"/>
  <c r="I7234" i="1"/>
  <c r="H7234" i="1"/>
  <c r="A7234" i="1"/>
  <c r="I7233" i="1"/>
  <c r="H7233" i="1"/>
  <c r="A7233" i="1"/>
  <c r="H7232" i="1"/>
  <c r="A7232" i="1"/>
  <c r="I7232" i="1" s="1"/>
  <c r="H7231" i="1"/>
  <c r="A7231" i="1"/>
  <c r="I7231" i="1" s="1"/>
  <c r="H7230" i="1"/>
  <c r="A7230" i="1"/>
  <c r="I7230" i="1" s="1"/>
  <c r="H7229" i="1"/>
  <c r="A7229" i="1"/>
  <c r="I7229" i="1" s="1"/>
  <c r="H7228" i="1"/>
  <c r="I7228" i="1" s="1"/>
  <c r="A7228" i="1"/>
  <c r="H7227" i="1"/>
  <c r="A7227" i="1"/>
  <c r="I7227" i="1" s="1"/>
  <c r="I7226" i="1"/>
  <c r="H7226" i="1"/>
  <c r="A7226" i="1"/>
  <c r="I7225" i="1"/>
  <c r="H7225" i="1"/>
  <c r="A7225" i="1"/>
  <c r="H7224" i="1"/>
  <c r="A7224" i="1"/>
  <c r="I7224" i="1" s="1"/>
  <c r="H7223" i="1"/>
  <c r="A7223" i="1"/>
  <c r="I7223" i="1" s="1"/>
  <c r="H7222" i="1"/>
  <c r="A7222" i="1"/>
  <c r="I7222" i="1" s="1"/>
  <c r="H7221" i="1"/>
  <c r="A7221" i="1"/>
  <c r="I7221" i="1" s="1"/>
  <c r="H7220" i="1"/>
  <c r="I7220" i="1" s="1"/>
  <c r="A7220" i="1"/>
  <c r="H7219" i="1"/>
  <c r="I7219" i="1" s="1"/>
  <c r="A7219" i="1"/>
  <c r="I7218" i="1"/>
  <c r="H7218" i="1"/>
  <c r="A7218" i="1"/>
  <c r="I7217" i="1"/>
  <c r="H7217" i="1"/>
  <c r="A7217" i="1"/>
  <c r="H7216" i="1"/>
  <c r="A7216" i="1"/>
  <c r="I7216" i="1" s="1"/>
  <c r="H7215" i="1"/>
  <c r="A7215" i="1"/>
  <c r="I7215" i="1" s="1"/>
  <c r="H7214" i="1"/>
  <c r="A7214" i="1"/>
  <c r="I7214" i="1" s="1"/>
  <c r="H7213" i="1"/>
  <c r="A7213" i="1"/>
  <c r="I7213" i="1" s="1"/>
  <c r="H7212" i="1"/>
  <c r="I7212" i="1" s="1"/>
  <c r="A7212" i="1"/>
  <c r="H7211" i="1"/>
  <c r="I7211" i="1" s="1"/>
  <c r="A7211" i="1"/>
  <c r="I7210" i="1"/>
  <c r="H7210" i="1"/>
  <c r="A7210" i="1"/>
  <c r="I7209" i="1"/>
  <c r="H7209" i="1"/>
  <c r="A7209" i="1"/>
  <c r="H7208" i="1"/>
  <c r="A7208" i="1"/>
  <c r="I7208" i="1" s="1"/>
  <c r="H7207" i="1"/>
  <c r="A7207" i="1"/>
  <c r="I7207" i="1" s="1"/>
  <c r="H7206" i="1"/>
  <c r="A7206" i="1"/>
  <c r="I7206" i="1" s="1"/>
  <c r="H7205" i="1"/>
  <c r="A7205" i="1"/>
  <c r="I7205" i="1" s="1"/>
  <c r="H7204" i="1"/>
  <c r="I7204" i="1" s="1"/>
  <c r="A7204" i="1"/>
  <c r="H7203" i="1"/>
  <c r="I7203" i="1" s="1"/>
  <c r="A7203" i="1"/>
  <c r="I7202" i="1"/>
  <c r="H7202" i="1"/>
  <c r="A7202" i="1"/>
  <c r="I7201" i="1"/>
  <c r="H7201" i="1"/>
  <c r="A7201" i="1"/>
  <c r="H7200" i="1"/>
  <c r="A7200" i="1"/>
  <c r="I7200" i="1" s="1"/>
  <c r="H7199" i="1"/>
  <c r="A7199" i="1"/>
  <c r="I7199" i="1" s="1"/>
  <c r="H7198" i="1"/>
  <c r="A7198" i="1"/>
  <c r="I7198" i="1" s="1"/>
  <c r="H7197" i="1"/>
  <c r="A7197" i="1"/>
  <c r="I7197" i="1" s="1"/>
  <c r="H7196" i="1"/>
  <c r="A7196" i="1"/>
  <c r="I7196" i="1" s="1"/>
  <c r="H7195" i="1"/>
  <c r="A7195" i="1"/>
  <c r="I7195" i="1" s="1"/>
  <c r="I7194" i="1"/>
  <c r="H7194" i="1"/>
  <c r="A7194" i="1"/>
  <c r="I7193" i="1"/>
  <c r="H7193" i="1"/>
  <c r="A7193" i="1"/>
  <c r="H7192" i="1"/>
  <c r="A7192" i="1"/>
  <c r="I7192" i="1" s="1"/>
  <c r="H7191" i="1"/>
  <c r="A7191" i="1"/>
  <c r="I7191" i="1" s="1"/>
  <c r="H7190" i="1"/>
  <c r="A7190" i="1"/>
  <c r="I7190" i="1" s="1"/>
  <c r="H7189" i="1"/>
  <c r="A7189" i="1"/>
  <c r="I7189" i="1" s="1"/>
  <c r="H7188" i="1"/>
  <c r="A7188" i="1"/>
  <c r="I7188" i="1" s="1"/>
  <c r="H7187" i="1"/>
  <c r="I7187" i="1" s="1"/>
  <c r="A7187" i="1"/>
  <c r="I7186" i="1"/>
  <c r="H7186" i="1"/>
  <c r="A7186" i="1"/>
  <c r="I7185" i="1"/>
  <c r="H7185" i="1"/>
  <c r="A7185" i="1"/>
  <c r="H7184" i="1"/>
  <c r="A7184" i="1"/>
  <c r="I7184" i="1" s="1"/>
  <c r="H7183" i="1"/>
  <c r="A7183" i="1"/>
  <c r="I7183" i="1" s="1"/>
  <c r="H7182" i="1"/>
  <c r="A7182" i="1"/>
  <c r="I7182" i="1" s="1"/>
  <c r="H7181" i="1"/>
  <c r="A7181" i="1"/>
  <c r="I7181" i="1" s="1"/>
  <c r="H7180" i="1"/>
  <c r="A7180" i="1"/>
  <c r="I7180" i="1" s="1"/>
  <c r="H7179" i="1"/>
  <c r="A7179" i="1"/>
  <c r="I7179" i="1" s="1"/>
  <c r="I7178" i="1"/>
  <c r="H7178" i="1"/>
  <c r="A7178" i="1"/>
  <c r="I7177" i="1"/>
  <c r="H7177" i="1"/>
  <c r="A7177" i="1"/>
  <c r="H7176" i="1"/>
  <c r="A7176" i="1"/>
  <c r="I7176" i="1" s="1"/>
  <c r="H7175" i="1"/>
  <c r="A7175" i="1"/>
  <c r="I7175" i="1" s="1"/>
  <c r="H7174" i="1"/>
  <c r="A7174" i="1"/>
  <c r="I7174" i="1" s="1"/>
  <c r="H7173" i="1"/>
  <c r="A7173" i="1"/>
  <c r="I7173" i="1" s="1"/>
  <c r="H7172" i="1"/>
  <c r="A7172" i="1"/>
  <c r="I7172" i="1" s="1"/>
  <c r="H7171" i="1"/>
  <c r="A7171" i="1"/>
  <c r="I7171" i="1" s="1"/>
  <c r="I7170" i="1"/>
  <c r="H7170" i="1"/>
  <c r="A7170" i="1"/>
  <c r="I7169" i="1"/>
  <c r="H7169" i="1"/>
  <c r="A7169" i="1"/>
  <c r="H7168" i="1"/>
  <c r="A7168" i="1"/>
  <c r="I7168" i="1" s="1"/>
  <c r="H7167" i="1"/>
  <c r="A7167" i="1"/>
  <c r="I7167" i="1" s="1"/>
  <c r="H7166" i="1"/>
  <c r="A7166" i="1"/>
  <c r="I7166" i="1" s="1"/>
  <c r="H7165" i="1"/>
  <c r="A7165" i="1"/>
  <c r="I7165" i="1" s="1"/>
  <c r="H7164" i="1"/>
  <c r="A7164" i="1"/>
  <c r="I7164" i="1" s="1"/>
  <c r="H7163" i="1"/>
  <c r="A7163" i="1"/>
  <c r="I7163" i="1" s="1"/>
  <c r="I7162" i="1"/>
  <c r="H7162" i="1"/>
  <c r="A7162" i="1"/>
  <c r="I7161" i="1"/>
  <c r="H7161" i="1"/>
  <c r="A7161" i="1"/>
  <c r="H7160" i="1"/>
  <c r="A7160" i="1"/>
  <c r="I7160" i="1" s="1"/>
  <c r="H7159" i="1"/>
  <c r="A7159" i="1"/>
  <c r="I7159" i="1" s="1"/>
  <c r="H7158" i="1"/>
  <c r="A7158" i="1"/>
  <c r="I7158" i="1" s="1"/>
  <c r="H7157" i="1"/>
  <c r="A7157" i="1"/>
  <c r="I7157" i="1" s="1"/>
  <c r="H7156" i="1"/>
  <c r="A7156" i="1"/>
  <c r="I7156" i="1" s="1"/>
  <c r="H7155" i="1"/>
  <c r="A7155" i="1"/>
  <c r="I7155" i="1" s="1"/>
  <c r="I7154" i="1"/>
  <c r="H7154" i="1"/>
  <c r="A7154" i="1"/>
  <c r="I7153" i="1"/>
  <c r="H7153" i="1"/>
  <c r="A7153" i="1"/>
  <c r="H7152" i="1"/>
  <c r="A7152" i="1"/>
  <c r="I7152" i="1" s="1"/>
  <c r="H7151" i="1"/>
  <c r="A7151" i="1"/>
  <c r="I7151" i="1" s="1"/>
  <c r="H7150" i="1"/>
  <c r="A7150" i="1"/>
  <c r="I7150" i="1" s="1"/>
  <c r="H7149" i="1"/>
  <c r="A7149" i="1"/>
  <c r="I7149" i="1" s="1"/>
  <c r="H7148" i="1"/>
  <c r="A7148" i="1"/>
  <c r="I7148" i="1" s="1"/>
  <c r="H7147" i="1"/>
  <c r="A7147" i="1"/>
  <c r="I7147" i="1" s="1"/>
  <c r="I7146" i="1"/>
  <c r="H7146" i="1"/>
  <c r="A7146" i="1"/>
  <c r="I7145" i="1"/>
  <c r="H7145" i="1"/>
  <c r="A7145" i="1"/>
  <c r="H7144" i="1"/>
  <c r="A7144" i="1"/>
  <c r="I7144" i="1" s="1"/>
  <c r="H7143" i="1"/>
  <c r="A7143" i="1"/>
  <c r="I7143" i="1" s="1"/>
  <c r="H7142" i="1"/>
  <c r="A7142" i="1"/>
  <c r="I7142" i="1" s="1"/>
  <c r="H7141" i="1"/>
  <c r="A7141" i="1"/>
  <c r="I7141" i="1" s="1"/>
  <c r="H7140" i="1"/>
  <c r="A7140" i="1"/>
  <c r="I7140" i="1" s="1"/>
  <c r="H7139" i="1"/>
  <c r="A7139" i="1"/>
  <c r="I7139" i="1" s="1"/>
  <c r="I7138" i="1"/>
  <c r="H7138" i="1"/>
  <c r="A7138" i="1"/>
  <c r="I7137" i="1"/>
  <c r="H7137" i="1"/>
  <c r="A7137" i="1"/>
  <c r="H7136" i="1"/>
  <c r="A7136" i="1"/>
  <c r="I7136" i="1" s="1"/>
  <c r="H7135" i="1"/>
  <c r="A7135" i="1"/>
  <c r="I7135" i="1" s="1"/>
  <c r="H7134" i="1"/>
  <c r="A7134" i="1"/>
  <c r="I7134" i="1" s="1"/>
  <c r="H7133" i="1"/>
  <c r="A7133" i="1"/>
  <c r="I7133" i="1" s="1"/>
  <c r="H7132" i="1"/>
  <c r="A7132" i="1"/>
  <c r="I7132" i="1" s="1"/>
  <c r="H7131" i="1"/>
  <c r="A7131" i="1"/>
  <c r="I7131" i="1" s="1"/>
  <c r="I7130" i="1"/>
  <c r="H7130" i="1"/>
  <c r="A7130" i="1"/>
  <c r="I7129" i="1"/>
  <c r="H7129" i="1"/>
  <c r="A7129" i="1"/>
  <c r="H7128" i="1"/>
  <c r="A7128" i="1"/>
  <c r="I7128" i="1" s="1"/>
  <c r="H7127" i="1"/>
  <c r="A7127" i="1"/>
  <c r="I7127" i="1" s="1"/>
  <c r="H7126" i="1"/>
  <c r="A7126" i="1"/>
  <c r="I7126" i="1" s="1"/>
  <c r="H7125" i="1"/>
  <c r="A7125" i="1"/>
  <c r="I7125" i="1" s="1"/>
  <c r="H7124" i="1"/>
  <c r="A7124" i="1"/>
  <c r="I7124" i="1" s="1"/>
  <c r="H7123" i="1"/>
  <c r="A7123" i="1"/>
  <c r="I7123" i="1" s="1"/>
  <c r="I7122" i="1"/>
  <c r="H7122" i="1"/>
  <c r="A7122" i="1"/>
  <c r="I7121" i="1"/>
  <c r="H7121" i="1"/>
  <c r="A7121" i="1"/>
  <c r="H7120" i="1"/>
  <c r="A7120" i="1"/>
  <c r="I7120" i="1" s="1"/>
  <c r="H7119" i="1"/>
  <c r="A7119" i="1"/>
  <c r="I7119" i="1" s="1"/>
  <c r="H7118" i="1"/>
  <c r="A7118" i="1"/>
  <c r="I7118" i="1" s="1"/>
  <c r="H7117" i="1"/>
  <c r="A7117" i="1"/>
  <c r="I7117" i="1" s="1"/>
  <c r="H7116" i="1"/>
  <c r="A7116" i="1"/>
  <c r="I7116" i="1" s="1"/>
  <c r="H7115" i="1"/>
  <c r="A7115" i="1"/>
  <c r="I7115" i="1" s="1"/>
  <c r="I7114" i="1"/>
  <c r="H7114" i="1"/>
  <c r="A7114" i="1"/>
  <c r="I7113" i="1"/>
  <c r="H7113" i="1"/>
  <c r="A7113" i="1"/>
  <c r="H7112" i="1"/>
  <c r="A7112" i="1"/>
  <c r="I7112" i="1" s="1"/>
  <c r="H7111" i="1"/>
  <c r="A7111" i="1"/>
  <c r="I7111" i="1" s="1"/>
  <c r="H7110" i="1"/>
  <c r="A7110" i="1"/>
  <c r="I7110" i="1" s="1"/>
  <c r="H7109" i="1"/>
  <c r="A7109" i="1"/>
  <c r="I7109" i="1" s="1"/>
  <c r="H7108" i="1"/>
  <c r="A7108" i="1"/>
  <c r="I7108" i="1" s="1"/>
  <c r="H7107" i="1"/>
  <c r="A7107" i="1"/>
  <c r="I7107" i="1" s="1"/>
  <c r="I7106" i="1"/>
  <c r="H7106" i="1"/>
  <c r="A7106" i="1"/>
  <c r="I7105" i="1"/>
  <c r="H7105" i="1"/>
  <c r="A7105" i="1"/>
  <c r="H7104" i="1"/>
  <c r="A7104" i="1"/>
  <c r="I7104" i="1" s="1"/>
  <c r="H7103" i="1"/>
  <c r="A7103" i="1"/>
  <c r="I7103" i="1" s="1"/>
  <c r="H7102" i="1"/>
  <c r="A7102" i="1"/>
  <c r="I7102" i="1" s="1"/>
  <c r="H7101" i="1"/>
  <c r="A7101" i="1"/>
  <c r="I7101" i="1" s="1"/>
  <c r="H7100" i="1"/>
  <c r="A7100" i="1"/>
  <c r="I7100" i="1" s="1"/>
  <c r="H7099" i="1"/>
  <c r="A7099" i="1"/>
  <c r="I7099" i="1" s="1"/>
  <c r="I7098" i="1"/>
  <c r="H7098" i="1"/>
  <c r="A7098" i="1"/>
  <c r="I7097" i="1"/>
  <c r="H7097" i="1"/>
  <c r="A7097" i="1"/>
  <c r="H7096" i="1"/>
  <c r="A7096" i="1"/>
  <c r="I7096" i="1" s="1"/>
  <c r="H7095" i="1"/>
  <c r="A7095" i="1"/>
  <c r="I7095" i="1" s="1"/>
  <c r="H7094" i="1"/>
  <c r="A7094" i="1"/>
  <c r="I7094" i="1" s="1"/>
  <c r="H7093" i="1"/>
  <c r="A7093" i="1"/>
  <c r="I7093" i="1" s="1"/>
  <c r="H7092" i="1"/>
  <c r="A7092" i="1"/>
  <c r="I7092" i="1" s="1"/>
  <c r="H7091" i="1"/>
  <c r="A7091" i="1"/>
  <c r="I7091" i="1" s="1"/>
  <c r="I7090" i="1"/>
  <c r="H7090" i="1"/>
  <c r="A7090" i="1"/>
  <c r="I7089" i="1"/>
  <c r="H7089" i="1"/>
  <c r="A7089" i="1"/>
  <c r="H7088" i="1"/>
  <c r="A7088" i="1"/>
  <c r="I7088" i="1" s="1"/>
  <c r="H7087" i="1"/>
  <c r="A7087" i="1"/>
  <c r="I7087" i="1" s="1"/>
  <c r="H7086" i="1"/>
  <c r="A7086" i="1"/>
  <c r="I7086" i="1" s="1"/>
  <c r="H7085" i="1"/>
  <c r="A7085" i="1"/>
  <c r="I7085" i="1" s="1"/>
  <c r="H7084" i="1"/>
  <c r="A7084" i="1"/>
  <c r="I7084" i="1" s="1"/>
  <c r="H7083" i="1"/>
  <c r="A7083" i="1"/>
  <c r="I7083" i="1" s="1"/>
  <c r="I7082" i="1"/>
  <c r="H7082" i="1"/>
  <c r="A7082" i="1"/>
  <c r="I7081" i="1"/>
  <c r="H7081" i="1"/>
  <c r="A7081" i="1"/>
  <c r="H7080" i="1"/>
  <c r="A7080" i="1"/>
  <c r="I7080" i="1" s="1"/>
  <c r="H7079" i="1"/>
  <c r="A7079" i="1"/>
  <c r="I7079" i="1" s="1"/>
  <c r="H7078" i="1"/>
  <c r="A7078" i="1"/>
  <c r="I7078" i="1" s="1"/>
  <c r="H7077" i="1"/>
  <c r="A7077" i="1"/>
  <c r="I7077" i="1" s="1"/>
  <c r="H7076" i="1"/>
  <c r="A7076" i="1"/>
  <c r="I7076" i="1" s="1"/>
  <c r="H7075" i="1"/>
  <c r="A7075" i="1"/>
  <c r="I7075" i="1" s="1"/>
  <c r="I7074" i="1"/>
  <c r="H7074" i="1"/>
  <c r="A7074" i="1"/>
  <c r="I7073" i="1"/>
  <c r="H7073" i="1"/>
  <c r="A7073" i="1"/>
  <c r="H7072" i="1"/>
  <c r="A7072" i="1"/>
  <c r="I7072" i="1" s="1"/>
  <c r="H7071" i="1"/>
  <c r="A7071" i="1"/>
  <c r="I7071" i="1" s="1"/>
  <c r="H7070" i="1"/>
  <c r="A7070" i="1"/>
  <c r="I7070" i="1" s="1"/>
  <c r="H7069" i="1"/>
  <c r="A7069" i="1"/>
  <c r="I7069" i="1" s="1"/>
  <c r="H7068" i="1"/>
  <c r="A7068" i="1"/>
  <c r="I7068" i="1" s="1"/>
  <c r="H7067" i="1"/>
  <c r="A7067" i="1"/>
  <c r="I7067" i="1" s="1"/>
  <c r="I7066" i="1"/>
  <c r="H7066" i="1"/>
  <c r="A7066" i="1"/>
  <c r="I7065" i="1"/>
  <c r="H7065" i="1"/>
  <c r="A7065" i="1"/>
  <c r="H7064" i="1"/>
  <c r="A7064" i="1"/>
  <c r="I7064" i="1" s="1"/>
  <c r="H7063" i="1"/>
  <c r="A7063" i="1"/>
  <c r="I7063" i="1" s="1"/>
  <c r="H7062" i="1"/>
  <c r="A7062" i="1"/>
  <c r="I7062" i="1" s="1"/>
  <c r="H7061" i="1"/>
  <c r="A7061" i="1"/>
  <c r="I7061" i="1" s="1"/>
  <c r="H7060" i="1"/>
  <c r="I7060" i="1" s="1"/>
  <c r="A7060" i="1"/>
  <c r="H7059" i="1"/>
  <c r="A7059" i="1"/>
  <c r="I7059" i="1" s="1"/>
  <c r="I7058" i="1"/>
  <c r="H7058" i="1"/>
  <c r="A7058" i="1"/>
  <c r="I7057" i="1"/>
  <c r="H7057" i="1"/>
  <c r="A7057" i="1"/>
  <c r="H7056" i="1"/>
  <c r="A7056" i="1"/>
  <c r="I7056" i="1" s="1"/>
  <c r="H7055" i="1"/>
  <c r="A7055" i="1"/>
  <c r="I7055" i="1" s="1"/>
  <c r="H7054" i="1"/>
  <c r="A7054" i="1"/>
  <c r="I7054" i="1" s="1"/>
  <c r="H7053" i="1"/>
  <c r="A7053" i="1"/>
  <c r="I7053" i="1" s="1"/>
  <c r="H7052" i="1"/>
  <c r="I7052" i="1" s="1"/>
  <c r="A7052" i="1"/>
  <c r="H7051" i="1"/>
  <c r="A7051" i="1"/>
  <c r="I7051" i="1" s="1"/>
  <c r="I7050" i="1"/>
  <c r="H7050" i="1"/>
  <c r="A7050" i="1"/>
  <c r="I7049" i="1"/>
  <c r="H7049" i="1"/>
  <c r="A7049" i="1"/>
  <c r="H7048" i="1"/>
  <c r="A7048" i="1"/>
  <c r="I7048" i="1" s="1"/>
  <c r="H7047" i="1"/>
  <c r="A7047" i="1"/>
  <c r="I7047" i="1" s="1"/>
  <c r="H7046" i="1"/>
  <c r="A7046" i="1"/>
  <c r="I7046" i="1" s="1"/>
  <c r="H7045" i="1"/>
  <c r="A7045" i="1"/>
  <c r="I7045" i="1" s="1"/>
  <c r="H7044" i="1"/>
  <c r="I7044" i="1" s="1"/>
  <c r="A7044" i="1"/>
  <c r="H7043" i="1"/>
  <c r="A7043" i="1"/>
  <c r="I7043" i="1" s="1"/>
  <c r="I7042" i="1"/>
  <c r="H7042" i="1"/>
  <c r="A7042" i="1"/>
  <c r="I7041" i="1"/>
  <c r="H7041" i="1"/>
  <c r="A7041" i="1"/>
  <c r="H7040" i="1"/>
  <c r="A7040" i="1"/>
  <c r="I7040" i="1" s="1"/>
  <c r="H7039" i="1"/>
  <c r="A7039" i="1"/>
  <c r="I7039" i="1" s="1"/>
  <c r="H7038" i="1"/>
  <c r="A7038" i="1"/>
  <c r="I7038" i="1" s="1"/>
  <c r="H7037" i="1"/>
  <c r="A7037" i="1"/>
  <c r="I7037" i="1" s="1"/>
  <c r="H7036" i="1"/>
  <c r="I7036" i="1" s="1"/>
  <c r="A7036" i="1"/>
  <c r="H7035" i="1"/>
  <c r="A7035" i="1"/>
  <c r="I7035" i="1" s="1"/>
  <c r="I7034" i="1"/>
  <c r="H7034" i="1"/>
  <c r="A7034" i="1"/>
  <c r="I7033" i="1"/>
  <c r="H7033" i="1"/>
  <c r="A7033" i="1"/>
  <c r="H7032" i="1"/>
  <c r="A7032" i="1"/>
  <c r="I7032" i="1" s="1"/>
  <c r="H7031" i="1"/>
  <c r="A7031" i="1"/>
  <c r="I7031" i="1" s="1"/>
  <c r="H7030" i="1"/>
  <c r="A7030" i="1"/>
  <c r="I7030" i="1" s="1"/>
  <c r="H7029" i="1"/>
  <c r="A7029" i="1"/>
  <c r="I7029" i="1" s="1"/>
  <c r="H7028" i="1"/>
  <c r="I7028" i="1" s="1"/>
  <c r="A7028" i="1"/>
  <c r="H7027" i="1"/>
  <c r="A7027" i="1"/>
  <c r="I7027" i="1" s="1"/>
  <c r="I7026" i="1"/>
  <c r="H7026" i="1"/>
  <c r="A7026" i="1"/>
  <c r="I7025" i="1"/>
  <c r="H7025" i="1"/>
  <c r="A7025" i="1"/>
  <c r="H7024" i="1"/>
  <c r="A7024" i="1"/>
  <c r="I7024" i="1" s="1"/>
  <c r="H7023" i="1"/>
  <c r="A7023" i="1"/>
  <c r="I7023" i="1" s="1"/>
  <c r="H7022" i="1"/>
  <c r="A7022" i="1"/>
  <c r="I7022" i="1" s="1"/>
  <c r="H7021" i="1"/>
  <c r="A7021" i="1"/>
  <c r="I7021" i="1" s="1"/>
  <c r="H7020" i="1"/>
  <c r="I7020" i="1" s="1"/>
  <c r="A7020" i="1"/>
  <c r="H7019" i="1"/>
  <c r="A7019" i="1"/>
  <c r="I7019" i="1" s="1"/>
  <c r="I7018" i="1"/>
  <c r="H7018" i="1"/>
  <c r="A7018" i="1"/>
  <c r="I7017" i="1"/>
  <c r="H7017" i="1"/>
  <c r="A7017" i="1"/>
  <c r="H7016" i="1"/>
  <c r="A7016" i="1"/>
  <c r="I7016" i="1" s="1"/>
  <c r="H7015" i="1"/>
  <c r="A7015" i="1"/>
  <c r="I7015" i="1" s="1"/>
  <c r="H7014" i="1"/>
  <c r="A7014" i="1"/>
  <c r="I7014" i="1" s="1"/>
  <c r="H7013" i="1"/>
  <c r="A7013" i="1"/>
  <c r="I7013" i="1" s="1"/>
  <c r="H7012" i="1"/>
  <c r="I7012" i="1" s="1"/>
  <c r="A7012" i="1"/>
  <c r="H7011" i="1"/>
  <c r="A7011" i="1"/>
  <c r="I7011" i="1" s="1"/>
  <c r="I7010" i="1"/>
  <c r="H7010" i="1"/>
  <c r="A7010" i="1"/>
  <c r="I7009" i="1"/>
  <c r="H7009" i="1"/>
  <c r="A7009" i="1"/>
  <c r="H7008" i="1"/>
  <c r="A7008" i="1"/>
  <c r="I7008" i="1" s="1"/>
  <c r="H7007" i="1"/>
  <c r="A7007" i="1"/>
  <c r="I7007" i="1" s="1"/>
  <c r="H7006" i="1"/>
  <c r="A7006" i="1"/>
  <c r="I7006" i="1" s="1"/>
  <c r="H7005" i="1"/>
  <c r="A7005" i="1"/>
  <c r="I7005" i="1" s="1"/>
  <c r="H7004" i="1"/>
  <c r="I7004" i="1" s="1"/>
  <c r="A7004" i="1"/>
  <c r="H7003" i="1"/>
  <c r="A7003" i="1"/>
  <c r="I7003" i="1" s="1"/>
  <c r="I7002" i="1"/>
  <c r="H7002" i="1"/>
  <c r="A7002" i="1"/>
  <c r="I7001" i="1"/>
  <c r="H7001" i="1"/>
  <c r="A7001" i="1"/>
  <c r="H7000" i="1"/>
  <c r="A7000" i="1"/>
  <c r="I7000" i="1" s="1"/>
  <c r="H6999" i="1"/>
  <c r="A6999" i="1"/>
  <c r="I6999" i="1" s="1"/>
  <c r="H6998" i="1"/>
  <c r="A6998" i="1"/>
  <c r="I6998" i="1" s="1"/>
  <c r="H6997" i="1"/>
  <c r="A6997" i="1"/>
  <c r="I6997" i="1" s="1"/>
  <c r="H6996" i="1"/>
  <c r="I6996" i="1" s="1"/>
  <c r="A6996" i="1"/>
  <c r="H6995" i="1"/>
  <c r="A6995" i="1"/>
  <c r="I6995" i="1" s="1"/>
  <c r="I6994" i="1"/>
  <c r="H6994" i="1"/>
  <c r="A6994" i="1"/>
  <c r="I6993" i="1"/>
  <c r="H6993" i="1"/>
  <c r="A6993" i="1"/>
  <c r="H6992" i="1"/>
  <c r="A6992" i="1"/>
  <c r="I6992" i="1" s="1"/>
  <c r="H6991" i="1"/>
  <c r="A6991" i="1"/>
  <c r="I6991" i="1" s="1"/>
  <c r="H6990" i="1"/>
  <c r="A6990" i="1"/>
  <c r="I6990" i="1" s="1"/>
  <c r="H6989" i="1"/>
  <c r="A6989" i="1"/>
  <c r="I6989" i="1" s="1"/>
  <c r="H6988" i="1"/>
  <c r="I6988" i="1" s="1"/>
  <c r="A6988" i="1"/>
  <c r="H6987" i="1"/>
  <c r="A6987" i="1"/>
  <c r="I6987" i="1" s="1"/>
  <c r="I6986" i="1"/>
  <c r="H6986" i="1"/>
  <c r="A6986" i="1"/>
  <c r="I6985" i="1"/>
  <c r="H6985" i="1"/>
  <c r="A6985" i="1"/>
  <c r="H6984" i="1"/>
  <c r="A6984" i="1"/>
  <c r="I6984" i="1" s="1"/>
  <c r="H6983" i="1"/>
  <c r="A6983" i="1"/>
  <c r="I6983" i="1" s="1"/>
  <c r="H6982" i="1"/>
  <c r="A6982" i="1"/>
  <c r="I6982" i="1" s="1"/>
  <c r="H6981" i="1"/>
  <c r="A6981" i="1"/>
  <c r="I6981" i="1" s="1"/>
  <c r="H6980" i="1"/>
  <c r="I6980" i="1" s="1"/>
  <c r="A6980" i="1"/>
  <c r="H6979" i="1"/>
  <c r="A6979" i="1"/>
  <c r="I6979" i="1" s="1"/>
  <c r="I6978" i="1"/>
  <c r="H6978" i="1"/>
  <c r="A6978" i="1"/>
  <c r="I6977" i="1"/>
  <c r="H6977" i="1"/>
  <c r="A6977" i="1"/>
  <c r="H6976" i="1"/>
  <c r="A6976" i="1"/>
  <c r="I6976" i="1" s="1"/>
  <c r="H6975" i="1"/>
  <c r="A6975" i="1"/>
  <c r="I6975" i="1" s="1"/>
  <c r="H6974" i="1"/>
  <c r="A6974" i="1"/>
  <c r="I6974" i="1" s="1"/>
  <c r="H6973" i="1"/>
  <c r="A6973" i="1"/>
  <c r="I6973" i="1" s="1"/>
  <c r="H6972" i="1"/>
  <c r="I6972" i="1" s="1"/>
  <c r="A6972" i="1"/>
  <c r="H6971" i="1"/>
  <c r="A6971" i="1"/>
  <c r="I6971" i="1" s="1"/>
  <c r="I6970" i="1"/>
  <c r="H6970" i="1"/>
  <c r="A6970" i="1"/>
  <c r="I6969" i="1"/>
  <c r="H6969" i="1"/>
  <c r="A6969" i="1"/>
  <c r="H6968" i="1"/>
  <c r="A6968" i="1"/>
  <c r="I6968" i="1" s="1"/>
  <c r="H6967" i="1"/>
  <c r="A6967" i="1"/>
  <c r="I6967" i="1" s="1"/>
  <c r="H6966" i="1"/>
  <c r="A6966" i="1"/>
  <c r="I6966" i="1" s="1"/>
  <c r="H6965" i="1"/>
  <c r="A6965" i="1"/>
  <c r="I6965" i="1" s="1"/>
  <c r="H6964" i="1"/>
  <c r="I6964" i="1" s="1"/>
  <c r="A6964" i="1"/>
  <c r="H6963" i="1"/>
  <c r="A6963" i="1"/>
  <c r="I6963" i="1" s="1"/>
  <c r="I6962" i="1"/>
  <c r="H6962" i="1"/>
  <c r="A6962" i="1"/>
  <c r="I6961" i="1"/>
  <c r="H6961" i="1"/>
  <c r="A6961" i="1"/>
  <c r="H6960" i="1"/>
  <c r="A6960" i="1"/>
  <c r="I6960" i="1" s="1"/>
  <c r="H6959" i="1"/>
  <c r="A6959" i="1"/>
  <c r="I6959" i="1" s="1"/>
  <c r="H6958" i="1"/>
  <c r="A6958" i="1"/>
  <c r="I6958" i="1" s="1"/>
  <c r="H6957" i="1"/>
  <c r="A6957" i="1"/>
  <c r="I6957" i="1" s="1"/>
  <c r="H6956" i="1"/>
  <c r="I6956" i="1" s="1"/>
  <c r="A6956" i="1"/>
  <c r="H6955" i="1"/>
  <c r="A6955" i="1"/>
  <c r="I6955" i="1" s="1"/>
  <c r="I6954" i="1"/>
  <c r="H6954" i="1"/>
  <c r="A6954" i="1"/>
  <c r="I6953" i="1"/>
  <c r="H6953" i="1"/>
  <c r="A6953" i="1"/>
  <c r="H6952" i="1"/>
  <c r="A6952" i="1"/>
  <c r="I6952" i="1" s="1"/>
  <c r="H6951" i="1"/>
  <c r="A6951" i="1"/>
  <c r="I6951" i="1" s="1"/>
  <c r="H6950" i="1"/>
  <c r="A6950" i="1"/>
  <c r="I6950" i="1" s="1"/>
  <c r="H6949" i="1"/>
  <c r="A6949" i="1"/>
  <c r="I6949" i="1" s="1"/>
  <c r="H6948" i="1"/>
  <c r="I6948" i="1" s="1"/>
  <c r="A6948" i="1"/>
  <c r="H6947" i="1"/>
  <c r="A6947" i="1"/>
  <c r="I6947" i="1" s="1"/>
  <c r="I6946" i="1"/>
  <c r="H6946" i="1"/>
  <c r="A6946" i="1"/>
  <c r="I6945" i="1"/>
  <c r="H6945" i="1"/>
  <c r="A6945" i="1"/>
  <c r="H6944" i="1"/>
  <c r="A6944" i="1"/>
  <c r="I6944" i="1" s="1"/>
  <c r="H6943" i="1"/>
  <c r="A6943" i="1"/>
  <c r="I6943" i="1" s="1"/>
  <c r="H6942" i="1"/>
  <c r="A6942" i="1"/>
  <c r="I6942" i="1" s="1"/>
  <c r="H6941" i="1"/>
  <c r="A6941" i="1"/>
  <c r="I6941" i="1" s="1"/>
  <c r="H6940" i="1"/>
  <c r="I6940" i="1" s="1"/>
  <c r="A6940" i="1"/>
  <c r="H6939" i="1"/>
  <c r="A6939" i="1"/>
  <c r="I6939" i="1" s="1"/>
  <c r="I6938" i="1"/>
  <c r="H6938" i="1"/>
  <c r="A6938" i="1"/>
  <c r="I6937" i="1"/>
  <c r="H6937" i="1"/>
  <c r="A6937" i="1"/>
  <c r="H6936" i="1"/>
  <c r="A6936" i="1"/>
  <c r="I6936" i="1" s="1"/>
  <c r="H6935" i="1"/>
  <c r="A6935" i="1"/>
  <c r="I6935" i="1" s="1"/>
  <c r="H6934" i="1"/>
  <c r="A6934" i="1"/>
  <c r="I6934" i="1" s="1"/>
  <c r="H6933" i="1"/>
  <c r="A6933" i="1"/>
  <c r="I6933" i="1" s="1"/>
  <c r="H6932" i="1"/>
  <c r="I6932" i="1" s="1"/>
  <c r="A6932" i="1"/>
  <c r="H6931" i="1"/>
  <c r="A6931" i="1"/>
  <c r="I6931" i="1" s="1"/>
  <c r="I6930" i="1"/>
  <c r="H6930" i="1"/>
  <c r="A6930" i="1"/>
  <c r="I6929" i="1"/>
  <c r="H6929" i="1"/>
  <c r="A6929" i="1"/>
  <c r="H6928" i="1"/>
  <c r="A6928" i="1"/>
  <c r="I6928" i="1" s="1"/>
  <c r="H6927" i="1"/>
  <c r="A6927" i="1"/>
  <c r="I6927" i="1" s="1"/>
  <c r="H6926" i="1"/>
  <c r="A6926" i="1"/>
  <c r="I6926" i="1" s="1"/>
  <c r="H6925" i="1"/>
  <c r="A6925" i="1"/>
  <c r="I6925" i="1" s="1"/>
  <c r="H6924" i="1"/>
  <c r="I6924" i="1" s="1"/>
  <c r="A6924" i="1"/>
  <c r="H6923" i="1"/>
  <c r="A6923" i="1"/>
  <c r="I6923" i="1" s="1"/>
  <c r="I6922" i="1"/>
  <c r="H6922" i="1"/>
  <c r="A6922" i="1"/>
  <c r="I6921" i="1"/>
  <c r="H6921" i="1"/>
  <c r="A6921" i="1"/>
  <c r="H6920" i="1"/>
  <c r="A6920" i="1"/>
  <c r="I6920" i="1" s="1"/>
  <c r="H6919" i="1"/>
  <c r="A6919" i="1"/>
  <c r="I6919" i="1" s="1"/>
  <c r="H6918" i="1"/>
  <c r="A6918" i="1"/>
  <c r="I6918" i="1" s="1"/>
  <c r="H6917" i="1"/>
  <c r="A6917" i="1"/>
  <c r="I6917" i="1" s="1"/>
  <c r="H6916" i="1"/>
  <c r="I6916" i="1" s="1"/>
  <c r="A6916" i="1"/>
  <c r="H6915" i="1"/>
  <c r="A6915" i="1"/>
  <c r="I6915" i="1" s="1"/>
  <c r="I6914" i="1"/>
  <c r="H6914" i="1"/>
  <c r="A6914" i="1"/>
  <c r="I6913" i="1"/>
  <c r="H6913" i="1"/>
  <c r="A6913" i="1"/>
  <c r="H6912" i="1"/>
  <c r="A6912" i="1"/>
  <c r="I6912" i="1" s="1"/>
  <c r="H6911" i="1"/>
  <c r="A6911" i="1"/>
  <c r="I6911" i="1" s="1"/>
  <c r="H6910" i="1"/>
  <c r="A6910" i="1"/>
  <c r="I6910" i="1" s="1"/>
  <c r="H6909" i="1"/>
  <c r="A6909" i="1"/>
  <c r="I6909" i="1" s="1"/>
  <c r="H6908" i="1"/>
  <c r="I6908" i="1" s="1"/>
  <c r="A6908" i="1"/>
  <c r="H6907" i="1"/>
  <c r="A6907" i="1"/>
  <c r="I6907" i="1" s="1"/>
  <c r="I6906" i="1"/>
  <c r="H6906" i="1"/>
  <c r="A6906" i="1"/>
  <c r="I6905" i="1"/>
  <c r="H6905" i="1"/>
  <c r="A6905" i="1"/>
  <c r="H6904" i="1"/>
  <c r="A6904" i="1"/>
  <c r="I6904" i="1" s="1"/>
  <c r="H6903" i="1"/>
  <c r="A6903" i="1"/>
  <c r="I6903" i="1" s="1"/>
  <c r="H6902" i="1"/>
  <c r="A6902" i="1"/>
  <c r="I6902" i="1" s="1"/>
  <c r="H6901" i="1"/>
  <c r="A6901" i="1"/>
  <c r="I6901" i="1" s="1"/>
  <c r="H6900" i="1"/>
  <c r="I6900" i="1" s="1"/>
  <c r="A6900" i="1"/>
  <c r="H6899" i="1"/>
  <c r="A6899" i="1"/>
  <c r="I6899" i="1" s="1"/>
  <c r="I6898" i="1"/>
  <c r="H6898" i="1"/>
  <c r="A6898" i="1"/>
  <c r="I6897" i="1"/>
  <c r="H6897" i="1"/>
  <c r="A6897" i="1"/>
  <c r="H6896" i="1"/>
  <c r="A6896" i="1"/>
  <c r="I6896" i="1" s="1"/>
  <c r="H6895" i="1"/>
  <c r="A6895" i="1"/>
  <c r="I6895" i="1" s="1"/>
  <c r="H6894" i="1"/>
  <c r="A6894" i="1"/>
  <c r="I6894" i="1" s="1"/>
  <c r="H6893" i="1"/>
  <c r="A6893" i="1"/>
  <c r="I6893" i="1" s="1"/>
  <c r="H6892" i="1"/>
  <c r="I6892" i="1" s="1"/>
  <c r="A6892" i="1"/>
  <c r="H6891" i="1"/>
  <c r="A6891" i="1"/>
  <c r="I6891" i="1" s="1"/>
  <c r="I6890" i="1"/>
  <c r="H6890" i="1"/>
  <c r="A6890" i="1"/>
  <c r="I6889" i="1"/>
  <c r="H6889" i="1"/>
  <c r="A6889" i="1"/>
  <c r="H6888" i="1"/>
  <c r="A6888" i="1"/>
  <c r="I6888" i="1" s="1"/>
  <c r="H6887" i="1"/>
  <c r="A6887" i="1"/>
  <c r="I6887" i="1" s="1"/>
  <c r="H6886" i="1"/>
  <c r="A6886" i="1"/>
  <c r="I6886" i="1" s="1"/>
  <c r="H6885" i="1"/>
  <c r="A6885" i="1"/>
  <c r="I6885" i="1" s="1"/>
  <c r="H6884" i="1"/>
  <c r="I6884" i="1" s="1"/>
  <c r="A6884" i="1"/>
  <c r="H6883" i="1"/>
  <c r="A6883" i="1"/>
  <c r="I6883" i="1" s="1"/>
  <c r="I6882" i="1"/>
  <c r="H6882" i="1"/>
  <c r="A6882" i="1"/>
  <c r="I6881" i="1"/>
  <c r="H6881" i="1"/>
  <c r="A6881" i="1"/>
  <c r="H6880" i="1"/>
  <c r="A6880" i="1"/>
  <c r="I6880" i="1" s="1"/>
  <c r="H6879" i="1"/>
  <c r="A6879" i="1"/>
  <c r="I6879" i="1" s="1"/>
  <c r="H6878" i="1"/>
  <c r="A6878" i="1"/>
  <c r="I6878" i="1" s="1"/>
  <c r="H6877" i="1"/>
  <c r="A6877" i="1"/>
  <c r="I6877" i="1" s="1"/>
  <c r="H6876" i="1"/>
  <c r="A6876" i="1"/>
  <c r="I6876" i="1" s="1"/>
  <c r="H6875" i="1"/>
  <c r="I6875" i="1" s="1"/>
  <c r="A6875" i="1"/>
  <c r="I6874" i="1"/>
  <c r="H6874" i="1"/>
  <c r="A6874" i="1"/>
  <c r="I6873" i="1"/>
  <c r="H6873" i="1"/>
  <c r="A6873" i="1"/>
  <c r="H6872" i="1"/>
  <c r="A6872" i="1"/>
  <c r="I6872" i="1" s="1"/>
  <c r="H6871" i="1"/>
  <c r="A6871" i="1"/>
  <c r="I6871" i="1" s="1"/>
  <c r="H6870" i="1"/>
  <c r="A6870" i="1"/>
  <c r="I6870" i="1" s="1"/>
  <c r="H6869" i="1"/>
  <c r="A6869" i="1"/>
  <c r="I6869" i="1" s="1"/>
  <c r="H6868" i="1"/>
  <c r="A6868" i="1"/>
  <c r="I6868" i="1" s="1"/>
  <c r="H6867" i="1"/>
  <c r="I6867" i="1" s="1"/>
  <c r="A6867" i="1"/>
  <c r="I6866" i="1"/>
  <c r="H6866" i="1"/>
  <c r="A6866" i="1"/>
  <c r="I6865" i="1"/>
  <c r="H6865" i="1"/>
  <c r="A6865" i="1"/>
  <c r="H6864" i="1"/>
  <c r="A6864" i="1"/>
  <c r="I6864" i="1" s="1"/>
  <c r="H6863" i="1"/>
  <c r="A6863" i="1"/>
  <c r="I6863" i="1" s="1"/>
  <c r="H6862" i="1"/>
  <c r="A6862" i="1"/>
  <c r="I6862" i="1" s="1"/>
  <c r="H6861" i="1"/>
  <c r="A6861" i="1"/>
  <c r="I6861" i="1" s="1"/>
  <c r="H6860" i="1"/>
  <c r="A6860" i="1"/>
  <c r="I6860" i="1" s="1"/>
  <c r="H6859" i="1"/>
  <c r="I6859" i="1" s="1"/>
  <c r="A6859" i="1"/>
  <c r="I6858" i="1"/>
  <c r="H6858" i="1"/>
  <c r="A6858" i="1"/>
  <c r="I6857" i="1"/>
  <c r="H6857" i="1"/>
  <c r="A6857" i="1"/>
  <c r="H6856" i="1"/>
  <c r="A6856" i="1"/>
  <c r="I6856" i="1" s="1"/>
  <c r="H6855" i="1"/>
  <c r="A6855" i="1"/>
  <c r="I6855" i="1" s="1"/>
  <c r="H6854" i="1"/>
  <c r="A6854" i="1"/>
  <c r="I6854" i="1" s="1"/>
  <c r="H6853" i="1"/>
  <c r="A6853" i="1"/>
  <c r="I6853" i="1" s="1"/>
  <c r="H6852" i="1"/>
  <c r="A6852" i="1"/>
  <c r="I6852" i="1" s="1"/>
  <c r="H6851" i="1"/>
  <c r="I6851" i="1" s="1"/>
  <c r="A6851" i="1"/>
  <c r="I6850" i="1"/>
  <c r="H6850" i="1"/>
  <c r="A6850" i="1"/>
  <c r="I6849" i="1"/>
  <c r="H6849" i="1"/>
  <c r="A6849" i="1"/>
  <c r="H6848" i="1"/>
  <c r="A6848" i="1"/>
  <c r="I6848" i="1" s="1"/>
  <c r="H6847" i="1"/>
  <c r="A6847" i="1"/>
  <c r="I6847" i="1" s="1"/>
  <c r="H6846" i="1"/>
  <c r="A6846" i="1"/>
  <c r="I6846" i="1" s="1"/>
  <c r="H6845" i="1"/>
  <c r="A6845" i="1"/>
  <c r="I6845" i="1" s="1"/>
  <c r="H6844" i="1"/>
  <c r="A6844" i="1"/>
  <c r="I6844" i="1" s="1"/>
  <c r="H6843" i="1"/>
  <c r="I6843" i="1" s="1"/>
  <c r="A6843" i="1"/>
  <c r="I6842" i="1"/>
  <c r="H6842" i="1"/>
  <c r="A6842" i="1"/>
  <c r="I6841" i="1"/>
  <c r="H6841" i="1"/>
  <c r="A6841" i="1"/>
  <c r="H6840" i="1"/>
  <c r="A6840" i="1"/>
  <c r="I6840" i="1" s="1"/>
  <c r="H6839" i="1"/>
  <c r="A6839" i="1"/>
  <c r="I6839" i="1" s="1"/>
  <c r="H6838" i="1"/>
  <c r="A6838" i="1"/>
  <c r="I6838" i="1" s="1"/>
  <c r="H6837" i="1"/>
  <c r="A6837" i="1"/>
  <c r="I6837" i="1" s="1"/>
  <c r="H6836" i="1"/>
  <c r="A6836" i="1"/>
  <c r="I6836" i="1" s="1"/>
  <c r="H6835" i="1"/>
  <c r="I6835" i="1" s="1"/>
  <c r="A6835" i="1"/>
  <c r="I6834" i="1"/>
  <c r="H6834" i="1"/>
  <c r="A6834" i="1"/>
  <c r="I6833" i="1"/>
  <c r="H6833" i="1"/>
  <c r="A6833" i="1"/>
  <c r="H6832" i="1"/>
  <c r="A6832" i="1"/>
  <c r="I6832" i="1" s="1"/>
  <c r="H6831" i="1"/>
  <c r="A6831" i="1"/>
  <c r="I6831" i="1" s="1"/>
  <c r="H6830" i="1"/>
  <c r="A6830" i="1"/>
  <c r="I6830" i="1" s="1"/>
  <c r="H6829" i="1"/>
  <c r="A6829" i="1"/>
  <c r="I6829" i="1" s="1"/>
  <c r="H6828" i="1"/>
  <c r="A6828" i="1"/>
  <c r="I6828" i="1" s="1"/>
  <c r="H6827" i="1"/>
  <c r="I6827" i="1" s="1"/>
  <c r="A6827" i="1"/>
  <c r="I6826" i="1"/>
  <c r="H6826" i="1"/>
  <c r="A6826" i="1"/>
  <c r="I6825" i="1"/>
  <c r="H6825" i="1"/>
  <c r="A6825" i="1"/>
  <c r="H6824" i="1"/>
  <c r="A6824" i="1"/>
  <c r="I6824" i="1" s="1"/>
  <c r="H6823" i="1"/>
  <c r="A6823" i="1"/>
  <c r="I6823" i="1" s="1"/>
  <c r="H6822" i="1"/>
  <c r="A6822" i="1"/>
  <c r="I6822" i="1" s="1"/>
  <c r="H6821" i="1"/>
  <c r="A6821" i="1"/>
  <c r="I6821" i="1" s="1"/>
  <c r="H6820" i="1"/>
  <c r="I6820" i="1" s="1"/>
  <c r="A6820" i="1"/>
  <c r="H6819" i="1"/>
  <c r="A6819" i="1"/>
  <c r="I6819" i="1" s="1"/>
  <c r="I6818" i="1"/>
  <c r="H6818" i="1"/>
  <c r="A6818" i="1"/>
  <c r="I6817" i="1"/>
  <c r="H6817" i="1"/>
  <c r="A6817" i="1"/>
  <c r="H6816" i="1"/>
  <c r="A6816" i="1"/>
  <c r="I6816" i="1" s="1"/>
  <c r="H6815" i="1"/>
  <c r="A6815" i="1"/>
  <c r="I6815" i="1" s="1"/>
  <c r="H6814" i="1"/>
  <c r="A6814" i="1"/>
  <c r="I6814" i="1" s="1"/>
  <c r="H6813" i="1"/>
  <c r="A6813" i="1"/>
  <c r="I6813" i="1" s="1"/>
  <c r="H6812" i="1"/>
  <c r="A6812" i="1"/>
  <c r="I6812" i="1" s="1"/>
  <c r="H6811" i="1"/>
  <c r="A6811" i="1"/>
  <c r="I6811" i="1" s="1"/>
  <c r="I6810" i="1"/>
  <c r="H6810" i="1"/>
  <c r="A6810" i="1"/>
  <c r="I6809" i="1"/>
  <c r="H6809" i="1"/>
  <c r="A6809" i="1"/>
  <c r="H6808" i="1"/>
  <c r="A6808" i="1"/>
  <c r="I6808" i="1" s="1"/>
  <c r="H6807" i="1"/>
  <c r="A6807" i="1"/>
  <c r="I6807" i="1" s="1"/>
  <c r="H6806" i="1"/>
  <c r="A6806" i="1"/>
  <c r="I6806" i="1" s="1"/>
  <c r="H6805" i="1"/>
  <c r="A6805" i="1"/>
  <c r="I6805" i="1" s="1"/>
  <c r="H6804" i="1"/>
  <c r="A6804" i="1"/>
  <c r="I6804" i="1" s="1"/>
  <c r="H6803" i="1"/>
  <c r="A6803" i="1"/>
  <c r="I6803" i="1" s="1"/>
  <c r="I6802" i="1"/>
  <c r="H6802" i="1"/>
  <c r="A6802" i="1"/>
  <c r="I6801" i="1"/>
  <c r="H6801" i="1"/>
  <c r="A6801" i="1"/>
  <c r="H6800" i="1"/>
  <c r="A6800" i="1"/>
  <c r="I6800" i="1" s="1"/>
  <c r="H6799" i="1"/>
  <c r="A6799" i="1"/>
  <c r="I6799" i="1" s="1"/>
  <c r="H6798" i="1"/>
  <c r="A6798" i="1"/>
  <c r="I6798" i="1" s="1"/>
  <c r="H6797" i="1"/>
  <c r="A6797" i="1"/>
  <c r="I6797" i="1" s="1"/>
  <c r="H6796" i="1"/>
  <c r="A6796" i="1"/>
  <c r="I6796" i="1" s="1"/>
  <c r="H6795" i="1"/>
  <c r="A6795" i="1"/>
  <c r="I6795" i="1" s="1"/>
  <c r="I6794" i="1"/>
  <c r="H6794" i="1"/>
  <c r="A6794" i="1"/>
  <c r="I6793" i="1"/>
  <c r="H6793" i="1"/>
  <c r="A6793" i="1"/>
  <c r="H6792" i="1"/>
  <c r="A6792" i="1"/>
  <c r="I6792" i="1" s="1"/>
  <c r="H6791" i="1"/>
  <c r="A6791" i="1"/>
  <c r="I6791" i="1" s="1"/>
  <c r="H6790" i="1"/>
  <c r="A6790" i="1"/>
  <c r="I6790" i="1" s="1"/>
  <c r="H6789" i="1"/>
  <c r="A6789" i="1"/>
  <c r="I6789" i="1" s="1"/>
  <c r="H6788" i="1"/>
  <c r="A6788" i="1"/>
  <c r="I6788" i="1" s="1"/>
  <c r="H6787" i="1"/>
  <c r="A6787" i="1"/>
  <c r="I6787" i="1" s="1"/>
  <c r="I6786" i="1"/>
  <c r="H6786" i="1"/>
  <c r="A6786" i="1"/>
  <c r="I6785" i="1"/>
  <c r="H6785" i="1"/>
  <c r="A6785" i="1"/>
  <c r="H6784" i="1"/>
  <c r="A6784" i="1"/>
  <c r="I6784" i="1" s="1"/>
  <c r="H6783" i="1"/>
  <c r="A6783" i="1"/>
  <c r="I6783" i="1" s="1"/>
  <c r="H6782" i="1"/>
  <c r="A6782" i="1"/>
  <c r="I6782" i="1" s="1"/>
  <c r="H6781" i="1"/>
  <c r="A6781" i="1"/>
  <c r="I6781" i="1" s="1"/>
  <c r="H6780" i="1"/>
  <c r="A6780" i="1"/>
  <c r="I6780" i="1" s="1"/>
  <c r="H6779" i="1"/>
  <c r="A6779" i="1"/>
  <c r="I6779" i="1" s="1"/>
  <c r="I6778" i="1"/>
  <c r="H6778" i="1"/>
  <c r="A6778" i="1"/>
  <c r="I6777" i="1"/>
  <c r="H6777" i="1"/>
  <c r="A6777" i="1"/>
  <c r="H6776" i="1"/>
  <c r="A6776" i="1"/>
  <c r="I6776" i="1" s="1"/>
  <c r="H6775" i="1"/>
  <c r="A6775" i="1"/>
  <c r="I6775" i="1" s="1"/>
  <c r="H6774" i="1"/>
  <c r="A6774" i="1"/>
  <c r="I6774" i="1" s="1"/>
  <c r="H6773" i="1"/>
  <c r="A6773" i="1"/>
  <c r="I6773" i="1" s="1"/>
  <c r="H6772" i="1"/>
  <c r="I6772" i="1" s="1"/>
  <c r="A6772" i="1"/>
  <c r="H6771" i="1"/>
  <c r="A6771" i="1"/>
  <c r="I6771" i="1" s="1"/>
  <c r="I6770" i="1"/>
  <c r="H6770" i="1"/>
  <c r="A6770" i="1"/>
  <c r="I6769" i="1"/>
  <c r="H6769" i="1"/>
  <c r="A6769" i="1"/>
  <c r="H6768" i="1"/>
  <c r="A6768" i="1"/>
  <c r="I6768" i="1" s="1"/>
  <c r="H6767" i="1"/>
  <c r="A6767" i="1"/>
  <c r="I6767" i="1" s="1"/>
  <c r="H6766" i="1"/>
  <c r="A6766" i="1"/>
  <c r="I6766" i="1" s="1"/>
  <c r="H6765" i="1"/>
  <c r="A6765" i="1"/>
  <c r="I6765" i="1" s="1"/>
  <c r="H6764" i="1"/>
  <c r="I6764" i="1" s="1"/>
  <c r="A6764" i="1"/>
  <c r="H6763" i="1"/>
  <c r="A6763" i="1"/>
  <c r="I6763" i="1" s="1"/>
  <c r="I6762" i="1"/>
  <c r="H6762" i="1"/>
  <c r="A6762" i="1"/>
  <c r="I6761" i="1"/>
  <c r="H6761" i="1"/>
  <c r="A6761" i="1"/>
  <c r="H6760" i="1"/>
  <c r="A6760" i="1"/>
  <c r="I6760" i="1" s="1"/>
  <c r="H6759" i="1"/>
  <c r="A6759" i="1"/>
  <c r="I6759" i="1" s="1"/>
  <c r="H6758" i="1"/>
  <c r="A6758" i="1"/>
  <c r="I6758" i="1" s="1"/>
  <c r="H6757" i="1"/>
  <c r="A6757" i="1"/>
  <c r="I6757" i="1" s="1"/>
  <c r="H6756" i="1"/>
  <c r="I6756" i="1" s="1"/>
  <c r="A6756" i="1"/>
  <c r="H6755" i="1"/>
  <c r="A6755" i="1"/>
  <c r="I6755" i="1" s="1"/>
  <c r="I6754" i="1"/>
  <c r="H6754" i="1"/>
  <c r="A6754" i="1"/>
  <c r="I6753" i="1"/>
  <c r="H6753" i="1"/>
  <c r="A6753" i="1"/>
  <c r="H6752" i="1"/>
  <c r="A6752" i="1"/>
  <c r="I6752" i="1" s="1"/>
  <c r="H6751" i="1"/>
  <c r="A6751" i="1"/>
  <c r="I6751" i="1" s="1"/>
  <c r="H6750" i="1"/>
  <c r="A6750" i="1"/>
  <c r="I6750" i="1" s="1"/>
  <c r="H6749" i="1"/>
  <c r="A6749" i="1"/>
  <c r="I6749" i="1" s="1"/>
  <c r="H6748" i="1"/>
  <c r="I6748" i="1" s="1"/>
  <c r="A6748" i="1"/>
  <c r="H6747" i="1"/>
  <c r="I6747" i="1" s="1"/>
  <c r="A6747" i="1"/>
  <c r="I6746" i="1"/>
  <c r="H6746" i="1"/>
  <c r="A6746" i="1"/>
  <c r="I6745" i="1"/>
  <c r="H6745" i="1"/>
  <c r="A6745" i="1"/>
  <c r="H6744" i="1"/>
  <c r="A6744" i="1"/>
  <c r="I6744" i="1" s="1"/>
  <c r="H6743" i="1"/>
  <c r="A6743" i="1"/>
  <c r="I6743" i="1" s="1"/>
  <c r="H6742" i="1"/>
  <c r="A6742" i="1"/>
  <c r="I6742" i="1" s="1"/>
  <c r="H6741" i="1"/>
  <c r="A6741" i="1"/>
  <c r="I6741" i="1" s="1"/>
  <c r="H6740" i="1"/>
  <c r="I6740" i="1" s="1"/>
  <c r="A6740" i="1"/>
  <c r="H6739" i="1"/>
  <c r="A6739" i="1"/>
  <c r="I6739" i="1" s="1"/>
  <c r="I6738" i="1"/>
  <c r="H6738" i="1"/>
  <c r="A6738" i="1"/>
  <c r="I6737" i="1"/>
  <c r="H6737" i="1"/>
  <c r="A6737" i="1"/>
  <c r="H6736" i="1"/>
  <c r="A6736" i="1"/>
  <c r="I6736" i="1" s="1"/>
  <c r="H6735" i="1"/>
  <c r="A6735" i="1"/>
  <c r="I6735" i="1" s="1"/>
  <c r="H6734" i="1"/>
  <c r="A6734" i="1"/>
  <c r="I6734" i="1" s="1"/>
  <c r="H6733" i="1"/>
  <c r="A6733" i="1"/>
  <c r="I6733" i="1" s="1"/>
  <c r="H6732" i="1"/>
  <c r="I6732" i="1" s="1"/>
  <c r="A6732" i="1"/>
  <c r="H6731" i="1"/>
  <c r="A6731" i="1"/>
  <c r="I6731" i="1" s="1"/>
  <c r="I6730" i="1"/>
  <c r="H6730" i="1"/>
  <c r="A6730" i="1"/>
  <c r="I6729" i="1"/>
  <c r="H6729" i="1"/>
  <c r="A6729" i="1"/>
  <c r="H6728" i="1"/>
  <c r="A6728" i="1"/>
  <c r="I6728" i="1" s="1"/>
  <c r="H6727" i="1"/>
  <c r="A6727" i="1"/>
  <c r="I6727" i="1" s="1"/>
  <c r="H6726" i="1"/>
  <c r="A6726" i="1"/>
  <c r="I6726" i="1" s="1"/>
  <c r="H6725" i="1"/>
  <c r="A6725" i="1"/>
  <c r="I6725" i="1" s="1"/>
  <c r="H6724" i="1"/>
  <c r="I6724" i="1" s="1"/>
  <c r="A6724" i="1"/>
  <c r="H6723" i="1"/>
  <c r="A6723" i="1"/>
  <c r="I6723" i="1" s="1"/>
  <c r="I6722" i="1"/>
  <c r="H6722" i="1"/>
  <c r="A6722" i="1"/>
  <c r="I6721" i="1"/>
  <c r="H6721" i="1"/>
  <c r="A6721" i="1"/>
  <c r="H6720" i="1"/>
  <c r="A6720" i="1"/>
  <c r="I6720" i="1" s="1"/>
  <c r="H6719" i="1"/>
  <c r="A6719" i="1"/>
  <c r="I6719" i="1" s="1"/>
  <c r="H6718" i="1"/>
  <c r="A6718" i="1"/>
  <c r="I6718" i="1" s="1"/>
  <c r="H6717" i="1"/>
  <c r="A6717" i="1"/>
  <c r="I6717" i="1" s="1"/>
  <c r="H6716" i="1"/>
  <c r="I6716" i="1" s="1"/>
  <c r="A6716" i="1"/>
  <c r="H6715" i="1"/>
  <c r="A6715" i="1"/>
  <c r="I6715" i="1" s="1"/>
  <c r="I6714" i="1"/>
  <c r="H6714" i="1"/>
  <c r="A6714" i="1"/>
  <c r="I6713" i="1"/>
  <c r="H6713" i="1"/>
  <c r="A6713" i="1"/>
  <c r="H6712" i="1"/>
  <c r="A6712" i="1"/>
  <c r="I6712" i="1" s="1"/>
  <c r="H6711" i="1"/>
  <c r="A6711" i="1"/>
  <c r="I6711" i="1" s="1"/>
  <c r="H6710" i="1"/>
  <c r="A6710" i="1"/>
  <c r="I6710" i="1" s="1"/>
  <c r="H6709" i="1"/>
  <c r="A6709" i="1"/>
  <c r="I6709" i="1" s="1"/>
  <c r="H6708" i="1"/>
  <c r="I6708" i="1" s="1"/>
  <c r="A6708" i="1"/>
  <c r="H6707" i="1"/>
  <c r="A6707" i="1"/>
  <c r="I6707" i="1" s="1"/>
  <c r="I6706" i="1"/>
  <c r="H6706" i="1"/>
  <c r="A6706" i="1"/>
  <c r="I6705" i="1"/>
  <c r="H6705" i="1"/>
  <c r="A6705" i="1"/>
  <c r="H6704" i="1"/>
  <c r="A6704" i="1"/>
  <c r="I6704" i="1" s="1"/>
  <c r="H6703" i="1"/>
  <c r="A6703" i="1"/>
  <c r="I6703" i="1" s="1"/>
  <c r="H6702" i="1"/>
  <c r="A6702" i="1"/>
  <c r="I6702" i="1" s="1"/>
  <c r="H6701" i="1"/>
  <c r="A6701" i="1"/>
  <c r="I6701" i="1" s="1"/>
  <c r="H6700" i="1"/>
  <c r="I6700" i="1" s="1"/>
  <c r="A6700" i="1"/>
  <c r="H6699" i="1"/>
  <c r="A6699" i="1"/>
  <c r="I6699" i="1" s="1"/>
  <c r="I6698" i="1"/>
  <c r="H6698" i="1"/>
  <c r="A6698" i="1"/>
  <c r="I6697" i="1"/>
  <c r="H6697" i="1"/>
  <c r="A6697" i="1"/>
  <c r="H6696" i="1"/>
  <c r="A6696" i="1"/>
  <c r="I6696" i="1" s="1"/>
  <c r="H6695" i="1"/>
  <c r="A6695" i="1"/>
  <c r="I6695" i="1" s="1"/>
  <c r="H6694" i="1"/>
  <c r="A6694" i="1"/>
  <c r="I6694" i="1" s="1"/>
  <c r="H6693" i="1"/>
  <c r="A6693" i="1"/>
  <c r="I6693" i="1" s="1"/>
  <c r="H6692" i="1"/>
  <c r="I6692" i="1" s="1"/>
  <c r="A6692" i="1"/>
  <c r="H6691" i="1"/>
  <c r="A6691" i="1"/>
  <c r="I6691" i="1" s="1"/>
  <c r="I6690" i="1"/>
  <c r="H6690" i="1"/>
  <c r="A6690" i="1"/>
  <c r="I6689" i="1"/>
  <c r="H6689" i="1"/>
  <c r="A6689" i="1"/>
  <c r="H6688" i="1"/>
  <c r="A6688" i="1"/>
  <c r="I6688" i="1" s="1"/>
  <c r="H6687" i="1"/>
  <c r="A6687" i="1"/>
  <c r="I6687" i="1" s="1"/>
  <c r="H6686" i="1"/>
  <c r="A6686" i="1"/>
  <c r="I6686" i="1" s="1"/>
  <c r="H6685" i="1"/>
  <c r="A6685" i="1"/>
  <c r="I6685" i="1" s="1"/>
  <c r="H6684" i="1"/>
  <c r="I6684" i="1" s="1"/>
  <c r="A6684" i="1"/>
  <c r="H6683" i="1"/>
  <c r="A6683" i="1"/>
  <c r="I6683" i="1" s="1"/>
  <c r="I6682" i="1"/>
  <c r="H6682" i="1"/>
  <c r="A6682" i="1"/>
  <c r="I6681" i="1"/>
  <c r="H6681" i="1"/>
  <c r="A6681" i="1"/>
  <c r="H6680" i="1"/>
  <c r="A6680" i="1"/>
  <c r="I6680" i="1" s="1"/>
  <c r="H6679" i="1"/>
  <c r="A6679" i="1"/>
  <c r="I6679" i="1" s="1"/>
  <c r="H6678" i="1"/>
  <c r="A6678" i="1"/>
  <c r="I6678" i="1" s="1"/>
  <c r="H6677" i="1"/>
  <c r="A6677" i="1"/>
  <c r="I6677" i="1" s="1"/>
  <c r="H6676" i="1"/>
  <c r="I6676" i="1" s="1"/>
  <c r="A6676" i="1"/>
  <c r="H6675" i="1"/>
  <c r="A6675" i="1"/>
  <c r="I6675" i="1" s="1"/>
  <c r="I6674" i="1"/>
  <c r="H6674" i="1"/>
  <c r="A6674" i="1"/>
  <c r="I6673" i="1"/>
  <c r="H6673" i="1"/>
  <c r="A6673" i="1"/>
  <c r="H6672" i="1"/>
  <c r="A6672" i="1"/>
  <c r="I6672" i="1" s="1"/>
  <c r="H6671" i="1"/>
  <c r="A6671" i="1"/>
  <c r="I6671" i="1" s="1"/>
  <c r="H6670" i="1"/>
  <c r="A6670" i="1"/>
  <c r="I6670" i="1" s="1"/>
  <c r="H6669" i="1"/>
  <c r="A6669" i="1"/>
  <c r="I6669" i="1" s="1"/>
  <c r="H6668" i="1"/>
  <c r="I6668" i="1" s="1"/>
  <c r="A6668" i="1"/>
  <c r="H6667" i="1"/>
  <c r="A6667" i="1"/>
  <c r="I6667" i="1" s="1"/>
  <c r="I6666" i="1"/>
  <c r="H6666" i="1"/>
  <c r="A6666" i="1"/>
  <c r="I6665" i="1"/>
  <c r="H6665" i="1"/>
  <c r="A6665" i="1"/>
  <c r="H6664" i="1"/>
  <c r="A6664" i="1"/>
  <c r="I6664" i="1" s="1"/>
  <c r="H6663" i="1"/>
  <c r="A6663" i="1"/>
  <c r="I6663" i="1" s="1"/>
  <c r="H6662" i="1"/>
  <c r="A6662" i="1"/>
  <c r="I6662" i="1" s="1"/>
  <c r="H6661" i="1"/>
  <c r="A6661" i="1"/>
  <c r="I6661" i="1" s="1"/>
  <c r="H6660" i="1"/>
  <c r="I6660" i="1" s="1"/>
  <c r="A6660" i="1"/>
  <c r="H6659" i="1"/>
  <c r="A6659" i="1"/>
  <c r="I6659" i="1" s="1"/>
  <c r="I6658" i="1"/>
  <c r="H6658" i="1"/>
  <c r="A6658" i="1"/>
  <c r="I6657" i="1"/>
  <c r="H6657" i="1"/>
  <c r="A6657" i="1"/>
  <c r="H6656" i="1"/>
  <c r="A6656" i="1"/>
  <c r="I6656" i="1" s="1"/>
  <c r="H6655" i="1"/>
  <c r="A6655" i="1"/>
  <c r="I6655" i="1" s="1"/>
  <c r="H6654" i="1"/>
  <c r="A6654" i="1"/>
  <c r="I6654" i="1" s="1"/>
  <c r="H6653" i="1"/>
  <c r="A6653" i="1"/>
  <c r="I6653" i="1" s="1"/>
  <c r="H6652" i="1"/>
  <c r="I6652" i="1" s="1"/>
  <c r="A6652" i="1"/>
  <c r="H6651" i="1"/>
  <c r="A6651" i="1"/>
  <c r="I6651" i="1" s="1"/>
  <c r="I6650" i="1"/>
  <c r="H6650" i="1"/>
  <c r="A6650" i="1"/>
  <c r="I6649" i="1"/>
  <c r="H6649" i="1"/>
  <c r="A6649" i="1"/>
  <c r="H6648" i="1"/>
  <c r="A6648" i="1"/>
  <c r="I6648" i="1" s="1"/>
  <c r="H6647" i="1"/>
  <c r="A6647" i="1"/>
  <c r="I6647" i="1" s="1"/>
  <c r="H6646" i="1"/>
  <c r="A6646" i="1"/>
  <c r="I6646" i="1" s="1"/>
  <c r="H6645" i="1"/>
  <c r="A6645" i="1"/>
  <c r="I6645" i="1" s="1"/>
  <c r="H6644" i="1"/>
  <c r="I6644" i="1" s="1"/>
  <c r="A6644" i="1"/>
  <c r="H6643" i="1"/>
  <c r="A6643" i="1"/>
  <c r="I6643" i="1" s="1"/>
  <c r="I6642" i="1"/>
  <c r="H6642" i="1"/>
  <c r="A6642" i="1"/>
  <c r="I6641" i="1"/>
  <c r="H6641" i="1"/>
  <c r="A6641" i="1"/>
  <c r="H6640" i="1"/>
  <c r="A6640" i="1"/>
  <c r="I6640" i="1" s="1"/>
  <c r="H6639" i="1"/>
  <c r="A6639" i="1"/>
  <c r="I6639" i="1" s="1"/>
  <c r="H6638" i="1"/>
  <c r="A6638" i="1"/>
  <c r="I6638" i="1" s="1"/>
  <c r="H6637" i="1"/>
  <c r="A6637" i="1"/>
  <c r="I6637" i="1" s="1"/>
  <c r="H6636" i="1"/>
  <c r="I6636" i="1" s="1"/>
  <c r="A6636" i="1"/>
  <c r="H6635" i="1"/>
  <c r="A6635" i="1"/>
  <c r="I6635" i="1" s="1"/>
  <c r="I6634" i="1"/>
  <c r="H6634" i="1"/>
  <c r="A6634" i="1"/>
  <c r="I6633" i="1"/>
  <c r="H6633" i="1"/>
  <c r="A6633" i="1"/>
  <c r="H6632" i="1"/>
  <c r="A6632" i="1"/>
  <c r="I6632" i="1" s="1"/>
  <c r="H6631" i="1"/>
  <c r="A6631" i="1"/>
  <c r="I6631" i="1" s="1"/>
  <c r="H6630" i="1"/>
  <c r="A6630" i="1"/>
  <c r="I6630" i="1" s="1"/>
  <c r="H6629" i="1"/>
  <c r="A6629" i="1"/>
  <c r="I6629" i="1" s="1"/>
  <c r="H6628" i="1"/>
  <c r="I6628" i="1" s="1"/>
  <c r="A6628" i="1"/>
  <c r="H6627" i="1"/>
  <c r="A6627" i="1"/>
  <c r="I6627" i="1" s="1"/>
  <c r="I6626" i="1"/>
  <c r="H6626" i="1"/>
  <c r="A6626" i="1"/>
  <c r="I6625" i="1"/>
  <c r="H6625" i="1"/>
  <c r="A6625" i="1"/>
  <c r="H6624" i="1"/>
  <c r="A6624" i="1"/>
  <c r="I6624" i="1" s="1"/>
  <c r="H6623" i="1"/>
  <c r="A6623" i="1"/>
  <c r="I6623" i="1" s="1"/>
  <c r="H6622" i="1"/>
  <c r="A6622" i="1"/>
  <c r="I6622" i="1" s="1"/>
  <c r="H6621" i="1"/>
  <c r="A6621" i="1"/>
  <c r="I6621" i="1" s="1"/>
  <c r="H6620" i="1"/>
  <c r="I6620" i="1" s="1"/>
  <c r="A6620" i="1"/>
  <c r="H6619" i="1"/>
  <c r="A6619" i="1"/>
  <c r="I6619" i="1" s="1"/>
  <c r="I6618" i="1"/>
  <c r="H6618" i="1"/>
  <c r="A6618" i="1"/>
  <c r="I6617" i="1"/>
  <c r="H6617" i="1"/>
  <c r="A6617" i="1"/>
  <c r="H6616" i="1"/>
  <c r="A6616" i="1"/>
  <c r="I6616" i="1" s="1"/>
  <c r="H6615" i="1"/>
  <c r="A6615" i="1"/>
  <c r="I6615" i="1" s="1"/>
  <c r="H6614" i="1"/>
  <c r="A6614" i="1"/>
  <c r="I6614" i="1" s="1"/>
  <c r="H6613" i="1"/>
  <c r="A6613" i="1"/>
  <c r="I6613" i="1" s="1"/>
  <c r="H6612" i="1"/>
  <c r="I6612" i="1" s="1"/>
  <c r="A6612" i="1"/>
  <c r="H6611" i="1"/>
  <c r="A6611" i="1"/>
  <c r="I6611" i="1" s="1"/>
  <c r="I6610" i="1"/>
  <c r="H6610" i="1"/>
  <c r="A6610" i="1"/>
  <c r="I6609" i="1"/>
  <c r="H6609" i="1"/>
  <c r="A6609" i="1"/>
  <c r="H6608" i="1"/>
  <c r="A6608" i="1"/>
  <c r="I6608" i="1" s="1"/>
  <c r="H6607" i="1"/>
  <c r="A6607" i="1"/>
  <c r="I6607" i="1" s="1"/>
  <c r="H6606" i="1"/>
  <c r="A6606" i="1"/>
  <c r="I6606" i="1" s="1"/>
  <c r="H6605" i="1"/>
  <c r="A6605" i="1"/>
  <c r="I6605" i="1" s="1"/>
  <c r="H6604" i="1"/>
  <c r="I6604" i="1" s="1"/>
  <c r="A6604" i="1"/>
  <c r="H6603" i="1"/>
  <c r="A6603" i="1"/>
  <c r="I6603" i="1" s="1"/>
  <c r="I6602" i="1"/>
  <c r="H6602" i="1"/>
  <c r="A6602" i="1"/>
  <c r="I6601" i="1"/>
  <c r="H6601" i="1"/>
  <c r="A6601" i="1"/>
  <c r="H6600" i="1"/>
  <c r="A6600" i="1"/>
  <c r="I6600" i="1" s="1"/>
  <c r="H6599" i="1"/>
  <c r="A6599" i="1"/>
  <c r="I6599" i="1" s="1"/>
  <c r="H6598" i="1"/>
  <c r="A6598" i="1"/>
  <c r="I6598" i="1" s="1"/>
  <c r="H6597" i="1"/>
  <c r="A6597" i="1"/>
  <c r="I6597" i="1" s="1"/>
  <c r="H6596" i="1"/>
  <c r="I6596" i="1" s="1"/>
  <c r="A6596" i="1"/>
  <c r="H6595" i="1"/>
  <c r="A6595" i="1"/>
  <c r="I6595" i="1" s="1"/>
  <c r="I6594" i="1"/>
  <c r="H6594" i="1"/>
  <c r="A6594" i="1"/>
  <c r="I6593" i="1"/>
  <c r="H6593" i="1"/>
  <c r="A6593" i="1"/>
  <c r="H6592" i="1"/>
  <c r="A6592" i="1"/>
  <c r="I6592" i="1" s="1"/>
  <c r="H6591" i="1"/>
  <c r="A6591" i="1"/>
  <c r="I6591" i="1" s="1"/>
  <c r="H6590" i="1"/>
  <c r="A6590" i="1"/>
  <c r="I6590" i="1" s="1"/>
  <c r="H6589" i="1"/>
  <c r="A6589" i="1"/>
  <c r="I6589" i="1" s="1"/>
  <c r="H6588" i="1"/>
  <c r="I6588" i="1" s="1"/>
  <c r="A6588" i="1"/>
  <c r="H6587" i="1"/>
  <c r="A6587" i="1"/>
  <c r="I6587" i="1" s="1"/>
  <c r="I6586" i="1"/>
  <c r="H6586" i="1"/>
  <c r="A6586" i="1"/>
  <c r="I6585" i="1"/>
  <c r="H6585" i="1"/>
  <c r="A6585" i="1"/>
  <c r="H6584" i="1"/>
  <c r="A6584" i="1"/>
  <c r="I6584" i="1" s="1"/>
  <c r="H6583" i="1"/>
  <c r="A6583" i="1"/>
  <c r="I6583" i="1" s="1"/>
  <c r="H6582" i="1"/>
  <c r="A6582" i="1"/>
  <c r="I6582" i="1" s="1"/>
  <c r="H6581" i="1"/>
  <c r="A6581" i="1"/>
  <c r="I6581" i="1" s="1"/>
  <c r="H6580" i="1"/>
  <c r="I6580" i="1" s="1"/>
  <c r="A6580" i="1"/>
  <c r="H6579" i="1"/>
  <c r="A6579" i="1"/>
  <c r="I6579" i="1" s="1"/>
  <c r="I6578" i="1"/>
  <c r="H6578" i="1"/>
  <c r="A6578" i="1"/>
  <c r="I6577" i="1"/>
  <c r="H6577" i="1"/>
  <c r="A6577" i="1"/>
  <c r="H6576" i="1"/>
  <c r="A6576" i="1"/>
  <c r="I6576" i="1" s="1"/>
  <c r="H6575" i="1"/>
  <c r="A6575" i="1"/>
  <c r="I6575" i="1" s="1"/>
  <c r="H6574" i="1"/>
  <c r="A6574" i="1"/>
  <c r="I6574" i="1" s="1"/>
  <c r="H6573" i="1"/>
  <c r="A6573" i="1"/>
  <c r="I6573" i="1" s="1"/>
  <c r="H6572" i="1"/>
  <c r="I6572" i="1" s="1"/>
  <c r="A6572" i="1"/>
  <c r="H6571" i="1"/>
  <c r="A6571" i="1"/>
  <c r="I6571" i="1" s="1"/>
  <c r="I6570" i="1"/>
  <c r="H6570" i="1"/>
  <c r="A6570" i="1"/>
  <c r="I6569" i="1"/>
  <c r="H6569" i="1"/>
  <c r="A6569" i="1"/>
  <c r="H6568" i="1"/>
  <c r="A6568" i="1"/>
  <c r="I6568" i="1" s="1"/>
  <c r="H6567" i="1"/>
  <c r="A6567" i="1"/>
  <c r="I6567" i="1" s="1"/>
  <c r="H6566" i="1"/>
  <c r="A6566" i="1"/>
  <c r="I6566" i="1" s="1"/>
  <c r="H6565" i="1"/>
  <c r="A6565" i="1"/>
  <c r="I6565" i="1" s="1"/>
  <c r="H6564" i="1"/>
  <c r="I6564" i="1" s="1"/>
  <c r="A6564" i="1"/>
  <c r="H6563" i="1"/>
  <c r="A6563" i="1"/>
  <c r="I6563" i="1" s="1"/>
  <c r="I6562" i="1"/>
  <c r="H6562" i="1"/>
  <c r="A6562" i="1"/>
  <c r="I6561" i="1"/>
  <c r="H6561" i="1"/>
  <c r="A6561" i="1"/>
  <c r="H6560" i="1"/>
  <c r="A6560" i="1"/>
  <c r="I6560" i="1" s="1"/>
  <c r="H6559" i="1"/>
  <c r="A6559" i="1"/>
  <c r="I6559" i="1" s="1"/>
  <c r="H6558" i="1"/>
  <c r="A6558" i="1"/>
  <c r="I6558" i="1" s="1"/>
  <c r="H6557" i="1"/>
  <c r="A6557" i="1"/>
  <c r="I6557" i="1" s="1"/>
  <c r="H6556" i="1"/>
  <c r="I6556" i="1" s="1"/>
  <c r="A6556" i="1"/>
  <c r="H6555" i="1"/>
  <c r="A6555" i="1"/>
  <c r="I6555" i="1" s="1"/>
  <c r="I6554" i="1"/>
  <c r="H6554" i="1"/>
  <c r="A6554" i="1"/>
  <c r="I6553" i="1"/>
  <c r="H6553" i="1"/>
  <c r="A6553" i="1"/>
  <c r="H6552" i="1"/>
  <c r="A6552" i="1"/>
  <c r="I6552" i="1" s="1"/>
  <c r="H6551" i="1"/>
  <c r="A6551" i="1"/>
  <c r="I6551" i="1" s="1"/>
  <c r="H6550" i="1"/>
  <c r="A6550" i="1"/>
  <c r="I6550" i="1" s="1"/>
  <c r="H6549" i="1"/>
  <c r="A6549" i="1"/>
  <c r="I6549" i="1" s="1"/>
  <c r="H6548" i="1"/>
  <c r="I6548" i="1" s="1"/>
  <c r="A6548" i="1"/>
  <c r="H6547" i="1"/>
  <c r="A6547" i="1"/>
  <c r="I6547" i="1" s="1"/>
  <c r="I6546" i="1"/>
  <c r="H6546" i="1"/>
  <c r="A6546" i="1"/>
  <c r="I6545" i="1"/>
  <c r="H6545" i="1"/>
  <c r="A6545" i="1"/>
  <c r="H6544" i="1"/>
  <c r="A6544" i="1"/>
  <c r="I6544" i="1" s="1"/>
  <c r="H6543" i="1"/>
  <c r="A6543" i="1"/>
  <c r="I6543" i="1" s="1"/>
  <c r="H6542" i="1"/>
  <c r="A6542" i="1"/>
  <c r="I6542" i="1" s="1"/>
  <c r="H6541" i="1"/>
  <c r="A6541" i="1"/>
  <c r="I6541" i="1" s="1"/>
  <c r="H6540" i="1"/>
  <c r="I6540" i="1" s="1"/>
  <c r="A6540" i="1"/>
  <c r="H6539" i="1"/>
  <c r="A6539" i="1"/>
  <c r="I6539" i="1" s="1"/>
  <c r="I6538" i="1"/>
  <c r="H6538" i="1"/>
  <c r="A6538" i="1"/>
  <c r="I6537" i="1"/>
  <c r="H6537" i="1"/>
  <c r="A6537" i="1"/>
  <c r="H6536" i="1"/>
  <c r="A6536" i="1"/>
  <c r="I6536" i="1" s="1"/>
  <c r="H6535" i="1"/>
  <c r="A6535" i="1"/>
  <c r="I6535" i="1" s="1"/>
  <c r="H6534" i="1"/>
  <c r="A6534" i="1"/>
  <c r="I6534" i="1" s="1"/>
  <c r="H6533" i="1"/>
  <c r="A6533" i="1"/>
  <c r="I6533" i="1" s="1"/>
  <c r="H6532" i="1"/>
  <c r="I6532" i="1" s="1"/>
  <c r="A6532" i="1"/>
  <c r="H6531" i="1"/>
  <c r="A6531" i="1"/>
  <c r="I6531" i="1" s="1"/>
  <c r="I6530" i="1"/>
  <c r="H6530" i="1"/>
  <c r="A6530" i="1"/>
  <c r="I6529" i="1"/>
  <c r="H6529" i="1"/>
  <c r="A6529" i="1"/>
  <c r="H6528" i="1"/>
  <c r="A6528" i="1"/>
  <c r="I6528" i="1" s="1"/>
  <c r="H6527" i="1"/>
  <c r="A6527" i="1"/>
  <c r="I6527" i="1" s="1"/>
  <c r="H6526" i="1"/>
  <c r="A6526" i="1"/>
  <c r="I6526" i="1" s="1"/>
  <c r="H6525" i="1"/>
  <c r="A6525" i="1"/>
  <c r="I6525" i="1" s="1"/>
  <c r="H6524" i="1"/>
  <c r="I6524" i="1" s="1"/>
  <c r="A6524" i="1"/>
  <c r="H6523" i="1"/>
  <c r="A6523" i="1"/>
  <c r="I6523" i="1" s="1"/>
  <c r="I6522" i="1"/>
  <c r="H6522" i="1"/>
  <c r="A6522" i="1"/>
  <c r="I6521" i="1"/>
  <c r="H6521" i="1"/>
  <c r="A6521" i="1"/>
  <c r="H6520" i="1"/>
  <c r="A6520" i="1"/>
  <c r="I6520" i="1" s="1"/>
  <c r="H6519" i="1"/>
  <c r="A6519" i="1"/>
  <c r="I6519" i="1" s="1"/>
  <c r="H6518" i="1"/>
  <c r="A6518" i="1"/>
  <c r="I6518" i="1" s="1"/>
  <c r="H6517" i="1"/>
  <c r="A6517" i="1"/>
  <c r="I6517" i="1" s="1"/>
  <c r="H6516" i="1"/>
  <c r="I6516" i="1" s="1"/>
  <c r="A6516" i="1"/>
  <c r="H6515" i="1"/>
  <c r="A6515" i="1"/>
  <c r="I6515" i="1" s="1"/>
  <c r="I6514" i="1"/>
  <c r="H6514" i="1"/>
  <c r="A6514" i="1"/>
  <c r="I6513" i="1"/>
  <c r="H6513" i="1"/>
  <c r="A6513" i="1"/>
  <c r="H6512" i="1"/>
  <c r="A6512" i="1"/>
  <c r="I6512" i="1" s="1"/>
  <c r="H6511" i="1"/>
  <c r="A6511" i="1"/>
  <c r="I6511" i="1" s="1"/>
  <c r="H6510" i="1"/>
  <c r="A6510" i="1"/>
  <c r="I6510" i="1" s="1"/>
  <c r="H6509" i="1"/>
  <c r="A6509" i="1"/>
  <c r="I6509" i="1" s="1"/>
  <c r="H6508" i="1"/>
  <c r="I6508" i="1" s="1"/>
  <c r="A6508" i="1"/>
  <c r="H6507" i="1"/>
  <c r="A6507" i="1"/>
  <c r="I6507" i="1" s="1"/>
  <c r="I6506" i="1"/>
  <c r="H6506" i="1"/>
  <c r="A6506" i="1"/>
  <c r="I6505" i="1"/>
  <c r="H6505" i="1"/>
  <c r="A6505" i="1"/>
  <c r="H6504" i="1"/>
  <c r="A6504" i="1"/>
  <c r="I6504" i="1" s="1"/>
  <c r="H6503" i="1"/>
  <c r="A6503" i="1"/>
  <c r="I6503" i="1" s="1"/>
  <c r="H6502" i="1"/>
  <c r="A6502" i="1"/>
  <c r="I6502" i="1" s="1"/>
  <c r="H6501" i="1"/>
  <c r="A6501" i="1"/>
  <c r="I6501" i="1" s="1"/>
  <c r="H6500" i="1"/>
  <c r="I6500" i="1" s="1"/>
  <c r="A6500" i="1"/>
  <c r="H6499" i="1"/>
  <c r="A6499" i="1"/>
  <c r="I6499" i="1" s="1"/>
  <c r="I6498" i="1"/>
  <c r="H6498" i="1"/>
  <c r="A6498" i="1"/>
  <c r="I6497" i="1"/>
  <c r="H6497" i="1"/>
  <c r="A6497" i="1"/>
  <c r="H6496" i="1"/>
  <c r="A6496" i="1"/>
  <c r="I6496" i="1" s="1"/>
  <c r="H6495" i="1"/>
  <c r="A6495" i="1"/>
  <c r="I6495" i="1" s="1"/>
  <c r="H6494" i="1"/>
  <c r="A6494" i="1"/>
  <c r="I6494" i="1" s="1"/>
  <c r="H6493" i="1"/>
  <c r="A6493" i="1"/>
  <c r="I6493" i="1" s="1"/>
  <c r="H6492" i="1"/>
  <c r="I6492" i="1" s="1"/>
  <c r="A6492" i="1"/>
  <c r="H6491" i="1"/>
  <c r="A6491" i="1"/>
  <c r="I6491" i="1" s="1"/>
  <c r="I6490" i="1"/>
  <c r="H6490" i="1"/>
  <c r="A6490" i="1"/>
  <c r="I6489" i="1"/>
  <c r="H6489" i="1"/>
  <c r="A6489" i="1"/>
  <c r="H6488" i="1"/>
  <c r="A6488" i="1"/>
  <c r="I6488" i="1" s="1"/>
  <c r="H6487" i="1"/>
  <c r="A6487" i="1"/>
  <c r="I6487" i="1" s="1"/>
  <c r="H6486" i="1"/>
  <c r="A6486" i="1"/>
  <c r="I6486" i="1" s="1"/>
  <c r="H6485" i="1"/>
  <c r="A6485" i="1"/>
  <c r="I6485" i="1" s="1"/>
  <c r="H6484" i="1"/>
  <c r="I6484" i="1" s="1"/>
  <c r="A6484" i="1"/>
  <c r="H6483" i="1"/>
  <c r="A6483" i="1"/>
  <c r="I6483" i="1" s="1"/>
  <c r="I6482" i="1"/>
  <c r="H6482" i="1"/>
  <c r="A6482" i="1"/>
  <c r="I6481" i="1"/>
  <c r="H6481" i="1"/>
  <c r="A6481" i="1"/>
  <c r="H6480" i="1"/>
  <c r="A6480" i="1"/>
  <c r="I6480" i="1" s="1"/>
  <c r="H6479" i="1"/>
  <c r="A6479" i="1"/>
  <c r="I6479" i="1" s="1"/>
  <c r="H6478" i="1"/>
  <c r="A6478" i="1"/>
  <c r="I6478" i="1" s="1"/>
  <c r="H6477" i="1"/>
  <c r="A6477" i="1"/>
  <c r="I6477" i="1" s="1"/>
  <c r="H6476" i="1"/>
  <c r="I6476" i="1" s="1"/>
  <c r="A6476" i="1"/>
  <c r="H6475" i="1"/>
  <c r="A6475" i="1"/>
  <c r="I6475" i="1" s="1"/>
  <c r="I6474" i="1"/>
  <c r="H6474" i="1"/>
  <c r="A6474" i="1"/>
  <c r="I6473" i="1"/>
  <c r="H6473" i="1"/>
  <c r="A6473" i="1"/>
  <c r="H6472" i="1"/>
  <c r="A6472" i="1"/>
  <c r="I6472" i="1" s="1"/>
  <c r="H6471" i="1"/>
  <c r="A6471" i="1"/>
  <c r="I6471" i="1" s="1"/>
  <c r="H6470" i="1"/>
  <c r="A6470" i="1"/>
  <c r="I6470" i="1" s="1"/>
  <c r="H6469" i="1"/>
  <c r="A6469" i="1"/>
  <c r="I6469" i="1" s="1"/>
  <c r="H6468" i="1"/>
  <c r="I6468" i="1" s="1"/>
  <c r="A6468" i="1"/>
  <c r="H6467" i="1"/>
  <c r="A6467" i="1"/>
  <c r="I6467" i="1" s="1"/>
  <c r="I6466" i="1"/>
  <c r="H6466" i="1"/>
  <c r="A6466" i="1"/>
  <c r="I6465" i="1"/>
  <c r="H6465" i="1"/>
  <c r="A6465" i="1"/>
  <c r="H6464" i="1"/>
  <c r="A6464" i="1"/>
  <c r="I6464" i="1" s="1"/>
  <c r="H6463" i="1"/>
  <c r="A6463" i="1"/>
  <c r="I6463" i="1" s="1"/>
  <c r="H6462" i="1"/>
  <c r="A6462" i="1"/>
  <c r="I6462" i="1" s="1"/>
  <c r="H6461" i="1"/>
  <c r="A6461" i="1"/>
  <c r="I6461" i="1" s="1"/>
  <c r="H6460" i="1"/>
  <c r="I6460" i="1" s="1"/>
  <c r="A6460" i="1"/>
  <c r="H6459" i="1"/>
  <c r="A6459" i="1"/>
  <c r="I6459" i="1" s="1"/>
  <c r="I6458" i="1"/>
  <c r="H6458" i="1"/>
  <c r="A6458" i="1"/>
  <c r="I6457" i="1"/>
  <c r="H6457" i="1"/>
  <c r="A6457" i="1"/>
  <c r="H6456" i="1"/>
  <c r="A6456" i="1"/>
  <c r="I6456" i="1" s="1"/>
  <c r="H6455" i="1"/>
  <c r="A6455" i="1"/>
  <c r="I6455" i="1" s="1"/>
  <c r="H6454" i="1"/>
  <c r="A6454" i="1"/>
  <c r="I6454" i="1" s="1"/>
  <c r="H6453" i="1"/>
  <c r="A6453" i="1"/>
  <c r="I6453" i="1" s="1"/>
  <c r="H6452" i="1"/>
  <c r="I6452" i="1" s="1"/>
  <c r="A6452" i="1"/>
  <c r="H6451" i="1"/>
  <c r="A6451" i="1"/>
  <c r="I6451" i="1" s="1"/>
  <c r="I6450" i="1"/>
  <c r="H6450" i="1"/>
  <c r="A6450" i="1"/>
  <c r="I6449" i="1"/>
  <c r="H6449" i="1"/>
  <c r="A6449" i="1"/>
  <c r="H6448" i="1"/>
  <c r="A6448" i="1"/>
  <c r="I6448" i="1" s="1"/>
  <c r="H6447" i="1"/>
  <c r="A6447" i="1"/>
  <c r="I6447" i="1" s="1"/>
  <c r="H6446" i="1"/>
  <c r="A6446" i="1"/>
  <c r="I6446" i="1" s="1"/>
  <c r="H6445" i="1"/>
  <c r="A6445" i="1"/>
  <c r="I6445" i="1" s="1"/>
  <c r="H6444" i="1"/>
  <c r="I6444" i="1" s="1"/>
  <c r="A6444" i="1"/>
  <c r="H6443" i="1"/>
  <c r="A6443" i="1"/>
  <c r="I6443" i="1" s="1"/>
  <c r="I6442" i="1"/>
  <c r="H6442" i="1"/>
  <c r="A6442" i="1"/>
  <c r="I6441" i="1"/>
  <c r="H6441" i="1"/>
  <c r="A6441" i="1"/>
  <c r="H6440" i="1"/>
  <c r="A6440" i="1"/>
  <c r="I6440" i="1" s="1"/>
  <c r="H6439" i="1"/>
  <c r="A6439" i="1"/>
  <c r="I6439" i="1" s="1"/>
  <c r="H6438" i="1"/>
  <c r="A6438" i="1"/>
  <c r="I6438" i="1" s="1"/>
  <c r="H6437" i="1"/>
  <c r="A6437" i="1"/>
  <c r="I6437" i="1" s="1"/>
  <c r="H6436" i="1"/>
  <c r="I6436" i="1" s="1"/>
  <c r="A6436" i="1"/>
  <c r="H6435" i="1"/>
  <c r="A6435" i="1"/>
  <c r="I6435" i="1" s="1"/>
  <c r="I6434" i="1"/>
  <c r="H6434" i="1"/>
  <c r="A6434" i="1"/>
  <c r="I6433" i="1"/>
  <c r="H6433" i="1"/>
  <c r="A6433" i="1"/>
  <c r="H6432" i="1"/>
  <c r="A6432" i="1"/>
  <c r="I6432" i="1" s="1"/>
  <c r="H6431" i="1"/>
  <c r="A6431" i="1"/>
  <c r="I6431" i="1" s="1"/>
  <c r="H6430" i="1"/>
  <c r="A6430" i="1"/>
  <c r="I6430" i="1" s="1"/>
  <c r="H6429" i="1"/>
  <c r="A6429" i="1"/>
  <c r="I6429" i="1" s="1"/>
  <c r="H6428" i="1"/>
  <c r="I6428" i="1" s="1"/>
  <c r="A6428" i="1"/>
  <c r="H6427" i="1"/>
  <c r="A6427" i="1"/>
  <c r="I6427" i="1" s="1"/>
  <c r="I6426" i="1"/>
  <c r="H6426" i="1"/>
  <c r="A6426" i="1"/>
  <c r="I6425" i="1"/>
  <c r="H6425" i="1"/>
  <c r="A6425" i="1"/>
  <c r="H6424" i="1"/>
  <c r="A6424" i="1"/>
  <c r="I6424" i="1" s="1"/>
  <c r="H6423" i="1"/>
  <c r="A6423" i="1"/>
  <c r="I6423" i="1" s="1"/>
  <c r="H6422" i="1"/>
  <c r="A6422" i="1"/>
  <c r="I6422" i="1" s="1"/>
  <c r="H6421" i="1"/>
  <c r="A6421" i="1"/>
  <c r="I6421" i="1" s="1"/>
  <c r="H6420" i="1"/>
  <c r="I6420" i="1" s="1"/>
  <c r="A6420" i="1"/>
  <c r="H6419" i="1"/>
  <c r="A6419" i="1"/>
  <c r="I6419" i="1" s="1"/>
  <c r="I6418" i="1"/>
  <c r="H6418" i="1"/>
  <c r="A6418" i="1"/>
  <c r="I6417" i="1"/>
  <c r="H6417" i="1"/>
  <c r="A6417" i="1"/>
  <c r="H6416" i="1"/>
  <c r="A6416" i="1"/>
  <c r="I6416" i="1" s="1"/>
  <c r="H6415" i="1"/>
  <c r="A6415" i="1"/>
  <c r="I6415" i="1" s="1"/>
  <c r="H6414" i="1"/>
  <c r="A6414" i="1"/>
  <c r="I6414" i="1" s="1"/>
  <c r="H6413" i="1"/>
  <c r="A6413" i="1"/>
  <c r="I6413" i="1" s="1"/>
  <c r="H6412" i="1"/>
  <c r="I6412" i="1" s="1"/>
  <c r="A6412" i="1"/>
  <c r="H6411" i="1"/>
  <c r="A6411" i="1"/>
  <c r="I6411" i="1" s="1"/>
  <c r="I6410" i="1"/>
  <c r="H6410" i="1"/>
  <c r="A6410" i="1"/>
  <c r="I6409" i="1"/>
  <c r="H6409" i="1"/>
  <c r="A6409" i="1"/>
  <c r="H6408" i="1"/>
  <c r="A6408" i="1"/>
  <c r="I6408" i="1" s="1"/>
  <c r="H6407" i="1"/>
  <c r="A6407" i="1"/>
  <c r="I6407" i="1" s="1"/>
  <c r="H6406" i="1"/>
  <c r="A6406" i="1"/>
  <c r="I6406" i="1" s="1"/>
  <c r="H6405" i="1"/>
  <c r="A6405" i="1"/>
  <c r="I6405" i="1" s="1"/>
  <c r="H6404" i="1"/>
  <c r="I6404" i="1" s="1"/>
  <c r="A6404" i="1"/>
  <c r="H6403" i="1"/>
  <c r="A6403" i="1"/>
  <c r="I6403" i="1" s="1"/>
  <c r="I6402" i="1"/>
  <c r="H6402" i="1"/>
  <c r="A6402" i="1"/>
  <c r="I6401" i="1"/>
  <c r="H6401" i="1"/>
  <c r="A6401" i="1"/>
  <c r="H6400" i="1"/>
  <c r="A6400" i="1"/>
  <c r="I6400" i="1" s="1"/>
  <c r="H6399" i="1"/>
  <c r="A6399" i="1"/>
  <c r="I6399" i="1" s="1"/>
  <c r="H6398" i="1"/>
  <c r="A6398" i="1"/>
  <c r="I6398" i="1" s="1"/>
  <c r="H6397" i="1"/>
  <c r="A6397" i="1"/>
  <c r="I6397" i="1" s="1"/>
  <c r="H6396" i="1"/>
  <c r="I6396" i="1" s="1"/>
  <c r="A6396" i="1"/>
  <c r="H6395" i="1"/>
  <c r="A6395" i="1"/>
  <c r="I6395" i="1" s="1"/>
  <c r="I6394" i="1"/>
  <c r="H6394" i="1"/>
  <c r="A6394" i="1"/>
  <c r="I6393" i="1"/>
  <c r="H6393" i="1"/>
  <c r="A6393" i="1"/>
  <c r="H6392" i="1"/>
  <c r="A6392" i="1"/>
  <c r="I6392" i="1" s="1"/>
  <c r="H6391" i="1"/>
  <c r="A6391" i="1"/>
  <c r="I6391" i="1" s="1"/>
  <c r="H6390" i="1"/>
  <c r="A6390" i="1"/>
  <c r="I6390" i="1" s="1"/>
  <c r="H6389" i="1"/>
  <c r="A6389" i="1"/>
  <c r="I6389" i="1" s="1"/>
  <c r="H6388" i="1"/>
  <c r="I6388" i="1" s="1"/>
  <c r="A6388" i="1"/>
  <c r="H6387" i="1"/>
  <c r="A6387" i="1"/>
  <c r="I6387" i="1" s="1"/>
  <c r="I6386" i="1"/>
  <c r="H6386" i="1"/>
  <c r="A6386" i="1"/>
  <c r="I6385" i="1"/>
  <c r="H6385" i="1"/>
  <c r="A6385" i="1"/>
  <c r="H6384" i="1"/>
  <c r="A6384" i="1"/>
  <c r="I6384" i="1" s="1"/>
  <c r="H6383" i="1"/>
  <c r="A6383" i="1"/>
  <c r="I6383" i="1" s="1"/>
  <c r="H6382" i="1"/>
  <c r="A6382" i="1"/>
  <c r="I6382" i="1" s="1"/>
  <c r="H6381" i="1"/>
  <c r="A6381" i="1"/>
  <c r="I6381" i="1" s="1"/>
  <c r="H6380" i="1"/>
  <c r="I6380" i="1" s="1"/>
  <c r="A6380" i="1"/>
  <c r="H6379" i="1"/>
  <c r="A6379" i="1"/>
  <c r="I6379" i="1" s="1"/>
  <c r="I6378" i="1"/>
  <c r="H6378" i="1"/>
  <c r="A6378" i="1"/>
  <c r="I6377" i="1"/>
  <c r="H6377" i="1"/>
  <c r="A6377" i="1"/>
  <c r="H6376" i="1"/>
  <c r="A6376" i="1"/>
  <c r="I6376" i="1" s="1"/>
  <c r="H6375" i="1"/>
  <c r="A6375" i="1"/>
  <c r="I6375" i="1" s="1"/>
  <c r="H6374" i="1"/>
  <c r="A6374" i="1"/>
  <c r="I6374" i="1" s="1"/>
  <c r="H6373" i="1"/>
  <c r="A6373" i="1"/>
  <c r="I6373" i="1" s="1"/>
  <c r="H6372" i="1"/>
  <c r="I6372" i="1" s="1"/>
  <c r="A6372" i="1"/>
  <c r="H6371" i="1"/>
  <c r="A6371" i="1"/>
  <c r="I6371" i="1" s="1"/>
  <c r="I6370" i="1"/>
  <c r="H6370" i="1"/>
  <c r="A6370" i="1"/>
  <c r="I6369" i="1"/>
  <c r="H6369" i="1"/>
  <c r="A6369" i="1"/>
  <c r="H6368" i="1"/>
  <c r="A6368" i="1"/>
  <c r="I6368" i="1" s="1"/>
  <c r="H6367" i="1"/>
  <c r="A6367" i="1"/>
  <c r="I6367" i="1" s="1"/>
  <c r="H6366" i="1"/>
  <c r="A6366" i="1"/>
  <c r="I6366" i="1" s="1"/>
  <c r="H6365" i="1"/>
  <c r="A6365" i="1"/>
  <c r="I6365" i="1" s="1"/>
  <c r="H6364" i="1"/>
  <c r="I6364" i="1" s="1"/>
  <c r="A6364" i="1"/>
  <c r="H6363" i="1"/>
  <c r="A6363" i="1"/>
  <c r="I6363" i="1" s="1"/>
  <c r="I6362" i="1"/>
  <c r="H6362" i="1"/>
  <c r="A6362" i="1"/>
  <c r="I6361" i="1"/>
  <c r="H6361" i="1"/>
  <c r="A6361" i="1"/>
  <c r="H6360" i="1"/>
  <c r="A6360" i="1"/>
  <c r="I6360" i="1" s="1"/>
  <c r="H6359" i="1"/>
  <c r="A6359" i="1"/>
  <c r="I6359" i="1" s="1"/>
  <c r="H6358" i="1"/>
  <c r="A6358" i="1"/>
  <c r="I6358" i="1" s="1"/>
  <c r="H6357" i="1"/>
  <c r="A6357" i="1"/>
  <c r="I6357" i="1" s="1"/>
  <c r="H6356" i="1"/>
  <c r="I6356" i="1" s="1"/>
  <c r="A6356" i="1"/>
  <c r="H6355" i="1"/>
  <c r="A6355" i="1"/>
  <c r="I6355" i="1" s="1"/>
  <c r="I6354" i="1"/>
  <c r="H6354" i="1"/>
  <c r="A6354" i="1"/>
  <c r="I6353" i="1"/>
  <c r="H6353" i="1"/>
  <c r="A6353" i="1"/>
  <c r="H6352" i="1"/>
  <c r="A6352" i="1"/>
  <c r="I6352" i="1" s="1"/>
  <c r="H6351" i="1"/>
  <c r="A6351" i="1"/>
  <c r="I6351" i="1" s="1"/>
  <c r="H6350" i="1"/>
  <c r="A6350" i="1"/>
  <c r="I6350" i="1" s="1"/>
  <c r="H6349" i="1"/>
  <c r="A6349" i="1"/>
  <c r="I6349" i="1" s="1"/>
  <c r="H6348" i="1"/>
  <c r="I6348" i="1" s="1"/>
  <c r="A6348" i="1"/>
  <c r="H6347" i="1"/>
  <c r="A6347" i="1"/>
  <c r="I6347" i="1" s="1"/>
  <c r="I6346" i="1"/>
  <c r="H6346" i="1"/>
  <c r="A6346" i="1"/>
  <c r="I6345" i="1"/>
  <c r="H6345" i="1"/>
  <c r="A6345" i="1"/>
  <c r="H6344" i="1"/>
  <c r="A6344" i="1"/>
  <c r="I6344" i="1" s="1"/>
  <c r="H6343" i="1"/>
  <c r="A6343" i="1"/>
  <c r="I6343" i="1" s="1"/>
  <c r="H6342" i="1"/>
  <c r="A6342" i="1"/>
  <c r="I6342" i="1" s="1"/>
  <c r="H6341" i="1"/>
  <c r="A6341" i="1"/>
  <c r="I6341" i="1" s="1"/>
  <c r="H6340" i="1"/>
  <c r="I6340" i="1" s="1"/>
  <c r="A6340" i="1"/>
  <c r="H6339" i="1"/>
  <c r="A6339" i="1"/>
  <c r="I6339" i="1" s="1"/>
  <c r="I6338" i="1"/>
  <c r="H6338" i="1"/>
  <c r="A6338" i="1"/>
  <c r="I6337" i="1"/>
  <c r="H6337" i="1"/>
  <c r="A6337" i="1"/>
  <c r="H6336" i="1"/>
  <c r="A6336" i="1"/>
  <c r="I6336" i="1" s="1"/>
  <c r="H6335" i="1"/>
  <c r="A6335" i="1"/>
  <c r="I6335" i="1" s="1"/>
  <c r="H6334" i="1"/>
  <c r="A6334" i="1"/>
  <c r="I6334" i="1" s="1"/>
  <c r="H6333" i="1"/>
  <c r="A6333" i="1"/>
  <c r="I6333" i="1" s="1"/>
  <c r="H6332" i="1"/>
  <c r="I6332" i="1" s="1"/>
  <c r="A6332" i="1"/>
  <c r="H6331" i="1"/>
  <c r="A6331" i="1"/>
  <c r="I6331" i="1" s="1"/>
  <c r="I6330" i="1"/>
  <c r="H6330" i="1"/>
  <c r="A6330" i="1"/>
  <c r="I6329" i="1"/>
  <c r="H6329" i="1"/>
  <c r="A6329" i="1"/>
  <c r="H6328" i="1"/>
  <c r="A6328" i="1"/>
  <c r="I6328" i="1" s="1"/>
  <c r="H6327" i="1"/>
  <c r="A6327" i="1"/>
  <c r="I6327" i="1" s="1"/>
  <c r="H6326" i="1"/>
  <c r="A6326" i="1"/>
  <c r="I6326" i="1" s="1"/>
  <c r="H6325" i="1"/>
  <c r="A6325" i="1"/>
  <c r="I6325" i="1" s="1"/>
  <c r="H6324" i="1"/>
  <c r="A6324" i="1"/>
  <c r="I6324" i="1" s="1"/>
  <c r="H6323" i="1"/>
  <c r="A6323" i="1"/>
  <c r="I6323" i="1" s="1"/>
  <c r="I6322" i="1"/>
  <c r="H6322" i="1"/>
  <c r="A6322" i="1"/>
  <c r="I6321" i="1"/>
  <c r="H6321" i="1"/>
  <c r="A6321" i="1"/>
  <c r="H6320" i="1"/>
  <c r="A6320" i="1"/>
  <c r="I6320" i="1" s="1"/>
  <c r="H6319" i="1"/>
  <c r="A6319" i="1"/>
  <c r="I6319" i="1" s="1"/>
  <c r="H6318" i="1"/>
  <c r="A6318" i="1"/>
  <c r="I6318" i="1" s="1"/>
  <c r="H6317" i="1"/>
  <c r="A6317" i="1"/>
  <c r="I6317" i="1" s="1"/>
  <c r="H6316" i="1"/>
  <c r="A6316" i="1"/>
  <c r="I6316" i="1" s="1"/>
  <c r="H6315" i="1"/>
  <c r="A6315" i="1"/>
  <c r="I6315" i="1" s="1"/>
  <c r="I6314" i="1"/>
  <c r="H6314" i="1"/>
  <c r="A6314" i="1"/>
  <c r="I6313" i="1"/>
  <c r="H6313" i="1"/>
  <c r="A6313" i="1"/>
  <c r="H6312" i="1"/>
  <c r="A6312" i="1"/>
  <c r="I6312" i="1" s="1"/>
  <c r="H6311" i="1"/>
  <c r="A6311" i="1"/>
  <c r="I6311" i="1" s="1"/>
  <c r="H6310" i="1"/>
  <c r="A6310" i="1"/>
  <c r="I6310" i="1" s="1"/>
  <c r="H6309" i="1"/>
  <c r="A6309" i="1"/>
  <c r="I6309" i="1" s="1"/>
  <c r="H6308" i="1"/>
  <c r="A6308" i="1"/>
  <c r="I6308" i="1" s="1"/>
  <c r="H6307" i="1"/>
  <c r="A6307" i="1"/>
  <c r="I6307" i="1" s="1"/>
  <c r="I6306" i="1"/>
  <c r="H6306" i="1"/>
  <c r="A6306" i="1"/>
  <c r="I6305" i="1"/>
  <c r="H6305" i="1"/>
  <c r="A6305" i="1"/>
  <c r="H6304" i="1"/>
  <c r="A6304" i="1"/>
  <c r="I6304" i="1" s="1"/>
  <c r="H6303" i="1"/>
  <c r="A6303" i="1"/>
  <c r="I6303" i="1" s="1"/>
  <c r="H6302" i="1"/>
  <c r="A6302" i="1"/>
  <c r="I6302" i="1" s="1"/>
  <c r="H6301" i="1"/>
  <c r="A6301" i="1"/>
  <c r="I6301" i="1" s="1"/>
  <c r="H6300" i="1"/>
  <c r="A6300" i="1"/>
  <c r="I6300" i="1" s="1"/>
  <c r="H6299" i="1"/>
  <c r="A6299" i="1"/>
  <c r="I6299" i="1" s="1"/>
  <c r="I6298" i="1"/>
  <c r="H6298" i="1"/>
  <c r="A6298" i="1"/>
  <c r="I6297" i="1"/>
  <c r="H6297" i="1"/>
  <c r="A6297" i="1"/>
  <c r="H6296" i="1"/>
  <c r="A6296" i="1"/>
  <c r="I6296" i="1" s="1"/>
  <c r="H6295" i="1"/>
  <c r="A6295" i="1"/>
  <c r="I6295" i="1" s="1"/>
  <c r="H6294" i="1"/>
  <c r="A6294" i="1"/>
  <c r="I6294" i="1" s="1"/>
  <c r="H6293" i="1"/>
  <c r="A6293" i="1"/>
  <c r="I6293" i="1" s="1"/>
  <c r="H6292" i="1"/>
  <c r="A6292" i="1"/>
  <c r="I6292" i="1" s="1"/>
  <c r="H6291" i="1"/>
  <c r="A6291" i="1"/>
  <c r="I6291" i="1" s="1"/>
  <c r="I6290" i="1"/>
  <c r="H6290" i="1"/>
  <c r="A6290" i="1"/>
  <c r="I6289" i="1"/>
  <c r="H6289" i="1"/>
  <c r="A6289" i="1"/>
  <c r="H6288" i="1"/>
  <c r="A6288" i="1"/>
  <c r="I6288" i="1" s="1"/>
  <c r="H6287" i="1"/>
  <c r="A6287" i="1"/>
  <c r="I6287" i="1" s="1"/>
  <c r="H6286" i="1"/>
  <c r="A6286" i="1"/>
  <c r="I6286" i="1" s="1"/>
  <c r="H6285" i="1"/>
  <c r="A6285" i="1"/>
  <c r="I6285" i="1" s="1"/>
  <c r="H6284" i="1"/>
  <c r="A6284" i="1"/>
  <c r="I6284" i="1" s="1"/>
  <c r="H6283" i="1"/>
  <c r="A6283" i="1"/>
  <c r="I6283" i="1" s="1"/>
  <c r="I6282" i="1"/>
  <c r="H6282" i="1"/>
  <c r="A6282" i="1"/>
  <c r="I6281" i="1"/>
  <c r="H6281" i="1"/>
  <c r="A6281" i="1"/>
  <c r="H6280" i="1"/>
  <c r="A6280" i="1"/>
  <c r="I6280" i="1" s="1"/>
  <c r="H6279" i="1"/>
  <c r="A6279" i="1"/>
  <c r="I6279" i="1" s="1"/>
  <c r="H6278" i="1"/>
  <c r="A6278" i="1"/>
  <c r="I6278" i="1" s="1"/>
  <c r="H6277" i="1"/>
  <c r="A6277" i="1"/>
  <c r="I6277" i="1" s="1"/>
  <c r="H6276" i="1"/>
  <c r="I6276" i="1" s="1"/>
  <c r="A6276" i="1"/>
  <c r="H6275" i="1"/>
  <c r="I6275" i="1" s="1"/>
  <c r="A6275" i="1"/>
  <c r="I6274" i="1"/>
  <c r="H6274" i="1"/>
  <c r="A6274" i="1"/>
  <c r="I6273" i="1"/>
  <c r="H6273" i="1"/>
  <c r="A6273" i="1"/>
  <c r="H6272" i="1"/>
  <c r="A6272" i="1"/>
  <c r="I6272" i="1" s="1"/>
  <c r="H6271" i="1"/>
  <c r="A6271" i="1"/>
  <c r="I6271" i="1" s="1"/>
  <c r="H6270" i="1"/>
  <c r="A6270" i="1"/>
  <c r="I6270" i="1" s="1"/>
  <c r="H6269" i="1"/>
  <c r="A6269" i="1"/>
  <c r="I6269" i="1" s="1"/>
  <c r="H6268" i="1"/>
  <c r="I6268" i="1" s="1"/>
  <c r="A6268" i="1"/>
  <c r="H6267" i="1"/>
  <c r="A6267" i="1"/>
  <c r="I6267" i="1" s="1"/>
  <c r="I6266" i="1"/>
  <c r="H6266" i="1"/>
  <c r="A6266" i="1"/>
  <c r="I6265" i="1"/>
  <c r="H6265" i="1"/>
  <c r="A6265" i="1"/>
  <c r="H6264" i="1"/>
  <c r="A6264" i="1"/>
  <c r="I6264" i="1" s="1"/>
  <c r="H6263" i="1"/>
  <c r="A6263" i="1"/>
  <c r="I6263" i="1" s="1"/>
  <c r="H6262" i="1"/>
  <c r="A6262" i="1"/>
  <c r="I6262" i="1" s="1"/>
  <c r="H6261" i="1"/>
  <c r="A6261" i="1"/>
  <c r="I6261" i="1" s="1"/>
  <c r="H6260" i="1"/>
  <c r="I6260" i="1" s="1"/>
  <c r="A6260" i="1"/>
  <c r="H6259" i="1"/>
  <c r="A6259" i="1"/>
  <c r="I6259" i="1" s="1"/>
  <c r="I6258" i="1"/>
  <c r="H6258" i="1"/>
  <c r="A6258" i="1"/>
  <c r="I6257" i="1"/>
  <c r="H6257" i="1"/>
  <c r="A6257" i="1"/>
  <c r="H6256" i="1"/>
  <c r="A6256" i="1"/>
  <c r="I6256" i="1" s="1"/>
  <c r="H6255" i="1"/>
  <c r="A6255" i="1"/>
  <c r="I6255" i="1" s="1"/>
  <c r="H6254" i="1"/>
  <c r="A6254" i="1"/>
  <c r="I6254" i="1" s="1"/>
  <c r="H6253" i="1"/>
  <c r="A6253" i="1"/>
  <c r="I6253" i="1" s="1"/>
  <c r="H6252" i="1"/>
  <c r="I6252" i="1" s="1"/>
  <c r="A6252" i="1"/>
  <c r="H6251" i="1"/>
  <c r="A6251" i="1"/>
  <c r="I6251" i="1" s="1"/>
  <c r="I6250" i="1"/>
  <c r="H6250" i="1"/>
  <c r="A6250" i="1"/>
  <c r="I6249" i="1"/>
  <c r="H6249" i="1"/>
  <c r="A6249" i="1"/>
  <c r="H6248" i="1"/>
  <c r="A6248" i="1"/>
  <c r="I6248" i="1" s="1"/>
  <c r="H6247" i="1"/>
  <c r="A6247" i="1"/>
  <c r="I6247" i="1" s="1"/>
  <c r="H6246" i="1"/>
  <c r="A6246" i="1"/>
  <c r="I6246" i="1" s="1"/>
  <c r="H6245" i="1"/>
  <c r="A6245" i="1"/>
  <c r="I6245" i="1" s="1"/>
  <c r="H6244" i="1"/>
  <c r="I6244" i="1" s="1"/>
  <c r="A6244" i="1"/>
  <c r="H6243" i="1"/>
  <c r="A6243" i="1"/>
  <c r="I6243" i="1" s="1"/>
  <c r="I6242" i="1"/>
  <c r="H6242" i="1"/>
  <c r="A6242" i="1"/>
  <c r="I6241" i="1"/>
  <c r="H6241" i="1"/>
  <c r="A6241" i="1"/>
  <c r="H6240" i="1"/>
  <c r="A6240" i="1"/>
  <c r="I6240" i="1" s="1"/>
  <c r="H6239" i="1"/>
  <c r="A6239" i="1"/>
  <c r="I6239" i="1" s="1"/>
  <c r="H6238" i="1"/>
  <c r="A6238" i="1"/>
  <c r="I6238" i="1" s="1"/>
  <c r="H6237" i="1"/>
  <c r="A6237" i="1"/>
  <c r="I6237" i="1" s="1"/>
  <c r="H6236" i="1"/>
  <c r="I6236" i="1" s="1"/>
  <c r="A6236" i="1"/>
  <c r="H6235" i="1"/>
  <c r="A6235" i="1"/>
  <c r="I6235" i="1" s="1"/>
  <c r="I6234" i="1"/>
  <c r="H6234" i="1"/>
  <c r="A6234" i="1"/>
  <c r="I6233" i="1"/>
  <c r="H6233" i="1"/>
  <c r="A6233" i="1"/>
  <c r="H6232" i="1"/>
  <c r="A6232" i="1"/>
  <c r="I6232" i="1" s="1"/>
  <c r="H6231" i="1"/>
  <c r="A6231" i="1"/>
  <c r="I6231" i="1" s="1"/>
  <c r="H6230" i="1"/>
  <c r="A6230" i="1"/>
  <c r="I6230" i="1" s="1"/>
  <c r="H6229" i="1"/>
  <c r="A6229" i="1"/>
  <c r="I6229" i="1" s="1"/>
  <c r="H6228" i="1"/>
  <c r="I6228" i="1" s="1"/>
  <c r="A6228" i="1"/>
  <c r="H6227" i="1"/>
  <c r="A6227" i="1"/>
  <c r="I6227" i="1" s="1"/>
  <c r="I6226" i="1"/>
  <c r="H6226" i="1"/>
  <c r="A6226" i="1"/>
  <c r="I6225" i="1"/>
  <c r="H6225" i="1"/>
  <c r="A6225" i="1"/>
  <c r="H6224" i="1"/>
  <c r="A6224" i="1"/>
  <c r="I6224" i="1" s="1"/>
  <c r="H6223" i="1"/>
  <c r="A6223" i="1"/>
  <c r="I6223" i="1" s="1"/>
  <c r="H6222" i="1"/>
  <c r="A6222" i="1"/>
  <c r="I6222" i="1" s="1"/>
  <c r="H6221" i="1"/>
  <c r="A6221" i="1"/>
  <c r="I6221" i="1" s="1"/>
  <c r="H6220" i="1"/>
  <c r="I6220" i="1" s="1"/>
  <c r="A6220" i="1"/>
  <c r="H6219" i="1"/>
  <c r="A6219" i="1"/>
  <c r="I6219" i="1" s="1"/>
  <c r="I6218" i="1"/>
  <c r="H6218" i="1"/>
  <c r="A6218" i="1"/>
  <c r="I6217" i="1"/>
  <c r="H6217" i="1"/>
  <c r="A6217" i="1"/>
  <c r="H6216" i="1"/>
  <c r="A6216" i="1"/>
  <c r="I6216" i="1" s="1"/>
  <c r="H6215" i="1"/>
  <c r="A6215" i="1"/>
  <c r="I6215" i="1" s="1"/>
  <c r="H6214" i="1"/>
  <c r="A6214" i="1"/>
  <c r="I6214" i="1" s="1"/>
  <c r="H6213" i="1"/>
  <c r="A6213" i="1"/>
  <c r="I6213" i="1" s="1"/>
  <c r="H6212" i="1"/>
  <c r="I6212" i="1" s="1"/>
  <c r="A6212" i="1"/>
  <c r="H6211" i="1"/>
  <c r="A6211" i="1"/>
  <c r="I6211" i="1" s="1"/>
  <c r="I6210" i="1"/>
  <c r="H6210" i="1"/>
  <c r="A6210" i="1"/>
  <c r="I6209" i="1"/>
  <c r="H6209" i="1"/>
  <c r="A6209" i="1"/>
  <c r="H6208" i="1"/>
  <c r="A6208" i="1"/>
  <c r="I6208" i="1" s="1"/>
  <c r="H6207" i="1"/>
  <c r="A6207" i="1"/>
  <c r="I6207" i="1" s="1"/>
  <c r="H6206" i="1"/>
  <c r="A6206" i="1"/>
  <c r="I6206" i="1" s="1"/>
  <c r="H6205" i="1"/>
  <c r="A6205" i="1"/>
  <c r="I6205" i="1" s="1"/>
  <c r="H6204" i="1"/>
  <c r="I6204" i="1" s="1"/>
  <c r="A6204" i="1"/>
  <c r="H6203" i="1"/>
  <c r="A6203" i="1"/>
  <c r="I6203" i="1" s="1"/>
  <c r="I6202" i="1"/>
  <c r="H6202" i="1"/>
  <c r="A6202" i="1"/>
  <c r="I6201" i="1"/>
  <c r="H6201" i="1"/>
  <c r="A6201" i="1"/>
  <c r="H6200" i="1"/>
  <c r="A6200" i="1"/>
  <c r="I6200" i="1" s="1"/>
  <c r="H6199" i="1"/>
  <c r="A6199" i="1"/>
  <c r="I6199" i="1" s="1"/>
  <c r="H6198" i="1"/>
  <c r="A6198" i="1"/>
  <c r="I6198" i="1" s="1"/>
  <c r="H6197" i="1"/>
  <c r="A6197" i="1"/>
  <c r="I6197" i="1" s="1"/>
  <c r="H6196" i="1"/>
  <c r="A6196" i="1"/>
  <c r="I6196" i="1" s="1"/>
  <c r="H6195" i="1"/>
  <c r="I6195" i="1" s="1"/>
  <c r="A6195" i="1"/>
  <c r="I6194" i="1"/>
  <c r="H6194" i="1"/>
  <c r="A6194" i="1"/>
  <c r="I6193" i="1"/>
  <c r="H6193" i="1"/>
  <c r="A6193" i="1"/>
  <c r="H6192" i="1"/>
  <c r="A6192" i="1"/>
  <c r="I6192" i="1" s="1"/>
  <c r="H6191" i="1"/>
  <c r="A6191" i="1"/>
  <c r="I6191" i="1" s="1"/>
  <c r="H6190" i="1"/>
  <c r="A6190" i="1"/>
  <c r="I6190" i="1" s="1"/>
  <c r="H6189" i="1"/>
  <c r="A6189" i="1"/>
  <c r="I6189" i="1" s="1"/>
  <c r="H6188" i="1"/>
  <c r="A6188" i="1"/>
  <c r="I6188" i="1" s="1"/>
  <c r="H6187" i="1"/>
  <c r="I6187" i="1" s="1"/>
  <c r="A6187" i="1"/>
  <c r="I6186" i="1"/>
  <c r="H6186" i="1"/>
  <c r="A6186" i="1"/>
  <c r="I6185" i="1"/>
  <c r="H6185" i="1"/>
  <c r="A6185" i="1"/>
  <c r="H6184" i="1"/>
  <c r="A6184" i="1"/>
  <c r="I6184" i="1" s="1"/>
  <c r="H6183" i="1"/>
  <c r="A6183" i="1"/>
  <c r="I6183" i="1" s="1"/>
  <c r="H6182" i="1"/>
  <c r="A6182" i="1"/>
  <c r="I6182" i="1" s="1"/>
  <c r="H6181" i="1"/>
  <c r="A6181" i="1"/>
  <c r="I6181" i="1" s="1"/>
  <c r="H6180" i="1"/>
  <c r="A6180" i="1"/>
  <c r="I6180" i="1" s="1"/>
  <c r="H6179" i="1"/>
  <c r="I6179" i="1" s="1"/>
  <c r="A6179" i="1"/>
  <c r="I6178" i="1"/>
  <c r="H6178" i="1"/>
  <c r="A6178" i="1"/>
  <c r="I6177" i="1"/>
  <c r="H6177" i="1"/>
  <c r="A6177" i="1"/>
  <c r="H6176" i="1"/>
  <c r="A6176" i="1"/>
  <c r="I6176" i="1" s="1"/>
  <c r="H6175" i="1"/>
  <c r="A6175" i="1"/>
  <c r="I6175" i="1" s="1"/>
  <c r="H6174" i="1"/>
  <c r="A6174" i="1"/>
  <c r="I6174" i="1" s="1"/>
  <c r="H6173" i="1"/>
  <c r="A6173" i="1"/>
  <c r="I6173" i="1" s="1"/>
  <c r="H6172" i="1"/>
  <c r="A6172" i="1"/>
  <c r="I6172" i="1" s="1"/>
  <c r="H6171" i="1"/>
  <c r="A6171" i="1"/>
  <c r="I6171" i="1" s="1"/>
  <c r="I6170" i="1"/>
  <c r="H6170" i="1"/>
  <c r="A6170" i="1"/>
  <c r="I6169" i="1"/>
  <c r="H6169" i="1"/>
  <c r="A6169" i="1"/>
  <c r="H6168" i="1"/>
  <c r="A6168" i="1"/>
  <c r="I6168" i="1" s="1"/>
  <c r="H6167" i="1"/>
  <c r="A6167" i="1"/>
  <c r="I6167" i="1" s="1"/>
  <c r="H6166" i="1"/>
  <c r="A6166" i="1"/>
  <c r="I6166" i="1" s="1"/>
  <c r="H6165" i="1"/>
  <c r="A6165" i="1"/>
  <c r="I6165" i="1" s="1"/>
  <c r="H6164" i="1"/>
  <c r="A6164" i="1"/>
  <c r="I6164" i="1" s="1"/>
  <c r="H6163" i="1"/>
  <c r="A6163" i="1"/>
  <c r="I6163" i="1" s="1"/>
  <c r="I6162" i="1"/>
  <c r="H6162" i="1"/>
  <c r="A6162" i="1"/>
  <c r="I6161" i="1"/>
  <c r="H6161" i="1"/>
  <c r="A6161" i="1"/>
  <c r="H6160" i="1"/>
  <c r="A6160" i="1"/>
  <c r="I6160" i="1" s="1"/>
  <c r="H6159" i="1"/>
  <c r="A6159" i="1"/>
  <c r="I6159" i="1" s="1"/>
  <c r="H6158" i="1"/>
  <c r="A6158" i="1"/>
  <c r="I6158" i="1" s="1"/>
  <c r="H6157" i="1"/>
  <c r="A6157" i="1"/>
  <c r="I6157" i="1" s="1"/>
  <c r="H6156" i="1"/>
  <c r="A6156" i="1"/>
  <c r="I6156" i="1" s="1"/>
  <c r="H6155" i="1"/>
  <c r="A6155" i="1"/>
  <c r="I6155" i="1" s="1"/>
  <c r="I6154" i="1"/>
  <c r="H6154" i="1"/>
  <c r="A6154" i="1"/>
  <c r="I6153" i="1"/>
  <c r="H6153" i="1"/>
  <c r="A6153" i="1"/>
  <c r="H6152" i="1"/>
  <c r="A6152" i="1"/>
  <c r="I6152" i="1" s="1"/>
  <c r="H6151" i="1"/>
  <c r="A6151" i="1"/>
  <c r="I6151" i="1" s="1"/>
  <c r="H6150" i="1"/>
  <c r="A6150" i="1"/>
  <c r="I6150" i="1" s="1"/>
  <c r="H6149" i="1"/>
  <c r="A6149" i="1"/>
  <c r="I6149" i="1" s="1"/>
  <c r="H6148" i="1"/>
  <c r="A6148" i="1"/>
  <c r="I6148" i="1" s="1"/>
  <c r="H6147" i="1"/>
  <c r="I6147" i="1" s="1"/>
  <c r="A6147" i="1"/>
  <c r="I6146" i="1"/>
  <c r="H6146" i="1"/>
  <c r="A6146" i="1"/>
  <c r="I6145" i="1"/>
  <c r="H6145" i="1"/>
  <c r="A6145" i="1"/>
  <c r="H6144" i="1"/>
  <c r="A6144" i="1"/>
  <c r="I6144" i="1" s="1"/>
  <c r="H6143" i="1"/>
  <c r="A6143" i="1"/>
  <c r="I6143" i="1" s="1"/>
  <c r="H6142" i="1"/>
  <c r="A6142" i="1"/>
  <c r="I6142" i="1" s="1"/>
  <c r="H6141" i="1"/>
  <c r="A6141" i="1"/>
  <c r="I6141" i="1" s="1"/>
  <c r="H6140" i="1"/>
  <c r="A6140" i="1"/>
  <c r="I6140" i="1" s="1"/>
  <c r="H6139" i="1"/>
  <c r="A6139" i="1"/>
  <c r="I6139" i="1" s="1"/>
  <c r="I6138" i="1"/>
  <c r="H6138" i="1"/>
  <c r="A6138" i="1"/>
  <c r="I6137" i="1"/>
  <c r="H6137" i="1"/>
  <c r="A6137" i="1"/>
  <c r="H6136" i="1"/>
  <c r="A6136" i="1"/>
  <c r="I6136" i="1" s="1"/>
  <c r="H6135" i="1"/>
  <c r="A6135" i="1"/>
  <c r="I6135" i="1" s="1"/>
  <c r="H6134" i="1"/>
  <c r="A6134" i="1"/>
  <c r="I6134" i="1" s="1"/>
  <c r="H6133" i="1"/>
  <c r="A6133" i="1"/>
  <c r="I6133" i="1" s="1"/>
  <c r="H6132" i="1"/>
  <c r="A6132" i="1"/>
  <c r="I6132" i="1" s="1"/>
  <c r="H6131" i="1"/>
  <c r="A6131" i="1"/>
  <c r="I6131" i="1" s="1"/>
  <c r="I6130" i="1"/>
  <c r="H6130" i="1"/>
  <c r="A6130" i="1"/>
  <c r="I6129" i="1"/>
  <c r="H6129" i="1"/>
  <c r="A6129" i="1"/>
  <c r="H6128" i="1"/>
  <c r="A6128" i="1"/>
  <c r="I6128" i="1" s="1"/>
  <c r="H6127" i="1"/>
  <c r="A6127" i="1"/>
  <c r="I6127" i="1" s="1"/>
  <c r="H6126" i="1"/>
  <c r="A6126" i="1"/>
  <c r="I6126" i="1" s="1"/>
  <c r="H6125" i="1"/>
  <c r="A6125" i="1"/>
  <c r="I6125" i="1" s="1"/>
  <c r="H6124" i="1"/>
  <c r="A6124" i="1"/>
  <c r="I6124" i="1" s="1"/>
  <c r="H6123" i="1"/>
  <c r="I6123" i="1" s="1"/>
  <c r="A6123" i="1"/>
  <c r="I6122" i="1"/>
  <c r="H6122" i="1"/>
  <c r="A6122" i="1"/>
  <c r="I6121" i="1"/>
  <c r="H6121" i="1"/>
  <c r="A6121" i="1"/>
  <c r="H6120" i="1"/>
  <c r="A6120" i="1"/>
  <c r="I6120" i="1" s="1"/>
  <c r="H6119" i="1"/>
  <c r="A6119" i="1"/>
  <c r="I6119" i="1" s="1"/>
  <c r="H6118" i="1"/>
  <c r="A6118" i="1"/>
  <c r="I6118" i="1" s="1"/>
  <c r="H6117" i="1"/>
  <c r="A6117" i="1"/>
  <c r="I6117" i="1" s="1"/>
  <c r="H6116" i="1"/>
  <c r="A6116" i="1"/>
  <c r="I6116" i="1" s="1"/>
  <c r="H6115" i="1"/>
  <c r="A6115" i="1"/>
  <c r="I6115" i="1" s="1"/>
  <c r="I6114" i="1"/>
  <c r="H6114" i="1"/>
  <c r="A6114" i="1"/>
  <c r="I6113" i="1"/>
  <c r="H6113" i="1"/>
  <c r="A6113" i="1"/>
  <c r="H6112" i="1"/>
  <c r="A6112" i="1"/>
  <c r="I6112" i="1" s="1"/>
  <c r="H6111" i="1"/>
  <c r="A6111" i="1"/>
  <c r="I6111" i="1" s="1"/>
  <c r="H6110" i="1"/>
  <c r="A6110" i="1"/>
  <c r="I6110" i="1" s="1"/>
  <c r="H6109" i="1"/>
  <c r="A6109" i="1"/>
  <c r="I6109" i="1" s="1"/>
  <c r="H6108" i="1"/>
  <c r="A6108" i="1"/>
  <c r="I6108" i="1" s="1"/>
  <c r="H6107" i="1"/>
  <c r="A6107" i="1"/>
  <c r="I6107" i="1" s="1"/>
  <c r="I6106" i="1"/>
  <c r="H6106" i="1"/>
  <c r="A6106" i="1"/>
  <c r="I6105" i="1"/>
  <c r="H6105" i="1"/>
  <c r="A6105" i="1"/>
  <c r="H6104" i="1"/>
  <c r="A6104" i="1"/>
  <c r="I6104" i="1" s="1"/>
  <c r="H6103" i="1"/>
  <c r="A6103" i="1"/>
  <c r="I6103" i="1" s="1"/>
  <c r="H6102" i="1"/>
  <c r="A6102" i="1"/>
  <c r="I6102" i="1" s="1"/>
  <c r="H6101" i="1"/>
  <c r="A6101" i="1"/>
  <c r="I6101" i="1" s="1"/>
  <c r="H6100" i="1"/>
  <c r="A6100" i="1"/>
  <c r="I6100" i="1" s="1"/>
  <c r="H6099" i="1"/>
  <c r="A6099" i="1"/>
  <c r="I6099" i="1" s="1"/>
  <c r="I6098" i="1"/>
  <c r="H6098" i="1"/>
  <c r="A6098" i="1"/>
  <c r="I6097" i="1"/>
  <c r="H6097" i="1"/>
  <c r="A6097" i="1"/>
  <c r="H6096" i="1"/>
  <c r="A6096" i="1"/>
  <c r="I6096" i="1" s="1"/>
  <c r="H6095" i="1"/>
  <c r="A6095" i="1"/>
  <c r="I6095" i="1" s="1"/>
  <c r="H6094" i="1"/>
  <c r="A6094" i="1"/>
  <c r="I6094" i="1" s="1"/>
  <c r="H6093" i="1"/>
  <c r="A6093" i="1"/>
  <c r="I6093" i="1" s="1"/>
  <c r="H6092" i="1"/>
  <c r="A6092" i="1"/>
  <c r="I6092" i="1" s="1"/>
  <c r="H6091" i="1"/>
  <c r="A6091" i="1"/>
  <c r="I6091" i="1" s="1"/>
  <c r="I6090" i="1"/>
  <c r="H6090" i="1"/>
  <c r="A6090" i="1"/>
  <c r="I6089" i="1"/>
  <c r="H6089" i="1"/>
  <c r="A6089" i="1"/>
  <c r="H6088" i="1"/>
  <c r="A6088" i="1"/>
  <c r="I6088" i="1" s="1"/>
  <c r="H6087" i="1"/>
  <c r="A6087" i="1"/>
  <c r="I6087" i="1" s="1"/>
  <c r="H6086" i="1"/>
  <c r="A6086" i="1"/>
  <c r="I6086" i="1" s="1"/>
  <c r="H6085" i="1"/>
  <c r="A6085" i="1"/>
  <c r="I6085" i="1" s="1"/>
  <c r="H6084" i="1"/>
  <c r="A6084" i="1"/>
  <c r="I6084" i="1" s="1"/>
  <c r="H6083" i="1"/>
  <c r="A6083" i="1"/>
  <c r="I6083" i="1" s="1"/>
  <c r="I6082" i="1"/>
  <c r="H6082" i="1"/>
  <c r="A6082" i="1"/>
  <c r="I6081" i="1"/>
  <c r="H6081" i="1"/>
  <c r="A6081" i="1"/>
  <c r="H6080" i="1"/>
  <c r="A6080" i="1"/>
  <c r="I6080" i="1" s="1"/>
  <c r="H6079" i="1"/>
  <c r="A6079" i="1"/>
  <c r="I6079" i="1" s="1"/>
  <c r="H6078" i="1"/>
  <c r="A6078" i="1"/>
  <c r="I6078" i="1" s="1"/>
  <c r="H6077" i="1"/>
  <c r="A6077" i="1"/>
  <c r="I6077" i="1" s="1"/>
  <c r="H6076" i="1"/>
  <c r="A6076" i="1"/>
  <c r="I6076" i="1" s="1"/>
  <c r="H6075" i="1"/>
  <c r="A6075" i="1"/>
  <c r="I6075" i="1" s="1"/>
  <c r="I6074" i="1"/>
  <c r="H6074" i="1"/>
  <c r="A6074" i="1"/>
  <c r="I6073" i="1"/>
  <c r="H6073" i="1"/>
  <c r="A6073" i="1"/>
  <c r="I6072" i="1"/>
  <c r="H6072" i="1"/>
  <c r="A6072" i="1"/>
  <c r="H6071" i="1"/>
  <c r="A6071" i="1"/>
  <c r="I6071" i="1" s="1"/>
  <c r="H6070" i="1"/>
  <c r="A6070" i="1"/>
  <c r="I6070" i="1" s="1"/>
  <c r="H6069" i="1"/>
  <c r="A6069" i="1"/>
  <c r="H6068" i="1"/>
  <c r="A6068" i="1"/>
  <c r="H6067" i="1"/>
  <c r="A6067" i="1"/>
  <c r="I6066" i="1"/>
  <c r="H6066" i="1"/>
  <c r="A6066" i="1"/>
  <c r="I6065" i="1"/>
  <c r="H6065" i="1"/>
  <c r="A6065" i="1"/>
  <c r="H6064" i="1"/>
  <c r="A6064" i="1"/>
  <c r="I6064" i="1" s="1"/>
  <c r="H6063" i="1"/>
  <c r="A6063" i="1"/>
  <c r="I6063" i="1" s="1"/>
  <c r="H6062" i="1"/>
  <c r="A6062" i="1"/>
  <c r="I6062" i="1" s="1"/>
  <c r="H6061" i="1"/>
  <c r="A6061" i="1"/>
  <c r="I6061" i="1" s="1"/>
  <c r="H6060" i="1"/>
  <c r="A6060" i="1"/>
  <c r="I6060" i="1" s="1"/>
  <c r="H6059" i="1"/>
  <c r="A6059" i="1"/>
  <c r="I6059" i="1" s="1"/>
  <c r="I6058" i="1"/>
  <c r="H6058" i="1"/>
  <c r="A6058" i="1"/>
  <c r="I6057" i="1"/>
  <c r="H6057" i="1"/>
  <c r="A6057" i="1"/>
  <c r="H6056" i="1"/>
  <c r="A6056" i="1"/>
  <c r="I6056" i="1" s="1"/>
  <c r="H6055" i="1"/>
  <c r="A6055" i="1"/>
  <c r="I6055" i="1" s="1"/>
  <c r="H6054" i="1"/>
  <c r="A6054" i="1"/>
  <c r="I6054" i="1" s="1"/>
  <c r="H6053" i="1"/>
  <c r="A6053" i="1"/>
  <c r="H6052" i="1"/>
  <c r="A6052" i="1"/>
  <c r="H6051" i="1"/>
  <c r="A6051" i="1"/>
  <c r="I6050" i="1"/>
  <c r="H6050" i="1"/>
  <c r="A6050" i="1"/>
  <c r="I6049" i="1"/>
  <c r="H6049" i="1"/>
  <c r="A6049" i="1"/>
  <c r="I6048" i="1"/>
  <c r="H6048" i="1"/>
  <c r="A6048" i="1"/>
  <c r="H6047" i="1"/>
  <c r="A6047" i="1"/>
  <c r="I6047" i="1" s="1"/>
  <c r="H6046" i="1"/>
  <c r="A6046" i="1"/>
  <c r="I6046" i="1" s="1"/>
  <c r="H6045" i="1"/>
  <c r="A6045" i="1"/>
  <c r="I6045" i="1" s="1"/>
  <c r="H6044" i="1"/>
  <c r="A6044" i="1"/>
  <c r="I6044" i="1" s="1"/>
  <c r="H6043" i="1"/>
  <c r="I6043" i="1" s="1"/>
  <c r="A6043" i="1"/>
  <c r="I6042" i="1"/>
  <c r="H6042" i="1"/>
  <c r="A6042" i="1"/>
  <c r="I6041" i="1"/>
  <c r="H6041" i="1"/>
  <c r="A6041" i="1"/>
  <c r="I6040" i="1"/>
  <c r="H6040" i="1"/>
  <c r="A6040" i="1"/>
  <c r="H6039" i="1"/>
  <c r="A6039" i="1"/>
  <c r="I6039" i="1" s="1"/>
  <c r="H6038" i="1"/>
  <c r="A6038" i="1"/>
  <c r="I6038" i="1" s="1"/>
  <c r="H6037" i="1"/>
  <c r="A6037" i="1"/>
  <c r="H6036" i="1"/>
  <c r="A6036" i="1"/>
  <c r="H6035" i="1"/>
  <c r="I6035" i="1" s="1"/>
  <c r="A6035" i="1"/>
  <c r="I6034" i="1"/>
  <c r="H6034" i="1"/>
  <c r="A6034" i="1"/>
  <c r="I6033" i="1"/>
  <c r="H6033" i="1"/>
  <c r="A6033" i="1"/>
  <c r="H6032" i="1"/>
  <c r="A6032" i="1"/>
  <c r="I6032" i="1" s="1"/>
  <c r="H6031" i="1"/>
  <c r="A6031" i="1"/>
  <c r="I6031" i="1" s="1"/>
  <c r="I6030" i="1"/>
  <c r="H6030" i="1"/>
  <c r="A6030" i="1"/>
  <c r="H6029" i="1"/>
  <c r="A6029" i="1"/>
  <c r="H6028" i="1"/>
  <c r="A6028" i="1"/>
  <c r="H6027" i="1"/>
  <c r="I6027" i="1" s="1"/>
  <c r="A6027" i="1"/>
  <c r="I6026" i="1"/>
  <c r="H6026" i="1"/>
  <c r="A6026" i="1"/>
  <c r="H6025" i="1"/>
  <c r="I6025" i="1" s="1"/>
  <c r="A6025" i="1"/>
  <c r="H6024" i="1"/>
  <c r="A6024" i="1"/>
  <c r="I6024" i="1" s="1"/>
  <c r="H6023" i="1"/>
  <c r="A6023" i="1"/>
  <c r="I6023" i="1" s="1"/>
  <c r="I6022" i="1"/>
  <c r="H6022" i="1"/>
  <c r="A6022" i="1"/>
  <c r="H6021" i="1"/>
  <c r="A6021" i="1"/>
  <c r="H6020" i="1"/>
  <c r="A6020" i="1"/>
  <c r="H6019" i="1"/>
  <c r="A6019" i="1"/>
  <c r="I6018" i="1"/>
  <c r="H6018" i="1"/>
  <c r="A6018" i="1"/>
  <c r="H6017" i="1"/>
  <c r="I6017" i="1" s="1"/>
  <c r="A6017" i="1"/>
  <c r="H6016" i="1"/>
  <c r="A6016" i="1"/>
  <c r="I6016" i="1" s="1"/>
  <c r="H6015" i="1"/>
  <c r="A6015" i="1"/>
  <c r="I6015" i="1" s="1"/>
  <c r="I6014" i="1"/>
  <c r="H6014" i="1"/>
  <c r="A6014" i="1"/>
  <c r="H6013" i="1"/>
  <c r="A6013" i="1"/>
  <c r="H6012" i="1"/>
  <c r="A6012" i="1"/>
  <c r="H6011" i="1"/>
  <c r="I6011" i="1" s="1"/>
  <c r="A6011" i="1"/>
  <c r="I6010" i="1"/>
  <c r="H6010" i="1"/>
  <c r="A6010" i="1"/>
  <c r="H6009" i="1"/>
  <c r="I6009" i="1" s="1"/>
  <c r="A6009" i="1"/>
  <c r="H6008" i="1"/>
  <c r="A6008" i="1"/>
  <c r="I6008" i="1" s="1"/>
  <c r="H6007" i="1"/>
  <c r="A6007" i="1"/>
  <c r="I6007" i="1" s="1"/>
  <c r="I6006" i="1"/>
  <c r="H6006" i="1"/>
  <c r="A6006" i="1"/>
  <c r="H6005" i="1"/>
  <c r="A6005" i="1"/>
  <c r="H6004" i="1"/>
  <c r="A6004" i="1"/>
  <c r="H6003" i="1"/>
  <c r="A6003" i="1"/>
  <c r="I6002" i="1"/>
  <c r="H6002" i="1"/>
  <c r="A6002" i="1"/>
  <c r="H6001" i="1"/>
  <c r="I6001" i="1" s="1"/>
  <c r="A6001" i="1"/>
  <c r="H6000" i="1"/>
  <c r="A6000" i="1"/>
  <c r="I6000" i="1" s="1"/>
  <c r="H5999" i="1"/>
  <c r="A5999" i="1"/>
  <c r="I5999" i="1" s="1"/>
  <c r="I5998" i="1"/>
  <c r="H5998" i="1"/>
  <c r="A5998" i="1"/>
  <c r="H5997" i="1"/>
  <c r="A5997" i="1"/>
  <c r="H5996" i="1"/>
  <c r="A5996" i="1"/>
  <c r="H5995" i="1"/>
  <c r="A5995" i="1"/>
  <c r="I5994" i="1"/>
  <c r="H5994" i="1"/>
  <c r="A5994" i="1"/>
  <c r="H5993" i="1"/>
  <c r="I5993" i="1" s="1"/>
  <c r="A5993" i="1"/>
  <c r="H5992" i="1"/>
  <c r="A5992" i="1"/>
  <c r="I5992" i="1" s="1"/>
  <c r="H5991" i="1"/>
  <c r="A5991" i="1"/>
  <c r="I5991" i="1" s="1"/>
  <c r="I5990" i="1"/>
  <c r="H5990" i="1"/>
  <c r="A5990" i="1"/>
  <c r="H5989" i="1"/>
  <c r="A5989" i="1"/>
  <c r="H5988" i="1"/>
  <c r="A5988" i="1"/>
  <c r="H5987" i="1"/>
  <c r="A5987" i="1"/>
  <c r="I5986" i="1"/>
  <c r="H5986" i="1"/>
  <c r="A5986" i="1"/>
  <c r="H5985" i="1"/>
  <c r="I5985" i="1" s="1"/>
  <c r="A5985" i="1"/>
  <c r="H5984" i="1"/>
  <c r="A5984" i="1"/>
  <c r="I5984" i="1" s="1"/>
  <c r="H5983" i="1"/>
  <c r="A5983" i="1"/>
  <c r="I5983" i="1" s="1"/>
  <c r="H5982" i="1"/>
  <c r="A5982" i="1"/>
  <c r="I5982" i="1" s="1"/>
  <c r="H5981" i="1"/>
  <c r="A5981" i="1"/>
  <c r="I5981" i="1" s="1"/>
  <c r="H5980" i="1"/>
  <c r="A5980" i="1"/>
  <c r="I5980" i="1" s="1"/>
  <c r="H5979" i="1"/>
  <c r="A5979" i="1"/>
  <c r="H5978" i="1"/>
  <c r="A5978" i="1"/>
  <c r="I5978" i="1" s="1"/>
  <c r="H5977" i="1"/>
  <c r="I5977" i="1" s="1"/>
  <c r="A5977" i="1"/>
  <c r="H5976" i="1"/>
  <c r="A5976" i="1"/>
  <c r="I5976" i="1" s="1"/>
  <c r="H5975" i="1"/>
  <c r="I5975" i="1" s="1"/>
  <c r="A5975" i="1"/>
  <c r="H5974" i="1"/>
  <c r="A5974" i="1"/>
  <c r="I5974" i="1" s="1"/>
  <c r="H5973" i="1"/>
  <c r="A5973" i="1"/>
  <c r="I5973" i="1" s="1"/>
  <c r="H5972" i="1"/>
  <c r="I5972" i="1" s="1"/>
  <c r="A5972" i="1"/>
  <c r="H5971" i="1"/>
  <c r="A5971" i="1"/>
  <c r="H5970" i="1"/>
  <c r="A5970" i="1"/>
  <c r="I5970" i="1" s="1"/>
  <c r="H5969" i="1"/>
  <c r="I5969" i="1" s="1"/>
  <c r="A5969" i="1"/>
  <c r="H5968" i="1"/>
  <c r="A5968" i="1"/>
  <c r="I5968" i="1" s="1"/>
  <c r="H5967" i="1"/>
  <c r="A5967" i="1"/>
  <c r="I5967" i="1" s="1"/>
  <c r="I5966" i="1"/>
  <c r="H5966" i="1"/>
  <c r="A5966" i="1"/>
  <c r="H5965" i="1"/>
  <c r="A5965" i="1"/>
  <c r="I5965" i="1" s="1"/>
  <c r="H5964" i="1"/>
  <c r="A5964" i="1"/>
  <c r="I5964" i="1" s="1"/>
  <c r="H5963" i="1"/>
  <c r="A5963" i="1"/>
  <c r="H5962" i="1"/>
  <c r="A5962" i="1"/>
  <c r="I5962" i="1" s="1"/>
  <c r="H5961" i="1"/>
  <c r="I5961" i="1" s="1"/>
  <c r="A5961" i="1"/>
  <c r="I5960" i="1"/>
  <c r="H5960" i="1"/>
  <c r="A5960" i="1"/>
  <c r="H5959" i="1"/>
  <c r="I5959" i="1" s="1"/>
  <c r="A5959" i="1"/>
  <c r="H5958" i="1"/>
  <c r="A5958" i="1"/>
  <c r="I5958" i="1" s="1"/>
  <c r="H5957" i="1"/>
  <c r="A5957" i="1"/>
  <c r="I5957" i="1" s="1"/>
  <c r="H5956" i="1"/>
  <c r="I5956" i="1" s="1"/>
  <c r="A5956" i="1"/>
  <c r="H5955" i="1"/>
  <c r="A5955" i="1"/>
  <c r="I5954" i="1"/>
  <c r="H5954" i="1"/>
  <c r="A5954" i="1"/>
  <c r="H5953" i="1"/>
  <c r="I5953" i="1" s="1"/>
  <c r="A5953" i="1"/>
  <c r="H5952" i="1"/>
  <c r="A5952" i="1"/>
  <c r="I5952" i="1" s="1"/>
  <c r="H5951" i="1"/>
  <c r="A5951" i="1"/>
  <c r="I5951" i="1" s="1"/>
  <c r="H5950" i="1"/>
  <c r="A5950" i="1"/>
  <c r="I5950" i="1" s="1"/>
  <c r="H5949" i="1"/>
  <c r="A5949" i="1"/>
  <c r="I5949" i="1" s="1"/>
  <c r="H5948" i="1"/>
  <c r="A5948" i="1"/>
  <c r="I5948" i="1" s="1"/>
  <c r="H5947" i="1"/>
  <c r="A5947" i="1"/>
  <c r="H5946" i="1"/>
  <c r="A5946" i="1"/>
  <c r="I5946" i="1" s="1"/>
  <c r="H5945" i="1"/>
  <c r="I5945" i="1" s="1"/>
  <c r="A5945" i="1"/>
  <c r="H5944" i="1"/>
  <c r="A5944" i="1"/>
  <c r="I5944" i="1" s="1"/>
  <c r="H5943" i="1"/>
  <c r="I5943" i="1" s="1"/>
  <c r="A5943" i="1"/>
  <c r="H5942" i="1"/>
  <c r="A5942" i="1"/>
  <c r="I5942" i="1" s="1"/>
  <c r="H5941" i="1"/>
  <c r="A5941" i="1"/>
  <c r="I5941" i="1" s="1"/>
  <c r="H5940" i="1"/>
  <c r="I5940" i="1" s="1"/>
  <c r="A5940" i="1"/>
  <c r="H5939" i="1"/>
  <c r="A5939" i="1"/>
  <c r="H5938" i="1"/>
  <c r="A5938" i="1"/>
  <c r="I5938" i="1" s="1"/>
  <c r="H5937" i="1"/>
  <c r="I5937" i="1" s="1"/>
  <c r="A5937" i="1"/>
  <c r="H5936" i="1"/>
  <c r="A5936" i="1"/>
  <c r="I5936" i="1" s="1"/>
  <c r="H5935" i="1"/>
  <c r="A5935" i="1"/>
  <c r="I5935" i="1" s="1"/>
  <c r="I5934" i="1"/>
  <c r="H5934" i="1"/>
  <c r="A5934" i="1"/>
  <c r="H5933" i="1"/>
  <c r="A5933" i="1"/>
  <c r="I5933" i="1" s="1"/>
  <c r="H5932" i="1"/>
  <c r="A5932" i="1"/>
  <c r="I5932" i="1" s="1"/>
  <c r="H5931" i="1"/>
  <c r="A5931" i="1"/>
  <c r="H5930" i="1"/>
  <c r="A5930" i="1"/>
  <c r="I5930" i="1" s="1"/>
  <c r="H5929" i="1"/>
  <c r="I5929" i="1" s="1"/>
  <c r="A5929" i="1"/>
  <c r="I5928" i="1"/>
  <c r="H5928" i="1"/>
  <c r="A5928" i="1"/>
  <c r="H5927" i="1"/>
  <c r="I5927" i="1" s="1"/>
  <c r="A5927" i="1"/>
  <c r="H5926" i="1"/>
  <c r="A5926" i="1"/>
  <c r="I5926" i="1" s="1"/>
  <c r="H5925" i="1"/>
  <c r="A5925" i="1"/>
  <c r="I5925" i="1" s="1"/>
  <c r="H5924" i="1"/>
  <c r="I5924" i="1" s="1"/>
  <c r="A5924" i="1"/>
  <c r="H5923" i="1"/>
  <c r="A5923" i="1"/>
  <c r="I5922" i="1"/>
  <c r="H5922" i="1"/>
  <c r="A5922" i="1"/>
  <c r="H5921" i="1"/>
  <c r="I5921" i="1" s="1"/>
  <c r="A5921" i="1"/>
  <c r="H5920" i="1"/>
  <c r="A5920" i="1"/>
  <c r="I5920" i="1" s="1"/>
  <c r="H5919" i="1"/>
  <c r="A5919" i="1"/>
  <c r="I5919" i="1" s="1"/>
  <c r="H5918" i="1"/>
  <c r="A5918" i="1"/>
  <c r="I5918" i="1" s="1"/>
  <c r="H5917" i="1"/>
  <c r="A5917" i="1"/>
  <c r="I5917" i="1" s="1"/>
  <c r="H5916" i="1"/>
  <c r="A5916" i="1"/>
  <c r="I5916" i="1" s="1"/>
  <c r="H5915" i="1"/>
  <c r="I5915" i="1" s="1"/>
  <c r="A5915" i="1"/>
  <c r="H5914" i="1"/>
  <c r="A5914" i="1"/>
  <c r="I5914" i="1" s="1"/>
  <c r="H5913" i="1"/>
  <c r="I5913" i="1" s="1"/>
  <c r="A5913" i="1"/>
  <c r="H5912" i="1"/>
  <c r="A5912" i="1"/>
  <c r="I5912" i="1" s="1"/>
  <c r="H5911" i="1"/>
  <c r="I5911" i="1" s="1"/>
  <c r="A5911" i="1"/>
  <c r="H5910" i="1"/>
  <c r="A5910" i="1"/>
  <c r="I5910" i="1" s="1"/>
  <c r="H5909" i="1"/>
  <c r="A5909" i="1"/>
  <c r="I5909" i="1" s="1"/>
  <c r="H5908" i="1"/>
  <c r="I5908" i="1" s="1"/>
  <c r="A5908" i="1"/>
  <c r="H5907" i="1"/>
  <c r="I5907" i="1" s="1"/>
  <c r="A5907" i="1"/>
  <c r="H5906" i="1"/>
  <c r="A5906" i="1"/>
  <c r="I5906" i="1" s="1"/>
  <c r="H5905" i="1"/>
  <c r="I5905" i="1" s="1"/>
  <c r="A5905" i="1"/>
  <c r="H5904" i="1"/>
  <c r="A5904" i="1"/>
  <c r="I5904" i="1" s="1"/>
  <c r="H5903" i="1"/>
  <c r="A5903" i="1"/>
  <c r="I5903" i="1" s="1"/>
  <c r="I5902" i="1"/>
  <c r="H5902" i="1"/>
  <c r="A5902" i="1"/>
  <c r="H5901" i="1"/>
  <c r="A5901" i="1"/>
  <c r="I5901" i="1" s="1"/>
  <c r="H5900" i="1"/>
  <c r="A5900" i="1"/>
  <c r="I5900" i="1" s="1"/>
  <c r="H5899" i="1"/>
  <c r="I5899" i="1" s="1"/>
  <c r="A5899" i="1"/>
  <c r="H5898" i="1"/>
  <c r="A5898" i="1"/>
  <c r="I5898" i="1" s="1"/>
  <c r="H5897" i="1"/>
  <c r="I5897" i="1" s="1"/>
  <c r="A5897" i="1"/>
  <c r="I5896" i="1"/>
  <c r="H5896" i="1"/>
  <c r="A5896" i="1"/>
  <c r="H5895" i="1"/>
  <c r="I5895" i="1" s="1"/>
  <c r="A5895" i="1"/>
  <c r="H5894" i="1"/>
  <c r="A5894" i="1"/>
  <c r="I5894" i="1" s="1"/>
  <c r="H5893" i="1"/>
  <c r="A5893" i="1"/>
  <c r="I5893" i="1" s="1"/>
  <c r="H5892" i="1"/>
  <c r="I5892" i="1" s="1"/>
  <c r="A5892" i="1"/>
  <c r="H5891" i="1"/>
  <c r="I5891" i="1" s="1"/>
  <c r="A5891" i="1"/>
  <c r="I5890" i="1"/>
  <c r="H5890" i="1"/>
  <c r="A5890" i="1"/>
  <c r="H5889" i="1"/>
  <c r="I5889" i="1" s="1"/>
  <c r="A5889" i="1"/>
  <c r="H5888" i="1"/>
  <c r="A5888" i="1"/>
  <c r="I5888" i="1" s="1"/>
  <c r="H5887" i="1"/>
  <c r="A5887" i="1"/>
  <c r="I5887" i="1" s="1"/>
  <c r="H5886" i="1"/>
  <c r="A5886" i="1"/>
  <c r="I5886" i="1" s="1"/>
  <c r="H5885" i="1"/>
  <c r="A5885" i="1"/>
  <c r="I5885" i="1" s="1"/>
  <c r="H5884" i="1"/>
  <c r="A5884" i="1"/>
  <c r="I5884" i="1" s="1"/>
  <c r="H5883" i="1"/>
  <c r="I5883" i="1" s="1"/>
  <c r="A5883" i="1"/>
  <c r="H5882" i="1"/>
  <c r="A5882" i="1"/>
  <c r="I5882" i="1" s="1"/>
  <c r="H5881" i="1"/>
  <c r="I5881" i="1" s="1"/>
  <c r="A5881" i="1"/>
  <c r="H5880" i="1"/>
  <c r="A5880" i="1"/>
  <c r="I5880" i="1" s="1"/>
  <c r="H5879" i="1"/>
  <c r="I5879" i="1" s="1"/>
  <c r="A5879" i="1"/>
  <c r="H5878" i="1"/>
  <c r="A5878" i="1"/>
  <c r="I5878" i="1" s="1"/>
  <c r="H5877" i="1"/>
  <c r="A5877" i="1"/>
  <c r="I5877" i="1" s="1"/>
  <c r="H5876" i="1"/>
  <c r="I5876" i="1" s="1"/>
  <c r="A5876" i="1"/>
  <c r="H5875" i="1"/>
  <c r="I5875" i="1" s="1"/>
  <c r="A5875" i="1"/>
  <c r="H5874" i="1"/>
  <c r="A5874" i="1"/>
  <c r="I5874" i="1" s="1"/>
  <c r="H5873" i="1"/>
  <c r="I5873" i="1" s="1"/>
  <c r="A5873" i="1"/>
  <c r="H5872" i="1"/>
  <c r="A5872" i="1"/>
  <c r="I5872" i="1" s="1"/>
  <c r="H5871" i="1"/>
  <c r="A5871" i="1"/>
  <c r="I5871" i="1" s="1"/>
  <c r="I5870" i="1"/>
  <c r="H5870" i="1"/>
  <c r="A5870" i="1"/>
  <c r="H5869" i="1"/>
  <c r="A5869" i="1"/>
  <c r="I5869" i="1" s="1"/>
  <c r="H5868" i="1"/>
  <c r="A5868" i="1"/>
  <c r="I5868" i="1" s="1"/>
  <c r="H5867" i="1"/>
  <c r="I5867" i="1" s="1"/>
  <c r="A5867" i="1"/>
  <c r="H5866" i="1"/>
  <c r="A5866" i="1"/>
  <c r="I5866" i="1" s="1"/>
  <c r="H5865" i="1"/>
  <c r="I5865" i="1" s="1"/>
  <c r="A5865" i="1"/>
  <c r="I5864" i="1"/>
  <c r="H5864" i="1"/>
  <c r="A5864" i="1"/>
  <c r="H5863" i="1"/>
  <c r="I5863" i="1" s="1"/>
  <c r="A5863" i="1"/>
  <c r="H5862" i="1"/>
  <c r="A5862" i="1"/>
  <c r="I5862" i="1" s="1"/>
  <c r="H5861" i="1"/>
  <c r="A5861" i="1"/>
  <c r="I5861" i="1" s="1"/>
  <c r="H5860" i="1"/>
  <c r="I5860" i="1" s="1"/>
  <c r="A5860" i="1"/>
  <c r="H5859" i="1"/>
  <c r="I5859" i="1" s="1"/>
  <c r="A5859" i="1"/>
  <c r="I5858" i="1"/>
  <c r="H5858" i="1"/>
  <c r="A5858" i="1"/>
  <c r="H5857" i="1"/>
  <c r="I5857" i="1" s="1"/>
  <c r="A5857" i="1"/>
  <c r="H5856" i="1"/>
  <c r="A5856" i="1"/>
  <c r="I5856" i="1" s="1"/>
  <c r="H5855" i="1"/>
  <c r="A5855" i="1"/>
  <c r="I5855" i="1" s="1"/>
  <c r="H5854" i="1"/>
  <c r="A5854" i="1"/>
  <c r="I5854" i="1" s="1"/>
  <c r="H5853" i="1"/>
  <c r="A5853" i="1"/>
  <c r="I5853" i="1" s="1"/>
  <c r="H5852" i="1"/>
  <c r="A5852" i="1"/>
  <c r="I5852" i="1" s="1"/>
  <c r="H5851" i="1"/>
  <c r="I5851" i="1" s="1"/>
  <c r="A5851" i="1"/>
  <c r="H5850" i="1"/>
  <c r="A5850" i="1"/>
  <c r="I5850" i="1" s="1"/>
  <c r="H5849" i="1"/>
  <c r="I5849" i="1" s="1"/>
  <c r="A5849" i="1"/>
  <c r="H5848" i="1"/>
  <c r="A5848" i="1"/>
  <c r="I5848" i="1" s="1"/>
  <c r="H5847" i="1"/>
  <c r="I5847" i="1" s="1"/>
  <c r="A5847" i="1"/>
  <c r="H5846" i="1"/>
  <c r="A5846" i="1"/>
  <c r="I5846" i="1" s="1"/>
  <c r="H5845" i="1"/>
  <c r="A5845" i="1"/>
  <c r="I5845" i="1" s="1"/>
  <c r="H5844" i="1"/>
  <c r="I5844" i="1" s="1"/>
  <c r="A5844" i="1"/>
  <c r="H5843" i="1"/>
  <c r="I5843" i="1" s="1"/>
  <c r="A5843" i="1"/>
  <c r="H5842" i="1"/>
  <c r="A5842" i="1"/>
  <c r="I5842" i="1" s="1"/>
  <c r="H5841" i="1"/>
  <c r="I5841" i="1" s="1"/>
  <c r="A5841" i="1"/>
  <c r="H5840" i="1"/>
  <c r="A5840" i="1"/>
  <c r="I5840" i="1" s="1"/>
  <c r="H5839" i="1"/>
  <c r="A5839" i="1"/>
  <c r="I5839" i="1" s="1"/>
  <c r="I5838" i="1"/>
  <c r="H5838" i="1"/>
  <c r="A5838" i="1"/>
  <c r="H5837" i="1"/>
  <c r="A5837" i="1"/>
  <c r="I5837" i="1" s="1"/>
  <c r="H5836" i="1"/>
  <c r="A5836" i="1"/>
  <c r="I5836" i="1" s="1"/>
  <c r="H5835" i="1"/>
  <c r="I5835" i="1" s="1"/>
  <c r="A5835" i="1"/>
  <c r="H5834" i="1"/>
  <c r="A5834" i="1"/>
  <c r="I5834" i="1" s="1"/>
  <c r="H5833" i="1"/>
  <c r="I5833" i="1" s="1"/>
  <c r="A5833" i="1"/>
  <c r="I5832" i="1"/>
  <c r="H5832" i="1"/>
  <c r="A5832" i="1"/>
  <c r="H5831" i="1"/>
  <c r="I5831" i="1" s="1"/>
  <c r="A5831" i="1"/>
  <c r="H5830" i="1"/>
  <c r="A5830" i="1"/>
  <c r="I5830" i="1" s="1"/>
  <c r="H5829" i="1"/>
  <c r="A5829" i="1"/>
  <c r="I5829" i="1" s="1"/>
  <c r="H5828" i="1"/>
  <c r="I5828" i="1" s="1"/>
  <c r="A5828" i="1"/>
  <c r="I5827" i="1"/>
  <c r="H5827" i="1"/>
  <c r="A5827" i="1"/>
  <c r="H5826" i="1"/>
  <c r="A5826" i="1"/>
  <c r="I5826" i="1" s="1"/>
  <c r="H5825" i="1"/>
  <c r="A5825" i="1"/>
  <c r="I5825" i="1" s="1"/>
  <c r="I5824" i="1"/>
  <c r="H5824" i="1"/>
  <c r="A5824" i="1"/>
  <c r="H5823" i="1"/>
  <c r="A5823" i="1"/>
  <c r="I5823" i="1" s="1"/>
  <c r="H5822" i="1"/>
  <c r="A5822" i="1"/>
  <c r="I5822" i="1" s="1"/>
  <c r="I5821" i="1"/>
  <c r="H5821" i="1"/>
  <c r="A5821" i="1"/>
  <c r="H5820" i="1"/>
  <c r="I5820" i="1" s="1"/>
  <c r="A5820" i="1"/>
  <c r="H5819" i="1"/>
  <c r="A5819" i="1"/>
  <c r="I5819" i="1" s="1"/>
  <c r="H5818" i="1"/>
  <c r="A5818" i="1"/>
  <c r="I5818" i="1" s="1"/>
  <c r="H5817" i="1"/>
  <c r="A5817" i="1"/>
  <c r="I5817" i="1" s="1"/>
  <c r="H5816" i="1"/>
  <c r="I5816" i="1" s="1"/>
  <c r="A5816" i="1"/>
  <c r="H5815" i="1"/>
  <c r="A5815" i="1"/>
  <c r="I5815" i="1" s="1"/>
  <c r="H5814" i="1"/>
  <c r="A5814" i="1"/>
  <c r="I5814" i="1" s="1"/>
  <c r="I5813" i="1"/>
  <c r="H5813" i="1"/>
  <c r="A5813" i="1"/>
  <c r="H5812" i="1"/>
  <c r="I5812" i="1" s="1"/>
  <c r="A5812" i="1"/>
  <c r="H5811" i="1"/>
  <c r="A5811" i="1"/>
  <c r="I5811" i="1" s="1"/>
  <c r="H5810" i="1"/>
  <c r="A5810" i="1"/>
  <c r="I5810" i="1" s="1"/>
  <c r="H5809" i="1"/>
  <c r="A5809" i="1"/>
  <c r="I5809" i="1" s="1"/>
  <c r="H5808" i="1"/>
  <c r="I5808" i="1" s="1"/>
  <c r="A5808" i="1"/>
  <c r="H5807" i="1"/>
  <c r="A5807" i="1"/>
  <c r="I5807" i="1" s="1"/>
  <c r="H5806" i="1"/>
  <c r="A5806" i="1"/>
  <c r="I5806" i="1" s="1"/>
  <c r="I5805" i="1"/>
  <c r="H5805" i="1"/>
  <c r="A5805" i="1"/>
  <c r="H5804" i="1"/>
  <c r="I5804" i="1" s="1"/>
  <c r="A5804" i="1"/>
  <c r="H5803" i="1"/>
  <c r="A5803" i="1"/>
  <c r="I5803" i="1" s="1"/>
  <c r="H5802" i="1"/>
  <c r="A5802" i="1"/>
  <c r="I5802" i="1" s="1"/>
  <c r="H5801" i="1"/>
  <c r="A5801" i="1"/>
  <c r="I5801" i="1" s="1"/>
  <c r="H5800" i="1"/>
  <c r="I5800" i="1" s="1"/>
  <c r="A5800" i="1"/>
  <c r="H5799" i="1"/>
  <c r="A5799" i="1"/>
  <c r="I5799" i="1" s="1"/>
  <c r="H5798" i="1"/>
  <c r="A5798" i="1"/>
  <c r="I5797" i="1"/>
  <c r="H5797" i="1"/>
  <c r="A5797" i="1"/>
  <c r="H5796" i="1"/>
  <c r="I5796" i="1" s="1"/>
  <c r="A5796" i="1"/>
  <c r="I5795" i="1"/>
  <c r="H5795" i="1"/>
  <c r="A5795" i="1"/>
  <c r="H5794" i="1"/>
  <c r="A5794" i="1"/>
  <c r="I5794" i="1" s="1"/>
  <c r="H5793" i="1"/>
  <c r="A5793" i="1"/>
  <c r="I5793" i="1" s="1"/>
  <c r="H5792" i="1"/>
  <c r="I5792" i="1" s="1"/>
  <c r="A5792" i="1"/>
  <c r="H5791" i="1"/>
  <c r="A5791" i="1"/>
  <c r="I5791" i="1" s="1"/>
  <c r="H5790" i="1"/>
  <c r="A5790" i="1"/>
  <c r="I5790" i="1" s="1"/>
  <c r="I5789" i="1"/>
  <c r="H5789" i="1"/>
  <c r="A5789" i="1"/>
  <c r="H5788" i="1"/>
  <c r="I5788" i="1" s="1"/>
  <c r="A5788" i="1"/>
  <c r="H5787" i="1"/>
  <c r="A5787" i="1"/>
  <c r="I5787" i="1" s="1"/>
  <c r="H5786" i="1"/>
  <c r="A5786" i="1"/>
  <c r="I5786" i="1" s="1"/>
  <c r="H5785" i="1"/>
  <c r="A5785" i="1"/>
  <c r="I5785" i="1" s="1"/>
  <c r="H5784" i="1"/>
  <c r="I5784" i="1" s="1"/>
  <c r="A5784" i="1"/>
  <c r="H5783" i="1"/>
  <c r="A5783" i="1"/>
  <c r="I5783" i="1" s="1"/>
  <c r="H5782" i="1"/>
  <c r="A5782" i="1"/>
  <c r="I5782" i="1" s="1"/>
  <c r="I5781" i="1"/>
  <c r="H5781" i="1"/>
  <c r="A5781" i="1"/>
  <c r="H5780" i="1"/>
  <c r="I5780" i="1" s="1"/>
  <c r="A5780" i="1"/>
  <c r="H5779" i="1"/>
  <c r="A5779" i="1"/>
  <c r="I5779" i="1" s="1"/>
  <c r="H5778" i="1"/>
  <c r="A5778" i="1"/>
  <c r="I5778" i="1" s="1"/>
  <c r="H5777" i="1"/>
  <c r="A5777" i="1"/>
  <c r="I5777" i="1" s="1"/>
  <c r="H5776" i="1"/>
  <c r="I5776" i="1" s="1"/>
  <c r="A5776" i="1"/>
  <c r="H5775" i="1"/>
  <c r="A5775" i="1"/>
  <c r="I5775" i="1" s="1"/>
  <c r="H5774" i="1"/>
  <c r="A5774" i="1"/>
  <c r="I5774" i="1" s="1"/>
  <c r="I5773" i="1"/>
  <c r="H5773" i="1"/>
  <c r="A5773" i="1"/>
  <c r="H5772" i="1"/>
  <c r="I5772" i="1" s="1"/>
  <c r="A5772" i="1"/>
  <c r="H5771" i="1"/>
  <c r="A5771" i="1"/>
  <c r="I5771" i="1" s="1"/>
  <c r="H5770" i="1"/>
  <c r="A5770" i="1"/>
  <c r="I5770" i="1" s="1"/>
  <c r="H5769" i="1"/>
  <c r="A5769" i="1"/>
  <c r="I5769" i="1" s="1"/>
  <c r="H5768" i="1"/>
  <c r="I5768" i="1" s="1"/>
  <c r="A5768" i="1"/>
  <c r="H5767" i="1"/>
  <c r="A5767" i="1"/>
  <c r="I5767" i="1" s="1"/>
  <c r="H5766" i="1"/>
  <c r="A5766" i="1"/>
  <c r="I5765" i="1"/>
  <c r="H5765" i="1"/>
  <c r="A5765" i="1"/>
  <c r="H5764" i="1"/>
  <c r="I5764" i="1" s="1"/>
  <c r="A5764" i="1"/>
  <c r="I5763" i="1"/>
  <c r="H5763" i="1"/>
  <c r="A5763" i="1"/>
  <c r="H5762" i="1"/>
  <c r="A5762" i="1"/>
  <c r="I5762" i="1" s="1"/>
  <c r="H5761" i="1"/>
  <c r="A5761" i="1"/>
  <c r="I5761" i="1" s="1"/>
  <c r="H5760" i="1"/>
  <c r="I5760" i="1" s="1"/>
  <c r="A5760" i="1"/>
  <c r="H5759" i="1"/>
  <c r="A5759" i="1"/>
  <c r="I5759" i="1" s="1"/>
  <c r="H5758" i="1"/>
  <c r="A5758" i="1"/>
  <c r="I5758" i="1" s="1"/>
  <c r="I5757" i="1"/>
  <c r="H5757" i="1"/>
  <c r="A5757" i="1"/>
  <c r="H5756" i="1"/>
  <c r="I5756" i="1" s="1"/>
  <c r="A5756" i="1"/>
  <c r="H5755" i="1"/>
  <c r="A5755" i="1"/>
  <c r="I5755" i="1" s="1"/>
  <c r="H5754" i="1"/>
  <c r="A5754" i="1"/>
  <c r="I5754" i="1" s="1"/>
  <c r="H5753" i="1"/>
  <c r="A5753" i="1"/>
  <c r="I5753" i="1" s="1"/>
  <c r="H5752" i="1"/>
  <c r="I5752" i="1" s="1"/>
  <c r="A5752" i="1"/>
  <c r="H5751" i="1"/>
  <c r="A5751" i="1"/>
  <c r="I5751" i="1" s="1"/>
  <c r="H5750" i="1"/>
  <c r="A5750" i="1"/>
  <c r="I5750" i="1" s="1"/>
  <c r="I5749" i="1"/>
  <c r="H5749" i="1"/>
  <c r="A5749" i="1"/>
  <c r="H5748" i="1"/>
  <c r="I5748" i="1" s="1"/>
  <c r="A5748" i="1"/>
  <c r="H5747" i="1"/>
  <c r="A5747" i="1"/>
  <c r="I5747" i="1" s="1"/>
  <c r="H5746" i="1"/>
  <c r="A5746" i="1"/>
  <c r="I5746" i="1" s="1"/>
  <c r="H5745" i="1"/>
  <c r="A5745" i="1"/>
  <c r="I5745" i="1" s="1"/>
  <c r="H5744" i="1"/>
  <c r="I5744" i="1" s="1"/>
  <c r="A5744" i="1"/>
  <c r="H5743" i="1"/>
  <c r="A5743" i="1"/>
  <c r="I5743" i="1" s="1"/>
  <c r="H5742" i="1"/>
  <c r="A5742" i="1"/>
  <c r="I5742" i="1" s="1"/>
  <c r="I5741" i="1"/>
  <c r="H5741" i="1"/>
  <c r="A5741" i="1"/>
  <c r="H5740" i="1"/>
  <c r="I5740" i="1" s="1"/>
  <c r="A5740" i="1"/>
  <c r="H5739" i="1"/>
  <c r="A5739" i="1"/>
  <c r="I5739" i="1" s="1"/>
  <c r="H5738" i="1"/>
  <c r="A5738" i="1"/>
  <c r="I5738" i="1" s="1"/>
  <c r="H5737" i="1"/>
  <c r="A5737" i="1"/>
  <c r="I5737" i="1" s="1"/>
  <c r="H5736" i="1"/>
  <c r="I5736" i="1" s="1"/>
  <c r="A5736" i="1"/>
  <c r="H5735" i="1"/>
  <c r="A5735" i="1"/>
  <c r="I5735" i="1" s="1"/>
  <c r="H5734" i="1"/>
  <c r="A5734" i="1"/>
  <c r="I5733" i="1"/>
  <c r="H5733" i="1"/>
  <c r="A5733" i="1"/>
  <c r="H5732" i="1"/>
  <c r="I5732" i="1" s="1"/>
  <c r="A5732" i="1"/>
  <c r="I5731" i="1"/>
  <c r="H5731" i="1"/>
  <c r="A5731" i="1"/>
  <c r="H5730" i="1"/>
  <c r="A5730" i="1"/>
  <c r="I5730" i="1" s="1"/>
  <c r="H5729" i="1"/>
  <c r="A5729" i="1"/>
  <c r="I5729" i="1" s="1"/>
  <c r="H5728" i="1"/>
  <c r="I5728" i="1" s="1"/>
  <c r="A5728" i="1"/>
  <c r="H5727" i="1"/>
  <c r="A5727" i="1"/>
  <c r="I5727" i="1" s="1"/>
  <c r="H5726" i="1"/>
  <c r="A5726" i="1"/>
  <c r="I5726" i="1" s="1"/>
  <c r="I5725" i="1"/>
  <c r="H5725" i="1"/>
  <c r="A5725" i="1"/>
  <c r="H5724" i="1"/>
  <c r="I5724" i="1" s="1"/>
  <c r="A5724" i="1"/>
  <c r="H5723" i="1"/>
  <c r="A5723" i="1"/>
  <c r="I5723" i="1" s="1"/>
  <c r="H5722" i="1"/>
  <c r="A5722" i="1"/>
  <c r="I5722" i="1" s="1"/>
  <c r="H5721" i="1"/>
  <c r="A5721" i="1"/>
  <c r="I5721" i="1" s="1"/>
  <c r="H5720" i="1"/>
  <c r="I5720" i="1" s="1"/>
  <c r="A5720" i="1"/>
  <c r="H5719" i="1"/>
  <c r="A5719" i="1"/>
  <c r="I5719" i="1" s="1"/>
  <c r="H5718" i="1"/>
  <c r="A5718" i="1"/>
  <c r="I5718" i="1" s="1"/>
  <c r="I5717" i="1"/>
  <c r="H5717" i="1"/>
  <c r="A5717" i="1"/>
  <c r="H5716" i="1"/>
  <c r="I5716" i="1" s="1"/>
  <c r="A5716" i="1"/>
  <c r="H5715" i="1"/>
  <c r="A5715" i="1"/>
  <c r="I5715" i="1" s="1"/>
  <c r="H5714" i="1"/>
  <c r="A5714" i="1"/>
  <c r="I5714" i="1" s="1"/>
  <c r="H5713" i="1"/>
  <c r="A5713" i="1"/>
  <c r="I5713" i="1" s="1"/>
  <c r="H5712" i="1"/>
  <c r="I5712" i="1" s="1"/>
  <c r="A5712" i="1"/>
  <c r="H5711" i="1"/>
  <c r="A5711" i="1"/>
  <c r="I5711" i="1" s="1"/>
  <c r="H5710" i="1"/>
  <c r="A5710" i="1"/>
  <c r="I5710" i="1" s="1"/>
  <c r="I5709" i="1"/>
  <c r="H5709" i="1"/>
  <c r="A5709" i="1"/>
  <c r="H5708" i="1"/>
  <c r="I5708" i="1" s="1"/>
  <c r="A5708" i="1"/>
  <c r="H5707" i="1"/>
  <c r="A5707" i="1"/>
  <c r="I5707" i="1" s="1"/>
  <c r="H5706" i="1"/>
  <c r="A5706" i="1"/>
  <c r="I5706" i="1" s="1"/>
  <c r="H5705" i="1"/>
  <c r="A5705" i="1"/>
  <c r="I5705" i="1" s="1"/>
  <c r="H5704" i="1"/>
  <c r="I5704" i="1" s="1"/>
  <c r="A5704" i="1"/>
  <c r="H5703" i="1"/>
  <c r="A5703" i="1"/>
  <c r="I5703" i="1" s="1"/>
  <c r="H5702" i="1"/>
  <c r="A5702" i="1"/>
  <c r="I5701" i="1"/>
  <c r="H5701" i="1"/>
  <c r="A5701" i="1"/>
  <c r="H5700" i="1"/>
  <c r="I5700" i="1" s="1"/>
  <c r="A5700" i="1"/>
  <c r="I5699" i="1"/>
  <c r="H5699" i="1"/>
  <c r="A5699" i="1"/>
  <c r="H5698" i="1"/>
  <c r="A5698" i="1"/>
  <c r="I5698" i="1" s="1"/>
  <c r="H5697" i="1"/>
  <c r="A5697" i="1"/>
  <c r="I5697" i="1" s="1"/>
  <c r="H5696" i="1"/>
  <c r="I5696" i="1" s="1"/>
  <c r="A5696" i="1"/>
  <c r="H5695" i="1"/>
  <c r="A5695" i="1"/>
  <c r="I5695" i="1" s="1"/>
  <c r="H5694" i="1"/>
  <c r="A5694" i="1"/>
  <c r="I5694" i="1" s="1"/>
  <c r="I5693" i="1"/>
  <c r="H5693" i="1"/>
  <c r="A5693" i="1"/>
  <c r="H5692" i="1"/>
  <c r="I5692" i="1" s="1"/>
  <c r="A5692" i="1"/>
  <c r="H5691" i="1"/>
  <c r="A5691" i="1"/>
  <c r="I5691" i="1" s="1"/>
  <c r="H5690" i="1"/>
  <c r="A5690" i="1"/>
  <c r="I5690" i="1" s="1"/>
  <c r="H5689" i="1"/>
  <c r="A5689" i="1"/>
  <c r="I5689" i="1" s="1"/>
  <c r="H5688" i="1"/>
  <c r="I5688" i="1" s="1"/>
  <c r="A5688" i="1"/>
  <c r="H5687" i="1"/>
  <c r="A5687" i="1"/>
  <c r="I5687" i="1" s="1"/>
  <c r="H5686" i="1"/>
  <c r="A5686" i="1"/>
  <c r="I5686" i="1" s="1"/>
  <c r="I5685" i="1"/>
  <c r="H5685" i="1"/>
  <c r="A5685" i="1"/>
  <c r="H5684" i="1"/>
  <c r="I5684" i="1" s="1"/>
  <c r="A5684" i="1"/>
  <c r="H5683" i="1"/>
  <c r="A5683" i="1"/>
  <c r="I5683" i="1" s="1"/>
  <c r="H5682" i="1"/>
  <c r="A5682" i="1"/>
  <c r="I5682" i="1" s="1"/>
  <c r="H5681" i="1"/>
  <c r="A5681" i="1"/>
  <c r="I5681" i="1" s="1"/>
  <c r="H5680" i="1"/>
  <c r="I5680" i="1" s="1"/>
  <c r="A5680" i="1"/>
  <c r="H5679" i="1"/>
  <c r="A5679" i="1"/>
  <c r="I5679" i="1" s="1"/>
  <c r="H5678" i="1"/>
  <c r="A5678" i="1"/>
  <c r="I5678" i="1" s="1"/>
  <c r="I5677" i="1"/>
  <c r="H5677" i="1"/>
  <c r="A5677" i="1"/>
  <c r="H5676" i="1"/>
  <c r="I5676" i="1" s="1"/>
  <c r="A5676" i="1"/>
  <c r="H5675" i="1"/>
  <c r="A5675" i="1"/>
  <c r="I5675" i="1" s="1"/>
  <c r="H5674" i="1"/>
  <c r="A5674" i="1"/>
  <c r="I5674" i="1" s="1"/>
  <c r="H5673" i="1"/>
  <c r="A5673" i="1"/>
  <c r="I5673" i="1" s="1"/>
  <c r="H5672" i="1"/>
  <c r="I5672" i="1" s="1"/>
  <c r="A5672" i="1"/>
  <c r="H5671" i="1"/>
  <c r="A5671" i="1"/>
  <c r="I5671" i="1" s="1"/>
  <c r="H5670" i="1"/>
  <c r="A5670" i="1"/>
  <c r="I5669" i="1"/>
  <c r="H5669" i="1"/>
  <c r="A5669" i="1"/>
  <c r="H5668" i="1"/>
  <c r="I5668" i="1" s="1"/>
  <c r="A5668" i="1"/>
  <c r="I5667" i="1"/>
  <c r="H5667" i="1"/>
  <c r="A5667" i="1"/>
  <c r="H5666" i="1"/>
  <c r="A5666" i="1"/>
  <c r="I5666" i="1" s="1"/>
  <c r="H5665" i="1"/>
  <c r="A5665" i="1"/>
  <c r="I5665" i="1" s="1"/>
  <c r="H5664" i="1"/>
  <c r="I5664" i="1" s="1"/>
  <c r="A5664" i="1"/>
  <c r="H5663" i="1"/>
  <c r="A5663" i="1"/>
  <c r="I5663" i="1" s="1"/>
  <c r="H5662" i="1"/>
  <c r="A5662" i="1"/>
  <c r="I5662" i="1" s="1"/>
  <c r="I5661" i="1"/>
  <c r="H5661" i="1"/>
  <c r="A5661" i="1"/>
  <c r="H5660" i="1"/>
  <c r="I5660" i="1" s="1"/>
  <c r="A5660" i="1"/>
  <c r="H5659" i="1"/>
  <c r="A5659" i="1"/>
  <c r="I5659" i="1" s="1"/>
  <c r="H5658" i="1"/>
  <c r="A5658" i="1"/>
  <c r="I5658" i="1" s="1"/>
  <c r="H5657" i="1"/>
  <c r="A5657" i="1"/>
  <c r="I5657" i="1" s="1"/>
  <c r="H5656" i="1"/>
  <c r="I5656" i="1" s="1"/>
  <c r="A5656" i="1"/>
  <c r="H5655" i="1"/>
  <c r="A5655" i="1"/>
  <c r="I5655" i="1" s="1"/>
  <c r="H5654" i="1"/>
  <c r="A5654" i="1"/>
  <c r="I5654" i="1" s="1"/>
  <c r="I5653" i="1"/>
  <c r="H5653" i="1"/>
  <c r="A5653" i="1"/>
  <c r="H5652" i="1"/>
  <c r="I5652" i="1" s="1"/>
  <c r="A5652" i="1"/>
  <c r="H5651" i="1"/>
  <c r="A5651" i="1"/>
  <c r="I5651" i="1" s="1"/>
  <c r="H5650" i="1"/>
  <c r="A5650" i="1"/>
  <c r="I5650" i="1" s="1"/>
  <c r="I5649" i="1"/>
  <c r="H5649" i="1"/>
  <c r="A5649" i="1"/>
  <c r="H5648" i="1"/>
  <c r="I5648" i="1" s="1"/>
  <c r="A5648" i="1"/>
  <c r="H5647" i="1"/>
  <c r="A5647" i="1"/>
  <c r="I5647" i="1" s="1"/>
  <c r="H5646" i="1"/>
  <c r="A5646" i="1"/>
  <c r="I5645" i="1"/>
  <c r="H5645" i="1"/>
  <c r="A5645" i="1"/>
  <c r="H5644" i="1"/>
  <c r="I5644" i="1" s="1"/>
  <c r="A5644" i="1"/>
  <c r="H5643" i="1"/>
  <c r="A5643" i="1"/>
  <c r="I5643" i="1" s="1"/>
  <c r="H5642" i="1"/>
  <c r="A5642" i="1"/>
  <c r="I5642" i="1" s="1"/>
  <c r="H5641" i="1"/>
  <c r="A5641" i="1"/>
  <c r="I5641" i="1" s="1"/>
  <c r="H5640" i="1"/>
  <c r="I5640" i="1" s="1"/>
  <c r="A5640" i="1"/>
  <c r="H5639" i="1"/>
  <c r="A5639" i="1"/>
  <c r="I5639" i="1" s="1"/>
  <c r="H5638" i="1"/>
  <c r="A5638" i="1"/>
  <c r="I5638" i="1" s="1"/>
  <c r="I5637" i="1"/>
  <c r="H5637" i="1"/>
  <c r="A5637" i="1"/>
  <c r="H5636" i="1"/>
  <c r="I5636" i="1" s="1"/>
  <c r="A5636" i="1"/>
  <c r="H5635" i="1"/>
  <c r="A5635" i="1"/>
  <c r="I5635" i="1" s="1"/>
  <c r="H5634" i="1"/>
  <c r="A5634" i="1"/>
  <c r="I5634" i="1" s="1"/>
  <c r="H5633" i="1"/>
  <c r="A5633" i="1"/>
  <c r="I5633" i="1" s="1"/>
  <c r="H5632" i="1"/>
  <c r="I5632" i="1" s="1"/>
  <c r="A5632" i="1"/>
  <c r="H5631" i="1"/>
  <c r="A5631" i="1"/>
  <c r="I5631" i="1" s="1"/>
  <c r="H5630" i="1"/>
  <c r="A5630" i="1"/>
  <c r="I5629" i="1"/>
  <c r="H5629" i="1"/>
  <c r="A5629" i="1"/>
  <c r="H5628" i="1"/>
  <c r="I5628" i="1" s="1"/>
  <c r="A5628" i="1"/>
  <c r="I5627" i="1"/>
  <c r="H5627" i="1"/>
  <c r="A5627" i="1"/>
  <c r="H5626" i="1"/>
  <c r="A5626" i="1"/>
  <c r="I5626" i="1" s="1"/>
  <c r="H5625" i="1"/>
  <c r="A5625" i="1"/>
  <c r="I5625" i="1" s="1"/>
  <c r="H5624" i="1"/>
  <c r="I5624" i="1" s="1"/>
  <c r="A5624" i="1"/>
  <c r="H5623" i="1"/>
  <c r="A5623" i="1"/>
  <c r="I5623" i="1" s="1"/>
  <c r="H5622" i="1"/>
  <c r="A5622" i="1"/>
  <c r="I5621" i="1"/>
  <c r="H5621" i="1"/>
  <c r="A5621" i="1"/>
  <c r="H5620" i="1"/>
  <c r="I5620" i="1" s="1"/>
  <c r="A5620" i="1"/>
  <c r="I5619" i="1"/>
  <c r="H5619" i="1"/>
  <c r="A5619" i="1"/>
  <c r="H5618" i="1"/>
  <c r="A5618" i="1"/>
  <c r="I5618" i="1" s="1"/>
  <c r="I5617" i="1"/>
  <c r="H5617" i="1"/>
  <c r="A5617" i="1"/>
  <c r="H5616" i="1"/>
  <c r="I5616" i="1" s="1"/>
  <c r="A5616" i="1"/>
  <c r="H5615" i="1"/>
  <c r="A5615" i="1"/>
  <c r="I5615" i="1" s="1"/>
  <c r="H5614" i="1"/>
  <c r="A5614" i="1"/>
  <c r="I5613" i="1"/>
  <c r="H5613" i="1"/>
  <c r="A5613" i="1"/>
  <c r="H5612" i="1"/>
  <c r="I5612" i="1" s="1"/>
  <c r="A5612" i="1"/>
  <c r="H5611" i="1"/>
  <c r="A5611" i="1"/>
  <c r="I5611" i="1" s="1"/>
  <c r="H5610" i="1"/>
  <c r="A5610" i="1"/>
  <c r="I5610" i="1" s="1"/>
  <c r="I5609" i="1"/>
  <c r="H5609" i="1"/>
  <c r="A5609" i="1"/>
  <c r="H5608" i="1"/>
  <c r="I5608" i="1" s="1"/>
  <c r="A5608" i="1"/>
  <c r="H5607" i="1"/>
  <c r="A5607" i="1"/>
  <c r="I5607" i="1" s="1"/>
  <c r="H5606" i="1"/>
  <c r="A5606" i="1"/>
  <c r="I5606" i="1" s="1"/>
  <c r="I5605" i="1"/>
  <c r="H5605" i="1"/>
  <c r="A5605" i="1"/>
  <c r="H5604" i="1"/>
  <c r="I5604" i="1" s="1"/>
  <c r="A5604" i="1"/>
  <c r="H5603" i="1"/>
  <c r="A5603" i="1"/>
  <c r="I5603" i="1" s="1"/>
  <c r="H5602" i="1"/>
  <c r="A5602" i="1"/>
  <c r="I5602" i="1" s="1"/>
  <c r="H5601" i="1"/>
  <c r="A5601" i="1"/>
  <c r="I5601" i="1" s="1"/>
  <c r="H5600" i="1"/>
  <c r="I5600" i="1" s="1"/>
  <c r="A5600" i="1"/>
  <c r="H5599" i="1"/>
  <c r="A5599" i="1"/>
  <c r="I5599" i="1" s="1"/>
  <c r="H5598" i="1"/>
  <c r="A5598" i="1"/>
  <c r="I5597" i="1"/>
  <c r="H5597" i="1"/>
  <c r="A5597" i="1"/>
  <c r="H5596" i="1"/>
  <c r="I5596" i="1" s="1"/>
  <c r="A5596" i="1"/>
  <c r="I5595" i="1"/>
  <c r="H5595" i="1"/>
  <c r="A5595" i="1"/>
  <c r="H5594" i="1"/>
  <c r="A5594" i="1"/>
  <c r="I5594" i="1" s="1"/>
  <c r="H5593" i="1"/>
  <c r="A5593" i="1"/>
  <c r="I5593" i="1" s="1"/>
  <c r="H5592" i="1"/>
  <c r="I5592" i="1" s="1"/>
  <c r="A5592" i="1"/>
  <c r="H5591" i="1"/>
  <c r="A5591" i="1"/>
  <c r="I5591" i="1" s="1"/>
  <c r="H5590" i="1"/>
  <c r="A5590" i="1"/>
  <c r="I5590" i="1" s="1"/>
  <c r="I5589" i="1"/>
  <c r="H5589" i="1"/>
  <c r="A5589" i="1"/>
  <c r="H5588" i="1"/>
  <c r="I5588" i="1" s="1"/>
  <c r="A5588" i="1"/>
  <c r="H5587" i="1"/>
  <c r="A5587" i="1"/>
  <c r="I5587" i="1" s="1"/>
  <c r="H5586" i="1"/>
  <c r="A5586" i="1"/>
  <c r="I5586" i="1" s="1"/>
  <c r="I5585" i="1"/>
  <c r="H5585" i="1"/>
  <c r="A5585" i="1"/>
  <c r="H5584" i="1"/>
  <c r="I5584" i="1" s="1"/>
  <c r="A5584" i="1"/>
  <c r="H5583" i="1"/>
  <c r="A5583" i="1"/>
  <c r="I5583" i="1" s="1"/>
  <c r="H5582" i="1"/>
  <c r="A5582" i="1"/>
  <c r="I5581" i="1"/>
  <c r="H5581" i="1"/>
  <c r="A5581" i="1"/>
  <c r="H5580" i="1"/>
  <c r="I5580" i="1" s="1"/>
  <c r="A5580" i="1"/>
  <c r="H5579" i="1"/>
  <c r="A5579" i="1"/>
  <c r="I5579" i="1" s="1"/>
  <c r="H5578" i="1"/>
  <c r="A5578" i="1"/>
  <c r="I5578" i="1" s="1"/>
  <c r="H5577" i="1"/>
  <c r="A5577" i="1"/>
  <c r="I5577" i="1" s="1"/>
  <c r="H5576" i="1"/>
  <c r="I5576" i="1" s="1"/>
  <c r="A5576" i="1"/>
  <c r="H5575" i="1"/>
  <c r="A5575" i="1"/>
  <c r="I5575" i="1" s="1"/>
  <c r="H5574" i="1"/>
  <c r="A5574" i="1"/>
  <c r="I5574" i="1" s="1"/>
  <c r="I5573" i="1"/>
  <c r="H5573" i="1"/>
  <c r="A5573" i="1"/>
  <c r="H5572" i="1"/>
  <c r="I5572" i="1" s="1"/>
  <c r="A5572" i="1"/>
  <c r="H5571" i="1"/>
  <c r="A5571" i="1"/>
  <c r="I5571" i="1" s="1"/>
  <c r="H5570" i="1"/>
  <c r="A5570" i="1"/>
  <c r="I5570" i="1" s="1"/>
  <c r="H5569" i="1"/>
  <c r="A5569" i="1"/>
  <c r="I5569" i="1" s="1"/>
  <c r="H5568" i="1"/>
  <c r="I5568" i="1" s="1"/>
  <c r="A5568" i="1"/>
  <c r="H5567" i="1"/>
  <c r="A5567" i="1"/>
  <c r="I5567" i="1" s="1"/>
  <c r="H5566" i="1"/>
  <c r="A5566" i="1"/>
  <c r="I5565" i="1"/>
  <c r="H5565" i="1"/>
  <c r="A5565" i="1"/>
  <c r="H5564" i="1"/>
  <c r="I5564" i="1" s="1"/>
  <c r="A5564" i="1"/>
  <c r="I5563" i="1"/>
  <c r="H5563" i="1"/>
  <c r="A5563" i="1"/>
  <c r="H5562" i="1"/>
  <c r="A5562" i="1"/>
  <c r="I5562" i="1" s="1"/>
  <c r="H5561" i="1"/>
  <c r="A5561" i="1"/>
  <c r="I5561" i="1" s="1"/>
  <c r="H5560" i="1"/>
  <c r="I5560" i="1" s="1"/>
  <c r="A5560" i="1"/>
  <c r="H5559" i="1"/>
  <c r="A5559" i="1"/>
  <c r="I5559" i="1" s="1"/>
  <c r="H5558" i="1"/>
  <c r="A5558" i="1"/>
  <c r="I5557" i="1"/>
  <c r="H5557" i="1"/>
  <c r="A5557" i="1"/>
  <c r="H5556" i="1"/>
  <c r="I5556" i="1" s="1"/>
  <c r="A5556" i="1"/>
  <c r="I5555" i="1"/>
  <c r="H5555" i="1"/>
  <c r="A5555" i="1"/>
  <c r="H5554" i="1"/>
  <c r="A5554" i="1"/>
  <c r="I5554" i="1" s="1"/>
  <c r="I5553" i="1"/>
  <c r="H5553" i="1"/>
  <c r="A5553" i="1"/>
  <c r="H5552" i="1"/>
  <c r="I5552" i="1" s="1"/>
  <c r="A5552" i="1"/>
  <c r="H5551" i="1"/>
  <c r="A5551" i="1"/>
  <c r="I5551" i="1" s="1"/>
  <c r="H5550" i="1"/>
  <c r="A5550" i="1"/>
  <c r="I5550" i="1" s="1"/>
  <c r="I5549" i="1"/>
  <c r="H5549" i="1"/>
  <c r="A5549" i="1"/>
  <c r="H5548" i="1"/>
  <c r="I5548" i="1" s="1"/>
  <c r="A5548" i="1"/>
  <c r="H5547" i="1"/>
  <c r="A5547" i="1"/>
  <c r="I5547" i="1" s="1"/>
  <c r="H5546" i="1"/>
  <c r="A5546" i="1"/>
  <c r="I5546" i="1" s="1"/>
  <c r="I5545" i="1"/>
  <c r="H5545" i="1"/>
  <c r="A5545" i="1"/>
  <c r="H5544" i="1"/>
  <c r="I5544" i="1" s="1"/>
  <c r="A5544" i="1"/>
  <c r="H5543" i="1"/>
  <c r="A5543" i="1"/>
  <c r="I5543" i="1" s="1"/>
  <c r="H5542" i="1"/>
  <c r="A5542" i="1"/>
  <c r="I5542" i="1" s="1"/>
  <c r="I5541" i="1"/>
  <c r="H5541" i="1"/>
  <c r="A5541" i="1"/>
  <c r="H5540" i="1"/>
  <c r="I5540" i="1" s="1"/>
  <c r="A5540" i="1"/>
  <c r="H5539" i="1"/>
  <c r="A5539" i="1"/>
  <c r="I5539" i="1" s="1"/>
  <c r="H5538" i="1"/>
  <c r="A5538" i="1"/>
  <c r="I5538" i="1" s="1"/>
  <c r="H5537" i="1"/>
  <c r="A5537" i="1"/>
  <c r="I5537" i="1" s="1"/>
  <c r="H5536" i="1"/>
  <c r="I5536" i="1" s="1"/>
  <c r="A5536" i="1"/>
  <c r="H5535" i="1"/>
  <c r="A5535" i="1"/>
  <c r="I5535" i="1" s="1"/>
  <c r="H5534" i="1"/>
  <c r="A5534" i="1"/>
  <c r="I5533" i="1"/>
  <c r="H5533" i="1"/>
  <c r="A5533" i="1"/>
  <c r="H5532" i="1"/>
  <c r="I5532" i="1" s="1"/>
  <c r="A5532" i="1"/>
  <c r="I5531" i="1"/>
  <c r="H5531" i="1"/>
  <c r="A5531" i="1"/>
  <c r="H5530" i="1"/>
  <c r="A5530" i="1"/>
  <c r="I5530" i="1" s="1"/>
  <c r="H5529" i="1"/>
  <c r="A5529" i="1"/>
  <c r="I5529" i="1" s="1"/>
  <c r="H5528" i="1"/>
  <c r="I5528" i="1" s="1"/>
  <c r="A5528" i="1"/>
  <c r="H5527" i="1"/>
  <c r="A5527" i="1"/>
  <c r="I5527" i="1" s="1"/>
  <c r="H5526" i="1"/>
  <c r="A5526" i="1"/>
  <c r="I5526" i="1" s="1"/>
  <c r="I5525" i="1"/>
  <c r="H5525" i="1"/>
  <c r="A5525" i="1"/>
  <c r="H5524" i="1"/>
  <c r="I5524" i="1" s="1"/>
  <c r="A5524" i="1"/>
  <c r="H5523" i="1"/>
  <c r="A5523" i="1"/>
  <c r="I5523" i="1" s="1"/>
  <c r="H5522" i="1"/>
  <c r="A5522" i="1"/>
  <c r="I5522" i="1" s="1"/>
  <c r="I5521" i="1"/>
  <c r="H5521" i="1"/>
  <c r="A5521" i="1"/>
  <c r="H5520" i="1"/>
  <c r="I5520" i="1" s="1"/>
  <c r="A5520" i="1"/>
  <c r="H5519" i="1"/>
  <c r="A5519" i="1"/>
  <c r="I5519" i="1" s="1"/>
  <c r="H5518" i="1"/>
  <c r="A5518" i="1"/>
  <c r="I5517" i="1"/>
  <c r="H5517" i="1"/>
  <c r="A5517" i="1"/>
  <c r="H5516" i="1"/>
  <c r="I5516" i="1" s="1"/>
  <c r="A5516" i="1"/>
  <c r="H5515" i="1"/>
  <c r="A5515" i="1"/>
  <c r="I5515" i="1" s="1"/>
  <c r="H5514" i="1"/>
  <c r="A5514" i="1"/>
  <c r="I5514" i="1" s="1"/>
  <c r="H5513" i="1"/>
  <c r="A5513" i="1"/>
  <c r="I5513" i="1" s="1"/>
  <c r="H5512" i="1"/>
  <c r="I5512" i="1" s="1"/>
  <c r="A5512" i="1"/>
  <c r="H5511" i="1"/>
  <c r="A5511" i="1"/>
  <c r="I5511" i="1" s="1"/>
  <c r="H5510" i="1"/>
  <c r="A5510" i="1"/>
  <c r="I5510" i="1" s="1"/>
  <c r="I5509" i="1"/>
  <c r="H5509" i="1"/>
  <c r="A5509" i="1"/>
  <c r="H5508" i="1"/>
  <c r="I5508" i="1" s="1"/>
  <c r="A5508" i="1"/>
  <c r="H5507" i="1"/>
  <c r="A5507" i="1"/>
  <c r="I5507" i="1" s="1"/>
  <c r="H5506" i="1"/>
  <c r="A5506" i="1"/>
  <c r="I5506" i="1" s="1"/>
  <c r="H5505" i="1"/>
  <c r="A5505" i="1"/>
  <c r="I5505" i="1" s="1"/>
  <c r="H5504" i="1"/>
  <c r="I5504" i="1" s="1"/>
  <c r="A5504" i="1"/>
  <c r="H5503" i="1"/>
  <c r="A5503" i="1"/>
  <c r="I5503" i="1" s="1"/>
  <c r="H5502" i="1"/>
  <c r="A5502" i="1"/>
  <c r="I5501" i="1"/>
  <c r="H5501" i="1"/>
  <c r="A5501" i="1"/>
  <c r="H5500" i="1"/>
  <c r="I5500" i="1" s="1"/>
  <c r="A5500" i="1"/>
  <c r="I5499" i="1"/>
  <c r="H5499" i="1"/>
  <c r="A5499" i="1"/>
  <c r="H5498" i="1"/>
  <c r="A5498" i="1"/>
  <c r="I5498" i="1" s="1"/>
  <c r="H5497" i="1"/>
  <c r="A5497" i="1"/>
  <c r="I5497" i="1" s="1"/>
  <c r="H5496" i="1"/>
  <c r="I5496" i="1" s="1"/>
  <c r="A5496" i="1"/>
  <c r="H5495" i="1"/>
  <c r="A5495" i="1"/>
  <c r="I5495" i="1" s="1"/>
  <c r="H5494" i="1"/>
  <c r="A5494" i="1"/>
  <c r="I5493" i="1"/>
  <c r="H5493" i="1"/>
  <c r="A5493" i="1"/>
  <c r="H5492" i="1"/>
  <c r="I5492" i="1" s="1"/>
  <c r="A5492" i="1"/>
  <c r="I5491" i="1"/>
  <c r="H5491" i="1"/>
  <c r="A5491" i="1"/>
  <c r="H5490" i="1"/>
  <c r="A5490" i="1"/>
  <c r="I5490" i="1" s="1"/>
  <c r="I5489" i="1"/>
  <c r="H5489" i="1"/>
  <c r="A5489" i="1"/>
  <c r="H5488" i="1"/>
  <c r="I5488" i="1" s="1"/>
  <c r="A5488" i="1"/>
  <c r="H5487" i="1"/>
  <c r="A5487" i="1"/>
  <c r="I5487" i="1" s="1"/>
  <c r="H5486" i="1"/>
  <c r="A5486" i="1"/>
  <c r="I5486" i="1" s="1"/>
  <c r="I5485" i="1"/>
  <c r="H5485" i="1"/>
  <c r="A5485" i="1"/>
  <c r="H5484" i="1"/>
  <c r="I5484" i="1" s="1"/>
  <c r="A5484" i="1"/>
  <c r="H5483" i="1"/>
  <c r="A5483" i="1"/>
  <c r="I5483" i="1" s="1"/>
  <c r="H5482" i="1"/>
  <c r="A5482" i="1"/>
  <c r="I5482" i="1" s="1"/>
  <c r="I5481" i="1"/>
  <c r="H5481" i="1"/>
  <c r="A5481" i="1"/>
  <c r="H5480" i="1"/>
  <c r="I5480" i="1" s="1"/>
  <c r="A5480" i="1"/>
  <c r="H5479" i="1"/>
  <c r="A5479" i="1"/>
  <c r="I5479" i="1" s="1"/>
  <c r="H5478" i="1"/>
  <c r="A5478" i="1"/>
  <c r="I5478" i="1" s="1"/>
  <c r="I5477" i="1"/>
  <c r="H5477" i="1"/>
  <c r="A5477" i="1"/>
  <c r="H5476" i="1"/>
  <c r="I5476" i="1" s="1"/>
  <c r="A5476" i="1"/>
  <c r="H5475" i="1"/>
  <c r="A5475" i="1"/>
  <c r="I5475" i="1" s="1"/>
  <c r="H5474" i="1"/>
  <c r="A5474" i="1"/>
  <c r="I5474" i="1" s="1"/>
  <c r="H5473" i="1"/>
  <c r="A5473" i="1"/>
  <c r="I5473" i="1" s="1"/>
  <c r="H5472" i="1"/>
  <c r="I5472" i="1" s="1"/>
  <c r="A5472" i="1"/>
  <c r="H5471" i="1"/>
  <c r="A5471" i="1"/>
  <c r="I5471" i="1" s="1"/>
  <c r="H5470" i="1"/>
  <c r="A5470" i="1"/>
  <c r="H5469" i="1"/>
  <c r="A5469" i="1"/>
  <c r="I5469" i="1" s="1"/>
  <c r="H5468" i="1"/>
  <c r="I5468" i="1" s="1"/>
  <c r="A5468" i="1"/>
  <c r="I5467" i="1"/>
  <c r="H5467" i="1"/>
  <c r="A5467" i="1"/>
  <c r="H5466" i="1"/>
  <c r="A5466" i="1"/>
  <c r="I5466" i="1" s="1"/>
  <c r="H5465" i="1"/>
  <c r="A5465" i="1"/>
  <c r="I5465" i="1" s="1"/>
  <c r="H5464" i="1"/>
  <c r="I5464" i="1" s="1"/>
  <c r="A5464" i="1"/>
  <c r="H5463" i="1"/>
  <c r="A5463" i="1"/>
  <c r="I5463" i="1" s="1"/>
  <c r="H5462" i="1"/>
  <c r="A5462" i="1"/>
  <c r="I5461" i="1"/>
  <c r="H5461" i="1"/>
  <c r="A5461" i="1"/>
  <c r="H5460" i="1"/>
  <c r="I5460" i="1" s="1"/>
  <c r="A5460" i="1"/>
  <c r="I5459" i="1"/>
  <c r="H5459" i="1"/>
  <c r="A5459" i="1"/>
  <c r="H5458" i="1"/>
  <c r="A5458" i="1"/>
  <c r="H5457" i="1"/>
  <c r="A5457" i="1"/>
  <c r="I5457" i="1" s="1"/>
  <c r="H5456" i="1"/>
  <c r="I5456" i="1" s="1"/>
  <c r="A5456" i="1"/>
  <c r="H5455" i="1"/>
  <c r="A5455" i="1"/>
  <c r="I5455" i="1" s="1"/>
  <c r="H5454" i="1"/>
  <c r="A5454" i="1"/>
  <c r="H5453" i="1"/>
  <c r="A5453" i="1"/>
  <c r="I5453" i="1" s="1"/>
  <c r="H5452" i="1"/>
  <c r="I5452" i="1" s="1"/>
  <c r="A5452" i="1"/>
  <c r="I5451" i="1"/>
  <c r="H5451" i="1"/>
  <c r="A5451" i="1"/>
  <c r="H5450" i="1"/>
  <c r="A5450" i="1"/>
  <c r="I5450" i="1" s="1"/>
  <c r="H5449" i="1"/>
  <c r="A5449" i="1"/>
  <c r="I5449" i="1" s="1"/>
  <c r="H5448" i="1"/>
  <c r="I5448" i="1" s="1"/>
  <c r="A5448" i="1"/>
  <c r="H5447" i="1"/>
  <c r="A5447" i="1"/>
  <c r="I5447" i="1" s="1"/>
  <c r="H5446" i="1"/>
  <c r="A5446" i="1"/>
  <c r="I5445" i="1"/>
  <c r="H5445" i="1"/>
  <c r="A5445" i="1"/>
  <c r="H5444" i="1"/>
  <c r="I5444" i="1" s="1"/>
  <c r="A5444" i="1"/>
  <c r="I5443" i="1"/>
  <c r="H5443" i="1"/>
  <c r="A5443" i="1"/>
  <c r="H5442" i="1"/>
  <c r="A5442" i="1"/>
  <c r="H5441" i="1"/>
  <c r="A5441" i="1"/>
  <c r="I5441" i="1" s="1"/>
  <c r="H5440" i="1"/>
  <c r="I5440" i="1" s="1"/>
  <c r="A5440" i="1"/>
  <c r="H5439" i="1"/>
  <c r="A5439" i="1"/>
  <c r="I5439" i="1" s="1"/>
  <c r="H5438" i="1"/>
  <c r="A5438" i="1"/>
  <c r="I5438" i="1" s="1"/>
  <c r="H5437" i="1"/>
  <c r="A5437" i="1"/>
  <c r="I5437" i="1" s="1"/>
  <c r="H5436" i="1"/>
  <c r="I5436" i="1" s="1"/>
  <c r="A5436" i="1"/>
  <c r="I5435" i="1"/>
  <c r="H5435" i="1"/>
  <c r="A5435" i="1"/>
  <c r="H5434" i="1"/>
  <c r="A5434" i="1"/>
  <c r="I5434" i="1" s="1"/>
  <c r="H5433" i="1"/>
  <c r="A5433" i="1"/>
  <c r="I5433" i="1" s="1"/>
  <c r="H5432" i="1"/>
  <c r="I5432" i="1" s="1"/>
  <c r="A5432" i="1"/>
  <c r="H5431" i="1"/>
  <c r="A5431" i="1"/>
  <c r="I5431" i="1" s="1"/>
  <c r="H5430" i="1"/>
  <c r="A5430" i="1"/>
  <c r="I5429" i="1"/>
  <c r="H5429" i="1"/>
  <c r="A5429" i="1"/>
  <c r="H5428" i="1"/>
  <c r="I5428" i="1" s="1"/>
  <c r="A5428" i="1"/>
  <c r="I5427" i="1"/>
  <c r="H5427" i="1"/>
  <c r="A5427" i="1"/>
  <c r="H5426" i="1"/>
  <c r="A5426" i="1"/>
  <c r="H5425" i="1"/>
  <c r="A5425" i="1"/>
  <c r="I5425" i="1" s="1"/>
  <c r="H5424" i="1"/>
  <c r="I5424" i="1" s="1"/>
  <c r="A5424" i="1"/>
  <c r="H5423" i="1"/>
  <c r="A5423" i="1"/>
  <c r="I5423" i="1" s="1"/>
  <c r="H5422" i="1"/>
  <c r="A5422" i="1"/>
  <c r="I5422" i="1" s="1"/>
  <c r="H5421" i="1"/>
  <c r="A5421" i="1"/>
  <c r="I5421" i="1" s="1"/>
  <c r="H5420" i="1"/>
  <c r="I5420" i="1" s="1"/>
  <c r="A5420" i="1"/>
  <c r="I5419" i="1"/>
  <c r="H5419" i="1"/>
  <c r="A5419" i="1"/>
  <c r="H5418" i="1"/>
  <c r="A5418" i="1"/>
  <c r="I5418" i="1" s="1"/>
  <c r="H5417" i="1"/>
  <c r="A5417" i="1"/>
  <c r="I5417" i="1" s="1"/>
  <c r="H5416" i="1"/>
  <c r="I5416" i="1" s="1"/>
  <c r="A5416" i="1"/>
  <c r="H5415" i="1"/>
  <c r="A5415" i="1"/>
  <c r="I5415" i="1" s="1"/>
  <c r="H5414" i="1"/>
  <c r="A5414" i="1"/>
  <c r="I5413" i="1"/>
  <c r="H5413" i="1"/>
  <c r="A5413" i="1"/>
  <c r="H5412" i="1"/>
  <c r="I5412" i="1" s="1"/>
  <c r="A5412" i="1"/>
  <c r="I5411" i="1"/>
  <c r="H5411" i="1"/>
  <c r="A5411" i="1"/>
  <c r="H5410" i="1"/>
  <c r="A5410" i="1"/>
  <c r="H5409" i="1"/>
  <c r="A5409" i="1"/>
  <c r="I5409" i="1" s="1"/>
  <c r="H5408" i="1"/>
  <c r="I5408" i="1" s="1"/>
  <c r="A5408" i="1"/>
  <c r="H5407" i="1"/>
  <c r="A5407" i="1"/>
  <c r="I5407" i="1" s="1"/>
  <c r="H5406" i="1"/>
  <c r="A5406" i="1"/>
  <c r="I5406" i="1" s="1"/>
  <c r="H5405" i="1"/>
  <c r="A5405" i="1"/>
  <c r="I5405" i="1" s="1"/>
  <c r="H5404" i="1"/>
  <c r="I5404" i="1" s="1"/>
  <c r="A5404" i="1"/>
  <c r="I5403" i="1"/>
  <c r="H5403" i="1"/>
  <c r="A5403" i="1"/>
  <c r="H5402" i="1"/>
  <c r="A5402" i="1"/>
  <c r="I5402" i="1" s="1"/>
  <c r="H5401" i="1"/>
  <c r="A5401" i="1"/>
  <c r="I5401" i="1" s="1"/>
  <c r="H5400" i="1"/>
  <c r="I5400" i="1" s="1"/>
  <c r="A5400" i="1"/>
  <c r="H5399" i="1"/>
  <c r="A5399" i="1"/>
  <c r="I5399" i="1" s="1"/>
  <c r="H5398" i="1"/>
  <c r="A5398" i="1"/>
  <c r="I5397" i="1"/>
  <c r="H5397" i="1"/>
  <c r="A5397" i="1"/>
  <c r="H5396" i="1"/>
  <c r="I5396" i="1" s="1"/>
  <c r="A5396" i="1"/>
  <c r="I5395" i="1"/>
  <c r="H5395" i="1"/>
  <c r="A5395" i="1"/>
  <c r="H5394" i="1"/>
  <c r="A5394" i="1"/>
  <c r="H5393" i="1"/>
  <c r="A5393" i="1"/>
  <c r="I5393" i="1" s="1"/>
  <c r="H5392" i="1"/>
  <c r="I5392" i="1" s="1"/>
  <c r="A5392" i="1"/>
  <c r="H5391" i="1"/>
  <c r="A5391" i="1"/>
  <c r="I5391" i="1" s="1"/>
  <c r="H5390" i="1"/>
  <c r="A5390" i="1"/>
  <c r="I5390" i="1" s="1"/>
  <c r="H5389" i="1"/>
  <c r="A5389" i="1"/>
  <c r="I5389" i="1" s="1"/>
  <c r="H5388" i="1"/>
  <c r="I5388" i="1" s="1"/>
  <c r="A5388" i="1"/>
  <c r="I5387" i="1"/>
  <c r="H5387" i="1"/>
  <c r="A5387" i="1"/>
  <c r="H5386" i="1"/>
  <c r="A5386" i="1"/>
  <c r="I5386" i="1" s="1"/>
  <c r="H5385" i="1"/>
  <c r="A5385" i="1"/>
  <c r="I5385" i="1" s="1"/>
  <c r="H5384" i="1"/>
  <c r="I5384" i="1" s="1"/>
  <c r="A5384" i="1"/>
  <c r="H5383" i="1"/>
  <c r="A5383" i="1"/>
  <c r="I5383" i="1" s="1"/>
  <c r="H5382" i="1"/>
  <c r="A5382" i="1"/>
  <c r="I5381" i="1"/>
  <c r="H5381" i="1"/>
  <c r="A5381" i="1"/>
  <c r="H5380" i="1"/>
  <c r="I5380" i="1" s="1"/>
  <c r="A5380" i="1"/>
  <c r="I5379" i="1"/>
  <c r="H5379" i="1"/>
  <c r="A5379" i="1"/>
  <c r="H5378" i="1"/>
  <c r="A5378" i="1"/>
  <c r="H5377" i="1"/>
  <c r="A5377" i="1"/>
  <c r="I5377" i="1" s="1"/>
  <c r="H5376" i="1"/>
  <c r="I5376" i="1" s="1"/>
  <c r="A5376" i="1"/>
  <c r="H5375" i="1"/>
  <c r="A5375" i="1"/>
  <c r="I5375" i="1" s="1"/>
  <c r="H5374" i="1"/>
  <c r="A5374" i="1"/>
  <c r="I5374" i="1" s="1"/>
  <c r="H5373" i="1"/>
  <c r="A5373" i="1"/>
  <c r="I5373" i="1" s="1"/>
  <c r="H5372" i="1"/>
  <c r="I5372" i="1" s="1"/>
  <c r="A5372" i="1"/>
  <c r="I5371" i="1"/>
  <c r="H5371" i="1"/>
  <c r="A5371" i="1"/>
  <c r="H5370" i="1"/>
  <c r="A5370" i="1"/>
  <c r="I5370" i="1" s="1"/>
  <c r="H5369" i="1"/>
  <c r="A5369" i="1"/>
  <c r="I5369" i="1" s="1"/>
  <c r="H5368" i="1"/>
  <c r="I5368" i="1" s="1"/>
  <c r="A5368" i="1"/>
  <c r="H5367" i="1"/>
  <c r="A5367" i="1"/>
  <c r="I5367" i="1" s="1"/>
  <c r="H5366" i="1"/>
  <c r="A5366" i="1"/>
  <c r="I5365" i="1"/>
  <c r="H5365" i="1"/>
  <c r="A5365" i="1"/>
  <c r="H5364" i="1"/>
  <c r="I5364" i="1" s="1"/>
  <c r="A5364" i="1"/>
  <c r="I5363" i="1"/>
  <c r="H5363" i="1"/>
  <c r="A5363" i="1"/>
  <c r="H5362" i="1"/>
  <c r="A5362" i="1"/>
  <c r="H5361" i="1"/>
  <c r="A5361" i="1"/>
  <c r="I5361" i="1" s="1"/>
  <c r="H5360" i="1"/>
  <c r="I5360" i="1" s="1"/>
  <c r="A5360" i="1"/>
  <c r="H5359" i="1"/>
  <c r="A5359" i="1"/>
  <c r="I5359" i="1" s="1"/>
  <c r="H5358" i="1"/>
  <c r="A5358" i="1"/>
  <c r="I5358" i="1" s="1"/>
  <c r="H5357" i="1"/>
  <c r="A5357" i="1"/>
  <c r="I5357" i="1" s="1"/>
  <c r="H5356" i="1"/>
  <c r="I5356" i="1" s="1"/>
  <c r="A5356" i="1"/>
  <c r="I5355" i="1"/>
  <c r="H5355" i="1"/>
  <c r="A5355" i="1"/>
  <c r="H5354" i="1"/>
  <c r="A5354" i="1"/>
  <c r="I5354" i="1" s="1"/>
  <c r="H5353" i="1"/>
  <c r="A5353" i="1"/>
  <c r="I5353" i="1" s="1"/>
  <c r="H5352" i="1"/>
  <c r="I5352" i="1" s="1"/>
  <c r="A5352" i="1"/>
  <c r="H5351" i="1"/>
  <c r="A5351" i="1"/>
  <c r="I5351" i="1" s="1"/>
  <c r="H5350" i="1"/>
  <c r="A5350" i="1"/>
  <c r="I5349" i="1"/>
  <c r="H5349" i="1"/>
  <c r="A5349" i="1"/>
  <c r="H5348" i="1"/>
  <c r="I5348" i="1" s="1"/>
  <c r="A5348" i="1"/>
  <c r="I5347" i="1"/>
  <c r="H5347" i="1"/>
  <c r="A5347" i="1"/>
  <c r="H5346" i="1"/>
  <c r="A5346" i="1"/>
  <c r="H5345" i="1"/>
  <c r="A5345" i="1"/>
  <c r="I5345" i="1" s="1"/>
  <c r="H5344" i="1"/>
  <c r="I5344" i="1" s="1"/>
  <c r="A5344" i="1"/>
  <c r="H5343" i="1"/>
  <c r="A5343" i="1"/>
  <c r="I5343" i="1" s="1"/>
  <c r="H5342" i="1"/>
  <c r="A5342" i="1"/>
  <c r="I5342" i="1" s="1"/>
  <c r="H5341" i="1"/>
  <c r="A5341" i="1"/>
  <c r="I5341" i="1" s="1"/>
  <c r="H5340" i="1"/>
  <c r="I5340" i="1" s="1"/>
  <c r="A5340" i="1"/>
  <c r="I5339" i="1"/>
  <c r="H5339" i="1"/>
  <c r="A5339" i="1"/>
  <c r="H5338" i="1"/>
  <c r="A5338" i="1"/>
  <c r="I5338" i="1" s="1"/>
  <c r="H5337" i="1"/>
  <c r="A5337" i="1"/>
  <c r="I5337" i="1" s="1"/>
  <c r="H5336" i="1"/>
  <c r="I5336" i="1" s="1"/>
  <c r="A5336" i="1"/>
  <c r="H5335" i="1"/>
  <c r="A5335" i="1"/>
  <c r="I5335" i="1" s="1"/>
  <c r="H5334" i="1"/>
  <c r="A5334" i="1"/>
  <c r="I5333" i="1"/>
  <c r="H5333" i="1"/>
  <c r="A5333" i="1"/>
  <c r="H5332" i="1"/>
  <c r="I5332" i="1" s="1"/>
  <c r="A5332" i="1"/>
  <c r="I5331" i="1"/>
  <c r="H5331" i="1"/>
  <c r="A5331" i="1"/>
  <c r="H5330" i="1"/>
  <c r="A5330" i="1"/>
  <c r="H5329" i="1"/>
  <c r="A5329" i="1"/>
  <c r="I5329" i="1" s="1"/>
  <c r="H5328" i="1"/>
  <c r="I5328" i="1" s="1"/>
  <c r="A5328" i="1"/>
  <c r="H5327" i="1"/>
  <c r="A5327" i="1"/>
  <c r="I5327" i="1" s="1"/>
  <c r="H5326" i="1"/>
  <c r="A5326" i="1"/>
  <c r="I5326" i="1" s="1"/>
  <c r="H5325" i="1"/>
  <c r="A5325" i="1"/>
  <c r="I5325" i="1" s="1"/>
  <c r="H5324" i="1"/>
  <c r="I5324" i="1" s="1"/>
  <c r="A5324" i="1"/>
  <c r="I5323" i="1"/>
  <c r="H5323" i="1"/>
  <c r="A5323" i="1"/>
  <c r="H5322" i="1"/>
  <c r="A5322" i="1"/>
  <c r="I5322" i="1" s="1"/>
  <c r="H5321" i="1"/>
  <c r="A5321" i="1"/>
  <c r="I5321" i="1" s="1"/>
  <c r="H5320" i="1"/>
  <c r="I5320" i="1" s="1"/>
  <c r="A5320" i="1"/>
  <c r="H5319" i="1"/>
  <c r="A5319" i="1"/>
  <c r="I5319" i="1" s="1"/>
  <c r="H5318" i="1"/>
  <c r="A5318" i="1"/>
  <c r="I5317" i="1"/>
  <c r="H5317" i="1"/>
  <c r="A5317" i="1"/>
  <c r="H5316" i="1"/>
  <c r="I5316" i="1" s="1"/>
  <c r="A5316" i="1"/>
  <c r="I5315" i="1"/>
  <c r="H5315" i="1"/>
  <c r="A5315" i="1"/>
  <c r="H5314" i="1"/>
  <c r="A5314" i="1"/>
  <c r="H5313" i="1"/>
  <c r="A5313" i="1"/>
  <c r="I5313" i="1" s="1"/>
  <c r="H5312" i="1"/>
  <c r="I5312" i="1" s="1"/>
  <c r="A5312" i="1"/>
  <c r="H5311" i="1"/>
  <c r="A5311" i="1"/>
  <c r="I5311" i="1" s="1"/>
  <c r="H5310" i="1"/>
  <c r="A5310" i="1"/>
  <c r="I5310" i="1" s="1"/>
  <c r="H5309" i="1"/>
  <c r="A5309" i="1"/>
  <c r="I5309" i="1" s="1"/>
  <c r="H5308" i="1"/>
  <c r="I5308" i="1" s="1"/>
  <c r="A5308" i="1"/>
  <c r="I5307" i="1"/>
  <c r="H5307" i="1"/>
  <c r="A5307" i="1"/>
  <c r="H5306" i="1"/>
  <c r="A5306" i="1"/>
  <c r="I5306" i="1" s="1"/>
  <c r="H5305" i="1"/>
  <c r="A5305" i="1"/>
  <c r="I5305" i="1" s="1"/>
  <c r="H5304" i="1"/>
  <c r="I5304" i="1" s="1"/>
  <c r="A5304" i="1"/>
  <c r="H5303" i="1"/>
  <c r="A5303" i="1"/>
  <c r="I5303" i="1" s="1"/>
  <c r="H5302" i="1"/>
  <c r="A5302" i="1"/>
  <c r="I5301" i="1"/>
  <c r="H5301" i="1"/>
  <c r="A5301" i="1"/>
  <c r="H5300" i="1"/>
  <c r="I5300" i="1" s="1"/>
  <c r="A5300" i="1"/>
  <c r="I5299" i="1"/>
  <c r="H5299" i="1"/>
  <c r="A5299" i="1"/>
  <c r="H5298" i="1"/>
  <c r="A5298" i="1"/>
  <c r="H5297" i="1"/>
  <c r="A5297" i="1"/>
  <c r="I5297" i="1" s="1"/>
  <c r="H5296" i="1"/>
  <c r="I5296" i="1" s="1"/>
  <c r="A5296" i="1"/>
  <c r="H5295" i="1"/>
  <c r="A5295" i="1"/>
  <c r="I5295" i="1" s="1"/>
  <c r="H5294" i="1"/>
  <c r="A5294" i="1"/>
  <c r="I5294" i="1" s="1"/>
  <c r="H5293" i="1"/>
  <c r="A5293" i="1"/>
  <c r="I5293" i="1" s="1"/>
  <c r="H5292" i="1"/>
  <c r="I5292" i="1" s="1"/>
  <c r="A5292" i="1"/>
  <c r="I5291" i="1"/>
  <c r="H5291" i="1"/>
  <c r="A5291" i="1"/>
  <c r="H5290" i="1"/>
  <c r="A5290" i="1"/>
  <c r="I5290" i="1" s="1"/>
  <c r="H5289" i="1"/>
  <c r="A5289" i="1"/>
  <c r="I5289" i="1" s="1"/>
  <c r="H5288" i="1"/>
  <c r="I5288" i="1" s="1"/>
  <c r="A5288" i="1"/>
  <c r="H5287" i="1"/>
  <c r="A5287" i="1"/>
  <c r="I5287" i="1" s="1"/>
  <c r="H5286" i="1"/>
  <c r="A5286" i="1"/>
  <c r="I5285" i="1"/>
  <c r="H5285" i="1"/>
  <c r="A5285" i="1"/>
  <c r="H5284" i="1"/>
  <c r="I5284" i="1" s="1"/>
  <c r="A5284" i="1"/>
  <c r="I5283" i="1"/>
  <c r="H5283" i="1"/>
  <c r="A5283" i="1"/>
  <c r="H5282" i="1"/>
  <c r="A5282" i="1"/>
  <c r="H5281" i="1"/>
  <c r="A5281" i="1"/>
  <c r="I5281" i="1" s="1"/>
  <c r="H5280" i="1"/>
  <c r="I5280" i="1" s="1"/>
  <c r="A5280" i="1"/>
  <c r="H5279" i="1"/>
  <c r="A5279" i="1"/>
  <c r="I5279" i="1" s="1"/>
  <c r="H5278" i="1"/>
  <c r="A5278" i="1"/>
  <c r="I5278" i="1" s="1"/>
  <c r="H5277" i="1"/>
  <c r="A5277" i="1"/>
  <c r="I5277" i="1" s="1"/>
  <c r="H5276" i="1"/>
  <c r="I5276" i="1" s="1"/>
  <c r="A5276" i="1"/>
  <c r="I5275" i="1"/>
  <c r="H5275" i="1"/>
  <c r="A5275" i="1"/>
  <c r="H5274" i="1"/>
  <c r="A5274" i="1"/>
  <c r="I5274" i="1" s="1"/>
  <c r="H5273" i="1"/>
  <c r="A5273" i="1"/>
  <c r="I5273" i="1" s="1"/>
  <c r="H5272" i="1"/>
  <c r="I5272" i="1" s="1"/>
  <c r="A5272" i="1"/>
  <c r="H5271" i="1"/>
  <c r="A5271" i="1"/>
  <c r="I5271" i="1" s="1"/>
  <c r="H5270" i="1"/>
  <c r="A5270" i="1"/>
  <c r="I5269" i="1"/>
  <c r="H5269" i="1"/>
  <c r="A5269" i="1"/>
  <c r="H5268" i="1"/>
  <c r="I5268" i="1" s="1"/>
  <c r="A5268" i="1"/>
  <c r="I5267" i="1"/>
  <c r="H5267" i="1"/>
  <c r="A5267" i="1"/>
  <c r="H5266" i="1"/>
  <c r="A5266" i="1"/>
  <c r="H5265" i="1"/>
  <c r="A5265" i="1"/>
  <c r="I5265" i="1" s="1"/>
  <c r="H5264" i="1"/>
  <c r="I5264" i="1" s="1"/>
  <c r="A5264" i="1"/>
  <c r="H5263" i="1"/>
  <c r="A5263" i="1"/>
  <c r="I5263" i="1" s="1"/>
  <c r="H5262" i="1"/>
  <c r="A5262" i="1"/>
  <c r="I5262" i="1" s="1"/>
  <c r="H5261" i="1"/>
  <c r="A5261" i="1"/>
  <c r="I5261" i="1" s="1"/>
  <c r="H5260" i="1"/>
  <c r="I5260" i="1" s="1"/>
  <c r="A5260" i="1"/>
  <c r="I5259" i="1"/>
  <c r="H5259" i="1"/>
  <c r="A5259" i="1"/>
  <c r="H5258" i="1"/>
  <c r="A5258" i="1"/>
  <c r="I5258" i="1" s="1"/>
  <c r="H5257" i="1"/>
  <c r="A5257" i="1"/>
  <c r="I5257" i="1" s="1"/>
  <c r="H5256" i="1"/>
  <c r="I5256" i="1" s="1"/>
  <c r="A5256" i="1"/>
  <c r="H5255" i="1"/>
  <c r="A5255" i="1"/>
  <c r="I5255" i="1" s="1"/>
  <c r="H5254" i="1"/>
  <c r="A5254" i="1"/>
  <c r="I5253" i="1"/>
  <c r="H5253" i="1"/>
  <c r="A5253" i="1"/>
  <c r="H5252" i="1"/>
  <c r="I5252" i="1" s="1"/>
  <c r="A5252" i="1"/>
  <c r="I5251" i="1"/>
  <c r="H5251" i="1"/>
  <c r="A5251" i="1"/>
  <c r="H5250" i="1"/>
  <c r="A5250" i="1"/>
  <c r="H5249" i="1"/>
  <c r="A5249" i="1"/>
  <c r="I5249" i="1" s="1"/>
  <c r="H5248" i="1"/>
  <c r="I5248" i="1" s="1"/>
  <c r="A5248" i="1"/>
  <c r="H5247" i="1"/>
  <c r="A5247" i="1"/>
  <c r="I5247" i="1" s="1"/>
  <c r="H5246" i="1"/>
  <c r="A5246" i="1"/>
  <c r="I5246" i="1" s="1"/>
  <c r="H5245" i="1"/>
  <c r="A5245" i="1"/>
  <c r="I5245" i="1" s="1"/>
  <c r="H5244" i="1"/>
  <c r="I5244" i="1" s="1"/>
  <c r="A5244" i="1"/>
  <c r="I5243" i="1"/>
  <c r="H5243" i="1"/>
  <c r="A5243" i="1"/>
  <c r="H5242" i="1"/>
  <c r="A5242" i="1"/>
  <c r="I5242" i="1" s="1"/>
  <c r="H5241" i="1"/>
  <c r="A5241" i="1"/>
  <c r="I5241" i="1" s="1"/>
  <c r="H5240" i="1"/>
  <c r="I5240" i="1" s="1"/>
  <c r="A5240" i="1"/>
  <c r="H5239" i="1"/>
  <c r="A5239" i="1"/>
  <c r="I5239" i="1" s="1"/>
  <c r="H5238" i="1"/>
  <c r="A5238" i="1"/>
  <c r="I5237" i="1"/>
  <c r="H5237" i="1"/>
  <c r="A5237" i="1"/>
  <c r="H5236" i="1"/>
  <c r="I5236" i="1" s="1"/>
  <c r="A5236" i="1"/>
  <c r="I5235" i="1"/>
  <c r="H5235" i="1"/>
  <c r="A5235" i="1"/>
  <c r="H5234" i="1"/>
  <c r="A5234" i="1"/>
  <c r="H5233" i="1"/>
  <c r="A5233" i="1"/>
  <c r="I5233" i="1" s="1"/>
  <c r="H5232" i="1"/>
  <c r="I5232" i="1" s="1"/>
  <c r="A5232" i="1"/>
  <c r="H5231" i="1"/>
  <c r="A5231" i="1"/>
  <c r="I5231" i="1" s="1"/>
  <c r="H5230" i="1"/>
  <c r="A5230" i="1"/>
  <c r="I5230" i="1" s="1"/>
  <c r="H5229" i="1"/>
  <c r="A5229" i="1"/>
  <c r="I5229" i="1" s="1"/>
  <c r="H5228" i="1"/>
  <c r="I5228" i="1" s="1"/>
  <c r="A5228" i="1"/>
  <c r="I5227" i="1"/>
  <c r="H5227" i="1"/>
  <c r="A5227" i="1"/>
  <c r="H5226" i="1"/>
  <c r="A5226" i="1"/>
  <c r="I5226" i="1" s="1"/>
  <c r="H5225" i="1"/>
  <c r="A5225" i="1"/>
  <c r="I5225" i="1" s="1"/>
  <c r="H5224" i="1"/>
  <c r="I5224" i="1" s="1"/>
  <c r="A5224" i="1"/>
  <c r="H5223" i="1"/>
  <c r="A5223" i="1"/>
  <c r="I5223" i="1" s="1"/>
  <c r="H5222" i="1"/>
  <c r="A5222" i="1"/>
  <c r="I5221" i="1"/>
  <c r="H5221" i="1"/>
  <c r="A5221" i="1"/>
  <c r="H5220" i="1"/>
  <c r="I5220" i="1" s="1"/>
  <c r="A5220" i="1"/>
  <c r="I5219" i="1"/>
  <c r="H5219" i="1"/>
  <c r="A5219" i="1"/>
  <c r="H5218" i="1"/>
  <c r="A5218" i="1"/>
  <c r="H5217" i="1"/>
  <c r="A5217" i="1"/>
  <c r="I5217" i="1" s="1"/>
  <c r="H5216" i="1"/>
  <c r="I5216" i="1" s="1"/>
  <c r="A5216" i="1"/>
  <c r="H5215" i="1"/>
  <c r="A5215" i="1"/>
  <c r="I5215" i="1" s="1"/>
  <c r="H5214" i="1"/>
  <c r="A5214" i="1"/>
  <c r="I5214" i="1" s="1"/>
  <c r="H5213" i="1"/>
  <c r="A5213" i="1"/>
  <c r="I5213" i="1" s="1"/>
  <c r="H5212" i="1"/>
  <c r="I5212" i="1" s="1"/>
  <c r="A5212" i="1"/>
  <c r="I5211" i="1"/>
  <c r="H5211" i="1"/>
  <c r="A5211" i="1"/>
  <c r="H5210" i="1"/>
  <c r="A5210" i="1"/>
  <c r="I5210" i="1" s="1"/>
  <c r="H5209" i="1"/>
  <c r="A5209" i="1"/>
  <c r="I5209" i="1" s="1"/>
  <c r="H5208" i="1"/>
  <c r="I5208" i="1" s="1"/>
  <c r="A5208" i="1"/>
  <c r="H5207" i="1"/>
  <c r="A5207" i="1"/>
  <c r="I5207" i="1" s="1"/>
  <c r="H5206" i="1"/>
  <c r="A5206" i="1"/>
  <c r="I5205" i="1"/>
  <c r="H5205" i="1"/>
  <c r="A5205" i="1"/>
  <c r="H5204" i="1"/>
  <c r="I5204" i="1" s="1"/>
  <c r="A5204" i="1"/>
  <c r="I5203" i="1"/>
  <c r="H5203" i="1"/>
  <c r="A5203" i="1"/>
  <c r="H5202" i="1"/>
  <c r="A5202" i="1"/>
  <c r="H5201" i="1"/>
  <c r="A5201" i="1"/>
  <c r="I5201" i="1" s="1"/>
  <c r="H5200" i="1"/>
  <c r="I5200" i="1" s="1"/>
  <c r="A5200" i="1"/>
  <c r="H5199" i="1"/>
  <c r="A5199" i="1"/>
  <c r="I5199" i="1" s="1"/>
  <c r="H5198" i="1"/>
  <c r="A5198" i="1"/>
  <c r="I5198" i="1" s="1"/>
  <c r="H5197" i="1"/>
  <c r="A5197" i="1"/>
  <c r="I5197" i="1" s="1"/>
  <c r="H5196" i="1"/>
  <c r="I5196" i="1" s="1"/>
  <c r="A5196" i="1"/>
  <c r="I5195" i="1"/>
  <c r="H5195" i="1"/>
  <c r="A5195" i="1"/>
  <c r="H5194" i="1"/>
  <c r="A5194" i="1"/>
  <c r="I5194" i="1" s="1"/>
  <c r="H5193" i="1"/>
  <c r="A5193" i="1"/>
  <c r="I5193" i="1" s="1"/>
  <c r="H5192" i="1"/>
  <c r="I5192" i="1" s="1"/>
  <c r="A5192" i="1"/>
  <c r="H5191" i="1"/>
  <c r="A5191" i="1"/>
  <c r="I5191" i="1" s="1"/>
  <c r="H5190" i="1"/>
  <c r="A5190" i="1"/>
  <c r="I5189" i="1"/>
  <c r="H5189" i="1"/>
  <c r="A5189" i="1"/>
  <c r="H5188" i="1"/>
  <c r="I5188" i="1" s="1"/>
  <c r="A5188" i="1"/>
  <c r="I5187" i="1"/>
  <c r="H5187" i="1"/>
  <c r="A5187" i="1"/>
  <c r="H5186" i="1"/>
  <c r="A5186" i="1"/>
  <c r="H5185" i="1"/>
  <c r="A5185" i="1"/>
  <c r="I5185" i="1" s="1"/>
  <c r="H5184" i="1"/>
  <c r="I5184" i="1" s="1"/>
  <c r="A5184" i="1"/>
  <c r="H5183" i="1"/>
  <c r="A5183" i="1"/>
  <c r="I5183" i="1" s="1"/>
  <c r="H5182" i="1"/>
  <c r="A5182" i="1"/>
  <c r="I5182" i="1" s="1"/>
  <c r="H5181" i="1"/>
  <c r="A5181" i="1"/>
  <c r="I5181" i="1" s="1"/>
  <c r="H5180" i="1"/>
  <c r="I5180" i="1" s="1"/>
  <c r="A5180" i="1"/>
  <c r="I5179" i="1"/>
  <c r="H5179" i="1"/>
  <c r="A5179" i="1"/>
  <c r="H5178" i="1"/>
  <c r="A5178" i="1"/>
  <c r="I5178" i="1" s="1"/>
  <c r="H5177" i="1"/>
  <c r="A5177" i="1"/>
  <c r="I5177" i="1" s="1"/>
  <c r="H5176" i="1"/>
  <c r="I5176" i="1" s="1"/>
  <c r="A5176" i="1"/>
  <c r="H5175" i="1"/>
  <c r="A5175" i="1"/>
  <c r="I5175" i="1" s="1"/>
  <c r="H5174" i="1"/>
  <c r="A5174" i="1"/>
  <c r="I5173" i="1"/>
  <c r="H5173" i="1"/>
  <c r="A5173" i="1"/>
  <c r="H5172" i="1"/>
  <c r="I5172" i="1" s="1"/>
  <c r="A5172" i="1"/>
  <c r="I5171" i="1"/>
  <c r="H5171" i="1"/>
  <c r="A5171" i="1"/>
  <c r="H5170" i="1"/>
  <c r="A5170" i="1"/>
  <c r="H5169" i="1"/>
  <c r="A5169" i="1"/>
  <c r="I5169" i="1" s="1"/>
  <c r="H5168" i="1"/>
  <c r="I5168" i="1" s="1"/>
  <c r="A5168" i="1"/>
  <c r="H5167" i="1"/>
  <c r="A5167" i="1"/>
  <c r="I5167" i="1" s="1"/>
  <c r="H5166" i="1"/>
  <c r="A5166" i="1"/>
  <c r="I5166" i="1" s="1"/>
  <c r="H5165" i="1"/>
  <c r="A5165" i="1"/>
  <c r="I5165" i="1" s="1"/>
  <c r="H5164" i="1"/>
  <c r="I5164" i="1" s="1"/>
  <c r="A5164" i="1"/>
  <c r="I5163" i="1"/>
  <c r="H5163" i="1"/>
  <c r="A5163" i="1"/>
  <c r="H5162" i="1"/>
  <c r="A5162" i="1"/>
  <c r="I5162" i="1" s="1"/>
  <c r="H5161" i="1"/>
  <c r="A5161" i="1"/>
  <c r="I5161" i="1" s="1"/>
  <c r="H5160" i="1"/>
  <c r="I5160" i="1" s="1"/>
  <c r="A5160" i="1"/>
  <c r="H5159" i="1"/>
  <c r="A5159" i="1"/>
  <c r="I5159" i="1" s="1"/>
  <c r="H5158" i="1"/>
  <c r="A5158" i="1"/>
  <c r="I5157" i="1"/>
  <c r="H5157" i="1"/>
  <c r="A5157" i="1"/>
  <c r="H5156" i="1"/>
  <c r="I5156" i="1" s="1"/>
  <c r="A5156" i="1"/>
  <c r="I5155" i="1"/>
  <c r="H5155" i="1"/>
  <c r="A5155" i="1"/>
  <c r="H5154" i="1"/>
  <c r="A5154" i="1"/>
  <c r="H5153" i="1"/>
  <c r="A5153" i="1"/>
  <c r="I5153" i="1" s="1"/>
  <c r="H5152" i="1"/>
  <c r="I5152" i="1" s="1"/>
  <c r="A5152" i="1"/>
  <c r="H5151" i="1"/>
  <c r="A5151" i="1"/>
  <c r="I5151" i="1" s="1"/>
  <c r="H5150" i="1"/>
  <c r="A5150" i="1"/>
  <c r="I5150" i="1" s="1"/>
  <c r="H5149" i="1"/>
  <c r="A5149" i="1"/>
  <c r="I5149" i="1" s="1"/>
  <c r="H5148" i="1"/>
  <c r="I5148" i="1" s="1"/>
  <c r="A5148" i="1"/>
  <c r="I5147" i="1"/>
  <c r="H5147" i="1"/>
  <c r="A5147" i="1"/>
  <c r="H5146" i="1"/>
  <c r="A5146" i="1"/>
  <c r="I5146" i="1" s="1"/>
  <c r="H5145" i="1"/>
  <c r="A5145" i="1"/>
  <c r="I5145" i="1" s="1"/>
  <c r="H5144" i="1"/>
  <c r="I5144" i="1" s="1"/>
  <c r="A5144" i="1"/>
  <c r="H5143" i="1"/>
  <c r="A5143" i="1"/>
  <c r="I5143" i="1" s="1"/>
  <c r="H5142" i="1"/>
  <c r="A5142" i="1"/>
  <c r="I5141" i="1"/>
  <c r="H5141" i="1"/>
  <c r="A5141" i="1"/>
  <c r="H5140" i="1"/>
  <c r="I5140" i="1" s="1"/>
  <c r="A5140" i="1"/>
  <c r="I5139" i="1"/>
  <c r="H5139" i="1"/>
  <c r="A5139" i="1"/>
  <c r="H5138" i="1"/>
  <c r="A5138" i="1"/>
  <c r="H5137" i="1"/>
  <c r="A5137" i="1"/>
  <c r="I5137" i="1" s="1"/>
  <c r="H5136" i="1"/>
  <c r="I5136" i="1" s="1"/>
  <c r="A5136" i="1"/>
  <c r="H5135" i="1"/>
  <c r="A5135" i="1"/>
  <c r="I5135" i="1" s="1"/>
  <c r="H5134" i="1"/>
  <c r="A5134" i="1"/>
  <c r="I5134" i="1" s="1"/>
  <c r="H5133" i="1"/>
  <c r="A5133" i="1"/>
  <c r="I5133" i="1" s="1"/>
  <c r="H5132" i="1"/>
  <c r="I5132" i="1" s="1"/>
  <c r="A5132" i="1"/>
  <c r="I5131" i="1"/>
  <c r="H5131" i="1"/>
  <c r="A5131" i="1"/>
  <c r="H5130" i="1"/>
  <c r="A5130" i="1"/>
  <c r="I5130" i="1" s="1"/>
  <c r="H5129" i="1"/>
  <c r="A5129" i="1"/>
  <c r="I5129" i="1" s="1"/>
  <c r="H5128" i="1"/>
  <c r="I5128" i="1" s="1"/>
  <c r="A5128" i="1"/>
  <c r="H5127" i="1"/>
  <c r="A5127" i="1"/>
  <c r="I5127" i="1" s="1"/>
  <c r="H5126" i="1"/>
  <c r="A5126" i="1"/>
  <c r="I5125" i="1"/>
  <c r="H5125" i="1"/>
  <c r="A5125" i="1"/>
  <c r="H5124" i="1"/>
  <c r="I5124" i="1" s="1"/>
  <c r="A5124" i="1"/>
  <c r="I5123" i="1"/>
  <c r="H5123" i="1"/>
  <c r="A5123" i="1"/>
  <c r="H5122" i="1"/>
  <c r="A5122" i="1"/>
  <c r="H5121" i="1"/>
  <c r="A5121" i="1"/>
  <c r="I5121" i="1" s="1"/>
  <c r="H5120" i="1"/>
  <c r="I5120" i="1" s="1"/>
  <c r="A5120" i="1"/>
  <c r="H5119" i="1"/>
  <c r="A5119" i="1"/>
  <c r="I5119" i="1" s="1"/>
  <c r="H5118" i="1"/>
  <c r="A5118" i="1"/>
  <c r="I5118" i="1" s="1"/>
  <c r="H5117" i="1"/>
  <c r="A5117" i="1"/>
  <c r="I5117" i="1" s="1"/>
  <c r="H5116" i="1"/>
  <c r="I5116" i="1" s="1"/>
  <c r="A5116" i="1"/>
  <c r="I5115" i="1"/>
  <c r="H5115" i="1"/>
  <c r="A5115" i="1"/>
  <c r="H5114" i="1"/>
  <c r="A5114" i="1"/>
  <c r="I5114" i="1" s="1"/>
  <c r="H5113" i="1"/>
  <c r="A5113" i="1"/>
  <c r="I5113" i="1" s="1"/>
  <c r="H5112" i="1"/>
  <c r="I5112" i="1" s="1"/>
  <c r="A5112" i="1"/>
  <c r="H5111" i="1"/>
  <c r="A5111" i="1"/>
  <c r="I5111" i="1" s="1"/>
  <c r="H5110" i="1"/>
  <c r="A5110" i="1"/>
  <c r="I5109" i="1"/>
  <c r="H5109" i="1"/>
  <c r="A5109" i="1"/>
  <c r="H5108" i="1"/>
  <c r="I5108" i="1" s="1"/>
  <c r="A5108" i="1"/>
  <c r="I5107" i="1"/>
  <c r="H5107" i="1"/>
  <c r="A5107" i="1"/>
  <c r="H5106" i="1"/>
  <c r="A5106" i="1"/>
  <c r="H5105" i="1"/>
  <c r="A5105" i="1"/>
  <c r="I5105" i="1" s="1"/>
  <c r="H5104" i="1"/>
  <c r="I5104" i="1" s="1"/>
  <c r="A5104" i="1"/>
  <c r="H5103" i="1"/>
  <c r="A5103" i="1"/>
  <c r="I5103" i="1" s="1"/>
  <c r="H5102" i="1"/>
  <c r="A5102" i="1"/>
  <c r="I5102" i="1" s="1"/>
  <c r="H5101" i="1"/>
  <c r="A5101" i="1"/>
  <c r="I5101" i="1" s="1"/>
  <c r="H5100" i="1"/>
  <c r="I5100" i="1" s="1"/>
  <c r="A5100" i="1"/>
  <c r="I5099" i="1"/>
  <c r="H5099" i="1"/>
  <c r="A5099" i="1"/>
  <c r="H5098" i="1"/>
  <c r="A5098" i="1"/>
  <c r="I5098" i="1" s="1"/>
  <c r="H5097" i="1"/>
  <c r="A5097" i="1"/>
  <c r="I5097" i="1" s="1"/>
  <c r="H5096" i="1"/>
  <c r="I5096" i="1" s="1"/>
  <c r="A5096" i="1"/>
  <c r="H5095" i="1"/>
  <c r="A5095" i="1"/>
  <c r="I5095" i="1" s="1"/>
  <c r="H5094" i="1"/>
  <c r="A5094" i="1"/>
  <c r="I5093" i="1"/>
  <c r="H5093" i="1"/>
  <c r="A5093" i="1"/>
  <c r="H5092" i="1"/>
  <c r="I5092" i="1" s="1"/>
  <c r="A5092" i="1"/>
  <c r="I5091" i="1"/>
  <c r="H5091" i="1"/>
  <c r="A5091" i="1"/>
  <c r="H5090" i="1"/>
  <c r="A5090" i="1"/>
  <c r="H5089" i="1"/>
  <c r="A5089" i="1"/>
  <c r="I5089" i="1" s="1"/>
  <c r="H5088" i="1"/>
  <c r="I5088" i="1" s="1"/>
  <c r="A5088" i="1"/>
  <c r="H5087" i="1"/>
  <c r="A5087" i="1"/>
  <c r="I5087" i="1" s="1"/>
  <c r="H5086" i="1"/>
  <c r="A5086" i="1"/>
  <c r="I5086" i="1" s="1"/>
  <c r="H5085" i="1"/>
  <c r="A5085" i="1"/>
  <c r="I5085" i="1" s="1"/>
  <c r="H5084" i="1"/>
  <c r="I5084" i="1" s="1"/>
  <c r="A5084" i="1"/>
  <c r="I5083" i="1"/>
  <c r="H5083" i="1"/>
  <c r="A5083" i="1"/>
  <c r="H5082" i="1"/>
  <c r="A5082" i="1"/>
  <c r="I5082" i="1" s="1"/>
  <c r="H5081" i="1"/>
  <c r="A5081" i="1"/>
  <c r="I5081" i="1" s="1"/>
  <c r="H5080" i="1"/>
  <c r="I5080" i="1" s="1"/>
  <c r="A5080" i="1"/>
  <c r="H5079" i="1"/>
  <c r="A5079" i="1"/>
  <c r="I5079" i="1" s="1"/>
  <c r="H5078" i="1"/>
  <c r="A5078" i="1"/>
  <c r="I5077" i="1"/>
  <c r="H5077" i="1"/>
  <c r="A5077" i="1"/>
  <c r="H5076" i="1"/>
  <c r="I5076" i="1" s="1"/>
  <c r="A5076" i="1"/>
  <c r="I5075" i="1"/>
  <c r="H5075" i="1"/>
  <c r="A5075" i="1"/>
  <c r="H5074" i="1"/>
  <c r="A5074" i="1"/>
  <c r="H5073" i="1"/>
  <c r="A5073" i="1"/>
  <c r="I5073" i="1" s="1"/>
  <c r="H5072" i="1"/>
  <c r="I5072" i="1" s="1"/>
  <c r="A5072" i="1"/>
  <c r="H5071" i="1"/>
  <c r="A5071" i="1"/>
  <c r="I5071" i="1" s="1"/>
  <c r="H5070" i="1"/>
  <c r="A5070" i="1"/>
  <c r="I5070" i="1" s="1"/>
  <c r="H5069" i="1"/>
  <c r="A5069" i="1"/>
  <c r="I5069" i="1" s="1"/>
  <c r="H5068" i="1"/>
  <c r="I5068" i="1" s="1"/>
  <c r="A5068" i="1"/>
  <c r="I5067" i="1"/>
  <c r="H5067" i="1"/>
  <c r="A5067" i="1"/>
  <c r="H5066" i="1"/>
  <c r="A5066" i="1"/>
  <c r="I5066" i="1" s="1"/>
  <c r="H5065" i="1"/>
  <c r="A5065" i="1"/>
  <c r="I5065" i="1" s="1"/>
  <c r="H5064" i="1"/>
  <c r="I5064" i="1" s="1"/>
  <c r="A5064" i="1"/>
  <c r="H5063" i="1"/>
  <c r="A5063" i="1"/>
  <c r="I5063" i="1" s="1"/>
  <c r="H5062" i="1"/>
  <c r="A5062" i="1"/>
  <c r="I5061" i="1"/>
  <c r="H5061" i="1"/>
  <c r="A5061" i="1"/>
  <c r="H5060" i="1"/>
  <c r="I5060" i="1" s="1"/>
  <c r="A5060" i="1"/>
  <c r="I5059" i="1"/>
  <c r="H5059" i="1"/>
  <c r="A5059" i="1"/>
  <c r="H5058" i="1"/>
  <c r="A5058" i="1"/>
  <c r="H5057" i="1"/>
  <c r="A5057" i="1"/>
  <c r="I5057" i="1" s="1"/>
  <c r="H5056" i="1"/>
  <c r="I5056" i="1" s="1"/>
  <c r="A5056" i="1"/>
  <c r="H5055" i="1"/>
  <c r="A5055" i="1"/>
  <c r="I5055" i="1" s="1"/>
  <c r="H5054" i="1"/>
  <c r="A5054" i="1"/>
  <c r="I5054" i="1" s="1"/>
  <c r="H5053" i="1"/>
  <c r="A5053" i="1"/>
  <c r="I5053" i="1" s="1"/>
  <c r="H5052" i="1"/>
  <c r="I5052" i="1" s="1"/>
  <c r="A5052" i="1"/>
  <c r="I5051" i="1"/>
  <c r="H5051" i="1"/>
  <c r="A5051" i="1"/>
  <c r="H5050" i="1"/>
  <c r="A5050" i="1"/>
  <c r="I5050" i="1" s="1"/>
  <c r="H5049" i="1"/>
  <c r="A5049" i="1"/>
  <c r="I5049" i="1" s="1"/>
  <c r="H5048" i="1"/>
  <c r="I5048" i="1" s="1"/>
  <c r="A5048" i="1"/>
  <c r="H5047" i="1"/>
  <c r="A5047" i="1"/>
  <c r="I5047" i="1" s="1"/>
  <c r="H5046" i="1"/>
  <c r="A5046" i="1"/>
  <c r="I5045" i="1"/>
  <c r="H5045" i="1"/>
  <c r="A5045" i="1"/>
  <c r="H5044" i="1"/>
  <c r="I5044" i="1" s="1"/>
  <c r="A5044" i="1"/>
  <c r="I5043" i="1"/>
  <c r="H5043" i="1"/>
  <c r="A5043" i="1"/>
  <c r="H5042" i="1"/>
  <c r="A5042" i="1"/>
  <c r="H5041" i="1"/>
  <c r="A5041" i="1"/>
  <c r="I5041" i="1" s="1"/>
  <c r="H5040" i="1"/>
  <c r="I5040" i="1" s="1"/>
  <c r="A5040" i="1"/>
  <c r="H5039" i="1"/>
  <c r="A5039" i="1"/>
  <c r="I5039" i="1" s="1"/>
  <c r="H5038" i="1"/>
  <c r="A5038" i="1"/>
  <c r="I5038" i="1" s="1"/>
  <c r="H5037" i="1"/>
  <c r="A5037" i="1"/>
  <c r="I5037" i="1" s="1"/>
  <c r="H5036" i="1"/>
  <c r="I5036" i="1" s="1"/>
  <c r="A5036" i="1"/>
  <c r="I5035" i="1"/>
  <c r="H5035" i="1"/>
  <c r="A5035" i="1"/>
  <c r="H5034" i="1"/>
  <c r="A5034" i="1"/>
  <c r="I5034" i="1" s="1"/>
  <c r="H5033" i="1"/>
  <c r="A5033" i="1"/>
  <c r="I5033" i="1" s="1"/>
  <c r="H5032" i="1"/>
  <c r="I5032" i="1" s="1"/>
  <c r="A5032" i="1"/>
  <c r="H5031" i="1"/>
  <c r="A5031" i="1"/>
  <c r="I5031" i="1" s="1"/>
  <c r="H5030" i="1"/>
  <c r="A5030" i="1"/>
  <c r="I5029" i="1"/>
  <c r="H5029" i="1"/>
  <c r="A5029" i="1"/>
  <c r="H5028" i="1"/>
  <c r="I5028" i="1" s="1"/>
  <c r="A5028" i="1"/>
  <c r="I5027" i="1"/>
  <c r="H5027" i="1"/>
  <c r="A5027" i="1"/>
  <c r="H5026" i="1"/>
  <c r="A5026" i="1"/>
  <c r="H5025" i="1"/>
  <c r="A5025" i="1"/>
  <c r="I5025" i="1" s="1"/>
  <c r="H5024" i="1"/>
  <c r="I5024" i="1" s="1"/>
  <c r="A5024" i="1"/>
  <c r="H5023" i="1"/>
  <c r="A5023" i="1"/>
  <c r="I5023" i="1" s="1"/>
  <c r="H5022" i="1"/>
  <c r="A5022" i="1"/>
  <c r="I5022" i="1" s="1"/>
  <c r="H5021" i="1"/>
  <c r="A5021" i="1"/>
  <c r="I5021" i="1" s="1"/>
  <c r="H5020" i="1"/>
  <c r="I5020" i="1" s="1"/>
  <c r="A5020" i="1"/>
  <c r="I5019" i="1"/>
  <c r="H5019" i="1"/>
  <c r="A5019" i="1"/>
  <c r="H5018" i="1"/>
  <c r="A5018" i="1"/>
  <c r="I5018" i="1" s="1"/>
  <c r="H5017" i="1"/>
  <c r="A5017" i="1"/>
  <c r="I5017" i="1" s="1"/>
  <c r="H5016" i="1"/>
  <c r="I5016" i="1" s="1"/>
  <c r="A5016" i="1"/>
  <c r="H5015" i="1"/>
  <c r="A5015" i="1"/>
  <c r="I5015" i="1" s="1"/>
  <c r="H5014" i="1"/>
  <c r="A5014" i="1"/>
  <c r="I5013" i="1"/>
  <c r="H5013" i="1"/>
  <c r="A5013" i="1"/>
  <c r="H5012" i="1"/>
  <c r="I5012" i="1" s="1"/>
  <c r="A5012" i="1"/>
  <c r="I5011" i="1"/>
  <c r="H5011" i="1"/>
  <c r="A5011" i="1"/>
  <c r="H5010" i="1"/>
  <c r="A5010" i="1"/>
  <c r="H5009" i="1"/>
  <c r="A5009" i="1"/>
  <c r="I5009" i="1" s="1"/>
  <c r="H5008" i="1"/>
  <c r="I5008" i="1" s="1"/>
  <c r="A5008" i="1"/>
  <c r="H5007" i="1"/>
  <c r="A5007" i="1"/>
  <c r="I5007" i="1" s="1"/>
  <c r="H5006" i="1"/>
  <c r="A5006" i="1"/>
  <c r="I5006" i="1" s="1"/>
  <c r="H5005" i="1"/>
  <c r="A5005" i="1"/>
  <c r="I5005" i="1" s="1"/>
  <c r="H5004" i="1"/>
  <c r="I5004" i="1" s="1"/>
  <c r="A5004" i="1"/>
  <c r="I5003" i="1"/>
  <c r="H5003" i="1"/>
  <c r="A5003" i="1"/>
  <c r="H5002" i="1"/>
  <c r="A5002" i="1"/>
  <c r="I5002" i="1" s="1"/>
  <c r="H5001" i="1"/>
  <c r="A5001" i="1"/>
  <c r="I5001" i="1" s="1"/>
  <c r="H5000" i="1"/>
  <c r="I5000" i="1" s="1"/>
  <c r="A5000" i="1"/>
  <c r="H4999" i="1"/>
  <c r="A4999" i="1"/>
  <c r="I4999" i="1" s="1"/>
  <c r="H4998" i="1"/>
  <c r="A4998" i="1"/>
  <c r="I4997" i="1"/>
  <c r="H4997" i="1"/>
  <c r="A4997" i="1"/>
  <c r="H4996" i="1"/>
  <c r="I4996" i="1" s="1"/>
  <c r="A4996" i="1"/>
  <c r="I4995" i="1"/>
  <c r="H4995" i="1"/>
  <c r="A4995" i="1"/>
  <c r="H4994" i="1"/>
  <c r="A4994" i="1"/>
  <c r="H4993" i="1"/>
  <c r="A4993" i="1"/>
  <c r="I4993" i="1" s="1"/>
  <c r="H4992" i="1"/>
  <c r="I4992" i="1" s="1"/>
  <c r="A4992" i="1"/>
  <c r="H4991" i="1"/>
  <c r="A4991" i="1"/>
  <c r="I4991" i="1" s="1"/>
  <c r="H4990" i="1"/>
  <c r="A4990" i="1"/>
  <c r="I4990" i="1" s="1"/>
  <c r="H4989" i="1"/>
  <c r="A4989" i="1"/>
  <c r="I4989" i="1" s="1"/>
  <c r="H4988" i="1"/>
  <c r="I4988" i="1" s="1"/>
  <c r="A4988" i="1"/>
  <c r="I4987" i="1"/>
  <c r="H4987" i="1"/>
  <c r="A4987" i="1"/>
  <c r="H4986" i="1"/>
  <c r="A4986" i="1"/>
  <c r="I4986" i="1" s="1"/>
  <c r="H4985" i="1"/>
  <c r="A4985" i="1"/>
  <c r="I4985" i="1" s="1"/>
  <c r="H4984" i="1"/>
  <c r="I4984" i="1" s="1"/>
  <c r="A4984" i="1"/>
  <c r="H4983" i="1"/>
  <c r="A4983" i="1"/>
  <c r="I4983" i="1" s="1"/>
  <c r="H4982" i="1"/>
  <c r="A4982" i="1"/>
  <c r="I4981" i="1"/>
  <c r="H4981" i="1"/>
  <c r="A4981" i="1"/>
  <c r="H4980" i="1"/>
  <c r="I4980" i="1" s="1"/>
  <c r="A4980" i="1"/>
  <c r="I4979" i="1"/>
  <c r="H4979" i="1"/>
  <c r="A4979" i="1"/>
  <c r="H4978" i="1"/>
  <c r="A4978" i="1"/>
  <c r="H4977" i="1"/>
  <c r="A4977" i="1"/>
  <c r="I4977" i="1" s="1"/>
  <c r="H4976" i="1"/>
  <c r="I4976" i="1" s="1"/>
  <c r="A4976" i="1"/>
  <c r="H4975" i="1"/>
  <c r="A4975" i="1"/>
  <c r="I4975" i="1" s="1"/>
  <c r="H4974" i="1"/>
  <c r="A4974" i="1"/>
  <c r="I4974" i="1" s="1"/>
  <c r="H4973" i="1"/>
  <c r="A4973" i="1"/>
  <c r="I4973" i="1" s="1"/>
  <c r="H4972" i="1"/>
  <c r="I4972" i="1" s="1"/>
  <c r="A4972" i="1"/>
  <c r="I4971" i="1"/>
  <c r="H4971" i="1"/>
  <c r="A4971" i="1"/>
  <c r="H4970" i="1"/>
  <c r="A4970" i="1"/>
  <c r="I4970" i="1" s="1"/>
  <c r="H4969" i="1"/>
  <c r="A4969" i="1"/>
  <c r="I4969" i="1" s="1"/>
  <c r="H4968" i="1"/>
  <c r="I4968" i="1" s="1"/>
  <c r="A4968" i="1"/>
  <c r="H4967" i="1"/>
  <c r="A4967" i="1"/>
  <c r="I4967" i="1" s="1"/>
  <c r="H4966" i="1"/>
  <c r="A4966" i="1"/>
  <c r="I4965" i="1"/>
  <c r="H4965" i="1"/>
  <c r="A4965" i="1"/>
  <c r="H4964" i="1"/>
  <c r="I4964" i="1" s="1"/>
  <c r="A4964" i="1"/>
  <c r="I4963" i="1"/>
  <c r="H4963" i="1"/>
  <c r="A4963" i="1"/>
  <c r="H4962" i="1"/>
  <c r="A4962" i="1"/>
  <c r="H4961" i="1"/>
  <c r="A4961" i="1"/>
  <c r="I4961" i="1" s="1"/>
  <c r="H4960" i="1"/>
  <c r="I4960" i="1" s="1"/>
  <c r="A4960" i="1"/>
  <c r="H4959" i="1"/>
  <c r="A4959" i="1"/>
  <c r="I4959" i="1" s="1"/>
  <c r="H4958" i="1"/>
  <c r="A4958" i="1"/>
  <c r="I4958" i="1" s="1"/>
  <c r="H4957" i="1"/>
  <c r="A4957" i="1"/>
  <c r="I4957" i="1" s="1"/>
  <c r="H4956" i="1"/>
  <c r="I4956" i="1" s="1"/>
  <c r="A4956" i="1"/>
  <c r="I4955" i="1"/>
  <c r="H4955" i="1"/>
  <c r="A4955" i="1"/>
  <c r="H4954" i="1"/>
  <c r="A4954" i="1"/>
  <c r="I4954" i="1" s="1"/>
  <c r="H4953" i="1"/>
  <c r="A4953" i="1"/>
  <c r="I4953" i="1" s="1"/>
  <c r="H4952" i="1"/>
  <c r="I4952" i="1" s="1"/>
  <c r="A4952" i="1"/>
  <c r="H4951" i="1"/>
  <c r="A4951" i="1"/>
  <c r="I4951" i="1" s="1"/>
  <c r="H4950" i="1"/>
  <c r="A4950" i="1"/>
  <c r="I4949" i="1"/>
  <c r="H4949" i="1"/>
  <c r="A4949" i="1"/>
  <c r="H4948" i="1"/>
  <c r="I4948" i="1" s="1"/>
  <c r="A4948" i="1"/>
  <c r="I4947" i="1"/>
  <c r="H4947" i="1"/>
  <c r="A4947" i="1"/>
  <c r="H4946" i="1"/>
  <c r="A4946" i="1"/>
  <c r="H4945" i="1"/>
  <c r="A4945" i="1"/>
  <c r="I4945" i="1" s="1"/>
  <c r="H4944" i="1"/>
  <c r="I4944" i="1" s="1"/>
  <c r="A4944" i="1"/>
  <c r="H4943" i="1"/>
  <c r="A4943" i="1"/>
  <c r="I4943" i="1" s="1"/>
  <c r="H4942" i="1"/>
  <c r="A4942" i="1"/>
  <c r="I4942" i="1" s="1"/>
  <c r="H4941" i="1"/>
  <c r="A4941" i="1"/>
  <c r="I4941" i="1" s="1"/>
  <c r="H4940" i="1"/>
  <c r="I4940" i="1" s="1"/>
  <c r="A4940" i="1"/>
  <c r="I4939" i="1"/>
  <c r="H4939" i="1"/>
  <c r="A4939" i="1"/>
  <c r="H4938" i="1"/>
  <c r="A4938" i="1"/>
  <c r="I4938" i="1" s="1"/>
  <c r="H4937" i="1"/>
  <c r="A4937" i="1"/>
  <c r="I4937" i="1" s="1"/>
  <c r="H4936" i="1"/>
  <c r="I4936" i="1" s="1"/>
  <c r="A4936" i="1"/>
  <c r="H4935" i="1"/>
  <c r="A4935" i="1"/>
  <c r="I4935" i="1" s="1"/>
  <c r="H4934" i="1"/>
  <c r="A4934" i="1"/>
  <c r="I4933" i="1"/>
  <c r="H4933" i="1"/>
  <c r="A4933" i="1"/>
  <c r="H4932" i="1"/>
  <c r="I4932" i="1" s="1"/>
  <c r="A4932" i="1"/>
  <c r="I4931" i="1"/>
  <c r="H4931" i="1"/>
  <c r="A4931" i="1"/>
  <c r="H4930" i="1"/>
  <c r="A4930" i="1"/>
  <c r="H4929" i="1"/>
  <c r="A4929" i="1"/>
  <c r="I4929" i="1" s="1"/>
  <c r="H4928" i="1"/>
  <c r="I4928" i="1" s="1"/>
  <c r="A4928" i="1"/>
  <c r="H4927" i="1"/>
  <c r="A4927" i="1"/>
  <c r="I4927" i="1" s="1"/>
  <c r="H4926" i="1"/>
  <c r="A4926" i="1"/>
  <c r="I4926" i="1" s="1"/>
  <c r="H4925" i="1"/>
  <c r="A4925" i="1"/>
  <c r="I4925" i="1" s="1"/>
  <c r="H4924" i="1"/>
  <c r="I4924" i="1" s="1"/>
  <c r="A4924" i="1"/>
  <c r="I4923" i="1"/>
  <c r="H4923" i="1"/>
  <c r="A4923" i="1"/>
  <c r="H4922" i="1"/>
  <c r="A4922" i="1"/>
  <c r="I4922" i="1" s="1"/>
  <c r="H4921" i="1"/>
  <c r="A4921" i="1"/>
  <c r="I4921" i="1" s="1"/>
  <c r="H4920" i="1"/>
  <c r="I4920" i="1" s="1"/>
  <c r="A4920" i="1"/>
  <c r="H4919" i="1"/>
  <c r="A4919" i="1"/>
  <c r="I4919" i="1" s="1"/>
  <c r="H4918" i="1"/>
  <c r="A4918" i="1"/>
  <c r="I4917" i="1"/>
  <c r="H4917" i="1"/>
  <c r="A4917" i="1"/>
  <c r="H4916" i="1"/>
  <c r="I4916" i="1" s="1"/>
  <c r="A4916" i="1"/>
  <c r="I4915" i="1"/>
  <c r="H4915" i="1"/>
  <c r="A4915" i="1"/>
  <c r="H4914" i="1"/>
  <c r="A4914" i="1"/>
  <c r="H4913" i="1"/>
  <c r="A4913" i="1"/>
  <c r="I4913" i="1" s="1"/>
  <c r="H4912" i="1"/>
  <c r="I4912" i="1" s="1"/>
  <c r="A4912" i="1"/>
  <c r="H4911" i="1"/>
  <c r="A4911" i="1"/>
  <c r="I4911" i="1" s="1"/>
  <c r="H4910" i="1"/>
  <c r="A4910" i="1"/>
  <c r="I4910" i="1" s="1"/>
  <c r="H4909" i="1"/>
  <c r="A4909" i="1"/>
  <c r="I4909" i="1" s="1"/>
  <c r="H4908" i="1"/>
  <c r="I4908" i="1" s="1"/>
  <c r="A4908" i="1"/>
  <c r="I4907" i="1"/>
  <c r="H4907" i="1"/>
  <c r="A4907" i="1"/>
  <c r="H4906" i="1"/>
  <c r="A4906" i="1"/>
  <c r="I4906" i="1" s="1"/>
  <c r="H4905" i="1"/>
  <c r="A4905" i="1"/>
  <c r="I4905" i="1" s="1"/>
  <c r="H4904" i="1"/>
  <c r="I4904" i="1" s="1"/>
  <c r="A4904" i="1"/>
  <c r="H4903" i="1"/>
  <c r="A4903" i="1"/>
  <c r="I4903" i="1" s="1"/>
  <c r="H4902" i="1"/>
  <c r="A4902" i="1"/>
  <c r="I4901" i="1"/>
  <c r="H4901" i="1"/>
  <c r="A4901" i="1"/>
  <c r="H4900" i="1"/>
  <c r="I4900" i="1" s="1"/>
  <c r="A4900" i="1"/>
  <c r="I4899" i="1"/>
  <c r="H4899" i="1"/>
  <c r="A4899" i="1"/>
  <c r="H4898" i="1"/>
  <c r="A4898" i="1"/>
  <c r="H4897" i="1"/>
  <c r="A4897" i="1"/>
  <c r="I4897" i="1" s="1"/>
  <c r="H4896" i="1"/>
  <c r="I4896" i="1" s="1"/>
  <c r="A4896" i="1"/>
  <c r="H4895" i="1"/>
  <c r="A4895" i="1"/>
  <c r="I4895" i="1" s="1"/>
  <c r="H4894" i="1"/>
  <c r="A4894" i="1"/>
  <c r="I4894" i="1" s="1"/>
  <c r="H4893" i="1"/>
  <c r="A4893" i="1"/>
  <c r="I4893" i="1" s="1"/>
  <c r="H4892" i="1"/>
  <c r="I4892" i="1" s="1"/>
  <c r="A4892" i="1"/>
  <c r="I4891" i="1"/>
  <c r="H4891" i="1"/>
  <c r="A4891" i="1"/>
  <c r="H4890" i="1"/>
  <c r="A4890" i="1"/>
  <c r="I4890" i="1" s="1"/>
  <c r="H4889" i="1"/>
  <c r="A4889" i="1"/>
  <c r="I4889" i="1" s="1"/>
  <c r="H4888" i="1"/>
  <c r="I4888" i="1" s="1"/>
  <c r="A4888" i="1"/>
  <c r="H4887" i="1"/>
  <c r="A4887" i="1"/>
  <c r="I4887" i="1" s="1"/>
  <c r="H4886" i="1"/>
  <c r="A4886" i="1"/>
  <c r="I4885" i="1"/>
  <c r="H4885" i="1"/>
  <c r="A4885" i="1"/>
  <c r="H4884" i="1"/>
  <c r="I4884" i="1" s="1"/>
  <c r="A4884" i="1"/>
  <c r="I4883" i="1"/>
  <c r="H4883" i="1"/>
  <c r="A4883" i="1"/>
  <c r="H4882" i="1"/>
  <c r="A4882" i="1"/>
  <c r="H4881" i="1"/>
  <c r="A4881" i="1"/>
  <c r="I4881" i="1" s="1"/>
  <c r="H4880" i="1"/>
  <c r="I4880" i="1" s="1"/>
  <c r="A4880" i="1"/>
  <c r="H4879" i="1"/>
  <c r="A4879" i="1"/>
  <c r="I4879" i="1" s="1"/>
  <c r="H4878" i="1"/>
  <c r="A4878" i="1"/>
  <c r="I4878" i="1" s="1"/>
  <c r="H4877" i="1"/>
  <c r="A4877" i="1"/>
  <c r="I4877" i="1" s="1"/>
  <c r="H4876" i="1"/>
  <c r="I4876" i="1" s="1"/>
  <c r="A4876" i="1"/>
  <c r="I4875" i="1"/>
  <c r="H4875" i="1"/>
  <c r="A4875" i="1"/>
  <c r="H4874" i="1"/>
  <c r="A4874" i="1"/>
  <c r="I4874" i="1" s="1"/>
  <c r="H4873" i="1"/>
  <c r="A4873" i="1"/>
  <c r="I4873" i="1" s="1"/>
  <c r="H4872" i="1"/>
  <c r="I4872" i="1" s="1"/>
  <c r="A4872" i="1"/>
  <c r="H4871" i="1"/>
  <c r="A4871" i="1"/>
  <c r="I4871" i="1" s="1"/>
  <c r="H4870" i="1"/>
  <c r="A4870" i="1"/>
  <c r="I4869" i="1"/>
  <c r="H4869" i="1"/>
  <c r="A4869" i="1"/>
  <c r="H4868" i="1"/>
  <c r="I4868" i="1" s="1"/>
  <c r="A4868" i="1"/>
  <c r="I4867" i="1"/>
  <c r="H4867" i="1"/>
  <c r="A4867" i="1"/>
  <c r="H4866" i="1"/>
  <c r="A4866" i="1"/>
  <c r="H4865" i="1"/>
  <c r="A4865" i="1"/>
  <c r="I4865" i="1" s="1"/>
  <c r="H4864" i="1"/>
  <c r="I4864" i="1" s="1"/>
  <c r="A4864" i="1"/>
  <c r="H4863" i="1"/>
  <c r="A4863" i="1"/>
  <c r="I4863" i="1" s="1"/>
  <c r="H4862" i="1"/>
  <c r="A4862" i="1"/>
  <c r="I4862" i="1" s="1"/>
  <c r="H4861" i="1"/>
  <c r="A4861" i="1"/>
  <c r="I4861" i="1" s="1"/>
  <c r="H4860" i="1"/>
  <c r="I4860" i="1" s="1"/>
  <c r="A4860" i="1"/>
  <c r="I4859" i="1"/>
  <c r="H4859" i="1"/>
  <c r="A4859" i="1"/>
  <c r="H4858" i="1"/>
  <c r="A4858" i="1"/>
  <c r="I4858" i="1" s="1"/>
  <c r="H4857" i="1"/>
  <c r="A4857" i="1"/>
  <c r="I4857" i="1" s="1"/>
  <c r="H4856" i="1"/>
  <c r="I4856" i="1" s="1"/>
  <c r="A4856" i="1"/>
  <c r="H4855" i="1"/>
  <c r="A4855" i="1"/>
  <c r="I4855" i="1" s="1"/>
  <c r="H4854" i="1"/>
  <c r="A4854" i="1"/>
  <c r="I4853" i="1"/>
  <c r="H4853" i="1"/>
  <c r="A4853" i="1"/>
  <c r="H4852" i="1"/>
  <c r="I4852" i="1" s="1"/>
  <c r="A4852" i="1"/>
  <c r="I4851" i="1"/>
  <c r="H4851" i="1"/>
  <c r="A4851" i="1"/>
  <c r="H4850" i="1"/>
  <c r="A4850" i="1"/>
  <c r="H4849" i="1"/>
  <c r="A4849" i="1"/>
  <c r="I4849" i="1" s="1"/>
  <c r="H4848" i="1"/>
  <c r="I4848" i="1" s="1"/>
  <c r="A4848" i="1"/>
  <c r="H4847" i="1"/>
  <c r="A4847" i="1"/>
  <c r="I4847" i="1" s="1"/>
  <c r="H4846" i="1"/>
  <c r="A4846" i="1"/>
  <c r="I4846" i="1" s="1"/>
  <c r="H4845" i="1"/>
  <c r="A4845" i="1"/>
  <c r="I4845" i="1" s="1"/>
  <c r="H4844" i="1"/>
  <c r="I4844" i="1" s="1"/>
  <c r="A4844" i="1"/>
  <c r="I4843" i="1"/>
  <c r="H4843" i="1"/>
  <c r="A4843" i="1"/>
  <c r="H4842" i="1"/>
  <c r="A4842" i="1"/>
  <c r="I4842" i="1" s="1"/>
  <c r="H4841" i="1"/>
  <c r="A4841" i="1"/>
  <c r="I4841" i="1" s="1"/>
  <c r="H4840" i="1"/>
  <c r="I4840" i="1" s="1"/>
  <c r="A4840" i="1"/>
  <c r="H4839" i="1"/>
  <c r="A4839" i="1"/>
  <c r="I4839" i="1" s="1"/>
  <c r="H4838" i="1"/>
  <c r="A4838" i="1"/>
  <c r="I4837" i="1"/>
  <c r="H4837" i="1"/>
  <c r="A4837" i="1"/>
  <c r="H4836" i="1"/>
  <c r="I4836" i="1" s="1"/>
  <c r="A4836" i="1"/>
  <c r="I4835" i="1"/>
  <c r="H4835" i="1"/>
  <c r="A4835" i="1"/>
  <c r="H4834" i="1"/>
  <c r="A4834" i="1"/>
  <c r="H4833" i="1"/>
  <c r="A4833" i="1"/>
  <c r="I4833" i="1" s="1"/>
  <c r="H4832" i="1"/>
  <c r="I4832" i="1" s="1"/>
  <c r="A4832" i="1"/>
  <c r="H4831" i="1"/>
  <c r="A4831" i="1"/>
  <c r="I4831" i="1" s="1"/>
  <c r="H4830" i="1"/>
  <c r="A4830" i="1"/>
  <c r="I4830" i="1" s="1"/>
  <c r="H4829" i="1"/>
  <c r="A4829" i="1"/>
  <c r="I4829" i="1" s="1"/>
  <c r="H4828" i="1"/>
  <c r="I4828" i="1" s="1"/>
  <c r="A4828" i="1"/>
  <c r="I4827" i="1"/>
  <c r="H4827" i="1"/>
  <c r="A4827" i="1"/>
  <c r="H4826" i="1"/>
  <c r="A4826" i="1"/>
  <c r="I4826" i="1" s="1"/>
  <c r="H4825" i="1"/>
  <c r="A4825" i="1"/>
  <c r="I4825" i="1" s="1"/>
  <c r="H4824" i="1"/>
  <c r="I4824" i="1" s="1"/>
  <c r="A4824" i="1"/>
  <c r="H4823" i="1"/>
  <c r="A4823" i="1"/>
  <c r="I4823" i="1" s="1"/>
  <c r="H4822" i="1"/>
  <c r="A4822" i="1"/>
  <c r="I4821" i="1"/>
  <c r="H4821" i="1"/>
  <c r="A4821" i="1"/>
  <c r="H4820" i="1"/>
  <c r="I4820" i="1" s="1"/>
  <c r="A4820" i="1"/>
  <c r="I4819" i="1"/>
  <c r="H4819" i="1"/>
  <c r="A4819" i="1"/>
  <c r="H4818" i="1"/>
  <c r="A4818" i="1"/>
  <c r="H4817" i="1"/>
  <c r="A4817" i="1"/>
  <c r="I4817" i="1" s="1"/>
  <c r="H4816" i="1"/>
  <c r="I4816" i="1" s="1"/>
  <c r="A4816" i="1"/>
  <c r="H4815" i="1"/>
  <c r="A4815" i="1"/>
  <c r="I4815" i="1" s="1"/>
  <c r="H4814" i="1"/>
  <c r="A4814" i="1"/>
  <c r="I4814" i="1" s="1"/>
  <c r="H4813" i="1"/>
  <c r="A4813" i="1"/>
  <c r="I4813" i="1" s="1"/>
  <c r="H4812" i="1"/>
  <c r="I4812" i="1" s="1"/>
  <c r="A4812" i="1"/>
  <c r="I4811" i="1"/>
  <c r="H4811" i="1"/>
  <c r="A4811" i="1"/>
  <c r="H4810" i="1"/>
  <c r="A4810" i="1"/>
  <c r="I4810" i="1" s="1"/>
  <c r="H4809" i="1"/>
  <c r="A4809" i="1"/>
  <c r="I4809" i="1" s="1"/>
  <c r="H4808" i="1"/>
  <c r="I4808" i="1" s="1"/>
  <c r="A4808" i="1"/>
  <c r="H4807" i="1"/>
  <c r="A4807" i="1"/>
  <c r="I4807" i="1" s="1"/>
  <c r="H4806" i="1"/>
  <c r="A4806" i="1"/>
  <c r="I4805" i="1"/>
  <c r="H4805" i="1"/>
  <c r="A4805" i="1"/>
  <c r="H4804" i="1"/>
  <c r="I4804" i="1" s="1"/>
  <c r="A4804" i="1"/>
  <c r="I4803" i="1"/>
  <c r="H4803" i="1"/>
  <c r="A4803" i="1"/>
  <c r="H4802" i="1"/>
  <c r="A4802" i="1"/>
  <c r="H4801" i="1"/>
  <c r="A4801" i="1"/>
  <c r="I4801" i="1" s="1"/>
  <c r="H4800" i="1"/>
  <c r="I4800" i="1" s="1"/>
  <c r="A4800" i="1"/>
  <c r="H4799" i="1"/>
  <c r="A4799" i="1"/>
  <c r="I4799" i="1" s="1"/>
  <c r="H4798" i="1"/>
  <c r="A4798" i="1"/>
  <c r="I4798" i="1" s="1"/>
  <c r="H4797" i="1"/>
  <c r="A4797" i="1"/>
  <c r="I4797" i="1" s="1"/>
  <c r="H4796" i="1"/>
  <c r="I4796" i="1" s="1"/>
  <c r="A4796" i="1"/>
  <c r="I4795" i="1"/>
  <c r="H4795" i="1"/>
  <c r="A4795" i="1"/>
  <c r="H4794" i="1"/>
  <c r="A4794" i="1"/>
  <c r="I4794" i="1" s="1"/>
  <c r="H4793" i="1"/>
  <c r="A4793" i="1"/>
  <c r="I4793" i="1" s="1"/>
  <c r="H4792" i="1"/>
  <c r="I4792" i="1" s="1"/>
  <c r="A4792" i="1"/>
  <c r="H4791" i="1"/>
  <c r="A4791" i="1"/>
  <c r="I4791" i="1" s="1"/>
  <c r="H4790" i="1"/>
  <c r="A4790" i="1"/>
  <c r="I4789" i="1"/>
  <c r="H4789" i="1"/>
  <c r="A4789" i="1"/>
  <c r="H4788" i="1"/>
  <c r="I4788" i="1" s="1"/>
  <c r="A4788" i="1"/>
  <c r="I4787" i="1"/>
  <c r="H4787" i="1"/>
  <c r="A4787" i="1"/>
  <c r="H4786" i="1"/>
  <c r="A4786" i="1"/>
  <c r="H4785" i="1"/>
  <c r="A4785" i="1"/>
  <c r="I4785" i="1" s="1"/>
  <c r="H4784" i="1"/>
  <c r="I4784" i="1" s="1"/>
  <c r="A4784" i="1"/>
  <c r="H4783" i="1"/>
  <c r="A4783" i="1"/>
  <c r="I4783" i="1" s="1"/>
  <c r="H4782" i="1"/>
  <c r="A4782" i="1"/>
  <c r="I4782" i="1" s="1"/>
  <c r="H4781" i="1"/>
  <c r="A4781" i="1"/>
  <c r="I4781" i="1" s="1"/>
  <c r="H4780" i="1"/>
  <c r="I4780" i="1" s="1"/>
  <c r="A4780" i="1"/>
  <c r="I4779" i="1"/>
  <c r="H4779" i="1"/>
  <c r="A4779" i="1"/>
  <c r="H4778" i="1"/>
  <c r="A4778" i="1"/>
  <c r="I4778" i="1" s="1"/>
  <c r="H4777" i="1"/>
  <c r="A4777" i="1"/>
  <c r="I4777" i="1" s="1"/>
  <c r="H4776" i="1"/>
  <c r="I4776" i="1" s="1"/>
  <c r="A4776" i="1"/>
  <c r="H4775" i="1"/>
  <c r="A4775" i="1"/>
  <c r="I4775" i="1" s="1"/>
  <c r="H4774" i="1"/>
  <c r="A4774" i="1"/>
  <c r="I4773" i="1"/>
  <c r="H4773" i="1"/>
  <c r="A4773" i="1"/>
  <c r="H4772" i="1"/>
  <c r="I4772" i="1" s="1"/>
  <c r="A4772" i="1"/>
  <c r="I4771" i="1"/>
  <c r="H4771" i="1"/>
  <c r="A4771" i="1"/>
  <c r="H4770" i="1"/>
  <c r="A4770" i="1"/>
  <c r="H4769" i="1"/>
  <c r="A4769" i="1"/>
  <c r="I4769" i="1" s="1"/>
  <c r="H4768" i="1"/>
  <c r="I4768" i="1" s="1"/>
  <c r="A4768" i="1"/>
  <c r="H4767" i="1"/>
  <c r="A4767" i="1"/>
  <c r="I4767" i="1" s="1"/>
  <c r="H4766" i="1"/>
  <c r="A4766" i="1"/>
  <c r="I4766" i="1" s="1"/>
  <c r="H4765" i="1"/>
  <c r="A4765" i="1"/>
  <c r="I4765" i="1" s="1"/>
  <c r="H4764" i="1"/>
  <c r="I4764" i="1" s="1"/>
  <c r="A4764" i="1"/>
  <c r="I4763" i="1"/>
  <c r="H4763" i="1"/>
  <c r="A4763" i="1"/>
  <c r="H4762" i="1"/>
  <c r="A4762" i="1"/>
  <c r="I4762" i="1" s="1"/>
  <c r="H4761" i="1"/>
  <c r="A4761" i="1"/>
  <c r="I4761" i="1" s="1"/>
  <c r="H4760" i="1"/>
  <c r="I4760" i="1" s="1"/>
  <c r="A4760" i="1"/>
  <c r="H4759" i="1"/>
  <c r="A4759" i="1"/>
  <c r="I4759" i="1" s="1"/>
  <c r="H4758" i="1"/>
  <c r="A4758" i="1"/>
  <c r="I4757" i="1"/>
  <c r="H4757" i="1"/>
  <c r="A4757" i="1"/>
  <c r="H4756" i="1"/>
  <c r="I4756" i="1" s="1"/>
  <c r="A4756" i="1"/>
  <c r="I4755" i="1"/>
  <c r="H4755" i="1"/>
  <c r="A4755" i="1"/>
  <c r="H4754" i="1"/>
  <c r="A4754" i="1"/>
  <c r="H4753" i="1"/>
  <c r="A4753" i="1"/>
  <c r="I4753" i="1" s="1"/>
  <c r="H4752" i="1"/>
  <c r="I4752" i="1" s="1"/>
  <c r="A4752" i="1"/>
  <c r="H4751" i="1"/>
  <c r="A4751" i="1"/>
  <c r="I4751" i="1" s="1"/>
  <c r="H4750" i="1"/>
  <c r="A4750" i="1"/>
  <c r="I4750" i="1" s="1"/>
  <c r="H4749" i="1"/>
  <c r="A4749" i="1"/>
  <c r="I4749" i="1" s="1"/>
  <c r="H4748" i="1"/>
  <c r="I4748" i="1" s="1"/>
  <c r="A4748" i="1"/>
  <c r="I4747" i="1"/>
  <c r="H4747" i="1"/>
  <c r="A4747" i="1"/>
  <c r="H4746" i="1"/>
  <c r="A4746" i="1"/>
  <c r="I4746" i="1" s="1"/>
  <c r="H4745" i="1"/>
  <c r="A4745" i="1"/>
  <c r="I4745" i="1" s="1"/>
  <c r="H4744" i="1"/>
  <c r="I4744" i="1" s="1"/>
  <c r="A4744" i="1"/>
  <c r="H4743" i="1"/>
  <c r="A4743" i="1"/>
  <c r="I4743" i="1" s="1"/>
  <c r="H4742" i="1"/>
  <c r="A4742" i="1"/>
  <c r="I4742" i="1" s="1"/>
  <c r="I4741" i="1"/>
  <c r="H4741" i="1"/>
  <c r="A4741" i="1"/>
  <c r="H4740" i="1"/>
  <c r="I4740" i="1" s="1"/>
  <c r="A4740" i="1"/>
  <c r="I4739" i="1"/>
  <c r="H4739" i="1"/>
  <c r="A4739" i="1"/>
  <c r="H4738" i="1"/>
  <c r="A4738" i="1"/>
  <c r="H4737" i="1"/>
  <c r="A4737" i="1"/>
  <c r="I4737" i="1" s="1"/>
  <c r="H4736" i="1"/>
  <c r="I4736" i="1" s="1"/>
  <c r="A4736" i="1"/>
  <c r="H4735" i="1"/>
  <c r="A4735" i="1"/>
  <c r="I4735" i="1" s="1"/>
  <c r="H4734" i="1"/>
  <c r="A4734" i="1"/>
  <c r="I4734" i="1" s="1"/>
  <c r="H4733" i="1"/>
  <c r="A4733" i="1"/>
  <c r="I4733" i="1" s="1"/>
  <c r="H4732" i="1"/>
  <c r="I4732" i="1" s="1"/>
  <c r="A4732" i="1"/>
  <c r="I4731" i="1"/>
  <c r="H4731" i="1"/>
  <c r="A4731" i="1"/>
  <c r="H4730" i="1"/>
  <c r="A4730" i="1"/>
  <c r="I4730" i="1" s="1"/>
  <c r="H4729" i="1"/>
  <c r="A4729" i="1"/>
  <c r="I4729" i="1" s="1"/>
  <c r="H4728" i="1"/>
  <c r="I4728" i="1" s="1"/>
  <c r="A4728" i="1"/>
  <c r="H4727" i="1"/>
  <c r="A4727" i="1"/>
  <c r="I4727" i="1" s="1"/>
  <c r="H4726" i="1"/>
  <c r="A4726" i="1"/>
  <c r="I4726" i="1" s="1"/>
  <c r="I4725" i="1"/>
  <c r="H4725" i="1"/>
  <c r="A4725" i="1"/>
  <c r="I4724" i="1"/>
  <c r="H4724" i="1"/>
  <c r="A4724" i="1"/>
  <c r="H4723" i="1"/>
  <c r="A4723" i="1"/>
  <c r="I4723" i="1" s="1"/>
  <c r="H4722" i="1"/>
  <c r="A4722" i="1"/>
  <c r="H4721" i="1"/>
  <c r="A4721" i="1"/>
  <c r="I4721" i="1" s="1"/>
  <c r="H4720" i="1"/>
  <c r="I4720" i="1" s="1"/>
  <c r="A4720" i="1"/>
  <c r="I4719" i="1"/>
  <c r="H4719" i="1"/>
  <c r="A4719" i="1"/>
  <c r="H4718" i="1"/>
  <c r="A4718" i="1"/>
  <c r="I4717" i="1"/>
  <c r="H4717" i="1"/>
  <c r="A4717" i="1"/>
  <c r="I4716" i="1"/>
  <c r="H4716" i="1"/>
  <c r="A4716" i="1"/>
  <c r="H4715" i="1"/>
  <c r="A4715" i="1"/>
  <c r="I4715" i="1" s="1"/>
  <c r="H4714" i="1"/>
  <c r="A4714" i="1"/>
  <c r="I4714" i="1" s="1"/>
  <c r="I4713" i="1"/>
  <c r="H4713" i="1"/>
  <c r="A4713" i="1"/>
  <c r="H4712" i="1"/>
  <c r="I4712" i="1" s="1"/>
  <c r="A4712" i="1"/>
  <c r="I4711" i="1"/>
  <c r="H4711" i="1"/>
  <c r="A4711" i="1"/>
  <c r="H4710" i="1"/>
  <c r="A4710" i="1"/>
  <c r="H4709" i="1"/>
  <c r="A4709" i="1"/>
  <c r="I4709" i="1" s="1"/>
  <c r="I4708" i="1"/>
  <c r="H4708" i="1"/>
  <c r="A4708" i="1"/>
  <c r="I4707" i="1"/>
  <c r="H4707" i="1"/>
  <c r="A4707" i="1"/>
  <c r="H4706" i="1"/>
  <c r="A4706" i="1"/>
  <c r="I4705" i="1"/>
  <c r="H4705" i="1"/>
  <c r="A4705" i="1"/>
  <c r="H4704" i="1"/>
  <c r="I4704" i="1" s="1"/>
  <c r="A4704" i="1"/>
  <c r="H4703" i="1"/>
  <c r="A4703" i="1"/>
  <c r="I4703" i="1" s="1"/>
  <c r="H4702" i="1"/>
  <c r="A4702" i="1"/>
  <c r="H4701" i="1"/>
  <c r="A4701" i="1"/>
  <c r="I4701" i="1" s="1"/>
  <c r="H4700" i="1"/>
  <c r="I4700" i="1" s="1"/>
  <c r="A4700" i="1"/>
  <c r="I4699" i="1"/>
  <c r="H4699" i="1"/>
  <c r="A4699" i="1"/>
  <c r="H4698" i="1"/>
  <c r="A4698" i="1"/>
  <c r="H4697" i="1"/>
  <c r="A4697" i="1"/>
  <c r="I4697" i="1" s="1"/>
  <c r="H4696" i="1"/>
  <c r="I4696" i="1" s="1"/>
  <c r="A4696" i="1"/>
  <c r="H4695" i="1"/>
  <c r="A4695" i="1"/>
  <c r="I4695" i="1" s="1"/>
  <c r="H4694" i="1"/>
  <c r="A4694" i="1"/>
  <c r="I4694" i="1" s="1"/>
  <c r="H4693" i="1"/>
  <c r="A4693" i="1"/>
  <c r="I4693" i="1" s="1"/>
  <c r="H4692" i="1"/>
  <c r="I4692" i="1" s="1"/>
  <c r="A4692" i="1"/>
  <c r="H4691" i="1"/>
  <c r="A4691" i="1"/>
  <c r="I4691" i="1" s="1"/>
  <c r="H4690" i="1"/>
  <c r="A4690" i="1"/>
  <c r="H4689" i="1"/>
  <c r="A4689" i="1"/>
  <c r="I4689" i="1" s="1"/>
  <c r="H4688" i="1"/>
  <c r="I4688" i="1" s="1"/>
  <c r="A4688" i="1"/>
  <c r="H4687" i="1"/>
  <c r="A4687" i="1"/>
  <c r="I4687" i="1" s="1"/>
  <c r="H4686" i="1"/>
  <c r="A4686" i="1"/>
  <c r="I4686" i="1" s="1"/>
  <c r="I4685" i="1"/>
  <c r="H4685" i="1"/>
  <c r="A4685" i="1"/>
  <c r="H4684" i="1"/>
  <c r="I4684" i="1" s="1"/>
  <c r="A4684" i="1"/>
  <c r="H4683" i="1"/>
  <c r="A4683" i="1"/>
  <c r="I4683" i="1" s="1"/>
  <c r="H4682" i="1"/>
  <c r="A4682" i="1"/>
  <c r="I4682" i="1" s="1"/>
  <c r="H4681" i="1"/>
  <c r="A4681" i="1"/>
  <c r="I4681" i="1" s="1"/>
  <c r="H4680" i="1"/>
  <c r="I4680" i="1" s="1"/>
  <c r="A4680" i="1"/>
  <c r="H4679" i="1"/>
  <c r="A4679" i="1"/>
  <c r="I4679" i="1" s="1"/>
  <c r="H4678" i="1"/>
  <c r="A4678" i="1"/>
  <c r="H4677" i="1"/>
  <c r="A4677" i="1"/>
  <c r="I4677" i="1" s="1"/>
  <c r="H4676" i="1"/>
  <c r="I4676" i="1" s="1"/>
  <c r="A4676" i="1"/>
  <c r="I4675" i="1"/>
  <c r="H4675" i="1"/>
  <c r="A4675" i="1"/>
  <c r="H4674" i="1"/>
  <c r="A4674" i="1"/>
  <c r="H4673" i="1"/>
  <c r="A4673" i="1"/>
  <c r="I4673" i="1" s="1"/>
  <c r="I4672" i="1"/>
  <c r="H4672" i="1"/>
  <c r="A4672" i="1"/>
  <c r="I4671" i="1"/>
  <c r="H4671" i="1"/>
  <c r="A4671" i="1"/>
  <c r="H4670" i="1"/>
  <c r="A4670" i="1"/>
  <c r="I4669" i="1"/>
  <c r="H4669" i="1"/>
  <c r="A4669" i="1"/>
  <c r="I4668" i="1"/>
  <c r="H4668" i="1"/>
  <c r="A4668" i="1"/>
  <c r="H4667" i="1"/>
  <c r="A4667" i="1"/>
  <c r="I4667" i="1" s="1"/>
  <c r="H4666" i="1"/>
  <c r="A4666" i="1"/>
  <c r="I4666" i="1" s="1"/>
  <c r="I4665" i="1"/>
  <c r="H4665" i="1"/>
  <c r="A4665" i="1"/>
  <c r="I4664" i="1"/>
  <c r="H4664" i="1"/>
  <c r="A4664" i="1"/>
  <c r="H4663" i="1"/>
  <c r="A4663" i="1"/>
  <c r="I4663" i="1" s="1"/>
  <c r="H4662" i="1"/>
  <c r="A4662" i="1"/>
  <c r="H4661" i="1"/>
  <c r="A4661" i="1"/>
  <c r="I4661" i="1" s="1"/>
  <c r="H4660" i="1"/>
  <c r="I4660" i="1" s="1"/>
  <c r="A4660" i="1"/>
  <c r="I4659" i="1"/>
  <c r="H4659" i="1"/>
  <c r="A4659" i="1"/>
  <c r="H4658" i="1"/>
  <c r="A4658" i="1"/>
  <c r="I4658" i="1" s="1"/>
  <c r="H4657" i="1"/>
  <c r="A4657" i="1"/>
  <c r="I4657" i="1" s="1"/>
  <c r="I4656" i="1"/>
  <c r="H4656" i="1"/>
  <c r="A4656" i="1"/>
  <c r="H4655" i="1"/>
  <c r="A4655" i="1"/>
  <c r="I4655" i="1" s="1"/>
  <c r="H4654" i="1"/>
  <c r="A4654" i="1"/>
  <c r="I4654" i="1" s="1"/>
  <c r="I4653" i="1"/>
  <c r="H4653" i="1"/>
  <c r="A4653" i="1"/>
  <c r="H4652" i="1"/>
  <c r="I4652" i="1" s="1"/>
  <c r="A4652" i="1"/>
  <c r="H4651" i="1"/>
  <c r="A4651" i="1"/>
  <c r="I4651" i="1" s="1"/>
  <c r="H4650" i="1"/>
  <c r="A4650" i="1"/>
  <c r="I4650" i="1" s="1"/>
  <c r="H4649" i="1"/>
  <c r="A4649" i="1"/>
  <c r="I4649" i="1" s="1"/>
  <c r="H4648" i="1"/>
  <c r="I4648" i="1" s="1"/>
  <c r="A4648" i="1"/>
  <c r="H4647" i="1"/>
  <c r="A4647" i="1"/>
  <c r="I4647" i="1" s="1"/>
  <c r="H4646" i="1"/>
  <c r="A4646" i="1"/>
  <c r="H4645" i="1"/>
  <c r="A4645" i="1"/>
  <c r="I4645" i="1" s="1"/>
  <c r="H4644" i="1"/>
  <c r="I4644" i="1" s="1"/>
  <c r="A4644" i="1"/>
  <c r="I4643" i="1"/>
  <c r="H4643" i="1"/>
  <c r="A4643" i="1"/>
  <c r="H4642" i="1"/>
  <c r="A4642" i="1"/>
  <c r="H4641" i="1"/>
  <c r="A4641" i="1"/>
  <c r="I4641" i="1" s="1"/>
  <c r="I4640" i="1"/>
  <c r="H4640" i="1"/>
  <c r="A4640" i="1"/>
  <c r="I4639" i="1"/>
  <c r="H4639" i="1"/>
  <c r="A4639" i="1"/>
  <c r="H4638" i="1"/>
  <c r="A4638" i="1"/>
  <c r="I4637" i="1"/>
  <c r="H4637" i="1"/>
  <c r="A4637" i="1"/>
  <c r="I4636" i="1"/>
  <c r="H4636" i="1"/>
  <c r="A4636" i="1"/>
  <c r="H4635" i="1"/>
  <c r="A4635" i="1"/>
  <c r="I4635" i="1" s="1"/>
  <c r="H4634" i="1"/>
  <c r="A4634" i="1"/>
  <c r="I4634" i="1" s="1"/>
  <c r="I4633" i="1"/>
  <c r="H4633" i="1"/>
  <c r="A4633" i="1"/>
  <c r="I4632" i="1"/>
  <c r="H4632" i="1"/>
  <c r="A4632" i="1"/>
  <c r="H4631" i="1"/>
  <c r="A4631" i="1"/>
  <c r="I4631" i="1" s="1"/>
  <c r="H4630" i="1"/>
  <c r="A4630" i="1"/>
  <c r="H4629" i="1"/>
  <c r="A4629" i="1"/>
  <c r="I4629" i="1" s="1"/>
  <c r="H4628" i="1"/>
  <c r="I4628" i="1" s="1"/>
  <c r="A4628" i="1"/>
  <c r="I4627" i="1"/>
  <c r="H4627" i="1"/>
  <c r="A4627" i="1"/>
  <c r="H4626" i="1"/>
  <c r="A4626" i="1"/>
  <c r="I4626" i="1" s="1"/>
  <c r="H4625" i="1"/>
  <c r="A4625" i="1"/>
  <c r="I4625" i="1" s="1"/>
  <c r="I4624" i="1"/>
  <c r="H4624" i="1"/>
  <c r="A4624" i="1"/>
  <c r="H4623" i="1"/>
  <c r="A4623" i="1"/>
  <c r="I4623" i="1" s="1"/>
  <c r="H4622" i="1"/>
  <c r="A4622" i="1"/>
  <c r="I4622" i="1" s="1"/>
  <c r="I4621" i="1"/>
  <c r="H4621" i="1"/>
  <c r="A4621" i="1"/>
  <c r="H4620" i="1"/>
  <c r="I4620" i="1" s="1"/>
  <c r="A4620" i="1"/>
  <c r="H4619" i="1"/>
  <c r="A4619" i="1"/>
  <c r="I4619" i="1" s="1"/>
  <c r="H4618" i="1"/>
  <c r="A4618" i="1"/>
  <c r="I4618" i="1" s="1"/>
  <c r="H4617" i="1"/>
  <c r="A4617" i="1"/>
  <c r="I4617" i="1" s="1"/>
  <c r="H4616" i="1"/>
  <c r="I4616" i="1" s="1"/>
  <c r="A4616" i="1"/>
  <c r="H4615" i="1"/>
  <c r="A4615" i="1"/>
  <c r="I4615" i="1" s="1"/>
  <c r="H4614" i="1"/>
  <c r="A4614" i="1"/>
  <c r="H4613" i="1"/>
  <c r="A4613" i="1"/>
  <c r="I4613" i="1" s="1"/>
  <c r="H4612" i="1"/>
  <c r="I4612" i="1" s="1"/>
  <c r="A4612" i="1"/>
  <c r="I4611" i="1"/>
  <c r="H4611" i="1"/>
  <c r="A4611" i="1"/>
  <c r="H4610" i="1"/>
  <c r="A4610" i="1"/>
  <c r="H4609" i="1"/>
  <c r="A4609" i="1"/>
  <c r="I4609" i="1" s="1"/>
  <c r="I4608" i="1"/>
  <c r="H4608" i="1"/>
  <c r="A4608" i="1"/>
  <c r="I4607" i="1"/>
  <c r="H4607" i="1"/>
  <c r="A4607" i="1"/>
  <c r="H4606" i="1"/>
  <c r="A4606" i="1"/>
  <c r="I4605" i="1"/>
  <c r="H4605" i="1"/>
  <c r="A4605" i="1"/>
  <c r="I4604" i="1"/>
  <c r="H4604" i="1"/>
  <c r="A4604" i="1"/>
  <c r="H4603" i="1"/>
  <c r="A4603" i="1"/>
  <c r="I4603" i="1" s="1"/>
  <c r="H4602" i="1"/>
  <c r="A4602" i="1"/>
  <c r="I4602" i="1" s="1"/>
  <c r="I4601" i="1"/>
  <c r="H4601" i="1"/>
  <c r="A4601" i="1"/>
  <c r="I4600" i="1"/>
  <c r="H4600" i="1"/>
  <c r="A4600" i="1"/>
  <c r="H4599" i="1"/>
  <c r="A4599" i="1"/>
  <c r="I4599" i="1" s="1"/>
  <c r="H4598" i="1"/>
  <c r="A4598" i="1"/>
  <c r="H4597" i="1"/>
  <c r="A4597" i="1"/>
  <c r="I4597" i="1" s="1"/>
  <c r="H4596" i="1"/>
  <c r="I4596" i="1" s="1"/>
  <c r="A4596" i="1"/>
  <c r="I4595" i="1"/>
  <c r="H4595" i="1"/>
  <c r="A4595" i="1"/>
  <c r="H4594" i="1"/>
  <c r="A4594" i="1"/>
  <c r="I4594" i="1" s="1"/>
  <c r="H4593" i="1"/>
  <c r="A4593" i="1"/>
  <c r="I4593" i="1" s="1"/>
  <c r="I4592" i="1"/>
  <c r="H4592" i="1"/>
  <c r="A4592" i="1"/>
  <c r="H4591" i="1"/>
  <c r="A4591" i="1"/>
  <c r="I4591" i="1" s="1"/>
  <c r="H4590" i="1"/>
  <c r="A4590" i="1"/>
  <c r="I4590" i="1" s="1"/>
  <c r="I4589" i="1"/>
  <c r="H4589" i="1"/>
  <c r="A4589" i="1"/>
  <c r="H4588" i="1"/>
  <c r="I4588" i="1" s="1"/>
  <c r="A4588" i="1"/>
  <c r="H4587" i="1"/>
  <c r="A4587" i="1"/>
  <c r="I4587" i="1" s="1"/>
  <c r="H4586" i="1"/>
  <c r="A4586" i="1"/>
  <c r="I4586" i="1" s="1"/>
  <c r="H4585" i="1"/>
  <c r="A4585" i="1"/>
  <c r="I4585" i="1" s="1"/>
  <c r="H4584" i="1"/>
  <c r="I4584" i="1" s="1"/>
  <c r="A4584" i="1"/>
  <c r="H4583" i="1"/>
  <c r="A4583" i="1"/>
  <c r="I4583" i="1" s="1"/>
  <c r="H4582" i="1"/>
  <c r="A4582" i="1"/>
  <c r="H4581" i="1"/>
  <c r="A4581" i="1"/>
  <c r="I4581" i="1" s="1"/>
  <c r="H4580" i="1"/>
  <c r="I4580" i="1" s="1"/>
  <c r="A4580" i="1"/>
  <c r="I4579" i="1"/>
  <c r="H4579" i="1"/>
  <c r="A4579" i="1"/>
  <c r="H4578" i="1"/>
  <c r="A4578" i="1"/>
  <c r="H4577" i="1"/>
  <c r="A4577" i="1"/>
  <c r="I4577" i="1" s="1"/>
  <c r="I4576" i="1"/>
  <c r="H4576" i="1"/>
  <c r="A4576" i="1"/>
  <c r="I4575" i="1"/>
  <c r="H4575" i="1"/>
  <c r="A4575" i="1"/>
  <c r="H4574" i="1"/>
  <c r="A4574" i="1"/>
  <c r="I4573" i="1"/>
  <c r="H4573" i="1"/>
  <c r="A4573" i="1"/>
  <c r="I4572" i="1"/>
  <c r="H4572" i="1"/>
  <c r="A4572" i="1"/>
  <c r="H4571" i="1"/>
  <c r="A4571" i="1"/>
  <c r="I4571" i="1" s="1"/>
  <c r="H4570" i="1"/>
  <c r="A4570" i="1"/>
  <c r="I4570" i="1" s="1"/>
  <c r="I4569" i="1"/>
  <c r="H4569" i="1"/>
  <c r="A4569" i="1"/>
  <c r="I4568" i="1"/>
  <c r="H4568" i="1"/>
  <c r="A4568" i="1"/>
  <c r="H4567" i="1"/>
  <c r="A4567" i="1"/>
  <c r="I4567" i="1" s="1"/>
  <c r="H4566" i="1"/>
  <c r="A4566" i="1"/>
  <c r="H4565" i="1"/>
  <c r="A4565" i="1"/>
  <c r="I4565" i="1" s="1"/>
  <c r="H4564" i="1"/>
  <c r="I4564" i="1" s="1"/>
  <c r="A4564" i="1"/>
  <c r="I4563" i="1"/>
  <c r="H4563" i="1"/>
  <c r="A4563" i="1"/>
  <c r="H4562" i="1"/>
  <c r="A4562" i="1"/>
  <c r="I4562" i="1" s="1"/>
  <c r="H4561" i="1"/>
  <c r="A4561" i="1"/>
  <c r="I4561" i="1" s="1"/>
  <c r="I4560" i="1"/>
  <c r="H4560" i="1"/>
  <c r="A4560" i="1"/>
  <c r="H4559" i="1"/>
  <c r="A4559" i="1"/>
  <c r="I4559" i="1" s="1"/>
  <c r="H4558" i="1"/>
  <c r="A4558" i="1"/>
  <c r="I4558" i="1" s="1"/>
  <c r="I4557" i="1"/>
  <c r="H4557" i="1"/>
  <c r="A4557" i="1"/>
  <c r="H4556" i="1"/>
  <c r="I4556" i="1" s="1"/>
  <c r="A4556" i="1"/>
  <c r="H4555" i="1"/>
  <c r="A4555" i="1"/>
  <c r="I4555" i="1" s="1"/>
  <c r="H4554" i="1"/>
  <c r="A4554" i="1"/>
  <c r="I4554" i="1" s="1"/>
  <c r="H4553" i="1"/>
  <c r="A4553" i="1"/>
  <c r="I4553" i="1" s="1"/>
  <c r="H4552" i="1"/>
  <c r="I4552" i="1" s="1"/>
  <c r="A4552" i="1"/>
  <c r="H4551" i="1"/>
  <c r="A4551" i="1"/>
  <c r="I4551" i="1" s="1"/>
  <c r="H4550" i="1"/>
  <c r="A4550" i="1"/>
  <c r="H4549" i="1"/>
  <c r="A4549" i="1"/>
  <c r="I4549" i="1" s="1"/>
  <c r="H4548" i="1"/>
  <c r="I4548" i="1" s="1"/>
  <c r="A4548" i="1"/>
  <c r="I4547" i="1"/>
  <c r="H4547" i="1"/>
  <c r="A4547" i="1"/>
  <c r="H4546" i="1"/>
  <c r="A4546" i="1"/>
  <c r="H4545" i="1"/>
  <c r="A4545" i="1"/>
  <c r="I4545" i="1" s="1"/>
  <c r="I4544" i="1"/>
  <c r="H4544" i="1"/>
  <c r="A4544" i="1"/>
  <c r="I4543" i="1"/>
  <c r="H4543" i="1"/>
  <c r="A4543" i="1"/>
  <c r="H4542" i="1"/>
  <c r="A4542" i="1"/>
  <c r="I4541" i="1"/>
  <c r="H4541" i="1"/>
  <c r="A4541" i="1"/>
  <c r="I4540" i="1"/>
  <c r="H4540" i="1"/>
  <c r="A4540" i="1"/>
  <c r="H4539" i="1"/>
  <c r="A4539" i="1"/>
  <c r="I4539" i="1" s="1"/>
  <c r="H4538" i="1"/>
  <c r="A4538" i="1"/>
  <c r="I4538" i="1" s="1"/>
  <c r="I4537" i="1"/>
  <c r="H4537" i="1"/>
  <c r="A4537" i="1"/>
  <c r="I4536" i="1"/>
  <c r="H4536" i="1"/>
  <c r="A4536" i="1"/>
  <c r="H4535" i="1"/>
  <c r="A4535" i="1"/>
  <c r="I4535" i="1" s="1"/>
  <c r="H4534" i="1"/>
  <c r="A4534" i="1"/>
  <c r="H4533" i="1"/>
  <c r="A4533" i="1"/>
  <c r="I4533" i="1" s="1"/>
  <c r="H4532" i="1"/>
  <c r="I4532" i="1" s="1"/>
  <c r="A4532" i="1"/>
  <c r="I4531" i="1"/>
  <c r="H4531" i="1"/>
  <c r="A4531" i="1"/>
  <c r="H4530" i="1"/>
  <c r="A4530" i="1"/>
  <c r="I4530" i="1" s="1"/>
  <c r="H4529" i="1"/>
  <c r="A4529" i="1"/>
  <c r="I4529" i="1" s="1"/>
  <c r="H4528" i="1"/>
  <c r="A4528" i="1"/>
  <c r="I4528" i="1" s="1"/>
  <c r="I4527" i="1"/>
  <c r="H4527" i="1"/>
  <c r="A4527" i="1"/>
  <c r="H4526" i="1"/>
  <c r="A4526" i="1"/>
  <c r="H4525" i="1"/>
  <c r="A4525" i="1"/>
  <c r="I4525" i="1" s="1"/>
  <c r="I4524" i="1"/>
  <c r="H4524" i="1"/>
  <c r="A4524" i="1"/>
  <c r="I4523" i="1"/>
  <c r="H4523" i="1"/>
  <c r="A4523" i="1"/>
  <c r="H4522" i="1"/>
  <c r="A4522" i="1"/>
  <c r="I4522" i="1" s="1"/>
  <c r="H4521" i="1"/>
  <c r="A4521" i="1"/>
  <c r="I4521" i="1" s="1"/>
  <c r="I4520" i="1"/>
  <c r="H4520" i="1"/>
  <c r="A4520" i="1"/>
  <c r="H4519" i="1"/>
  <c r="A4519" i="1"/>
  <c r="I4519" i="1" s="1"/>
  <c r="H4518" i="1"/>
  <c r="A4518" i="1"/>
  <c r="I4518" i="1" s="1"/>
  <c r="I4517" i="1"/>
  <c r="H4517" i="1"/>
  <c r="A4517" i="1"/>
  <c r="H4516" i="1"/>
  <c r="I4516" i="1" s="1"/>
  <c r="A4516" i="1"/>
  <c r="H4515" i="1"/>
  <c r="A4515" i="1"/>
  <c r="I4515" i="1" s="1"/>
  <c r="H4514" i="1"/>
  <c r="A4514" i="1"/>
  <c r="I4514" i="1" s="1"/>
  <c r="I4513" i="1"/>
  <c r="H4513" i="1"/>
  <c r="A4513" i="1"/>
  <c r="I4512" i="1"/>
  <c r="H4512" i="1"/>
  <c r="A4512" i="1"/>
  <c r="H4511" i="1"/>
  <c r="A4511" i="1"/>
  <c r="I4511" i="1" s="1"/>
  <c r="H4510" i="1"/>
  <c r="A4510" i="1"/>
  <c r="I4510" i="1" s="1"/>
  <c r="I4509" i="1"/>
  <c r="H4509" i="1"/>
  <c r="A4509" i="1"/>
  <c r="I4508" i="1"/>
  <c r="H4508" i="1"/>
  <c r="A4508" i="1"/>
  <c r="H4507" i="1"/>
  <c r="A4507" i="1"/>
  <c r="I4507" i="1" s="1"/>
  <c r="I4506" i="1"/>
  <c r="H4506" i="1"/>
  <c r="A4506" i="1"/>
  <c r="H4505" i="1"/>
  <c r="A4505" i="1"/>
  <c r="I4505" i="1" s="1"/>
  <c r="H4504" i="1"/>
  <c r="A4504" i="1"/>
  <c r="I4504" i="1" s="1"/>
  <c r="H4503" i="1"/>
  <c r="A4503" i="1"/>
  <c r="I4503" i="1" s="1"/>
  <c r="H4502" i="1"/>
  <c r="A4502" i="1"/>
  <c r="H4501" i="1"/>
  <c r="A4501" i="1"/>
  <c r="I4501" i="1" s="1"/>
  <c r="H4500" i="1"/>
  <c r="I4500" i="1" s="1"/>
  <c r="A4500" i="1"/>
  <c r="I4499" i="1"/>
  <c r="H4499" i="1"/>
  <c r="A4499" i="1"/>
  <c r="I4498" i="1"/>
  <c r="H4498" i="1"/>
  <c r="A4498" i="1"/>
  <c r="H4497" i="1"/>
  <c r="A4497" i="1"/>
  <c r="I4497" i="1" s="1"/>
  <c r="H4496" i="1"/>
  <c r="A4496" i="1"/>
  <c r="I4496" i="1" s="1"/>
  <c r="I4495" i="1"/>
  <c r="H4495" i="1"/>
  <c r="A4495" i="1"/>
  <c r="H4494" i="1"/>
  <c r="A4494" i="1"/>
  <c r="I4494" i="1" s="1"/>
  <c r="H4493" i="1"/>
  <c r="A4493" i="1"/>
  <c r="I4493" i="1" s="1"/>
  <c r="I4492" i="1"/>
  <c r="H4492" i="1"/>
  <c r="A4492" i="1"/>
  <c r="H4491" i="1"/>
  <c r="A4491" i="1"/>
  <c r="I4491" i="1" s="1"/>
  <c r="H4490" i="1"/>
  <c r="A4490" i="1"/>
  <c r="I4490" i="1" s="1"/>
  <c r="H4489" i="1"/>
  <c r="A4489" i="1"/>
  <c r="I4489" i="1" s="1"/>
  <c r="I4488" i="1"/>
  <c r="H4488" i="1"/>
  <c r="A4488" i="1"/>
  <c r="I4487" i="1"/>
  <c r="H4487" i="1"/>
  <c r="A4487" i="1"/>
  <c r="H4486" i="1"/>
  <c r="A4486" i="1"/>
  <c r="I4485" i="1"/>
  <c r="H4485" i="1"/>
  <c r="A4485" i="1"/>
  <c r="I4484" i="1"/>
  <c r="H4484" i="1"/>
  <c r="A4484" i="1"/>
  <c r="H4483" i="1"/>
  <c r="A4483" i="1"/>
  <c r="I4483" i="1" s="1"/>
  <c r="H4482" i="1"/>
  <c r="A4482" i="1"/>
  <c r="I4482" i="1" s="1"/>
  <c r="I4481" i="1"/>
  <c r="H4481" i="1"/>
  <c r="A4481" i="1"/>
  <c r="H4480" i="1"/>
  <c r="A4480" i="1"/>
  <c r="I4480" i="1" s="1"/>
  <c r="H4479" i="1"/>
  <c r="A4479" i="1"/>
  <c r="I4479" i="1" s="1"/>
  <c r="H4478" i="1"/>
  <c r="A4478" i="1"/>
  <c r="I4478" i="1" s="1"/>
  <c r="H4477" i="1"/>
  <c r="A4477" i="1"/>
  <c r="I4477" i="1" s="1"/>
  <c r="H4476" i="1"/>
  <c r="I4476" i="1" s="1"/>
  <c r="A4476" i="1"/>
  <c r="H4475" i="1"/>
  <c r="A4475" i="1"/>
  <c r="I4475" i="1" s="1"/>
  <c r="I4474" i="1"/>
  <c r="H4474" i="1"/>
  <c r="A4474" i="1"/>
  <c r="I4473" i="1"/>
  <c r="H4473" i="1"/>
  <c r="A4473" i="1"/>
  <c r="H4472" i="1"/>
  <c r="A4472" i="1"/>
  <c r="I4472" i="1" s="1"/>
  <c r="H4471" i="1"/>
  <c r="A4471" i="1"/>
  <c r="I4471" i="1" s="1"/>
  <c r="H4470" i="1"/>
  <c r="A4470" i="1"/>
  <c r="H4469" i="1"/>
  <c r="A4469" i="1"/>
  <c r="I4469" i="1" s="1"/>
  <c r="H4468" i="1"/>
  <c r="I4468" i="1" s="1"/>
  <c r="A4468" i="1"/>
  <c r="I4467" i="1"/>
  <c r="H4467" i="1"/>
  <c r="A4467" i="1"/>
  <c r="H4466" i="1"/>
  <c r="A4466" i="1"/>
  <c r="I4466" i="1" s="1"/>
  <c r="H4465" i="1"/>
  <c r="A4465" i="1"/>
  <c r="I4465" i="1" s="1"/>
  <c r="H4464" i="1"/>
  <c r="A4464" i="1"/>
  <c r="I4464" i="1" s="1"/>
  <c r="I4463" i="1"/>
  <c r="H4463" i="1"/>
  <c r="A4463" i="1"/>
  <c r="H4462" i="1"/>
  <c r="A4462" i="1"/>
  <c r="H4461" i="1"/>
  <c r="A4461" i="1"/>
  <c r="I4461" i="1" s="1"/>
  <c r="I4460" i="1"/>
  <c r="H4460" i="1"/>
  <c r="A4460" i="1"/>
  <c r="I4459" i="1"/>
  <c r="H4459" i="1"/>
  <c r="A4459" i="1"/>
  <c r="H4458" i="1"/>
  <c r="A4458" i="1"/>
  <c r="I4458" i="1" s="1"/>
  <c r="H4457" i="1"/>
  <c r="A4457" i="1"/>
  <c r="I4457" i="1" s="1"/>
  <c r="I4456" i="1"/>
  <c r="H4456" i="1"/>
  <c r="A4456" i="1"/>
  <c r="H4455" i="1"/>
  <c r="A4455" i="1"/>
  <c r="I4455" i="1" s="1"/>
  <c r="H4454" i="1"/>
  <c r="A4454" i="1"/>
  <c r="I4454" i="1" s="1"/>
  <c r="I4453" i="1"/>
  <c r="H4453" i="1"/>
  <c r="A4453" i="1"/>
  <c r="H4452" i="1"/>
  <c r="I4452" i="1" s="1"/>
  <c r="A4452" i="1"/>
  <c r="H4451" i="1"/>
  <c r="A4451" i="1"/>
  <c r="I4451" i="1" s="1"/>
  <c r="H4450" i="1"/>
  <c r="A4450" i="1"/>
  <c r="I4450" i="1" s="1"/>
  <c r="I4449" i="1"/>
  <c r="H4449" i="1"/>
  <c r="A4449" i="1"/>
  <c r="I4448" i="1"/>
  <c r="H4448" i="1"/>
  <c r="A4448" i="1"/>
  <c r="H4447" i="1"/>
  <c r="A4447" i="1"/>
  <c r="I4447" i="1" s="1"/>
  <c r="H4446" i="1"/>
  <c r="A4446" i="1"/>
  <c r="I4446" i="1" s="1"/>
  <c r="I4445" i="1"/>
  <c r="H4445" i="1"/>
  <c r="A4445" i="1"/>
  <c r="H4444" i="1"/>
  <c r="A4444" i="1"/>
  <c r="I4444" i="1" s="1"/>
  <c r="H4443" i="1"/>
  <c r="A4443" i="1"/>
  <c r="I4443" i="1" s="1"/>
  <c r="I4442" i="1"/>
  <c r="H4442" i="1"/>
  <c r="A4442" i="1"/>
  <c r="H4441" i="1"/>
  <c r="A4441" i="1"/>
  <c r="I4441" i="1" s="1"/>
  <c r="H4440" i="1"/>
  <c r="A4440" i="1"/>
  <c r="I4440" i="1" s="1"/>
  <c r="H4439" i="1"/>
  <c r="A4439" i="1"/>
  <c r="I4439" i="1" s="1"/>
  <c r="I4438" i="1"/>
  <c r="H4438" i="1"/>
  <c r="A4438" i="1"/>
  <c r="I4437" i="1"/>
  <c r="H4437" i="1"/>
  <c r="A4437" i="1"/>
  <c r="H4436" i="1"/>
  <c r="A4436" i="1"/>
  <c r="I4436" i="1" s="1"/>
  <c r="H4435" i="1"/>
  <c r="A4435" i="1"/>
  <c r="I4435" i="1" s="1"/>
  <c r="I4434" i="1"/>
  <c r="H4434" i="1"/>
  <c r="A4434" i="1"/>
  <c r="H4433" i="1"/>
  <c r="A4433" i="1"/>
  <c r="I4433" i="1" s="1"/>
  <c r="H4432" i="1"/>
  <c r="A4432" i="1"/>
  <c r="I4432" i="1" s="1"/>
  <c r="H4431" i="1"/>
  <c r="A4431" i="1"/>
  <c r="I4431" i="1" s="1"/>
  <c r="I4430" i="1"/>
  <c r="H4430" i="1"/>
  <c r="A4430" i="1"/>
  <c r="I4429" i="1"/>
  <c r="H4429" i="1"/>
  <c r="A4429" i="1"/>
  <c r="H4428" i="1"/>
  <c r="A4428" i="1"/>
  <c r="I4428" i="1" s="1"/>
  <c r="H4427" i="1"/>
  <c r="A4427" i="1"/>
  <c r="I4427" i="1" s="1"/>
  <c r="I4426" i="1"/>
  <c r="H4426" i="1"/>
  <c r="A4426" i="1"/>
  <c r="H4425" i="1"/>
  <c r="A4425" i="1"/>
  <c r="I4425" i="1" s="1"/>
  <c r="H4424" i="1"/>
  <c r="A4424" i="1"/>
  <c r="I4424" i="1" s="1"/>
  <c r="H4423" i="1"/>
  <c r="A4423" i="1"/>
  <c r="I4423" i="1" s="1"/>
  <c r="I4422" i="1"/>
  <c r="H4422" i="1"/>
  <c r="A4422" i="1"/>
  <c r="I4421" i="1"/>
  <c r="H4421" i="1"/>
  <c r="A4421" i="1"/>
  <c r="H4420" i="1"/>
  <c r="A4420" i="1"/>
  <c r="I4420" i="1" s="1"/>
  <c r="H4419" i="1"/>
  <c r="A4419" i="1"/>
  <c r="I4419" i="1" s="1"/>
  <c r="I4418" i="1"/>
  <c r="H4418" i="1"/>
  <c r="A4418" i="1"/>
  <c r="H4417" i="1"/>
  <c r="A4417" i="1"/>
  <c r="I4417" i="1" s="1"/>
  <c r="H4416" i="1"/>
  <c r="A4416" i="1"/>
  <c r="I4416" i="1" s="1"/>
  <c r="H4415" i="1"/>
  <c r="A4415" i="1"/>
  <c r="I4415" i="1" s="1"/>
  <c r="I4414" i="1"/>
  <c r="H4414" i="1"/>
  <c r="A4414" i="1"/>
  <c r="I4413" i="1"/>
  <c r="H4413" i="1"/>
  <c r="A4413" i="1"/>
  <c r="H4412" i="1"/>
  <c r="A4412" i="1"/>
  <c r="I4412" i="1" s="1"/>
  <c r="H4411" i="1"/>
  <c r="A4411" i="1"/>
  <c r="I4411" i="1" s="1"/>
  <c r="I4410" i="1"/>
  <c r="H4410" i="1"/>
  <c r="A4410" i="1"/>
  <c r="H4409" i="1"/>
  <c r="A4409" i="1"/>
  <c r="I4409" i="1" s="1"/>
  <c r="H4408" i="1"/>
  <c r="A4408" i="1"/>
  <c r="I4408" i="1" s="1"/>
  <c r="H4407" i="1"/>
  <c r="A4407" i="1"/>
  <c r="I4407" i="1" s="1"/>
  <c r="I4406" i="1"/>
  <c r="H4406" i="1"/>
  <c r="A4406" i="1"/>
  <c r="I4405" i="1"/>
  <c r="H4405" i="1"/>
  <c r="A4405" i="1"/>
  <c r="H4404" i="1"/>
  <c r="A4404" i="1"/>
  <c r="I4404" i="1" s="1"/>
  <c r="H4403" i="1"/>
  <c r="A4403" i="1"/>
  <c r="I4403" i="1" s="1"/>
  <c r="I4402" i="1"/>
  <c r="H4402" i="1"/>
  <c r="A4402" i="1"/>
  <c r="H4401" i="1"/>
  <c r="A4401" i="1"/>
  <c r="I4401" i="1" s="1"/>
  <c r="H4400" i="1"/>
  <c r="A4400" i="1"/>
  <c r="I4400" i="1" s="1"/>
  <c r="H4399" i="1"/>
  <c r="A4399" i="1"/>
  <c r="I4399" i="1" s="1"/>
  <c r="I4398" i="1"/>
  <c r="H4398" i="1"/>
  <c r="A4398" i="1"/>
  <c r="I4397" i="1"/>
  <c r="H4397" i="1"/>
  <c r="A4397" i="1"/>
  <c r="H4396" i="1"/>
  <c r="A4396" i="1"/>
  <c r="I4396" i="1" s="1"/>
  <c r="H4395" i="1"/>
  <c r="A4395" i="1"/>
  <c r="I4395" i="1" s="1"/>
  <c r="I4394" i="1"/>
  <c r="H4394" i="1"/>
  <c r="A4394" i="1"/>
  <c r="H4393" i="1"/>
  <c r="A4393" i="1"/>
  <c r="I4393" i="1" s="1"/>
  <c r="H4392" i="1"/>
  <c r="A4392" i="1"/>
  <c r="I4392" i="1" s="1"/>
  <c r="H4391" i="1"/>
  <c r="A4391" i="1"/>
  <c r="I4391" i="1" s="1"/>
  <c r="I4390" i="1"/>
  <c r="H4390" i="1"/>
  <c r="A4390" i="1"/>
  <c r="I4389" i="1"/>
  <c r="H4389" i="1"/>
  <c r="A4389" i="1"/>
  <c r="H4388" i="1"/>
  <c r="A4388" i="1"/>
  <c r="I4388" i="1" s="1"/>
  <c r="H4387" i="1"/>
  <c r="A4387" i="1"/>
  <c r="I4387" i="1" s="1"/>
  <c r="I4386" i="1"/>
  <c r="H4386" i="1"/>
  <c r="A4386" i="1"/>
  <c r="H4385" i="1"/>
  <c r="A4385" i="1"/>
  <c r="I4385" i="1" s="1"/>
  <c r="H4384" i="1"/>
  <c r="A4384" i="1"/>
  <c r="I4384" i="1" s="1"/>
  <c r="H4383" i="1"/>
  <c r="A4383" i="1"/>
  <c r="I4383" i="1" s="1"/>
  <c r="I4382" i="1"/>
  <c r="H4382" i="1"/>
  <c r="A4382" i="1"/>
  <c r="I4381" i="1"/>
  <c r="H4381" i="1"/>
  <c r="A4381" i="1"/>
  <c r="H4380" i="1"/>
  <c r="A4380" i="1"/>
  <c r="I4380" i="1" s="1"/>
  <c r="H4379" i="1"/>
  <c r="A4379" i="1"/>
  <c r="I4379" i="1" s="1"/>
  <c r="I4378" i="1"/>
  <c r="H4378" i="1"/>
  <c r="A4378" i="1"/>
  <c r="H4377" i="1"/>
  <c r="A4377" i="1"/>
  <c r="I4377" i="1" s="1"/>
  <c r="H4376" i="1"/>
  <c r="A4376" i="1"/>
  <c r="I4376" i="1" s="1"/>
  <c r="H4375" i="1"/>
  <c r="A4375" i="1"/>
  <c r="I4375" i="1" s="1"/>
  <c r="I4374" i="1"/>
  <c r="H4374" i="1"/>
  <c r="A4374" i="1"/>
  <c r="I4373" i="1"/>
  <c r="H4373" i="1"/>
  <c r="A4373" i="1"/>
  <c r="H4372" i="1"/>
  <c r="A4372" i="1"/>
  <c r="I4372" i="1" s="1"/>
  <c r="H4371" i="1"/>
  <c r="A4371" i="1"/>
  <c r="I4371" i="1" s="1"/>
  <c r="I4370" i="1"/>
  <c r="H4370" i="1"/>
  <c r="A4370" i="1"/>
  <c r="H4369" i="1"/>
  <c r="A4369" i="1"/>
  <c r="I4369" i="1" s="1"/>
  <c r="H4368" i="1"/>
  <c r="A4368" i="1"/>
  <c r="I4368" i="1" s="1"/>
  <c r="H4367" i="1"/>
  <c r="A4367" i="1"/>
  <c r="I4367" i="1" s="1"/>
  <c r="I4366" i="1"/>
  <c r="H4366" i="1"/>
  <c r="A4366" i="1"/>
  <c r="I4365" i="1"/>
  <c r="H4365" i="1"/>
  <c r="A4365" i="1"/>
  <c r="H4364" i="1"/>
  <c r="A4364" i="1"/>
  <c r="I4364" i="1" s="1"/>
  <c r="H4363" i="1"/>
  <c r="A4363" i="1"/>
  <c r="I4363" i="1" s="1"/>
  <c r="I4362" i="1"/>
  <c r="H4362" i="1"/>
  <c r="A4362" i="1"/>
  <c r="H4361" i="1"/>
  <c r="A4361" i="1"/>
  <c r="I4361" i="1" s="1"/>
  <c r="H4360" i="1"/>
  <c r="A4360" i="1"/>
  <c r="I4360" i="1" s="1"/>
  <c r="H4359" i="1"/>
  <c r="A4359" i="1"/>
  <c r="I4359" i="1" s="1"/>
  <c r="I4358" i="1"/>
  <c r="H4358" i="1"/>
  <c r="A4358" i="1"/>
  <c r="I4357" i="1"/>
  <c r="H4357" i="1"/>
  <c r="A4357" i="1"/>
  <c r="H4356" i="1"/>
  <c r="A4356" i="1"/>
  <c r="I4356" i="1" s="1"/>
  <c r="H4355" i="1"/>
  <c r="A4355" i="1"/>
  <c r="I4355" i="1" s="1"/>
  <c r="I4354" i="1"/>
  <c r="H4354" i="1"/>
  <c r="A4354" i="1"/>
  <c r="H4353" i="1"/>
  <c r="A4353" i="1"/>
  <c r="I4353" i="1" s="1"/>
  <c r="H4352" i="1"/>
  <c r="A4352" i="1"/>
  <c r="I4352" i="1" s="1"/>
  <c r="H4351" i="1"/>
  <c r="A4351" i="1"/>
  <c r="I4351" i="1" s="1"/>
  <c r="I4350" i="1"/>
  <c r="H4350" i="1"/>
  <c r="A4350" i="1"/>
  <c r="I4349" i="1"/>
  <c r="H4349" i="1"/>
  <c r="A4349" i="1"/>
  <c r="H4348" i="1"/>
  <c r="A4348" i="1"/>
  <c r="I4348" i="1" s="1"/>
  <c r="H4347" i="1"/>
  <c r="A4347" i="1"/>
  <c r="I4347" i="1" s="1"/>
  <c r="I4346" i="1"/>
  <c r="H4346" i="1"/>
  <c r="A4346" i="1"/>
  <c r="H4345" i="1"/>
  <c r="A4345" i="1"/>
  <c r="I4345" i="1" s="1"/>
  <c r="H4344" i="1"/>
  <c r="A4344" i="1"/>
  <c r="I4344" i="1" s="1"/>
  <c r="H4343" i="1"/>
  <c r="A4343" i="1"/>
  <c r="I4343" i="1" s="1"/>
  <c r="I4342" i="1"/>
  <c r="H4342" i="1"/>
  <c r="A4342" i="1"/>
  <c r="I4341" i="1"/>
  <c r="H4341" i="1"/>
  <c r="A4341" i="1"/>
  <c r="H4340" i="1"/>
  <c r="A4340" i="1"/>
  <c r="I4340" i="1" s="1"/>
  <c r="H4339" i="1"/>
  <c r="A4339" i="1"/>
  <c r="I4339" i="1" s="1"/>
  <c r="I4338" i="1"/>
  <c r="H4338" i="1"/>
  <c r="A4338" i="1"/>
  <c r="H4337" i="1"/>
  <c r="A4337" i="1"/>
  <c r="I4337" i="1" s="1"/>
  <c r="H4336" i="1"/>
  <c r="A4336" i="1"/>
  <c r="I4336" i="1" s="1"/>
  <c r="H4335" i="1"/>
  <c r="A4335" i="1"/>
  <c r="I4335" i="1" s="1"/>
  <c r="I4334" i="1"/>
  <c r="H4334" i="1"/>
  <c r="A4334" i="1"/>
  <c r="I4333" i="1"/>
  <c r="H4333" i="1"/>
  <c r="A4333" i="1"/>
  <c r="H4332" i="1"/>
  <c r="A4332" i="1"/>
  <c r="I4332" i="1" s="1"/>
  <c r="H4331" i="1"/>
  <c r="A4331" i="1"/>
  <c r="I4331" i="1" s="1"/>
  <c r="I4330" i="1"/>
  <c r="H4330" i="1"/>
  <c r="A4330" i="1"/>
  <c r="H4329" i="1"/>
  <c r="A4329" i="1"/>
  <c r="I4329" i="1" s="1"/>
  <c r="H4328" i="1"/>
  <c r="A4328" i="1"/>
  <c r="I4328" i="1" s="1"/>
  <c r="H4327" i="1"/>
  <c r="A4327" i="1"/>
  <c r="I4327" i="1" s="1"/>
  <c r="I4326" i="1"/>
  <c r="H4326" i="1"/>
  <c r="A4326" i="1"/>
  <c r="I4325" i="1"/>
  <c r="H4325" i="1"/>
  <c r="A4325" i="1"/>
  <c r="H4324" i="1"/>
  <c r="A4324" i="1"/>
  <c r="I4324" i="1" s="1"/>
  <c r="H4323" i="1"/>
  <c r="A4323" i="1"/>
  <c r="I4323" i="1" s="1"/>
  <c r="I4322" i="1"/>
  <c r="H4322" i="1"/>
  <c r="A4322" i="1"/>
  <c r="H4321" i="1"/>
  <c r="A4321" i="1"/>
  <c r="I4321" i="1" s="1"/>
  <c r="H4320" i="1"/>
  <c r="A4320" i="1"/>
  <c r="I4320" i="1" s="1"/>
  <c r="H4319" i="1"/>
  <c r="A4319" i="1"/>
  <c r="I4319" i="1" s="1"/>
  <c r="I4318" i="1"/>
  <c r="H4318" i="1"/>
  <c r="A4318" i="1"/>
  <c r="I4317" i="1"/>
  <c r="H4317" i="1"/>
  <c r="A4317" i="1"/>
  <c r="H4316" i="1"/>
  <c r="A4316" i="1"/>
  <c r="I4316" i="1" s="1"/>
  <c r="H4315" i="1"/>
  <c r="A4315" i="1"/>
  <c r="I4315" i="1" s="1"/>
  <c r="I4314" i="1"/>
  <c r="H4314" i="1"/>
  <c r="A4314" i="1"/>
  <c r="H4313" i="1"/>
  <c r="A4313" i="1"/>
  <c r="I4313" i="1" s="1"/>
  <c r="H4312" i="1"/>
  <c r="A4312" i="1"/>
  <c r="I4312" i="1" s="1"/>
  <c r="H4311" i="1"/>
  <c r="A4311" i="1"/>
  <c r="I4311" i="1" s="1"/>
  <c r="I4310" i="1"/>
  <c r="H4310" i="1"/>
  <c r="A4310" i="1"/>
  <c r="I4309" i="1"/>
  <c r="H4309" i="1"/>
  <c r="A4309" i="1"/>
  <c r="H4308" i="1"/>
  <c r="A4308" i="1"/>
  <c r="I4308" i="1" s="1"/>
  <c r="H4307" i="1"/>
  <c r="A4307" i="1"/>
  <c r="I4307" i="1" s="1"/>
  <c r="I4306" i="1"/>
  <c r="H4306" i="1"/>
  <c r="A4306" i="1"/>
  <c r="H4305" i="1"/>
  <c r="A4305" i="1"/>
  <c r="I4305" i="1" s="1"/>
  <c r="H4304" i="1"/>
  <c r="A4304" i="1"/>
  <c r="I4304" i="1" s="1"/>
  <c r="H4303" i="1"/>
  <c r="A4303" i="1"/>
  <c r="I4303" i="1" s="1"/>
  <c r="I4302" i="1"/>
  <c r="H4302" i="1"/>
  <c r="A4302" i="1"/>
  <c r="I4301" i="1"/>
  <c r="H4301" i="1"/>
  <c r="A4301" i="1"/>
  <c r="H4300" i="1"/>
  <c r="A4300" i="1"/>
  <c r="I4300" i="1" s="1"/>
  <c r="H4299" i="1"/>
  <c r="A4299" i="1"/>
  <c r="I4299" i="1" s="1"/>
  <c r="I4298" i="1"/>
  <c r="H4298" i="1"/>
  <c r="A4298" i="1"/>
  <c r="H4297" i="1"/>
  <c r="A4297" i="1"/>
  <c r="I4297" i="1" s="1"/>
  <c r="H4296" i="1"/>
  <c r="A4296" i="1"/>
  <c r="I4296" i="1" s="1"/>
  <c r="H4295" i="1"/>
  <c r="A4295" i="1"/>
  <c r="I4295" i="1" s="1"/>
  <c r="I4294" i="1"/>
  <c r="H4294" i="1"/>
  <c r="A4294" i="1"/>
  <c r="I4293" i="1"/>
  <c r="H4293" i="1"/>
  <c r="A4293" i="1"/>
  <c r="H4292" i="1"/>
  <c r="A4292" i="1"/>
  <c r="I4292" i="1" s="1"/>
  <c r="H4291" i="1"/>
  <c r="A4291" i="1"/>
  <c r="I4291" i="1" s="1"/>
  <c r="I4290" i="1"/>
  <c r="H4290" i="1"/>
  <c r="A4290" i="1"/>
  <c r="H4289" i="1"/>
  <c r="A4289" i="1"/>
  <c r="I4289" i="1" s="1"/>
  <c r="H4288" i="1"/>
  <c r="A4288" i="1"/>
  <c r="I4288" i="1" s="1"/>
  <c r="H4287" i="1"/>
  <c r="A4287" i="1"/>
  <c r="I4287" i="1" s="1"/>
  <c r="I4286" i="1"/>
  <c r="H4286" i="1"/>
  <c r="A4286" i="1"/>
  <c r="I4285" i="1"/>
  <c r="H4285" i="1"/>
  <c r="A4285" i="1"/>
  <c r="H4284" i="1"/>
  <c r="A4284" i="1"/>
  <c r="I4284" i="1" s="1"/>
  <c r="H4283" i="1"/>
  <c r="A4283" i="1"/>
  <c r="I4283" i="1" s="1"/>
  <c r="I4282" i="1"/>
  <c r="H4282" i="1"/>
  <c r="A4282" i="1"/>
  <c r="H4281" i="1"/>
  <c r="A4281" i="1"/>
  <c r="I4281" i="1" s="1"/>
  <c r="H4280" i="1"/>
  <c r="A4280" i="1"/>
  <c r="I4280" i="1" s="1"/>
  <c r="H4279" i="1"/>
  <c r="A4279" i="1"/>
  <c r="I4279" i="1" s="1"/>
  <c r="I4278" i="1"/>
  <c r="H4278" i="1"/>
  <c r="A4278" i="1"/>
  <c r="I4277" i="1"/>
  <c r="H4277" i="1"/>
  <c r="A4277" i="1"/>
  <c r="H4276" i="1"/>
  <c r="A4276" i="1"/>
  <c r="I4276" i="1" s="1"/>
  <c r="H4275" i="1"/>
  <c r="A4275" i="1"/>
  <c r="I4275" i="1" s="1"/>
  <c r="I4274" i="1"/>
  <c r="H4274" i="1"/>
  <c r="A4274" i="1"/>
  <c r="H4273" i="1"/>
  <c r="A4273" i="1"/>
  <c r="I4273" i="1" s="1"/>
  <c r="H4272" i="1"/>
  <c r="A4272" i="1"/>
  <c r="I4272" i="1" s="1"/>
  <c r="H4271" i="1"/>
  <c r="A4271" i="1"/>
  <c r="I4271" i="1" s="1"/>
  <c r="I4270" i="1"/>
  <c r="H4270" i="1"/>
  <c r="A4270" i="1"/>
  <c r="I4269" i="1"/>
  <c r="H4269" i="1"/>
  <c r="A4269" i="1"/>
  <c r="H4268" i="1"/>
  <c r="A4268" i="1"/>
  <c r="I4268" i="1" s="1"/>
  <c r="H4267" i="1"/>
  <c r="A4267" i="1"/>
  <c r="I4267" i="1" s="1"/>
  <c r="I4266" i="1"/>
  <c r="H4266" i="1"/>
  <c r="A4266" i="1"/>
  <c r="H4265" i="1"/>
  <c r="A4265" i="1"/>
  <c r="I4265" i="1" s="1"/>
  <c r="H4264" i="1"/>
  <c r="A4264" i="1"/>
  <c r="I4264" i="1" s="1"/>
  <c r="H4263" i="1"/>
  <c r="A4263" i="1"/>
  <c r="I4263" i="1" s="1"/>
  <c r="I4262" i="1"/>
  <c r="H4262" i="1"/>
  <c r="A4262" i="1"/>
  <c r="I4261" i="1"/>
  <c r="H4261" i="1"/>
  <c r="A4261" i="1"/>
  <c r="H4260" i="1"/>
  <c r="A4260" i="1"/>
  <c r="I4260" i="1" s="1"/>
  <c r="H4259" i="1"/>
  <c r="A4259" i="1"/>
  <c r="I4259" i="1" s="1"/>
  <c r="I4258" i="1"/>
  <c r="H4258" i="1"/>
  <c r="A4258" i="1"/>
  <c r="H4257" i="1"/>
  <c r="A4257" i="1"/>
  <c r="I4257" i="1" s="1"/>
  <c r="H4256" i="1"/>
  <c r="A4256" i="1"/>
  <c r="I4256" i="1" s="1"/>
  <c r="H4255" i="1"/>
  <c r="A4255" i="1"/>
  <c r="I4255" i="1" s="1"/>
  <c r="I4254" i="1"/>
  <c r="H4254" i="1"/>
  <c r="A4254" i="1"/>
  <c r="I4253" i="1"/>
  <c r="H4253" i="1"/>
  <c r="A4253" i="1"/>
  <c r="H4252" i="1"/>
  <c r="A4252" i="1"/>
  <c r="I4252" i="1" s="1"/>
  <c r="H4251" i="1"/>
  <c r="A4251" i="1"/>
  <c r="I4251" i="1" s="1"/>
  <c r="I4250" i="1"/>
  <c r="H4250" i="1"/>
  <c r="A4250" i="1"/>
  <c r="H4249" i="1"/>
  <c r="A4249" i="1"/>
  <c r="I4249" i="1" s="1"/>
  <c r="H4248" i="1"/>
  <c r="A4248" i="1"/>
  <c r="I4248" i="1" s="1"/>
  <c r="H4247" i="1"/>
  <c r="A4247" i="1"/>
  <c r="I4247" i="1" s="1"/>
  <c r="I4246" i="1"/>
  <c r="H4246" i="1"/>
  <c r="A4246" i="1"/>
  <c r="I4245" i="1"/>
  <c r="H4245" i="1"/>
  <c r="A4245" i="1"/>
  <c r="H4244" i="1"/>
  <c r="A4244" i="1"/>
  <c r="I4244" i="1" s="1"/>
  <c r="H4243" i="1"/>
  <c r="A4243" i="1"/>
  <c r="I4243" i="1" s="1"/>
  <c r="I4242" i="1"/>
  <c r="H4242" i="1"/>
  <c r="A4242" i="1"/>
  <c r="H4241" i="1"/>
  <c r="A4241" i="1"/>
  <c r="I4241" i="1" s="1"/>
  <c r="H4240" i="1"/>
  <c r="A4240" i="1"/>
  <c r="I4240" i="1" s="1"/>
  <c r="H4239" i="1"/>
  <c r="A4239" i="1"/>
  <c r="I4239" i="1" s="1"/>
  <c r="I4238" i="1"/>
  <c r="H4238" i="1"/>
  <c r="A4238" i="1"/>
  <c r="I4237" i="1"/>
  <c r="H4237" i="1"/>
  <c r="A4237" i="1"/>
  <c r="H4236" i="1"/>
  <c r="A4236" i="1"/>
  <c r="I4236" i="1" s="1"/>
  <c r="H4235" i="1"/>
  <c r="A4235" i="1"/>
  <c r="I4235" i="1" s="1"/>
  <c r="I4234" i="1"/>
  <c r="H4234" i="1"/>
  <c r="A4234" i="1"/>
  <c r="H4233" i="1"/>
  <c r="A4233" i="1"/>
  <c r="I4233" i="1" s="1"/>
  <c r="H4232" i="1"/>
  <c r="A4232" i="1"/>
  <c r="I4232" i="1" s="1"/>
  <c r="H4231" i="1"/>
  <c r="A4231" i="1"/>
  <c r="I4231" i="1" s="1"/>
  <c r="I4230" i="1"/>
  <c r="H4230" i="1"/>
  <c r="A4230" i="1"/>
  <c r="I4229" i="1"/>
  <c r="H4229" i="1"/>
  <c r="A4229" i="1"/>
  <c r="H4228" i="1"/>
  <c r="A4228" i="1"/>
  <c r="I4228" i="1" s="1"/>
  <c r="H4227" i="1"/>
  <c r="A4227" i="1"/>
  <c r="I4227" i="1" s="1"/>
  <c r="I4226" i="1"/>
  <c r="H4226" i="1"/>
  <c r="A4226" i="1"/>
  <c r="H4225" i="1"/>
  <c r="A4225" i="1"/>
  <c r="I4225" i="1" s="1"/>
  <c r="H4224" i="1"/>
  <c r="A4224" i="1"/>
  <c r="I4224" i="1" s="1"/>
  <c r="H4223" i="1"/>
  <c r="A4223" i="1"/>
  <c r="I4223" i="1" s="1"/>
  <c r="I4222" i="1"/>
  <c r="H4222" i="1"/>
  <c r="A4222" i="1"/>
  <c r="I4221" i="1"/>
  <c r="H4221" i="1"/>
  <c r="A4221" i="1"/>
  <c r="H4220" i="1"/>
  <c r="A4220" i="1"/>
  <c r="I4220" i="1" s="1"/>
  <c r="H4219" i="1"/>
  <c r="A4219" i="1"/>
  <c r="I4219" i="1" s="1"/>
  <c r="I4218" i="1"/>
  <c r="H4218" i="1"/>
  <c r="A4218" i="1"/>
  <c r="H4217" i="1"/>
  <c r="A4217" i="1"/>
  <c r="I4217" i="1" s="1"/>
  <c r="H4216" i="1"/>
  <c r="A4216" i="1"/>
  <c r="I4216" i="1" s="1"/>
  <c r="H4215" i="1"/>
  <c r="A4215" i="1"/>
  <c r="I4215" i="1" s="1"/>
  <c r="I4214" i="1"/>
  <c r="H4214" i="1"/>
  <c r="A4214" i="1"/>
  <c r="I4213" i="1"/>
  <c r="H4213" i="1"/>
  <c r="A4213" i="1"/>
  <c r="H4212" i="1"/>
  <c r="A4212" i="1"/>
  <c r="I4212" i="1" s="1"/>
  <c r="H4211" i="1"/>
  <c r="A4211" i="1"/>
  <c r="I4211" i="1" s="1"/>
  <c r="I4210" i="1"/>
  <c r="H4210" i="1"/>
  <c r="A4210" i="1"/>
  <c r="H4209" i="1"/>
  <c r="A4209" i="1"/>
  <c r="I4209" i="1" s="1"/>
  <c r="H4208" i="1"/>
  <c r="A4208" i="1"/>
  <c r="I4208" i="1" s="1"/>
  <c r="H4207" i="1"/>
  <c r="A4207" i="1"/>
  <c r="I4207" i="1" s="1"/>
  <c r="I4206" i="1"/>
  <c r="H4206" i="1"/>
  <c r="A4206" i="1"/>
  <c r="I4205" i="1"/>
  <c r="H4205" i="1"/>
  <c r="A4205" i="1"/>
  <c r="H4204" i="1"/>
  <c r="A4204" i="1"/>
  <c r="I4204" i="1" s="1"/>
  <c r="H4203" i="1"/>
  <c r="A4203" i="1"/>
  <c r="I4203" i="1" s="1"/>
  <c r="I4202" i="1"/>
  <c r="H4202" i="1"/>
  <c r="A4202" i="1"/>
  <c r="H4201" i="1"/>
  <c r="A4201" i="1"/>
  <c r="I4201" i="1" s="1"/>
  <c r="H4200" i="1"/>
  <c r="A4200" i="1"/>
  <c r="I4200" i="1" s="1"/>
  <c r="H4199" i="1"/>
  <c r="A4199" i="1"/>
  <c r="I4199" i="1" s="1"/>
  <c r="I4198" i="1"/>
  <c r="H4198" i="1"/>
  <c r="A4198" i="1"/>
  <c r="I4197" i="1"/>
  <c r="H4197" i="1"/>
  <c r="A4197" i="1"/>
  <c r="H4196" i="1"/>
  <c r="A4196" i="1"/>
  <c r="I4196" i="1" s="1"/>
  <c r="H4195" i="1"/>
  <c r="A4195" i="1"/>
  <c r="I4195" i="1" s="1"/>
  <c r="I4194" i="1"/>
  <c r="H4194" i="1"/>
  <c r="A4194" i="1"/>
  <c r="H4193" i="1"/>
  <c r="A4193" i="1"/>
  <c r="I4193" i="1" s="1"/>
  <c r="H4192" i="1"/>
  <c r="A4192" i="1"/>
  <c r="I4192" i="1" s="1"/>
  <c r="H4191" i="1"/>
  <c r="A4191" i="1"/>
  <c r="I4191" i="1" s="1"/>
  <c r="I4190" i="1"/>
  <c r="H4190" i="1"/>
  <c r="A4190" i="1"/>
  <c r="I4189" i="1"/>
  <c r="H4189" i="1"/>
  <c r="A4189" i="1"/>
  <c r="H4188" i="1"/>
  <c r="A4188" i="1"/>
  <c r="I4188" i="1" s="1"/>
  <c r="H4187" i="1"/>
  <c r="A4187" i="1"/>
  <c r="I4187" i="1" s="1"/>
  <c r="I4186" i="1"/>
  <c r="H4186" i="1"/>
  <c r="A4186" i="1"/>
  <c r="H4185" i="1"/>
  <c r="A4185" i="1"/>
  <c r="I4185" i="1" s="1"/>
  <c r="H4184" i="1"/>
  <c r="A4184" i="1"/>
  <c r="I4184" i="1" s="1"/>
  <c r="H4183" i="1"/>
  <c r="A4183" i="1"/>
  <c r="I4183" i="1" s="1"/>
  <c r="I4182" i="1"/>
  <c r="H4182" i="1"/>
  <c r="A4182" i="1"/>
  <c r="I4181" i="1"/>
  <c r="H4181" i="1"/>
  <c r="A4181" i="1"/>
  <c r="H4180" i="1"/>
  <c r="A4180" i="1"/>
  <c r="I4180" i="1" s="1"/>
  <c r="H4179" i="1"/>
  <c r="A4179" i="1"/>
  <c r="I4179" i="1" s="1"/>
  <c r="I4178" i="1"/>
  <c r="H4178" i="1"/>
  <c r="A4178" i="1"/>
  <c r="H4177" i="1"/>
  <c r="A4177" i="1"/>
  <c r="I4177" i="1" s="1"/>
  <c r="H4176" i="1"/>
  <c r="A4176" i="1"/>
  <c r="H4175" i="1"/>
  <c r="A4175" i="1"/>
  <c r="I4175" i="1" s="1"/>
  <c r="I4174" i="1"/>
  <c r="H4174" i="1"/>
  <c r="A4174" i="1"/>
  <c r="I4173" i="1"/>
  <c r="H4173" i="1"/>
  <c r="A4173" i="1"/>
  <c r="H4172" i="1"/>
  <c r="A4172" i="1"/>
  <c r="I4172" i="1" s="1"/>
  <c r="H4171" i="1"/>
  <c r="A4171" i="1"/>
  <c r="I4171" i="1" s="1"/>
  <c r="I4170" i="1"/>
  <c r="H4170" i="1"/>
  <c r="A4170" i="1"/>
  <c r="H4169" i="1"/>
  <c r="A4169" i="1"/>
  <c r="I4169" i="1" s="1"/>
  <c r="H4168" i="1"/>
  <c r="A4168" i="1"/>
  <c r="I4168" i="1" s="1"/>
  <c r="H4167" i="1"/>
  <c r="A4167" i="1"/>
  <c r="I4167" i="1" s="1"/>
  <c r="I4166" i="1"/>
  <c r="H4166" i="1"/>
  <c r="A4166" i="1"/>
  <c r="I4165" i="1"/>
  <c r="H4165" i="1"/>
  <c r="A4165" i="1"/>
  <c r="H4164" i="1"/>
  <c r="A4164" i="1"/>
  <c r="I4164" i="1" s="1"/>
  <c r="H4163" i="1"/>
  <c r="A4163" i="1"/>
  <c r="I4163" i="1" s="1"/>
  <c r="I4162" i="1"/>
  <c r="H4162" i="1"/>
  <c r="A4162" i="1"/>
  <c r="H4161" i="1"/>
  <c r="A4161" i="1"/>
  <c r="I4161" i="1" s="1"/>
  <c r="H4160" i="1"/>
  <c r="A4160" i="1"/>
  <c r="H4159" i="1"/>
  <c r="A4159" i="1"/>
  <c r="I4159" i="1" s="1"/>
  <c r="I4158" i="1"/>
  <c r="H4158" i="1"/>
  <c r="A4158" i="1"/>
  <c r="I4157" i="1"/>
  <c r="H4157" i="1"/>
  <c r="A4157" i="1"/>
  <c r="H4156" i="1"/>
  <c r="A4156" i="1"/>
  <c r="I4156" i="1" s="1"/>
  <c r="H4155" i="1"/>
  <c r="A4155" i="1"/>
  <c r="I4155" i="1" s="1"/>
  <c r="I4154" i="1"/>
  <c r="H4154" i="1"/>
  <c r="A4154" i="1"/>
  <c r="H4153" i="1"/>
  <c r="A4153" i="1"/>
  <c r="I4153" i="1" s="1"/>
  <c r="H4152" i="1"/>
  <c r="A4152" i="1"/>
  <c r="I4152" i="1" s="1"/>
  <c r="H4151" i="1"/>
  <c r="A4151" i="1"/>
  <c r="I4151" i="1" s="1"/>
  <c r="I4150" i="1"/>
  <c r="H4150" i="1"/>
  <c r="A4150" i="1"/>
  <c r="I4149" i="1"/>
  <c r="H4149" i="1"/>
  <c r="A4149" i="1"/>
  <c r="H4148" i="1"/>
  <c r="A4148" i="1"/>
  <c r="I4148" i="1" s="1"/>
  <c r="H4147" i="1"/>
  <c r="A4147" i="1"/>
  <c r="I4147" i="1" s="1"/>
  <c r="I4146" i="1"/>
  <c r="H4146" i="1"/>
  <c r="A4146" i="1"/>
  <c r="H4145" i="1"/>
  <c r="A4145" i="1"/>
  <c r="I4145" i="1" s="1"/>
  <c r="H4144" i="1"/>
  <c r="A4144" i="1"/>
  <c r="H4143" i="1"/>
  <c r="A4143" i="1"/>
  <c r="I4143" i="1" s="1"/>
  <c r="I4142" i="1"/>
  <c r="H4142" i="1"/>
  <c r="A4142" i="1"/>
  <c r="I4141" i="1"/>
  <c r="H4141" i="1"/>
  <c r="A4141" i="1"/>
  <c r="H4140" i="1"/>
  <c r="A4140" i="1"/>
  <c r="I4140" i="1" s="1"/>
  <c r="H4139" i="1"/>
  <c r="A4139" i="1"/>
  <c r="I4139" i="1" s="1"/>
  <c r="I4138" i="1"/>
  <c r="H4138" i="1"/>
  <c r="A4138" i="1"/>
  <c r="H4137" i="1"/>
  <c r="A4137" i="1"/>
  <c r="I4137" i="1" s="1"/>
  <c r="H4136" i="1"/>
  <c r="A4136" i="1"/>
  <c r="H4135" i="1"/>
  <c r="A4135" i="1"/>
  <c r="I4135" i="1" s="1"/>
  <c r="I4134" i="1"/>
  <c r="H4134" i="1"/>
  <c r="A4134" i="1"/>
  <c r="I4133" i="1"/>
  <c r="H4133" i="1"/>
  <c r="A4133" i="1"/>
  <c r="H4132" i="1"/>
  <c r="A4132" i="1"/>
  <c r="I4132" i="1" s="1"/>
  <c r="H4131" i="1"/>
  <c r="A4131" i="1"/>
  <c r="I4131" i="1" s="1"/>
  <c r="I4130" i="1"/>
  <c r="H4130" i="1"/>
  <c r="A4130" i="1"/>
  <c r="H4129" i="1"/>
  <c r="A4129" i="1"/>
  <c r="I4129" i="1" s="1"/>
  <c r="H4128" i="1"/>
  <c r="A4128" i="1"/>
  <c r="H4127" i="1"/>
  <c r="A4127" i="1"/>
  <c r="I4127" i="1" s="1"/>
  <c r="I4126" i="1"/>
  <c r="H4126" i="1"/>
  <c r="A4126" i="1"/>
  <c r="I4125" i="1"/>
  <c r="H4125" i="1"/>
  <c r="A4125" i="1"/>
  <c r="H4124" i="1"/>
  <c r="A4124" i="1"/>
  <c r="I4124" i="1" s="1"/>
  <c r="H4123" i="1"/>
  <c r="A4123" i="1"/>
  <c r="I4123" i="1" s="1"/>
  <c r="I4122" i="1"/>
  <c r="H4122" i="1"/>
  <c r="A4122" i="1"/>
  <c r="H4121" i="1"/>
  <c r="A4121" i="1"/>
  <c r="I4121" i="1" s="1"/>
  <c r="H4120" i="1"/>
  <c r="A4120" i="1"/>
  <c r="I4120" i="1" s="1"/>
  <c r="H4119" i="1"/>
  <c r="A4119" i="1"/>
  <c r="I4119" i="1" s="1"/>
  <c r="I4118" i="1"/>
  <c r="H4118" i="1"/>
  <c r="A4118" i="1"/>
  <c r="I4117" i="1"/>
  <c r="H4117" i="1"/>
  <c r="A4117" i="1"/>
  <c r="H4116" i="1"/>
  <c r="A4116" i="1"/>
  <c r="I4116" i="1" s="1"/>
  <c r="H4115" i="1"/>
  <c r="A4115" i="1"/>
  <c r="I4115" i="1" s="1"/>
  <c r="I4114" i="1"/>
  <c r="H4114" i="1"/>
  <c r="A4114" i="1"/>
  <c r="H4113" i="1"/>
  <c r="A4113" i="1"/>
  <c r="I4113" i="1" s="1"/>
  <c r="H4112" i="1"/>
  <c r="A4112" i="1"/>
  <c r="H4111" i="1"/>
  <c r="A4111" i="1"/>
  <c r="I4111" i="1" s="1"/>
  <c r="I4110" i="1"/>
  <c r="H4110" i="1"/>
  <c r="A4110" i="1"/>
  <c r="I4109" i="1"/>
  <c r="H4109" i="1"/>
  <c r="A4109" i="1"/>
  <c r="H4108" i="1"/>
  <c r="A4108" i="1"/>
  <c r="I4108" i="1" s="1"/>
  <c r="H4107" i="1"/>
  <c r="A4107" i="1"/>
  <c r="I4107" i="1" s="1"/>
  <c r="I4106" i="1"/>
  <c r="H4106" i="1"/>
  <c r="A4106" i="1"/>
  <c r="H4105" i="1"/>
  <c r="A4105" i="1"/>
  <c r="I4105" i="1" s="1"/>
  <c r="H4104" i="1"/>
  <c r="A4104" i="1"/>
  <c r="I4104" i="1" s="1"/>
  <c r="H4103" i="1"/>
  <c r="A4103" i="1"/>
  <c r="I4103" i="1" s="1"/>
  <c r="I4102" i="1"/>
  <c r="H4102" i="1"/>
  <c r="A4102" i="1"/>
  <c r="I4101" i="1"/>
  <c r="H4101" i="1"/>
  <c r="A4101" i="1"/>
  <c r="H4100" i="1"/>
  <c r="A4100" i="1"/>
  <c r="I4100" i="1" s="1"/>
  <c r="H4099" i="1"/>
  <c r="A4099" i="1"/>
  <c r="I4099" i="1" s="1"/>
  <c r="I4098" i="1"/>
  <c r="H4098" i="1"/>
  <c r="A4098" i="1"/>
  <c r="H4097" i="1"/>
  <c r="A4097" i="1"/>
  <c r="I4097" i="1" s="1"/>
  <c r="H4096" i="1"/>
  <c r="A4096" i="1"/>
  <c r="H4095" i="1"/>
  <c r="A4095" i="1"/>
  <c r="I4095" i="1" s="1"/>
  <c r="I4094" i="1"/>
  <c r="H4094" i="1"/>
  <c r="A4094" i="1"/>
  <c r="I4093" i="1"/>
  <c r="H4093" i="1"/>
  <c r="A4093" i="1"/>
  <c r="H4092" i="1"/>
  <c r="A4092" i="1"/>
  <c r="I4092" i="1" s="1"/>
  <c r="H4091" i="1"/>
  <c r="A4091" i="1"/>
  <c r="I4091" i="1" s="1"/>
  <c r="I4090" i="1"/>
  <c r="H4090" i="1"/>
  <c r="A4090" i="1"/>
  <c r="H4089" i="1"/>
  <c r="A4089" i="1"/>
  <c r="I4089" i="1" s="1"/>
  <c r="H4088" i="1"/>
  <c r="A4088" i="1"/>
  <c r="I4088" i="1" s="1"/>
  <c r="H4087" i="1"/>
  <c r="A4087" i="1"/>
  <c r="I4087" i="1" s="1"/>
  <c r="I4086" i="1"/>
  <c r="H4086" i="1"/>
  <c r="A4086" i="1"/>
  <c r="I4085" i="1"/>
  <c r="H4085" i="1"/>
  <c r="A4085" i="1"/>
  <c r="H4084" i="1"/>
  <c r="A4084" i="1"/>
  <c r="I4084" i="1" s="1"/>
  <c r="H4083" i="1"/>
  <c r="A4083" i="1"/>
  <c r="I4083" i="1" s="1"/>
  <c r="I4082" i="1"/>
  <c r="H4082" i="1"/>
  <c r="A4082" i="1"/>
  <c r="H4081" i="1"/>
  <c r="A4081" i="1"/>
  <c r="I4081" i="1" s="1"/>
  <c r="H4080" i="1"/>
  <c r="A4080" i="1"/>
  <c r="H4079" i="1"/>
  <c r="A4079" i="1"/>
  <c r="I4079" i="1" s="1"/>
  <c r="I4078" i="1"/>
  <c r="H4078" i="1"/>
  <c r="A4078" i="1"/>
  <c r="I4077" i="1"/>
  <c r="H4077" i="1"/>
  <c r="A4077" i="1"/>
  <c r="H4076" i="1"/>
  <c r="A4076" i="1"/>
  <c r="I4076" i="1" s="1"/>
  <c r="H4075" i="1"/>
  <c r="A4075" i="1"/>
  <c r="I4075" i="1" s="1"/>
  <c r="I4074" i="1"/>
  <c r="H4074" i="1"/>
  <c r="A4074" i="1"/>
  <c r="H4073" i="1"/>
  <c r="A4073" i="1"/>
  <c r="I4073" i="1" s="1"/>
  <c r="H4072" i="1"/>
  <c r="A4072" i="1"/>
  <c r="H4071" i="1"/>
  <c r="A4071" i="1"/>
  <c r="I4071" i="1" s="1"/>
  <c r="I4070" i="1"/>
  <c r="H4070" i="1"/>
  <c r="A4070" i="1"/>
  <c r="I4069" i="1"/>
  <c r="H4069" i="1"/>
  <c r="A4069" i="1"/>
  <c r="H4068" i="1"/>
  <c r="A4068" i="1"/>
  <c r="I4068" i="1" s="1"/>
  <c r="H4067" i="1"/>
  <c r="A4067" i="1"/>
  <c r="I4067" i="1" s="1"/>
  <c r="I4066" i="1"/>
  <c r="H4066" i="1"/>
  <c r="A4066" i="1"/>
  <c r="H4065" i="1"/>
  <c r="A4065" i="1"/>
  <c r="I4065" i="1" s="1"/>
  <c r="H4064" i="1"/>
  <c r="A4064" i="1"/>
  <c r="H4063" i="1"/>
  <c r="A4063" i="1"/>
  <c r="I4063" i="1" s="1"/>
  <c r="I4062" i="1"/>
  <c r="H4062" i="1"/>
  <c r="A4062" i="1"/>
  <c r="I4061" i="1"/>
  <c r="H4061" i="1"/>
  <c r="A4061" i="1"/>
  <c r="H4060" i="1"/>
  <c r="A4060" i="1"/>
  <c r="I4060" i="1" s="1"/>
  <c r="H4059" i="1"/>
  <c r="A4059" i="1"/>
  <c r="I4059" i="1" s="1"/>
  <c r="I4058" i="1"/>
  <c r="H4058" i="1"/>
  <c r="A4058" i="1"/>
  <c r="H4057" i="1"/>
  <c r="A4057" i="1"/>
  <c r="I4057" i="1" s="1"/>
  <c r="H4056" i="1"/>
  <c r="A4056" i="1"/>
  <c r="I4056" i="1" s="1"/>
  <c r="H4055" i="1"/>
  <c r="A4055" i="1"/>
  <c r="I4055" i="1" s="1"/>
  <c r="I4054" i="1"/>
  <c r="H4054" i="1"/>
  <c r="A4054" i="1"/>
  <c r="I4053" i="1"/>
  <c r="H4053" i="1"/>
  <c r="A4053" i="1"/>
  <c r="H4052" i="1"/>
  <c r="A4052" i="1"/>
  <c r="I4052" i="1" s="1"/>
  <c r="H4051" i="1"/>
  <c r="A4051" i="1"/>
  <c r="I4051" i="1" s="1"/>
  <c r="I4050" i="1"/>
  <c r="H4050" i="1"/>
  <c r="A4050" i="1"/>
  <c r="H4049" i="1"/>
  <c r="A4049" i="1"/>
  <c r="I4049" i="1" s="1"/>
  <c r="H4048" i="1"/>
  <c r="A4048" i="1"/>
  <c r="H4047" i="1"/>
  <c r="A4047" i="1"/>
  <c r="I4047" i="1" s="1"/>
  <c r="I4046" i="1"/>
  <c r="H4046" i="1"/>
  <c r="A4046" i="1"/>
  <c r="I4045" i="1"/>
  <c r="H4045" i="1"/>
  <c r="A4045" i="1"/>
  <c r="H4044" i="1"/>
  <c r="A4044" i="1"/>
  <c r="I4044" i="1" s="1"/>
  <c r="H4043" i="1"/>
  <c r="A4043" i="1"/>
  <c r="I4043" i="1" s="1"/>
  <c r="I4042" i="1"/>
  <c r="H4042" i="1"/>
  <c r="A4042" i="1"/>
  <c r="H4041" i="1"/>
  <c r="A4041" i="1"/>
  <c r="I4041" i="1" s="1"/>
  <c r="H4040" i="1"/>
  <c r="A4040" i="1"/>
  <c r="I4040" i="1" s="1"/>
  <c r="H4039" i="1"/>
  <c r="A4039" i="1"/>
  <c r="I4039" i="1" s="1"/>
  <c r="I4038" i="1"/>
  <c r="H4038" i="1"/>
  <c r="A4038" i="1"/>
  <c r="I4037" i="1"/>
  <c r="H4037" i="1"/>
  <c r="A4037" i="1"/>
  <c r="H4036" i="1"/>
  <c r="A4036" i="1"/>
  <c r="I4036" i="1" s="1"/>
  <c r="H4035" i="1"/>
  <c r="A4035" i="1"/>
  <c r="I4035" i="1" s="1"/>
  <c r="I4034" i="1"/>
  <c r="H4034" i="1"/>
  <c r="A4034" i="1"/>
  <c r="H4033" i="1"/>
  <c r="A4033" i="1"/>
  <c r="I4033" i="1" s="1"/>
  <c r="H4032" i="1"/>
  <c r="A4032" i="1"/>
  <c r="H4031" i="1"/>
  <c r="A4031" i="1"/>
  <c r="I4031" i="1" s="1"/>
  <c r="I4030" i="1"/>
  <c r="H4030" i="1"/>
  <c r="A4030" i="1"/>
  <c r="I4029" i="1"/>
  <c r="H4029" i="1"/>
  <c r="A4029" i="1"/>
  <c r="H4028" i="1"/>
  <c r="A4028" i="1"/>
  <c r="I4028" i="1" s="1"/>
  <c r="H4027" i="1"/>
  <c r="A4027" i="1"/>
  <c r="I4027" i="1" s="1"/>
  <c r="I4026" i="1"/>
  <c r="H4026" i="1"/>
  <c r="A4026" i="1"/>
  <c r="H4025" i="1"/>
  <c r="A4025" i="1"/>
  <c r="I4025" i="1" s="1"/>
  <c r="H4024" i="1"/>
  <c r="A4024" i="1"/>
  <c r="I4024" i="1" s="1"/>
  <c r="H4023" i="1"/>
  <c r="A4023" i="1"/>
  <c r="I4023" i="1" s="1"/>
  <c r="I4022" i="1"/>
  <c r="H4022" i="1"/>
  <c r="A4022" i="1"/>
  <c r="I4021" i="1"/>
  <c r="H4021" i="1"/>
  <c r="A4021" i="1"/>
  <c r="H4020" i="1"/>
  <c r="A4020" i="1"/>
  <c r="I4020" i="1" s="1"/>
  <c r="H4019" i="1"/>
  <c r="A4019" i="1"/>
  <c r="I4019" i="1" s="1"/>
  <c r="I4018" i="1"/>
  <c r="H4018" i="1"/>
  <c r="A4018" i="1"/>
  <c r="H4017" i="1"/>
  <c r="A4017" i="1"/>
  <c r="I4017" i="1" s="1"/>
  <c r="H4016" i="1"/>
  <c r="A4016" i="1"/>
  <c r="H4015" i="1"/>
  <c r="A4015" i="1"/>
  <c r="I4015" i="1" s="1"/>
  <c r="I4014" i="1"/>
  <c r="H4014" i="1"/>
  <c r="A4014" i="1"/>
  <c r="I4013" i="1"/>
  <c r="H4013" i="1"/>
  <c r="A4013" i="1"/>
  <c r="H4012" i="1"/>
  <c r="A4012" i="1"/>
  <c r="I4012" i="1" s="1"/>
  <c r="H4011" i="1"/>
  <c r="A4011" i="1"/>
  <c r="I4011" i="1" s="1"/>
  <c r="I4010" i="1"/>
  <c r="H4010" i="1"/>
  <c r="A4010" i="1"/>
  <c r="H4009" i="1"/>
  <c r="A4009" i="1"/>
  <c r="I4009" i="1" s="1"/>
  <c r="H4008" i="1"/>
  <c r="A4008" i="1"/>
  <c r="H4007" i="1"/>
  <c r="A4007" i="1"/>
  <c r="I4007" i="1" s="1"/>
  <c r="I4006" i="1"/>
  <c r="H4006" i="1"/>
  <c r="A4006" i="1"/>
  <c r="I4005" i="1"/>
  <c r="H4005" i="1"/>
  <c r="A4005" i="1"/>
  <c r="H4004" i="1"/>
  <c r="A4004" i="1"/>
  <c r="I4004" i="1" s="1"/>
  <c r="H4003" i="1"/>
  <c r="A4003" i="1"/>
  <c r="I4003" i="1" s="1"/>
  <c r="I4002" i="1"/>
  <c r="H4002" i="1"/>
  <c r="A4002" i="1"/>
  <c r="H4001" i="1"/>
  <c r="A4001" i="1"/>
  <c r="I4001" i="1" s="1"/>
  <c r="H4000" i="1"/>
  <c r="A4000" i="1"/>
  <c r="H3999" i="1"/>
  <c r="A3999" i="1"/>
  <c r="I3999" i="1" s="1"/>
  <c r="I3998" i="1"/>
  <c r="H3998" i="1"/>
  <c r="A3998" i="1"/>
  <c r="I3997" i="1"/>
  <c r="H3997" i="1"/>
  <c r="A3997" i="1"/>
  <c r="H3996" i="1"/>
  <c r="A3996" i="1"/>
  <c r="I3996" i="1" s="1"/>
  <c r="H3995" i="1"/>
  <c r="A3995" i="1"/>
  <c r="I3995" i="1" s="1"/>
  <c r="I3994" i="1"/>
  <c r="H3994" i="1"/>
  <c r="A3994" i="1"/>
  <c r="H3993" i="1"/>
  <c r="A3993" i="1"/>
  <c r="I3993" i="1" s="1"/>
  <c r="H3992" i="1"/>
  <c r="A3992" i="1"/>
  <c r="I3992" i="1" s="1"/>
  <c r="H3991" i="1"/>
  <c r="A3991" i="1"/>
  <c r="I3991" i="1" s="1"/>
  <c r="I3990" i="1"/>
  <c r="H3990" i="1"/>
  <c r="A3990" i="1"/>
  <c r="I3989" i="1"/>
  <c r="H3989" i="1"/>
  <c r="A3989" i="1"/>
  <c r="H3988" i="1"/>
  <c r="A3988" i="1"/>
  <c r="I3988" i="1" s="1"/>
  <c r="H3987" i="1"/>
  <c r="A3987" i="1"/>
  <c r="I3987" i="1" s="1"/>
  <c r="I3986" i="1"/>
  <c r="H3986" i="1"/>
  <c r="A3986" i="1"/>
  <c r="H3985" i="1"/>
  <c r="A3985" i="1"/>
  <c r="I3985" i="1" s="1"/>
  <c r="H3984" i="1"/>
  <c r="A3984" i="1"/>
  <c r="H3983" i="1"/>
  <c r="A3983" i="1"/>
  <c r="I3983" i="1" s="1"/>
  <c r="I3982" i="1"/>
  <c r="H3982" i="1"/>
  <c r="A3982" i="1"/>
  <c r="I3981" i="1"/>
  <c r="H3981" i="1"/>
  <c r="A3981" i="1"/>
  <c r="H3980" i="1"/>
  <c r="A3980" i="1"/>
  <c r="I3980" i="1" s="1"/>
  <c r="H3979" i="1"/>
  <c r="A3979" i="1"/>
  <c r="I3979" i="1" s="1"/>
  <c r="I3978" i="1"/>
  <c r="H3978" i="1"/>
  <c r="A3978" i="1"/>
  <c r="H3977" i="1"/>
  <c r="A3977" i="1"/>
  <c r="I3977" i="1" s="1"/>
  <c r="H3976" i="1"/>
  <c r="A3976" i="1"/>
  <c r="I3976" i="1" s="1"/>
  <c r="H3975" i="1"/>
  <c r="A3975" i="1"/>
  <c r="I3975" i="1" s="1"/>
  <c r="I3974" i="1"/>
  <c r="H3974" i="1"/>
  <c r="A3974" i="1"/>
  <c r="I3973" i="1"/>
  <c r="H3973" i="1"/>
  <c r="A3973" i="1"/>
  <c r="H3972" i="1"/>
  <c r="A3972" i="1"/>
  <c r="I3972" i="1" s="1"/>
  <c r="H3971" i="1"/>
  <c r="A3971" i="1"/>
  <c r="I3971" i="1" s="1"/>
  <c r="I3970" i="1"/>
  <c r="H3970" i="1"/>
  <c r="A3970" i="1"/>
  <c r="H3969" i="1"/>
  <c r="A3969" i="1"/>
  <c r="I3969" i="1" s="1"/>
  <c r="H3968" i="1"/>
  <c r="A3968" i="1"/>
  <c r="H3967" i="1"/>
  <c r="A3967" i="1"/>
  <c r="I3967" i="1" s="1"/>
  <c r="I3966" i="1"/>
  <c r="H3966" i="1"/>
  <c r="A3966" i="1"/>
  <c r="I3965" i="1"/>
  <c r="H3965" i="1"/>
  <c r="A3965" i="1"/>
  <c r="H3964" i="1"/>
  <c r="A3964" i="1"/>
  <c r="I3964" i="1" s="1"/>
  <c r="H3963" i="1"/>
  <c r="A3963" i="1"/>
  <c r="I3963" i="1" s="1"/>
  <c r="I3962" i="1"/>
  <c r="H3962" i="1"/>
  <c r="A3962" i="1"/>
  <c r="H3961" i="1"/>
  <c r="A3961" i="1"/>
  <c r="I3961" i="1" s="1"/>
  <c r="H3960" i="1"/>
  <c r="A3960" i="1"/>
  <c r="I3960" i="1" s="1"/>
  <c r="H3959" i="1"/>
  <c r="A3959" i="1"/>
  <c r="I3959" i="1" s="1"/>
  <c r="I3958" i="1"/>
  <c r="H3958" i="1"/>
  <c r="A3958" i="1"/>
  <c r="I3957" i="1"/>
  <c r="H3957" i="1"/>
  <c r="A3957" i="1"/>
  <c r="H3956" i="1"/>
  <c r="A3956" i="1"/>
  <c r="I3956" i="1" s="1"/>
  <c r="H3955" i="1"/>
  <c r="A3955" i="1"/>
  <c r="I3955" i="1" s="1"/>
  <c r="I3954" i="1"/>
  <c r="H3954" i="1"/>
  <c r="A3954" i="1"/>
  <c r="H3953" i="1"/>
  <c r="A3953" i="1"/>
  <c r="H3952" i="1"/>
  <c r="A3952" i="1"/>
  <c r="H3951" i="1"/>
  <c r="A3951" i="1"/>
  <c r="I3951" i="1" s="1"/>
  <c r="I3950" i="1"/>
  <c r="H3950" i="1"/>
  <c r="A3950" i="1"/>
  <c r="I3949" i="1"/>
  <c r="H3949" i="1"/>
  <c r="A3949" i="1"/>
  <c r="H3948" i="1"/>
  <c r="A3948" i="1"/>
  <c r="I3948" i="1" s="1"/>
  <c r="H3947" i="1"/>
  <c r="A3947" i="1"/>
  <c r="I3947" i="1" s="1"/>
  <c r="I3946" i="1"/>
  <c r="H3946" i="1"/>
  <c r="A3946" i="1"/>
  <c r="H3945" i="1"/>
  <c r="A3945" i="1"/>
  <c r="I3945" i="1" s="1"/>
  <c r="H3944" i="1"/>
  <c r="A3944" i="1"/>
  <c r="H3943" i="1"/>
  <c r="A3943" i="1"/>
  <c r="I3943" i="1" s="1"/>
  <c r="I3942" i="1"/>
  <c r="H3942" i="1"/>
  <c r="A3942" i="1"/>
  <c r="I3941" i="1"/>
  <c r="H3941" i="1"/>
  <c r="A3941" i="1"/>
  <c r="H3940" i="1"/>
  <c r="A3940" i="1"/>
  <c r="I3940" i="1" s="1"/>
  <c r="H3939" i="1"/>
  <c r="A3939" i="1"/>
  <c r="I3939" i="1" s="1"/>
  <c r="I3938" i="1"/>
  <c r="H3938" i="1"/>
  <c r="A3938" i="1"/>
  <c r="H3937" i="1"/>
  <c r="A3937" i="1"/>
  <c r="H3936" i="1"/>
  <c r="A3936" i="1"/>
  <c r="H3935" i="1"/>
  <c r="A3935" i="1"/>
  <c r="I3935" i="1" s="1"/>
  <c r="I3934" i="1"/>
  <c r="H3934" i="1"/>
  <c r="A3934" i="1"/>
  <c r="I3933" i="1"/>
  <c r="H3933" i="1"/>
  <c r="A3933" i="1"/>
  <c r="H3932" i="1"/>
  <c r="A3932" i="1"/>
  <c r="I3932" i="1" s="1"/>
  <c r="H3931" i="1"/>
  <c r="A3931" i="1"/>
  <c r="I3931" i="1" s="1"/>
  <c r="I3930" i="1"/>
  <c r="H3930" i="1"/>
  <c r="A3930" i="1"/>
  <c r="H3929" i="1"/>
  <c r="A3929" i="1"/>
  <c r="I3929" i="1" s="1"/>
  <c r="H3928" i="1"/>
  <c r="A3928" i="1"/>
  <c r="I3928" i="1" s="1"/>
  <c r="H3927" i="1"/>
  <c r="A3927" i="1"/>
  <c r="I3927" i="1" s="1"/>
  <c r="I3926" i="1"/>
  <c r="H3926" i="1"/>
  <c r="A3926" i="1"/>
  <c r="I3925" i="1"/>
  <c r="H3925" i="1"/>
  <c r="A3925" i="1"/>
  <c r="H3924" i="1"/>
  <c r="A3924" i="1"/>
  <c r="I3924" i="1" s="1"/>
  <c r="H3923" i="1"/>
  <c r="A3923" i="1"/>
  <c r="I3923" i="1" s="1"/>
  <c r="I3922" i="1"/>
  <c r="H3922" i="1"/>
  <c r="A3922" i="1"/>
  <c r="H3921" i="1"/>
  <c r="A3921" i="1"/>
  <c r="H3920" i="1"/>
  <c r="A3920" i="1"/>
  <c r="H3919" i="1"/>
  <c r="A3919" i="1"/>
  <c r="I3919" i="1" s="1"/>
  <c r="I3918" i="1"/>
  <c r="H3918" i="1"/>
  <c r="A3918" i="1"/>
  <c r="I3917" i="1"/>
  <c r="H3917" i="1"/>
  <c r="A3917" i="1"/>
  <c r="H3916" i="1"/>
  <c r="A3916" i="1"/>
  <c r="I3916" i="1" s="1"/>
  <c r="H3915" i="1"/>
  <c r="A3915" i="1"/>
  <c r="I3915" i="1" s="1"/>
  <c r="I3914" i="1"/>
  <c r="H3914" i="1"/>
  <c r="A3914" i="1"/>
  <c r="H3913" i="1"/>
  <c r="A3913" i="1"/>
  <c r="I3913" i="1" s="1"/>
  <c r="H3912" i="1"/>
  <c r="A3912" i="1"/>
  <c r="I3912" i="1" s="1"/>
  <c r="H3911" i="1"/>
  <c r="A3911" i="1"/>
  <c r="I3911" i="1" s="1"/>
  <c r="I3910" i="1"/>
  <c r="H3910" i="1"/>
  <c r="A3910" i="1"/>
  <c r="I3909" i="1"/>
  <c r="H3909" i="1"/>
  <c r="A3909" i="1"/>
  <c r="H3908" i="1"/>
  <c r="A3908" i="1"/>
  <c r="I3908" i="1" s="1"/>
  <c r="H3907" i="1"/>
  <c r="A3907" i="1"/>
  <c r="I3907" i="1" s="1"/>
  <c r="I3906" i="1"/>
  <c r="H3906" i="1"/>
  <c r="A3906" i="1"/>
  <c r="H3905" i="1"/>
  <c r="A3905" i="1"/>
  <c r="H3904" i="1"/>
  <c r="A3904" i="1"/>
  <c r="H3903" i="1"/>
  <c r="A3903" i="1"/>
  <c r="I3903" i="1" s="1"/>
  <c r="I3902" i="1"/>
  <c r="H3902" i="1"/>
  <c r="A3902" i="1"/>
  <c r="I3901" i="1"/>
  <c r="H3901" i="1"/>
  <c r="A3901" i="1"/>
  <c r="H3900" i="1"/>
  <c r="A3900" i="1"/>
  <c r="I3900" i="1" s="1"/>
  <c r="H3899" i="1"/>
  <c r="A3899" i="1"/>
  <c r="I3899" i="1" s="1"/>
  <c r="I3898" i="1"/>
  <c r="H3898" i="1"/>
  <c r="A3898" i="1"/>
  <c r="H3897" i="1"/>
  <c r="A3897" i="1"/>
  <c r="H3896" i="1"/>
  <c r="A3896" i="1"/>
  <c r="I3896" i="1" s="1"/>
  <c r="H3895" i="1"/>
  <c r="A3895" i="1"/>
  <c r="I3895" i="1" s="1"/>
  <c r="I3894" i="1"/>
  <c r="H3894" i="1"/>
  <c r="A3894" i="1"/>
  <c r="I3893" i="1"/>
  <c r="H3893" i="1"/>
  <c r="A3893" i="1"/>
  <c r="H3892" i="1"/>
  <c r="A3892" i="1"/>
  <c r="I3892" i="1" s="1"/>
  <c r="H3891" i="1"/>
  <c r="A3891" i="1"/>
  <c r="I3891" i="1" s="1"/>
  <c r="I3890" i="1"/>
  <c r="H3890" i="1"/>
  <c r="A3890" i="1"/>
  <c r="H3889" i="1"/>
  <c r="A3889" i="1"/>
  <c r="H3888" i="1"/>
  <c r="A3888" i="1"/>
  <c r="H3887" i="1"/>
  <c r="A3887" i="1"/>
  <c r="I3887" i="1" s="1"/>
  <c r="I3886" i="1"/>
  <c r="H3886" i="1"/>
  <c r="A3886" i="1"/>
  <c r="I3885" i="1"/>
  <c r="H3885" i="1"/>
  <c r="A3885" i="1"/>
  <c r="H3884" i="1"/>
  <c r="A3884" i="1"/>
  <c r="I3884" i="1" s="1"/>
  <c r="H3883" i="1"/>
  <c r="A3883" i="1"/>
  <c r="I3883" i="1" s="1"/>
  <c r="I3882" i="1"/>
  <c r="H3882" i="1"/>
  <c r="A3882" i="1"/>
  <c r="H3881" i="1"/>
  <c r="A3881" i="1"/>
  <c r="I3881" i="1" s="1"/>
  <c r="H3880" i="1"/>
  <c r="A3880" i="1"/>
  <c r="H3879" i="1"/>
  <c r="A3879" i="1"/>
  <c r="I3879" i="1" s="1"/>
  <c r="I3878" i="1"/>
  <c r="H3878" i="1"/>
  <c r="A3878" i="1"/>
  <c r="I3877" i="1"/>
  <c r="H3877" i="1"/>
  <c r="A3877" i="1"/>
  <c r="H3876" i="1"/>
  <c r="A3876" i="1"/>
  <c r="I3876" i="1" s="1"/>
  <c r="H3875" i="1"/>
  <c r="A3875" i="1"/>
  <c r="I3875" i="1" s="1"/>
  <c r="I3874" i="1"/>
  <c r="H3874" i="1"/>
  <c r="A3874" i="1"/>
  <c r="H3873" i="1"/>
  <c r="A3873" i="1"/>
  <c r="H3872" i="1"/>
  <c r="A3872" i="1"/>
  <c r="H3871" i="1"/>
  <c r="A3871" i="1"/>
  <c r="I3871" i="1" s="1"/>
  <c r="I3870" i="1"/>
  <c r="H3870" i="1"/>
  <c r="A3870" i="1"/>
  <c r="H3869" i="1"/>
  <c r="I3869" i="1" s="1"/>
  <c r="A3869" i="1"/>
  <c r="H3868" i="1"/>
  <c r="A3868" i="1"/>
  <c r="I3868" i="1" s="1"/>
  <c r="H3867" i="1"/>
  <c r="A3867" i="1"/>
  <c r="I3867" i="1" s="1"/>
  <c r="I3866" i="1"/>
  <c r="H3866" i="1"/>
  <c r="A3866" i="1"/>
  <c r="H3865" i="1"/>
  <c r="A3865" i="1"/>
  <c r="I3865" i="1" s="1"/>
  <c r="H3864" i="1"/>
  <c r="A3864" i="1"/>
  <c r="I3864" i="1" s="1"/>
  <c r="H3863" i="1"/>
  <c r="A3863" i="1"/>
  <c r="I3863" i="1" s="1"/>
  <c r="I3862" i="1"/>
  <c r="H3862" i="1"/>
  <c r="A3862" i="1"/>
  <c r="I3861" i="1"/>
  <c r="H3861" i="1"/>
  <c r="A3861" i="1"/>
  <c r="H3860" i="1"/>
  <c r="A3860" i="1"/>
  <c r="I3860" i="1" s="1"/>
  <c r="H3859" i="1"/>
  <c r="A3859" i="1"/>
  <c r="I3859" i="1" s="1"/>
  <c r="I3858" i="1"/>
  <c r="H3858" i="1"/>
  <c r="A3858" i="1"/>
  <c r="H3857" i="1"/>
  <c r="A3857" i="1"/>
  <c r="H3856" i="1"/>
  <c r="A3856" i="1"/>
  <c r="H3855" i="1"/>
  <c r="A3855" i="1"/>
  <c r="I3855" i="1" s="1"/>
  <c r="I3854" i="1"/>
  <c r="H3854" i="1"/>
  <c r="A3854" i="1"/>
  <c r="I3853" i="1"/>
  <c r="H3853" i="1"/>
  <c r="A3853" i="1"/>
  <c r="H3852" i="1"/>
  <c r="A3852" i="1"/>
  <c r="I3852" i="1" s="1"/>
  <c r="H3851" i="1"/>
  <c r="A3851" i="1"/>
  <c r="I3851" i="1" s="1"/>
  <c r="I3850" i="1"/>
  <c r="H3850" i="1"/>
  <c r="A3850" i="1"/>
  <c r="H3849" i="1"/>
  <c r="A3849" i="1"/>
  <c r="I3849" i="1" s="1"/>
  <c r="H3848" i="1"/>
  <c r="A3848" i="1"/>
  <c r="I3848" i="1" s="1"/>
  <c r="H3847" i="1"/>
  <c r="A3847" i="1"/>
  <c r="I3847" i="1" s="1"/>
  <c r="I3846" i="1"/>
  <c r="H3846" i="1"/>
  <c r="A3846" i="1"/>
  <c r="I3845" i="1"/>
  <c r="H3845" i="1"/>
  <c r="A3845" i="1"/>
  <c r="H3844" i="1"/>
  <c r="A3844" i="1"/>
  <c r="I3844" i="1" s="1"/>
  <c r="H3843" i="1"/>
  <c r="A3843" i="1"/>
  <c r="I3843" i="1" s="1"/>
  <c r="I3842" i="1"/>
  <c r="H3842" i="1"/>
  <c r="A3842" i="1"/>
  <c r="H3841" i="1"/>
  <c r="A3841" i="1"/>
  <c r="H3840" i="1"/>
  <c r="A3840" i="1"/>
  <c r="H3839" i="1"/>
  <c r="A3839" i="1"/>
  <c r="I3839" i="1" s="1"/>
  <c r="I3838" i="1"/>
  <c r="H3838" i="1"/>
  <c r="A3838" i="1"/>
  <c r="H3837" i="1"/>
  <c r="I3837" i="1" s="1"/>
  <c r="A3837" i="1"/>
  <c r="H3836" i="1"/>
  <c r="A3836" i="1"/>
  <c r="I3836" i="1" s="1"/>
  <c r="H3835" i="1"/>
  <c r="A3835" i="1"/>
  <c r="I3835" i="1" s="1"/>
  <c r="I3834" i="1"/>
  <c r="H3834" i="1"/>
  <c r="A3834" i="1"/>
  <c r="H3833" i="1"/>
  <c r="A3833" i="1"/>
  <c r="H3832" i="1"/>
  <c r="A3832" i="1"/>
  <c r="I3832" i="1" s="1"/>
  <c r="H3831" i="1"/>
  <c r="A3831" i="1"/>
  <c r="I3831" i="1" s="1"/>
  <c r="I3830" i="1"/>
  <c r="H3830" i="1"/>
  <c r="A3830" i="1"/>
  <c r="I3829" i="1"/>
  <c r="H3829" i="1"/>
  <c r="A3829" i="1"/>
  <c r="H3828" i="1"/>
  <c r="A3828" i="1"/>
  <c r="I3828" i="1" s="1"/>
  <c r="H3827" i="1"/>
  <c r="A3827" i="1"/>
  <c r="I3827" i="1" s="1"/>
  <c r="I3826" i="1"/>
  <c r="H3826" i="1"/>
  <c r="A3826" i="1"/>
  <c r="H3825" i="1"/>
  <c r="A3825" i="1"/>
  <c r="H3824" i="1"/>
  <c r="A3824" i="1"/>
  <c r="H3823" i="1"/>
  <c r="A3823" i="1"/>
  <c r="I3823" i="1" s="1"/>
  <c r="I3822" i="1"/>
  <c r="H3822" i="1"/>
  <c r="A3822" i="1"/>
  <c r="H3821" i="1"/>
  <c r="I3821" i="1" s="1"/>
  <c r="A3821" i="1"/>
  <c r="H3820" i="1"/>
  <c r="A3820" i="1"/>
  <c r="I3820" i="1" s="1"/>
  <c r="H3819" i="1"/>
  <c r="A3819" i="1"/>
  <c r="I3819" i="1" s="1"/>
  <c r="I3818" i="1"/>
  <c r="H3818" i="1"/>
  <c r="A3818" i="1"/>
  <c r="H3817" i="1"/>
  <c r="A3817" i="1"/>
  <c r="I3817" i="1" s="1"/>
  <c r="H3816" i="1"/>
  <c r="A3816" i="1"/>
  <c r="H3815" i="1"/>
  <c r="A3815" i="1"/>
  <c r="I3815" i="1" s="1"/>
  <c r="I3814" i="1"/>
  <c r="H3814" i="1"/>
  <c r="A3814" i="1"/>
  <c r="I3813" i="1"/>
  <c r="H3813" i="1"/>
  <c r="A3813" i="1"/>
  <c r="H3812" i="1"/>
  <c r="A3812" i="1"/>
  <c r="I3812" i="1" s="1"/>
  <c r="H3811" i="1"/>
  <c r="A3811" i="1"/>
  <c r="I3811" i="1" s="1"/>
  <c r="I3810" i="1"/>
  <c r="H3810" i="1"/>
  <c r="A3810" i="1"/>
  <c r="H3809" i="1"/>
  <c r="A3809" i="1"/>
  <c r="H3808" i="1"/>
  <c r="A3808" i="1"/>
  <c r="H3807" i="1"/>
  <c r="A3807" i="1"/>
  <c r="I3807" i="1" s="1"/>
  <c r="I3806" i="1"/>
  <c r="H3806" i="1"/>
  <c r="A3806" i="1"/>
  <c r="H3805" i="1"/>
  <c r="I3805" i="1" s="1"/>
  <c r="A3805" i="1"/>
  <c r="H3804" i="1"/>
  <c r="A3804" i="1"/>
  <c r="I3804" i="1" s="1"/>
  <c r="H3803" i="1"/>
  <c r="A3803" i="1"/>
  <c r="I3803" i="1" s="1"/>
  <c r="I3802" i="1"/>
  <c r="H3802" i="1"/>
  <c r="A3802" i="1"/>
  <c r="H3801" i="1"/>
  <c r="A3801" i="1"/>
  <c r="I3801" i="1" s="1"/>
  <c r="H3800" i="1"/>
  <c r="A3800" i="1"/>
  <c r="I3800" i="1" s="1"/>
  <c r="H3799" i="1"/>
  <c r="A3799" i="1"/>
  <c r="I3799" i="1" s="1"/>
  <c r="I3798" i="1"/>
  <c r="H3798" i="1"/>
  <c r="A3798" i="1"/>
  <c r="I3797" i="1"/>
  <c r="H3797" i="1"/>
  <c r="A3797" i="1"/>
  <c r="H3796" i="1"/>
  <c r="A3796" i="1"/>
  <c r="I3796" i="1" s="1"/>
  <c r="H3795" i="1"/>
  <c r="A3795" i="1"/>
  <c r="I3795" i="1" s="1"/>
  <c r="I3794" i="1"/>
  <c r="H3794" i="1"/>
  <c r="A3794" i="1"/>
  <c r="H3793" i="1"/>
  <c r="A3793" i="1"/>
  <c r="H3792" i="1"/>
  <c r="A3792" i="1"/>
  <c r="H3791" i="1"/>
  <c r="A3791" i="1"/>
  <c r="I3791" i="1" s="1"/>
  <c r="I3790" i="1"/>
  <c r="H3790" i="1"/>
  <c r="A3790" i="1"/>
  <c r="I3789" i="1"/>
  <c r="H3789" i="1"/>
  <c r="A3789" i="1"/>
  <c r="H3788" i="1"/>
  <c r="A3788" i="1"/>
  <c r="I3788" i="1" s="1"/>
  <c r="H3787" i="1"/>
  <c r="A3787" i="1"/>
  <c r="I3787" i="1" s="1"/>
  <c r="I3786" i="1"/>
  <c r="H3786" i="1"/>
  <c r="A3786" i="1"/>
  <c r="H3785" i="1"/>
  <c r="A3785" i="1"/>
  <c r="I3785" i="1" s="1"/>
  <c r="H3784" i="1"/>
  <c r="A3784" i="1"/>
  <c r="I3784" i="1" s="1"/>
  <c r="H3783" i="1"/>
  <c r="A3783" i="1"/>
  <c r="I3783" i="1" s="1"/>
  <c r="I3782" i="1"/>
  <c r="H3782" i="1"/>
  <c r="A3782" i="1"/>
  <c r="I3781" i="1"/>
  <c r="H3781" i="1"/>
  <c r="A3781" i="1"/>
  <c r="H3780" i="1"/>
  <c r="A3780" i="1"/>
  <c r="I3780" i="1" s="1"/>
  <c r="H3779" i="1"/>
  <c r="A3779" i="1"/>
  <c r="I3779" i="1" s="1"/>
  <c r="I3778" i="1"/>
  <c r="H3778" i="1"/>
  <c r="A3778" i="1"/>
  <c r="H3777" i="1"/>
  <c r="A3777" i="1"/>
  <c r="H3776" i="1"/>
  <c r="A3776" i="1"/>
  <c r="H3775" i="1"/>
  <c r="A3775" i="1"/>
  <c r="I3775" i="1" s="1"/>
  <c r="I3774" i="1"/>
  <c r="H3774" i="1"/>
  <c r="A3774" i="1"/>
  <c r="H3773" i="1"/>
  <c r="I3773" i="1" s="1"/>
  <c r="A3773" i="1"/>
  <c r="H3772" i="1"/>
  <c r="A3772" i="1"/>
  <c r="I3772" i="1" s="1"/>
  <c r="H3771" i="1"/>
  <c r="A3771" i="1"/>
  <c r="I3771" i="1" s="1"/>
  <c r="I3770" i="1"/>
  <c r="H3770" i="1"/>
  <c r="A3770" i="1"/>
  <c r="H3769" i="1"/>
  <c r="A3769" i="1"/>
  <c r="H3768" i="1"/>
  <c r="A3768" i="1"/>
  <c r="I3768" i="1" s="1"/>
  <c r="H3767" i="1"/>
  <c r="A3767" i="1"/>
  <c r="I3767" i="1" s="1"/>
  <c r="I3766" i="1"/>
  <c r="H3766" i="1"/>
  <c r="A3766" i="1"/>
  <c r="I3765" i="1"/>
  <c r="H3765" i="1"/>
  <c r="A3765" i="1"/>
  <c r="H3764" i="1"/>
  <c r="A3764" i="1"/>
  <c r="I3764" i="1" s="1"/>
  <c r="H3763" i="1"/>
  <c r="A3763" i="1"/>
  <c r="I3763" i="1" s="1"/>
  <c r="I3762" i="1"/>
  <c r="H3762" i="1"/>
  <c r="A3762" i="1"/>
  <c r="H3761" i="1"/>
  <c r="A3761" i="1"/>
  <c r="H3760" i="1"/>
  <c r="A3760" i="1"/>
  <c r="H3759" i="1"/>
  <c r="A3759" i="1"/>
  <c r="I3759" i="1" s="1"/>
  <c r="I3758" i="1"/>
  <c r="H3758" i="1"/>
  <c r="A3758" i="1"/>
  <c r="H3757" i="1"/>
  <c r="I3757" i="1" s="1"/>
  <c r="A3757" i="1"/>
  <c r="H3756" i="1"/>
  <c r="A3756" i="1"/>
  <c r="I3756" i="1" s="1"/>
  <c r="H3755" i="1"/>
  <c r="A3755" i="1"/>
  <c r="I3755" i="1" s="1"/>
  <c r="I3754" i="1"/>
  <c r="H3754" i="1"/>
  <c r="A3754" i="1"/>
  <c r="H3753" i="1"/>
  <c r="A3753" i="1"/>
  <c r="I3753" i="1" s="1"/>
  <c r="H3752" i="1"/>
  <c r="A3752" i="1"/>
  <c r="H3751" i="1"/>
  <c r="A3751" i="1"/>
  <c r="I3751" i="1" s="1"/>
  <c r="I3750" i="1"/>
  <c r="H3750" i="1"/>
  <c r="A3750" i="1"/>
  <c r="I3749" i="1"/>
  <c r="H3749" i="1"/>
  <c r="A3749" i="1"/>
  <c r="H3748" i="1"/>
  <c r="A3748" i="1"/>
  <c r="I3748" i="1" s="1"/>
  <c r="H3747" i="1"/>
  <c r="A3747" i="1"/>
  <c r="I3747" i="1" s="1"/>
  <c r="I3746" i="1"/>
  <c r="H3746" i="1"/>
  <c r="A3746" i="1"/>
  <c r="H3745" i="1"/>
  <c r="A3745" i="1"/>
  <c r="H3744" i="1"/>
  <c r="A3744" i="1"/>
  <c r="H3743" i="1"/>
  <c r="A3743" i="1"/>
  <c r="I3743" i="1" s="1"/>
  <c r="I3742" i="1"/>
  <c r="H3742" i="1"/>
  <c r="A3742" i="1"/>
  <c r="H3741" i="1"/>
  <c r="I3741" i="1" s="1"/>
  <c r="A3741" i="1"/>
  <c r="H3740" i="1"/>
  <c r="A3740" i="1"/>
  <c r="I3740" i="1" s="1"/>
  <c r="H3739" i="1"/>
  <c r="A3739" i="1"/>
  <c r="I3739" i="1" s="1"/>
  <c r="I3738" i="1"/>
  <c r="H3738" i="1"/>
  <c r="A3738" i="1"/>
  <c r="H3737" i="1"/>
  <c r="A3737" i="1"/>
  <c r="I3737" i="1" s="1"/>
  <c r="H3736" i="1"/>
  <c r="A3736" i="1"/>
  <c r="I3736" i="1" s="1"/>
  <c r="H3735" i="1"/>
  <c r="A3735" i="1"/>
  <c r="I3735" i="1" s="1"/>
  <c r="I3734" i="1"/>
  <c r="H3734" i="1"/>
  <c r="A3734" i="1"/>
  <c r="I3733" i="1"/>
  <c r="H3733" i="1"/>
  <c r="A3733" i="1"/>
  <c r="H3732" i="1"/>
  <c r="A3732" i="1"/>
  <c r="I3732" i="1" s="1"/>
  <c r="H3731" i="1"/>
  <c r="A3731" i="1"/>
  <c r="I3731" i="1" s="1"/>
  <c r="I3730" i="1"/>
  <c r="H3730" i="1"/>
  <c r="A3730" i="1"/>
  <c r="H3729" i="1"/>
  <c r="A3729" i="1"/>
  <c r="H3728" i="1"/>
  <c r="A3728" i="1"/>
  <c r="H3727" i="1"/>
  <c r="A3727" i="1"/>
  <c r="I3727" i="1" s="1"/>
  <c r="I3726" i="1"/>
  <c r="H3726" i="1"/>
  <c r="A3726" i="1"/>
  <c r="I3725" i="1"/>
  <c r="H3725" i="1"/>
  <c r="A3725" i="1"/>
  <c r="H3724" i="1"/>
  <c r="A3724" i="1"/>
  <c r="I3724" i="1" s="1"/>
  <c r="H3723" i="1"/>
  <c r="A3723" i="1"/>
  <c r="I3723" i="1" s="1"/>
  <c r="I3722" i="1"/>
  <c r="H3722" i="1"/>
  <c r="A3722" i="1"/>
  <c r="H3721" i="1"/>
  <c r="A3721" i="1"/>
  <c r="I3721" i="1" s="1"/>
  <c r="H3720" i="1"/>
  <c r="A3720" i="1"/>
  <c r="I3720" i="1" s="1"/>
  <c r="H3719" i="1"/>
  <c r="A3719" i="1"/>
  <c r="I3719" i="1" s="1"/>
  <c r="I3718" i="1"/>
  <c r="H3718" i="1"/>
  <c r="A3718" i="1"/>
  <c r="I3717" i="1"/>
  <c r="H3717" i="1"/>
  <c r="A3717" i="1"/>
  <c r="H3716" i="1"/>
  <c r="A3716" i="1"/>
  <c r="I3716" i="1" s="1"/>
  <c r="H3715" i="1"/>
  <c r="A3715" i="1"/>
  <c r="I3715" i="1" s="1"/>
  <c r="I3714" i="1"/>
  <c r="H3714" i="1"/>
  <c r="A3714" i="1"/>
  <c r="H3713" i="1"/>
  <c r="A3713" i="1"/>
  <c r="H3712" i="1"/>
  <c r="A3712" i="1"/>
  <c r="H3711" i="1"/>
  <c r="A3711" i="1"/>
  <c r="I3711" i="1" s="1"/>
  <c r="I3710" i="1"/>
  <c r="H3710" i="1"/>
  <c r="A3710" i="1"/>
  <c r="H3709" i="1"/>
  <c r="I3709" i="1" s="1"/>
  <c r="A3709" i="1"/>
  <c r="H3708" i="1"/>
  <c r="A3708" i="1"/>
  <c r="I3708" i="1" s="1"/>
  <c r="H3707" i="1"/>
  <c r="A3707" i="1"/>
  <c r="I3707" i="1" s="1"/>
  <c r="I3706" i="1"/>
  <c r="H3706" i="1"/>
  <c r="A3706" i="1"/>
  <c r="H3705" i="1"/>
  <c r="A3705" i="1"/>
  <c r="H3704" i="1"/>
  <c r="A3704" i="1"/>
  <c r="I3704" i="1" s="1"/>
  <c r="H3703" i="1"/>
  <c r="A3703" i="1"/>
  <c r="I3703" i="1" s="1"/>
  <c r="I3702" i="1"/>
  <c r="H3702" i="1"/>
  <c r="A3702" i="1"/>
  <c r="H3701" i="1"/>
  <c r="I3701" i="1" s="1"/>
  <c r="A3701" i="1"/>
  <c r="H3700" i="1"/>
  <c r="A3700" i="1"/>
  <c r="I3700" i="1" s="1"/>
  <c r="H3699" i="1"/>
  <c r="A3699" i="1"/>
  <c r="I3699" i="1" s="1"/>
  <c r="I3698" i="1"/>
  <c r="H3698" i="1"/>
  <c r="A3698" i="1"/>
  <c r="H3697" i="1"/>
  <c r="A3697" i="1"/>
  <c r="H3696" i="1"/>
  <c r="A3696" i="1"/>
  <c r="H3695" i="1"/>
  <c r="A3695" i="1"/>
  <c r="I3695" i="1" s="1"/>
  <c r="I3694" i="1"/>
  <c r="H3694" i="1"/>
  <c r="A3694" i="1"/>
  <c r="H3693" i="1"/>
  <c r="I3693" i="1" s="1"/>
  <c r="A3693" i="1"/>
  <c r="H3692" i="1"/>
  <c r="A3692" i="1"/>
  <c r="I3692" i="1" s="1"/>
  <c r="H3691" i="1"/>
  <c r="A3691" i="1"/>
  <c r="I3691" i="1" s="1"/>
  <c r="I3690" i="1"/>
  <c r="H3690" i="1"/>
  <c r="A3690" i="1"/>
  <c r="H3689" i="1"/>
  <c r="A3689" i="1"/>
  <c r="I3689" i="1" s="1"/>
  <c r="H3688" i="1"/>
  <c r="A3688" i="1"/>
  <c r="H3687" i="1"/>
  <c r="A3687" i="1"/>
  <c r="I3687" i="1" s="1"/>
  <c r="I3686" i="1"/>
  <c r="H3686" i="1"/>
  <c r="A3686" i="1"/>
  <c r="I3685" i="1"/>
  <c r="H3685" i="1"/>
  <c r="A3685" i="1"/>
  <c r="H3684" i="1"/>
  <c r="A3684" i="1"/>
  <c r="I3684" i="1" s="1"/>
  <c r="H3683" i="1"/>
  <c r="A3683" i="1"/>
  <c r="I3683" i="1" s="1"/>
  <c r="I3682" i="1"/>
  <c r="H3682" i="1"/>
  <c r="A3682" i="1"/>
  <c r="H3681" i="1"/>
  <c r="A3681" i="1"/>
  <c r="H3680" i="1"/>
  <c r="A3680" i="1"/>
  <c r="H3679" i="1"/>
  <c r="A3679" i="1"/>
  <c r="I3679" i="1" s="1"/>
  <c r="I3678" i="1"/>
  <c r="H3678" i="1"/>
  <c r="A3678" i="1"/>
  <c r="H3677" i="1"/>
  <c r="I3677" i="1" s="1"/>
  <c r="A3677" i="1"/>
  <c r="H3676" i="1"/>
  <c r="A3676" i="1"/>
  <c r="I3676" i="1" s="1"/>
  <c r="H3675" i="1"/>
  <c r="A3675" i="1"/>
  <c r="I3675" i="1" s="1"/>
  <c r="I3674" i="1"/>
  <c r="H3674" i="1"/>
  <c r="A3674" i="1"/>
  <c r="H3673" i="1"/>
  <c r="A3673" i="1"/>
  <c r="I3673" i="1" s="1"/>
  <c r="H3672" i="1"/>
  <c r="A3672" i="1"/>
  <c r="I3672" i="1" s="1"/>
  <c r="H3671" i="1"/>
  <c r="A3671" i="1"/>
  <c r="I3671" i="1" s="1"/>
  <c r="I3670" i="1"/>
  <c r="H3670" i="1"/>
  <c r="A3670" i="1"/>
  <c r="I3669" i="1"/>
  <c r="H3669" i="1"/>
  <c r="A3669" i="1"/>
  <c r="H3668" i="1"/>
  <c r="A3668" i="1"/>
  <c r="I3668" i="1" s="1"/>
  <c r="H3667" i="1"/>
  <c r="A3667" i="1"/>
  <c r="I3667" i="1" s="1"/>
  <c r="I3666" i="1"/>
  <c r="H3666" i="1"/>
  <c r="A3666" i="1"/>
  <c r="H3665" i="1"/>
  <c r="A3665" i="1"/>
  <c r="H3664" i="1"/>
  <c r="A3664" i="1"/>
  <c r="H3663" i="1"/>
  <c r="A3663" i="1"/>
  <c r="I3663" i="1" s="1"/>
  <c r="I3662" i="1"/>
  <c r="H3662" i="1"/>
  <c r="A3662" i="1"/>
  <c r="I3661" i="1"/>
  <c r="H3661" i="1"/>
  <c r="A3661" i="1"/>
  <c r="H3660" i="1"/>
  <c r="A3660" i="1"/>
  <c r="I3660" i="1" s="1"/>
  <c r="H3659" i="1"/>
  <c r="A3659" i="1"/>
  <c r="I3659" i="1" s="1"/>
  <c r="I3658" i="1"/>
  <c r="H3658" i="1"/>
  <c r="A3658" i="1"/>
  <c r="H3657" i="1"/>
  <c r="A3657" i="1"/>
  <c r="I3657" i="1" s="1"/>
  <c r="H3656" i="1"/>
  <c r="A3656" i="1"/>
  <c r="I3656" i="1" s="1"/>
  <c r="H3655" i="1"/>
  <c r="A3655" i="1"/>
  <c r="I3655" i="1" s="1"/>
  <c r="I3654" i="1"/>
  <c r="H3654" i="1"/>
  <c r="A3654" i="1"/>
  <c r="I3653" i="1"/>
  <c r="H3653" i="1"/>
  <c r="A3653" i="1"/>
  <c r="H3652" i="1"/>
  <c r="A3652" i="1"/>
  <c r="I3652" i="1" s="1"/>
  <c r="H3651" i="1"/>
  <c r="A3651" i="1"/>
  <c r="I3651" i="1" s="1"/>
  <c r="I3650" i="1"/>
  <c r="H3650" i="1"/>
  <c r="A3650" i="1"/>
  <c r="H3649" i="1"/>
  <c r="A3649" i="1"/>
  <c r="H3648" i="1"/>
  <c r="A3648" i="1"/>
  <c r="H3647" i="1"/>
  <c r="A3647" i="1"/>
  <c r="I3647" i="1" s="1"/>
  <c r="I3646" i="1"/>
  <c r="H3646" i="1"/>
  <c r="A3646" i="1"/>
  <c r="H3645" i="1"/>
  <c r="I3645" i="1" s="1"/>
  <c r="A3645" i="1"/>
  <c r="H3644" i="1"/>
  <c r="A3644" i="1"/>
  <c r="I3644" i="1" s="1"/>
  <c r="H3643" i="1"/>
  <c r="A3643" i="1"/>
  <c r="I3643" i="1" s="1"/>
  <c r="I3642" i="1"/>
  <c r="H3642" i="1"/>
  <c r="A3642" i="1"/>
  <c r="H3641" i="1"/>
  <c r="A3641" i="1"/>
  <c r="H3640" i="1"/>
  <c r="A3640" i="1"/>
  <c r="I3640" i="1" s="1"/>
  <c r="H3639" i="1"/>
  <c r="A3639" i="1"/>
  <c r="I3639" i="1" s="1"/>
  <c r="I3638" i="1"/>
  <c r="H3638" i="1"/>
  <c r="A3638" i="1"/>
  <c r="I3637" i="1"/>
  <c r="H3637" i="1"/>
  <c r="A3637" i="1"/>
  <c r="H3636" i="1"/>
  <c r="A3636" i="1"/>
  <c r="I3636" i="1" s="1"/>
  <c r="H3635" i="1"/>
  <c r="A3635" i="1"/>
  <c r="I3635" i="1" s="1"/>
  <c r="I3634" i="1"/>
  <c r="H3634" i="1"/>
  <c r="A3634" i="1"/>
  <c r="H3633" i="1"/>
  <c r="A3633" i="1"/>
  <c r="H3632" i="1"/>
  <c r="A3632" i="1"/>
  <c r="H3631" i="1"/>
  <c r="A3631" i="1"/>
  <c r="I3631" i="1" s="1"/>
  <c r="I3630" i="1"/>
  <c r="H3630" i="1"/>
  <c r="A3630" i="1"/>
  <c r="H3629" i="1"/>
  <c r="I3629" i="1" s="1"/>
  <c r="A3629" i="1"/>
  <c r="H3628" i="1"/>
  <c r="A3628" i="1"/>
  <c r="I3628" i="1" s="1"/>
  <c r="H3627" i="1"/>
  <c r="A3627" i="1"/>
  <c r="I3627" i="1" s="1"/>
  <c r="I3626" i="1"/>
  <c r="H3626" i="1"/>
  <c r="A3626" i="1"/>
  <c r="H3625" i="1"/>
  <c r="A3625" i="1"/>
  <c r="I3625" i="1" s="1"/>
  <c r="H3624" i="1"/>
  <c r="A3624" i="1"/>
  <c r="H3623" i="1"/>
  <c r="A3623" i="1"/>
  <c r="I3623" i="1" s="1"/>
  <c r="I3622" i="1"/>
  <c r="H3622" i="1"/>
  <c r="A3622" i="1"/>
  <c r="I3621" i="1"/>
  <c r="H3621" i="1"/>
  <c r="A3621" i="1"/>
  <c r="H3620" i="1"/>
  <c r="A3620" i="1"/>
  <c r="I3620" i="1" s="1"/>
  <c r="H3619" i="1"/>
  <c r="A3619" i="1"/>
  <c r="I3619" i="1" s="1"/>
  <c r="I3618" i="1"/>
  <c r="H3618" i="1"/>
  <c r="A3618" i="1"/>
  <c r="H3617" i="1"/>
  <c r="A3617" i="1"/>
  <c r="H3616" i="1"/>
  <c r="A3616" i="1"/>
  <c r="H3615" i="1"/>
  <c r="A3615" i="1"/>
  <c r="I3615" i="1" s="1"/>
  <c r="I3614" i="1"/>
  <c r="H3614" i="1"/>
  <c r="A3614" i="1"/>
  <c r="H3613" i="1"/>
  <c r="I3613" i="1" s="1"/>
  <c r="A3613" i="1"/>
  <c r="H3612" i="1"/>
  <c r="A3612" i="1"/>
  <c r="I3612" i="1" s="1"/>
  <c r="H3611" i="1"/>
  <c r="A3611" i="1"/>
  <c r="I3611" i="1" s="1"/>
  <c r="I3610" i="1"/>
  <c r="H3610" i="1"/>
  <c r="A3610" i="1"/>
  <c r="H3609" i="1"/>
  <c r="A3609" i="1"/>
  <c r="I3609" i="1" s="1"/>
  <c r="H3608" i="1"/>
  <c r="A3608" i="1"/>
  <c r="I3608" i="1" s="1"/>
  <c r="H3607" i="1"/>
  <c r="A3607" i="1"/>
  <c r="I3607" i="1" s="1"/>
  <c r="I3606" i="1"/>
  <c r="H3606" i="1"/>
  <c r="A3606" i="1"/>
  <c r="I3605" i="1"/>
  <c r="H3605" i="1"/>
  <c r="A3605" i="1"/>
  <c r="H3604" i="1"/>
  <c r="A3604" i="1"/>
  <c r="I3604" i="1" s="1"/>
  <c r="H3603" i="1"/>
  <c r="A3603" i="1"/>
  <c r="I3603" i="1" s="1"/>
  <c r="I3602" i="1"/>
  <c r="H3602" i="1"/>
  <c r="A3602" i="1"/>
  <c r="H3601" i="1"/>
  <c r="A3601" i="1"/>
  <c r="H3600" i="1"/>
  <c r="A3600" i="1"/>
  <c r="H3599" i="1"/>
  <c r="A3599" i="1"/>
  <c r="I3599" i="1" s="1"/>
  <c r="I3598" i="1"/>
  <c r="H3598" i="1"/>
  <c r="A3598" i="1"/>
  <c r="I3597" i="1"/>
  <c r="H3597" i="1"/>
  <c r="A3597" i="1"/>
  <c r="H3596" i="1"/>
  <c r="A3596" i="1"/>
  <c r="I3596" i="1" s="1"/>
  <c r="H3595" i="1"/>
  <c r="A3595" i="1"/>
  <c r="I3595" i="1" s="1"/>
  <c r="I3594" i="1"/>
  <c r="H3594" i="1"/>
  <c r="A3594" i="1"/>
  <c r="H3593" i="1"/>
  <c r="A3593" i="1"/>
  <c r="I3593" i="1" s="1"/>
  <c r="H3592" i="1"/>
  <c r="A3592" i="1"/>
  <c r="I3592" i="1" s="1"/>
  <c r="H3591" i="1"/>
  <c r="A3591" i="1"/>
  <c r="I3591" i="1" s="1"/>
  <c r="I3590" i="1"/>
  <c r="H3590" i="1"/>
  <c r="A3590" i="1"/>
  <c r="I3589" i="1"/>
  <c r="H3589" i="1"/>
  <c r="A3589" i="1"/>
  <c r="H3588" i="1"/>
  <c r="A3588" i="1"/>
  <c r="I3588" i="1" s="1"/>
  <c r="H3587" i="1"/>
  <c r="A3587" i="1"/>
  <c r="I3587" i="1" s="1"/>
  <c r="I3586" i="1"/>
  <c r="H3586" i="1"/>
  <c r="A3586" i="1"/>
  <c r="H3585" i="1"/>
  <c r="A3585" i="1"/>
  <c r="H3584" i="1"/>
  <c r="A3584" i="1"/>
  <c r="H3583" i="1"/>
  <c r="A3583" i="1"/>
  <c r="I3583" i="1" s="1"/>
  <c r="I3582" i="1"/>
  <c r="H3582" i="1"/>
  <c r="A3582" i="1"/>
  <c r="H3581" i="1"/>
  <c r="I3581" i="1" s="1"/>
  <c r="A3581" i="1"/>
  <c r="H3580" i="1"/>
  <c r="A3580" i="1"/>
  <c r="I3580" i="1" s="1"/>
  <c r="H3579" i="1"/>
  <c r="A3579" i="1"/>
  <c r="I3579" i="1" s="1"/>
  <c r="I3578" i="1"/>
  <c r="H3578" i="1"/>
  <c r="A3578" i="1"/>
  <c r="H3577" i="1"/>
  <c r="A3577" i="1"/>
  <c r="H3576" i="1"/>
  <c r="A3576" i="1"/>
  <c r="I3576" i="1" s="1"/>
  <c r="H3575" i="1"/>
  <c r="A3575" i="1"/>
  <c r="I3575" i="1" s="1"/>
  <c r="I3574" i="1"/>
  <c r="H3574" i="1"/>
  <c r="A3574" i="1"/>
  <c r="I3573" i="1"/>
  <c r="H3573" i="1"/>
  <c r="A3573" i="1"/>
  <c r="H3572" i="1"/>
  <c r="A3572" i="1"/>
  <c r="I3572" i="1" s="1"/>
  <c r="H3571" i="1"/>
  <c r="A3571" i="1"/>
  <c r="I3571" i="1" s="1"/>
  <c r="I3570" i="1"/>
  <c r="H3570" i="1"/>
  <c r="A3570" i="1"/>
  <c r="H3569" i="1"/>
  <c r="A3569" i="1"/>
  <c r="H3568" i="1"/>
  <c r="A3568" i="1"/>
  <c r="H3567" i="1"/>
  <c r="A3567" i="1"/>
  <c r="I3567" i="1" s="1"/>
  <c r="I3566" i="1"/>
  <c r="H3566" i="1"/>
  <c r="A3566" i="1"/>
  <c r="H3565" i="1"/>
  <c r="I3565" i="1" s="1"/>
  <c r="A3565" i="1"/>
  <c r="H3564" i="1"/>
  <c r="A3564" i="1"/>
  <c r="I3564" i="1" s="1"/>
  <c r="H3563" i="1"/>
  <c r="A3563" i="1"/>
  <c r="I3563" i="1" s="1"/>
  <c r="I3562" i="1"/>
  <c r="H3562" i="1"/>
  <c r="A3562" i="1"/>
  <c r="H3561" i="1"/>
  <c r="A3561" i="1"/>
  <c r="I3561" i="1" s="1"/>
  <c r="H3560" i="1"/>
  <c r="A3560" i="1"/>
  <c r="H3559" i="1"/>
  <c r="A3559" i="1"/>
  <c r="I3559" i="1" s="1"/>
  <c r="I3558" i="1"/>
  <c r="H3558" i="1"/>
  <c r="A3558" i="1"/>
  <c r="I3557" i="1"/>
  <c r="H3557" i="1"/>
  <c r="A3557" i="1"/>
  <c r="H3556" i="1"/>
  <c r="A3556" i="1"/>
  <c r="I3556" i="1" s="1"/>
  <c r="H3555" i="1"/>
  <c r="A3555" i="1"/>
  <c r="I3555" i="1" s="1"/>
  <c r="I3554" i="1"/>
  <c r="H3554" i="1"/>
  <c r="A3554" i="1"/>
  <c r="H3553" i="1"/>
  <c r="A3553" i="1"/>
  <c r="H3552" i="1"/>
  <c r="A3552" i="1"/>
  <c r="H3551" i="1"/>
  <c r="A3551" i="1"/>
  <c r="I3551" i="1" s="1"/>
  <c r="I3550" i="1"/>
  <c r="H3550" i="1"/>
  <c r="A3550" i="1"/>
  <c r="H3549" i="1"/>
  <c r="I3549" i="1" s="1"/>
  <c r="A3549" i="1"/>
  <c r="H3548" i="1"/>
  <c r="A3548" i="1"/>
  <c r="I3548" i="1" s="1"/>
  <c r="H3547" i="1"/>
  <c r="A3547" i="1"/>
  <c r="I3547" i="1" s="1"/>
  <c r="I3546" i="1"/>
  <c r="H3546" i="1"/>
  <c r="A3546" i="1"/>
  <c r="H3545" i="1"/>
  <c r="A3545" i="1"/>
  <c r="I3545" i="1" s="1"/>
  <c r="H3544" i="1"/>
  <c r="A3544" i="1"/>
  <c r="I3544" i="1" s="1"/>
  <c r="H3543" i="1"/>
  <c r="A3543" i="1"/>
  <c r="I3543" i="1" s="1"/>
  <c r="I3542" i="1"/>
  <c r="H3542" i="1"/>
  <c r="A3542" i="1"/>
  <c r="I3541" i="1"/>
  <c r="H3541" i="1"/>
  <c r="A3541" i="1"/>
  <c r="H3540" i="1"/>
  <c r="A3540" i="1"/>
  <c r="I3540" i="1" s="1"/>
  <c r="H3539" i="1"/>
  <c r="A3539" i="1"/>
  <c r="I3539" i="1" s="1"/>
  <c r="I3538" i="1"/>
  <c r="H3538" i="1"/>
  <c r="A3538" i="1"/>
  <c r="H3537" i="1"/>
  <c r="A3537" i="1"/>
  <c r="H3536" i="1"/>
  <c r="A3536" i="1"/>
  <c r="H3535" i="1"/>
  <c r="A3535" i="1"/>
  <c r="I3535" i="1" s="1"/>
  <c r="I3534" i="1"/>
  <c r="H3534" i="1"/>
  <c r="A3534" i="1"/>
  <c r="I3533" i="1"/>
  <c r="H3533" i="1"/>
  <c r="A3533" i="1"/>
  <c r="H3532" i="1"/>
  <c r="A3532" i="1"/>
  <c r="I3532" i="1" s="1"/>
  <c r="H3531" i="1"/>
  <c r="A3531" i="1"/>
  <c r="I3531" i="1" s="1"/>
  <c r="I3530" i="1"/>
  <c r="H3530" i="1"/>
  <c r="A3530" i="1"/>
  <c r="H3529" i="1"/>
  <c r="A3529" i="1"/>
  <c r="I3529" i="1" s="1"/>
  <c r="H3528" i="1"/>
  <c r="A3528" i="1"/>
  <c r="I3528" i="1" s="1"/>
  <c r="H3527" i="1"/>
  <c r="A3527" i="1"/>
  <c r="I3527" i="1" s="1"/>
  <c r="I3526" i="1"/>
  <c r="H3526" i="1"/>
  <c r="A3526" i="1"/>
  <c r="I3525" i="1"/>
  <c r="H3525" i="1"/>
  <c r="A3525" i="1"/>
  <c r="H3524" i="1"/>
  <c r="A3524" i="1"/>
  <c r="I3524" i="1" s="1"/>
  <c r="H3523" i="1"/>
  <c r="A3523" i="1"/>
  <c r="I3523" i="1" s="1"/>
  <c r="I3522" i="1"/>
  <c r="H3522" i="1"/>
  <c r="A3522" i="1"/>
  <c r="H3521" i="1"/>
  <c r="A3521" i="1"/>
  <c r="H3520" i="1"/>
  <c r="A3520" i="1"/>
  <c r="H3519" i="1"/>
  <c r="A3519" i="1"/>
  <c r="I3519" i="1" s="1"/>
  <c r="I3518" i="1"/>
  <c r="H3518" i="1"/>
  <c r="A3518" i="1"/>
  <c r="H3517" i="1"/>
  <c r="I3517" i="1" s="1"/>
  <c r="A3517" i="1"/>
  <c r="H3516" i="1"/>
  <c r="A3516" i="1"/>
  <c r="I3516" i="1" s="1"/>
  <c r="H3515" i="1"/>
  <c r="A3515" i="1"/>
  <c r="I3515" i="1" s="1"/>
  <c r="I3514" i="1"/>
  <c r="H3514" i="1"/>
  <c r="A3514" i="1"/>
  <c r="H3513" i="1"/>
  <c r="A3513" i="1"/>
  <c r="H3512" i="1"/>
  <c r="A3512" i="1"/>
  <c r="I3512" i="1" s="1"/>
  <c r="H3511" i="1"/>
  <c r="A3511" i="1"/>
  <c r="I3511" i="1" s="1"/>
  <c r="I3510" i="1"/>
  <c r="H3510" i="1"/>
  <c r="A3510" i="1"/>
  <c r="I3509" i="1"/>
  <c r="H3509" i="1"/>
  <c r="A3509" i="1"/>
  <c r="H3508" i="1"/>
  <c r="A3508" i="1"/>
  <c r="I3508" i="1" s="1"/>
  <c r="H3507" i="1"/>
  <c r="A3507" i="1"/>
  <c r="I3507" i="1" s="1"/>
  <c r="I3506" i="1"/>
  <c r="H3506" i="1"/>
  <c r="A3506" i="1"/>
  <c r="H3505" i="1"/>
  <c r="A3505" i="1"/>
  <c r="H3504" i="1"/>
  <c r="A3504" i="1"/>
  <c r="H3503" i="1"/>
  <c r="A3503" i="1"/>
  <c r="I3503" i="1" s="1"/>
  <c r="I3502" i="1"/>
  <c r="H3502" i="1"/>
  <c r="A3502" i="1"/>
  <c r="H3501" i="1"/>
  <c r="I3501" i="1" s="1"/>
  <c r="A3501" i="1"/>
  <c r="H3500" i="1"/>
  <c r="A3500" i="1"/>
  <c r="I3500" i="1" s="1"/>
  <c r="H3499" i="1"/>
  <c r="A3499" i="1"/>
  <c r="I3499" i="1" s="1"/>
  <c r="I3498" i="1"/>
  <c r="H3498" i="1"/>
  <c r="A3498" i="1"/>
  <c r="H3497" i="1"/>
  <c r="A3497" i="1"/>
  <c r="I3497" i="1" s="1"/>
  <c r="H3496" i="1"/>
  <c r="A3496" i="1"/>
  <c r="H3495" i="1"/>
  <c r="A3495" i="1"/>
  <c r="I3495" i="1" s="1"/>
  <c r="I3494" i="1"/>
  <c r="H3494" i="1"/>
  <c r="A3494" i="1"/>
  <c r="I3493" i="1"/>
  <c r="H3493" i="1"/>
  <c r="A3493" i="1"/>
  <c r="H3492" i="1"/>
  <c r="A3492" i="1"/>
  <c r="I3492" i="1" s="1"/>
  <c r="H3491" i="1"/>
  <c r="A3491" i="1"/>
  <c r="I3491" i="1" s="1"/>
  <c r="I3490" i="1"/>
  <c r="H3490" i="1"/>
  <c r="A3490" i="1"/>
  <c r="H3489" i="1"/>
  <c r="A3489" i="1"/>
  <c r="H3488" i="1"/>
  <c r="A3488" i="1"/>
  <c r="H3487" i="1"/>
  <c r="A3487" i="1"/>
  <c r="I3487" i="1" s="1"/>
  <c r="I3486" i="1"/>
  <c r="H3486" i="1"/>
  <c r="A3486" i="1"/>
  <c r="H3485" i="1"/>
  <c r="I3485" i="1" s="1"/>
  <c r="A3485" i="1"/>
  <c r="H3484" i="1"/>
  <c r="A3484" i="1"/>
  <c r="I3484" i="1" s="1"/>
  <c r="H3483" i="1"/>
  <c r="A3483" i="1"/>
  <c r="I3483" i="1" s="1"/>
  <c r="I3482" i="1"/>
  <c r="H3482" i="1"/>
  <c r="A3482" i="1"/>
  <c r="H3481" i="1"/>
  <c r="A3481" i="1"/>
  <c r="I3481" i="1" s="1"/>
  <c r="H3480" i="1"/>
  <c r="A3480" i="1"/>
  <c r="I3480" i="1" s="1"/>
  <c r="H3479" i="1"/>
  <c r="A3479" i="1"/>
  <c r="I3479" i="1" s="1"/>
  <c r="I3478" i="1"/>
  <c r="H3478" i="1"/>
  <c r="A3478" i="1"/>
  <c r="I3477" i="1"/>
  <c r="H3477" i="1"/>
  <c r="A3477" i="1"/>
  <c r="H3476" i="1"/>
  <c r="A3476" i="1"/>
  <c r="I3476" i="1" s="1"/>
  <c r="H3475" i="1"/>
  <c r="A3475" i="1"/>
  <c r="I3475" i="1" s="1"/>
  <c r="I3474" i="1"/>
  <c r="H3474" i="1"/>
  <c r="A3474" i="1"/>
  <c r="H3473" i="1"/>
  <c r="A3473" i="1"/>
  <c r="H3472" i="1"/>
  <c r="A3472" i="1"/>
  <c r="H3471" i="1"/>
  <c r="A3471" i="1"/>
  <c r="I3471" i="1" s="1"/>
  <c r="I3470" i="1"/>
  <c r="H3470" i="1"/>
  <c r="A3470" i="1"/>
  <c r="I3469" i="1"/>
  <c r="H3469" i="1"/>
  <c r="A3469" i="1"/>
  <c r="H3468" i="1"/>
  <c r="A3468" i="1"/>
  <c r="I3468" i="1" s="1"/>
  <c r="H3467" i="1"/>
  <c r="A3467" i="1"/>
  <c r="I3467" i="1" s="1"/>
  <c r="I3466" i="1"/>
  <c r="H3466" i="1"/>
  <c r="A3466" i="1"/>
  <c r="H3465" i="1"/>
  <c r="A3465" i="1"/>
  <c r="I3465" i="1" s="1"/>
  <c r="H3464" i="1"/>
  <c r="A3464" i="1"/>
  <c r="I3464" i="1" s="1"/>
  <c r="H3463" i="1"/>
  <c r="A3463" i="1"/>
  <c r="I3463" i="1" s="1"/>
  <c r="I3462" i="1"/>
  <c r="H3462" i="1"/>
  <c r="A3462" i="1"/>
  <c r="I3461" i="1"/>
  <c r="H3461" i="1"/>
  <c r="A3461" i="1"/>
  <c r="H3460" i="1"/>
  <c r="A3460" i="1"/>
  <c r="I3460" i="1" s="1"/>
  <c r="H3459" i="1"/>
  <c r="A3459" i="1"/>
  <c r="I3459" i="1" s="1"/>
  <c r="I3458" i="1"/>
  <c r="H3458" i="1"/>
  <c r="A3458" i="1"/>
  <c r="H3457" i="1"/>
  <c r="A3457" i="1"/>
  <c r="H3456" i="1"/>
  <c r="A3456" i="1"/>
  <c r="H3455" i="1"/>
  <c r="A3455" i="1"/>
  <c r="I3455" i="1" s="1"/>
  <c r="I3454" i="1"/>
  <c r="H3454" i="1"/>
  <c r="A3454" i="1"/>
  <c r="H3453" i="1"/>
  <c r="I3453" i="1" s="1"/>
  <c r="A3453" i="1"/>
  <c r="H3452" i="1"/>
  <c r="A3452" i="1"/>
  <c r="I3452" i="1" s="1"/>
  <c r="H3451" i="1"/>
  <c r="A3451" i="1"/>
  <c r="I3451" i="1" s="1"/>
  <c r="I3450" i="1"/>
  <c r="H3450" i="1"/>
  <c r="A3450" i="1"/>
  <c r="H3449" i="1"/>
  <c r="A3449" i="1"/>
  <c r="H3448" i="1"/>
  <c r="A3448" i="1"/>
  <c r="I3448" i="1" s="1"/>
  <c r="H3447" i="1"/>
  <c r="A3447" i="1"/>
  <c r="I3447" i="1" s="1"/>
  <c r="I3446" i="1"/>
  <c r="H3446" i="1"/>
  <c r="A3446" i="1"/>
  <c r="I3445" i="1"/>
  <c r="H3445" i="1"/>
  <c r="A3445" i="1"/>
  <c r="H3444" i="1"/>
  <c r="A3444" i="1"/>
  <c r="I3444" i="1" s="1"/>
  <c r="H3443" i="1"/>
  <c r="A3443" i="1"/>
  <c r="I3443" i="1" s="1"/>
  <c r="I3442" i="1"/>
  <c r="H3442" i="1"/>
  <c r="A3442" i="1"/>
  <c r="H3441" i="1"/>
  <c r="A3441" i="1"/>
  <c r="H3440" i="1"/>
  <c r="A3440" i="1"/>
  <c r="H3439" i="1"/>
  <c r="A3439" i="1"/>
  <c r="I3439" i="1" s="1"/>
  <c r="I3438" i="1"/>
  <c r="H3438" i="1"/>
  <c r="A3438" i="1"/>
  <c r="H3437" i="1"/>
  <c r="I3437" i="1" s="1"/>
  <c r="A3437" i="1"/>
  <c r="H3436" i="1"/>
  <c r="A3436" i="1"/>
  <c r="I3436" i="1" s="1"/>
  <c r="H3435" i="1"/>
  <c r="A3435" i="1"/>
  <c r="I3435" i="1" s="1"/>
  <c r="I3434" i="1"/>
  <c r="H3434" i="1"/>
  <c r="A3434" i="1"/>
  <c r="H3433" i="1"/>
  <c r="A3433" i="1"/>
  <c r="I3433" i="1" s="1"/>
  <c r="H3432" i="1"/>
  <c r="A3432" i="1"/>
  <c r="H3431" i="1"/>
  <c r="A3431" i="1"/>
  <c r="I3431" i="1" s="1"/>
  <c r="I3430" i="1"/>
  <c r="H3430" i="1"/>
  <c r="A3430" i="1"/>
  <c r="I3429" i="1"/>
  <c r="H3429" i="1"/>
  <c r="A3429" i="1"/>
  <c r="H3428" i="1"/>
  <c r="A3428" i="1"/>
  <c r="I3428" i="1" s="1"/>
  <c r="H3427" i="1"/>
  <c r="A3427" i="1"/>
  <c r="I3427" i="1" s="1"/>
  <c r="I3426" i="1"/>
  <c r="H3426" i="1"/>
  <c r="A3426" i="1"/>
  <c r="H3425" i="1"/>
  <c r="A3425" i="1"/>
  <c r="H3424" i="1"/>
  <c r="A3424" i="1"/>
  <c r="H3423" i="1"/>
  <c r="A3423" i="1"/>
  <c r="I3423" i="1" s="1"/>
  <c r="I3422" i="1"/>
  <c r="H3422" i="1"/>
  <c r="A3422" i="1"/>
  <c r="H3421" i="1"/>
  <c r="I3421" i="1" s="1"/>
  <c r="A3421" i="1"/>
  <c r="H3420" i="1"/>
  <c r="A3420" i="1"/>
  <c r="I3420" i="1" s="1"/>
  <c r="H3419" i="1"/>
  <c r="A3419" i="1"/>
  <c r="I3419" i="1" s="1"/>
  <c r="I3418" i="1"/>
  <c r="H3418" i="1"/>
  <c r="A3418" i="1"/>
  <c r="H3417" i="1"/>
  <c r="A3417" i="1"/>
  <c r="I3417" i="1" s="1"/>
  <c r="H3416" i="1"/>
  <c r="A3416" i="1"/>
  <c r="I3416" i="1" s="1"/>
  <c r="H3415" i="1"/>
  <c r="A3415" i="1"/>
  <c r="I3415" i="1" s="1"/>
  <c r="I3414" i="1"/>
  <c r="H3414" i="1"/>
  <c r="A3414" i="1"/>
  <c r="I3413" i="1"/>
  <c r="H3413" i="1"/>
  <c r="A3413" i="1"/>
  <c r="H3412" i="1"/>
  <c r="A3412" i="1"/>
  <c r="I3412" i="1" s="1"/>
  <c r="H3411" i="1"/>
  <c r="A3411" i="1"/>
  <c r="I3411" i="1" s="1"/>
  <c r="I3410" i="1"/>
  <c r="H3410" i="1"/>
  <c r="A3410" i="1"/>
  <c r="H3409" i="1"/>
  <c r="A3409" i="1"/>
  <c r="H3408" i="1"/>
  <c r="A3408" i="1"/>
  <c r="H3407" i="1"/>
  <c r="A3407" i="1"/>
  <c r="I3407" i="1" s="1"/>
  <c r="I3406" i="1"/>
  <c r="H3406" i="1"/>
  <c r="A3406" i="1"/>
  <c r="I3405" i="1"/>
  <c r="H3405" i="1"/>
  <c r="A3405" i="1"/>
  <c r="H3404" i="1"/>
  <c r="A3404" i="1"/>
  <c r="I3404" i="1" s="1"/>
  <c r="H3403" i="1"/>
  <c r="A3403" i="1"/>
  <c r="I3403" i="1" s="1"/>
  <c r="I3402" i="1"/>
  <c r="H3402" i="1"/>
  <c r="A3402" i="1"/>
  <c r="H3401" i="1"/>
  <c r="A3401" i="1"/>
  <c r="I3401" i="1" s="1"/>
  <c r="H3400" i="1"/>
  <c r="A3400" i="1"/>
  <c r="I3400" i="1" s="1"/>
  <c r="H3399" i="1"/>
  <c r="A3399" i="1"/>
  <c r="I3399" i="1" s="1"/>
  <c r="I3398" i="1"/>
  <c r="H3398" i="1"/>
  <c r="A3398" i="1"/>
  <c r="I3397" i="1"/>
  <c r="H3397" i="1"/>
  <c r="A3397" i="1"/>
  <c r="H3396" i="1"/>
  <c r="A3396" i="1"/>
  <c r="I3396" i="1" s="1"/>
  <c r="H3395" i="1"/>
  <c r="A3395" i="1"/>
  <c r="I3395" i="1" s="1"/>
  <c r="I3394" i="1"/>
  <c r="H3394" i="1"/>
  <c r="A3394" i="1"/>
  <c r="H3393" i="1"/>
  <c r="A3393" i="1"/>
  <c r="H3392" i="1"/>
  <c r="A3392" i="1"/>
  <c r="H3391" i="1"/>
  <c r="A3391" i="1"/>
  <c r="I3391" i="1" s="1"/>
  <c r="I3390" i="1"/>
  <c r="H3390" i="1"/>
  <c r="A3390" i="1"/>
  <c r="H3389" i="1"/>
  <c r="I3389" i="1" s="1"/>
  <c r="A3389" i="1"/>
  <c r="H3388" i="1"/>
  <c r="A3388" i="1"/>
  <c r="I3388" i="1" s="1"/>
  <c r="H3387" i="1"/>
  <c r="A3387" i="1"/>
  <c r="I3387" i="1" s="1"/>
  <c r="I3386" i="1"/>
  <c r="H3386" i="1"/>
  <c r="A3386" i="1"/>
  <c r="H3385" i="1"/>
  <c r="A3385" i="1"/>
  <c r="H3384" i="1"/>
  <c r="A3384" i="1"/>
  <c r="I3384" i="1" s="1"/>
  <c r="H3383" i="1"/>
  <c r="A3383" i="1"/>
  <c r="I3383" i="1" s="1"/>
  <c r="I3382" i="1"/>
  <c r="H3382" i="1"/>
  <c r="A3382" i="1"/>
  <c r="I3381" i="1"/>
  <c r="H3381" i="1"/>
  <c r="A3381" i="1"/>
  <c r="H3380" i="1"/>
  <c r="A3380" i="1"/>
  <c r="I3380" i="1" s="1"/>
  <c r="H3379" i="1"/>
  <c r="A3379" i="1"/>
  <c r="I3379" i="1" s="1"/>
  <c r="I3378" i="1"/>
  <c r="H3378" i="1"/>
  <c r="A3378" i="1"/>
  <c r="H3377" i="1"/>
  <c r="A3377" i="1"/>
  <c r="H3376" i="1"/>
  <c r="A3376" i="1"/>
  <c r="H3375" i="1"/>
  <c r="A3375" i="1"/>
  <c r="I3375" i="1" s="1"/>
  <c r="I3374" i="1"/>
  <c r="H3374" i="1"/>
  <c r="A3374" i="1"/>
  <c r="H3373" i="1"/>
  <c r="I3373" i="1" s="1"/>
  <c r="A3373" i="1"/>
  <c r="H3372" i="1"/>
  <c r="A3372" i="1"/>
  <c r="I3372" i="1" s="1"/>
  <c r="H3371" i="1"/>
  <c r="A3371" i="1"/>
  <c r="I3371" i="1" s="1"/>
  <c r="I3370" i="1"/>
  <c r="H3370" i="1"/>
  <c r="A3370" i="1"/>
  <c r="H3369" i="1"/>
  <c r="A3369" i="1"/>
  <c r="I3369" i="1" s="1"/>
  <c r="H3368" i="1"/>
  <c r="A3368" i="1"/>
  <c r="H3367" i="1"/>
  <c r="A3367" i="1"/>
  <c r="I3367" i="1" s="1"/>
  <c r="I3366" i="1"/>
  <c r="H3366" i="1"/>
  <c r="A3366" i="1"/>
  <c r="I3365" i="1"/>
  <c r="H3365" i="1"/>
  <c r="A3365" i="1"/>
  <c r="H3364" i="1"/>
  <c r="A3364" i="1"/>
  <c r="I3364" i="1" s="1"/>
  <c r="H3363" i="1"/>
  <c r="A3363" i="1"/>
  <c r="I3363" i="1" s="1"/>
  <c r="I3362" i="1"/>
  <c r="H3362" i="1"/>
  <c r="A3362" i="1"/>
  <c r="H3361" i="1"/>
  <c r="A3361" i="1"/>
  <c r="H3360" i="1"/>
  <c r="A3360" i="1"/>
  <c r="H3359" i="1"/>
  <c r="A3359" i="1"/>
  <c r="I3359" i="1" s="1"/>
  <c r="I3358" i="1"/>
  <c r="H3358" i="1"/>
  <c r="A3358" i="1"/>
  <c r="H3357" i="1"/>
  <c r="I3357" i="1" s="1"/>
  <c r="A3357" i="1"/>
  <c r="H3356" i="1"/>
  <c r="A3356" i="1"/>
  <c r="I3356" i="1" s="1"/>
  <c r="H3355" i="1"/>
  <c r="A3355" i="1"/>
  <c r="I3355" i="1" s="1"/>
  <c r="I3354" i="1"/>
  <c r="H3354" i="1"/>
  <c r="A3354" i="1"/>
  <c r="H3353" i="1"/>
  <c r="A3353" i="1"/>
  <c r="I3353" i="1" s="1"/>
  <c r="H3352" i="1"/>
  <c r="A3352" i="1"/>
  <c r="I3352" i="1" s="1"/>
  <c r="H3351" i="1"/>
  <c r="A3351" i="1"/>
  <c r="I3351" i="1" s="1"/>
  <c r="I3350" i="1"/>
  <c r="H3350" i="1"/>
  <c r="A3350" i="1"/>
  <c r="I3349" i="1"/>
  <c r="H3349" i="1"/>
  <c r="A3349" i="1"/>
  <c r="H3348" i="1"/>
  <c r="A3348" i="1"/>
  <c r="I3348" i="1" s="1"/>
  <c r="H3347" i="1"/>
  <c r="A3347" i="1"/>
  <c r="I3347" i="1" s="1"/>
  <c r="I3346" i="1"/>
  <c r="H3346" i="1"/>
  <c r="A3346" i="1"/>
  <c r="H3345" i="1"/>
  <c r="A3345" i="1"/>
  <c r="H3344" i="1"/>
  <c r="A3344" i="1"/>
  <c r="H3343" i="1"/>
  <c r="A3343" i="1"/>
  <c r="I3343" i="1" s="1"/>
  <c r="I3342" i="1"/>
  <c r="H3342" i="1"/>
  <c r="A3342" i="1"/>
  <c r="I3341" i="1"/>
  <c r="H3341" i="1"/>
  <c r="A3341" i="1"/>
  <c r="H3340" i="1"/>
  <c r="A3340" i="1"/>
  <c r="I3340" i="1" s="1"/>
  <c r="H3339" i="1"/>
  <c r="A3339" i="1"/>
  <c r="I3339" i="1" s="1"/>
  <c r="I3338" i="1"/>
  <c r="H3338" i="1"/>
  <c r="A3338" i="1"/>
  <c r="H3337" i="1"/>
  <c r="A3337" i="1"/>
  <c r="I3337" i="1" s="1"/>
  <c r="H3336" i="1"/>
  <c r="A3336" i="1"/>
  <c r="I3336" i="1" s="1"/>
  <c r="H3335" i="1"/>
  <c r="A3335" i="1"/>
  <c r="I3335" i="1" s="1"/>
  <c r="I3334" i="1"/>
  <c r="H3334" i="1"/>
  <c r="A3334" i="1"/>
  <c r="I3333" i="1"/>
  <c r="H3333" i="1"/>
  <c r="A3333" i="1"/>
  <c r="H3332" i="1"/>
  <c r="A3332" i="1"/>
  <c r="I3332" i="1" s="1"/>
  <c r="H3331" i="1"/>
  <c r="A3331" i="1"/>
  <c r="I3331" i="1" s="1"/>
  <c r="I3330" i="1"/>
  <c r="H3330" i="1"/>
  <c r="A3330" i="1"/>
  <c r="H3329" i="1"/>
  <c r="A3329" i="1"/>
  <c r="H3328" i="1"/>
  <c r="A3328" i="1"/>
  <c r="H3327" i="1"/>
  <c r="A3327" i="1"/>
  <c r="I3327" i="1" s="1"/>
  <c r="I3326" i="1"/>
  <c r="H3326" i="1"/>
  <c r="A3326" i="1"/>
  <c r="H3325" i="1"/>
  <c r="I3325" i="1" s="1"/>
  <c r="A3325" i="1"/>
  <c r="H3324" i="1"/>
  <c r="A3324" i="1"/>
  <c r="I3324" i="1" s="1"/>
  <c r="H3323" i="1"/>
  <c r="A3323" i="1"/>
  <c r="I3323" i="1" s="1"/>
  <c r="I3322" i="1"/>
  <c r="H3322" i="1"/>
  <c r="A3322" i="1"/>
  <c r="H3321" i="1"/>
  <c r="A3321" i="1"/>
  <c r="H3320" i="1"/>
  <c r="A3320" i="1"/>
  <c r="I3320" i="1" s="1"/>
  <c r="H3319" i="1"/>
  <c r="A3319" i="1"/>
  <c r="I3319" i="1" s="1"/>
  <c r="I3318" i="1"/>
  <c r="H3318" i="1"/>
  <c r="A3318" i="1"/>
  <c r="I3317" i="1"/>
  <c r="H3317" i="1"/>
  <c r="A3317" i="1"/>
  <c r="H3316" i="1"/>
  <c r="A3316" i="1"/>
  <c r="I3316" i="1" s="1"/>
  <c r="H3315" i="1"/>
  <c r="A3315" i="1"/>
  <c r="I3315" i="1" s="1"/>
  <c r="I3314" i="1"/>
  <c r="H3314" i="1"/>
  <c r="A3314" i="1"/>
  <c r="H3313" i="1"/>
  <c r="A3313" i="1"/>
  <c r="H3312" i="1"/>
  <c r="A3312" i="1"/>
  <c r="H3311" i="1"/>
  <c r="A3311" i="1"/>
  <c r="I3311" i="1" s="1"/>
  <c r="I3310" i="1"/>
  <c r="H3310" i="1"/>
  <c r="A3310" i="1"/>
  <c r="H3309" i="1"/>
  <c r="I3309" i="1" s="1"/>
  <c r="A3309" i="1"/>
  <c r="H3308" i="1"/>
  <c r="A3308" i="1"/>
  <c r="I3308" i="1" s="1"/>
  <c r="H3307" i="1"/>
  <c r="A3307" i="1"/>
  <c r="I3307" i="1" s="1"/>
  <c r="I3306" i="1"/>
  <c r="H3306" i="1"/>
  <c r="A3306" i="1"/>
  <c r="H3305" i="1"/>
  <c r="A3305" i="1"/>
  <c r="I3305" i="1" s="1"/>
  <c r="H3304" i="1"/>
  <c r="A3304" i="1"/>
  <c r="H3303" i="1"/>
  <c r="A3303" i="1"/>
  <c r="I3303" i="1" s="1"/>
  <c r="I3302" i="1"/>
  <c r="H3302" i="1"/>
  <c r="A3302" i="1"/>
  <c r="I3301" i="1"/>
  <c r="H3301" i="1"/>
  <c r="A3301" i="1"/>
  <c r="H3300" i="1"/>
  <c r="A3300" i="1"/>
  <c r="I3300" i="1" s="1"/>
  <c r="H3299" i="1"/>
  <c r="A3299" i="1"/>
  <c r="I3299" i="1" s="1"/>
  <c r="I3298" i="1"/>
  <c r="H3298" i="1"/>
  <c r="A3298" i="1"/>
  <c r="H3297" i="1"/>
  <c r="A3297" i="1"/>
  <c r="H3296" i="1"/>
  <c r="A3296" i="1"/>
  <c r="H3295" i="1"/>
  <c r="A3295" i="1"/>
  <c r="I3295" i="1" s="1"/>
  <c r="I3294" i="1"/>
  <c r="H3294" i="1"/>
  <c r="A3294" i="1"/>
  <c r="H3293" i="1"/>
  <c r="I3293" i="1" s="1"/>
  <c r="A3293" i="1"/>
  <c r="H3292" i="1"/>
  <c r="A3292" i="1"/>
  <c r="I3292" i="1" s="1"/>
  <c r="H3291" i="1"/>
  <c r="A3291" i="1"/>
  <c r="I3291" i="1" s="1"/>
  <c r="I3290" i="1"/>
  <c r="H3290" i="1"/>
  <c r="A3290" i="1"/>
  <c r="H3289" i="1"/>
  <c r="A3289" i="1"/>
  <c r="I3289" i="1" s="1"/>
  <c r="H3288" i="1"/>
  <c r="A3288" i="1"/>
  <c r="I3288" i="1" s="1"/>
  <c r="H3287" i="1"/>
  <c r="A3287" i="1"/>
  <c r="I3287" i="1" s="1"/>
  <c r="I3286" i="1"/>
  <c r="H3286" i="1"/>
  <c r="A3286" i="1"/>
  <c r="I3285" i="1"/>
  <c r="H3285" i="1"/>
  <c r="A3285" i="1"/>
  <c r="H3284" i="1"/>
  <c r="A3284" i="1"/>
  <c r="I3284" i="1" s="1"/>
  <c r="H3283" i="1"/>
  <c r="A3283" i="1"/>
  <c r="I3283" i="1" s="1"/>
  <c r="I3282" i="1"/>
  <c r="H3282" i="1"/>
  <c r="A3282" i="1"/>
  <c r="H3281" i="1"/>
  <c r="A3281" i="1"/>
  <c r="H3280" i="1"/>
  <c r="A3280" i="1"/>
  <c r="H3279" i="1"/>
  <c r="A3279" i="1"/>
  <c r="I3279" i="1" s="1"/>
  <c r="I3278" i="1"/>
  <c r="H3278" i="1"/>
  <c r="A3278" i="1"/>
  <c r="I3277" i="1"/>
  <c r="H3277" i="1"/>
  <c r="A3277" i="1"/>
  <c r="H3276" i="1"/>
  <c r="A3276" i="1"/>
  <c r="I3276" i="1" s="1"/>
  <c r="H3275" i="1"/>
  <c r="A3275" i="1"/>
  <c r="I3275" i="1" s="1"/>
  <c r="I3274" i="1"/>
  <c r="H3274" i="1"/>
  <c r="A3274" i="1"/>
  <c r="H3273" i="1"/>
  <c r="A3273" i="1"/>
  <c r="I3273" i="1" s="1"/>
  <c r="H3272" i="1"/>
  <c r="A3272" i="1"/>
  <c r="I3272" i="1" s="1"/>
  <c r="H3271" i="1"/>
  <c r="A3271" i="1"/>
  <c r="I3271" i="1" s="1"/>
  <c r="I3270" i="1"/>
  <c r="H3270" i="1"/>
  <c r="A3270" i="1"/>
  <c r="I3269" i="1"/>
  <c r="H3269" i="1"/>
  <c r="A3269" i="1"/>
  <c r="H3268" i="1"/>
  <c r="A3268" i="1"/>
  <c r="I3268" i="1" s="1"/>
  <c r="H3267" i="1"/>
  <c r="A3267" i="1"/>
  <c r="I3267" i="1" s="1"/>
  <c r="I3266" i="1"/>
  <c r="H3266" i="1"/>
  <c r="A3266" i="1"/>
  <c r="H3265" i="1"/>
  <c r="A3265" i="1"/>
  <c r="H3264" i="1"/>
  <c r="A3264" i="1"/>
  <c r="H3263" i="1"/>
  <c r="A3263" i="1"/>
  <c r="I3263" i="1" s="1"/>
  <c r="I3262" i="1"/>
  <c r="H3262" i="1"/>
  <c r="A3262" i="1"/>
  <c r="H3261" i="1"/>
  <c r="I3261" i="1" s="1"/>
  <c r="A3261" i="1"/>
  <c r="H3260" i="1"/>
  <c r="A3260" i="1"/>
  <c r="I3260" i="1" s="1"/>
  <c r="H3259" i="1"/>
  <c r="A3259" i="1"/>
  <c r="I3259" i="1" s="1"/>
  <c r="I3258" i="1"/>
  <c r="H3258" i="1"/>
  <c r="A3258" i="1"/>
  <c r="H3257" i="1"/>
  <c r="A3257" i="1"/>
  <c r="H3256" i="1"/>
  <c r="A3256" i="1"/>
  <c r="I3256" i="1" s="1"/>
  <c r="H3255" i="1"/>
  <c r="A3255" i="1"/>
  <c r="I3255" i="1" s="1"/>
  <c r="I3254" i="1"/>
  <c r="H3254" i="1"/>
  <c r="A3254" i="1"/>
  <c r="I3253" i="1"/>
  <c r="H3253" i="1"/>
  <c r="A3253" i="1"/>
  <c r="H3252" i="1"/>
  <c r="A3252" i="1"/>
  <c r="I3252" i="1" s="1"/>
  <c r="H3251" i="1"/>
  <c r="A3251" i="1"/>
  <c r="I3251" i="1" s="1"/>
  <c r="I3250" i="1"/>
  <c r="H3250" i="1"/>
  <c r="A3250" i="1"/>
  <c r="H3249" i="1"/>
  <c r="A3249" i="1"/>
  <c r="H3248" i="1"/>
  <c r="A3248" i="1"/>
  <c r="H3247" i="1"/>
  <c r="A3247" i="1"/>
  <c r="I3247" i="1" s="1"/>
  <c r="I3246" i="1"/>
  <c r="H3246" i="1"/>
  <c r="A3246" i="1"/>
  <c r="H3245" i="1"/>
  <c r="I3245" i="1" s="1"/>
  <c r="A3245" i="1"/>
  <c r="H3244" i="1"/>
  <c r="A3244" i="1"/>
  <c r="I3244" i="1" s="1"/>
  <c r="H3243" i="1"/>
  <c r="A3243" i="1"/>
  <c r="I3243" i="1" s="1"/>
  <c r="I3242" i="1"/>
  <c r="H3242" i="1"/>
  <c r="A3242" i="1"/>
  <c r="H3241" i="1"/>
  <c r="A3241" i="1"/>
  <c r="I3241" i="1" s="1"/>
  <c r="H3240" i="1"/>
  <c r="A3240" i="1"/>
  <c r="H3239" i="1"/>
  <c r="A3239" i="1"/>
  <c r="I3239" i="1" s="1"/>
  <c r="I3238" i="1"/>
  <c r="H3238" i="1"/>
  <c r="A3238" i="1"/>
  <c r="I3237" i="1"/>
  <c r="H3237" i="1"/>
  <c r="A3237" i="1"/>
  <c r="H3236" i="1"/>
  <c r="A3236" i="1"/>
  <c r="I3236" i="1" s="1"/>
  <c r="H3235" i="1"/>
  <c r="A3235" i="1"/>
  <c r="I3235" i="1" s="1"/>
  <c r="I3234" i="1"/>
  <c r="H3234" i="1"/>
  <c r="A3234" i="1"/>
  <c r="H3233" i="1"/>
  <c r="A3233" i="1"/>
  <c r="H3232" i="1"/>
  <c r="A3232" i="1"/>
  <c r="H3231" i="1"/>
  <c r="A3231" i="1"/>
  <c r="I3231" i="1" s="1"/>
  <c r="I3230" i="1"/>
  <c r="H3230" i="1"/>
  <c r="A3230" i="1"/>
  <c r="H3229" i="1"/>
  <c r="I3229" i="1" s="1"/>
  <c r="A3229" i="1"/>
  <c r="H3228" i="1"/>
  <c r="A3228" i="1"/>
  <c r="I3228" i="1" s="1"/>
  <c r="H3227" i="1"/>
  <c r="A3227" i="1"/>
  <c r="I3227" i="1" s="1"/>
  <c r="I3226" i="1"/>
  <c r="H3226" i="1"/>
  <c r="A3226" i="1"/>
  <c r="H3225" i="1"/>
  <c r="A3225" i="1"/>
  <c r="I3225" i="1" s="1"/>
  <c r="H3224" i="1"/>
  <c r="A3224" i="1"/>
  <c r="I3224" i="1" s="1"/>
  <c r="H3223" i="1"/>
  <c r="A3223" i="1"/>
  <c r="I3223" i="1" s="1"/>
  <c r="I3222" i="1"/>
  <c r="H3222" i="1"/>
  <c r="A3222" i="1"/>
  <c r="I3221" i="1"/>
  <c r="H3221" i="1"/>
  <c r="A3221" i="1"/>
  <c r="H3220" i="1"/>
  <c r="A3220" i="1"/>
  <c r="I3220" i="1" s="1"/>
  <c r="H3219" i="1"/>
  <c r="A3219" i="1"/>
  <c r="I3219" i="1" s="1"/>
  <c r="I3218" i="1"/>
  <c r="H3218" i="1"/>
  <c r="A3218" i="1"/>
  <c r="H3217" i="1"/>
  <c r="A3217" i="1"/>
  <c r="H3216" i="1"/>
  <c r="A3216" i="1"/>
  <c r="H3215" i="1"/>
  <c r="A3215" i="1"/>
  <c r="I3215" i="1" s="1"/>
  <c r="I3214" i="1"/>
  <c r="H3214" i="1"/>
  <c r="A3214" i="1"/>
  <c r="I3213" i="1"/>
  <c r="H3213" i="1"/>
  <c r="A3213" i="1"/>
  <c r="H3212" i="1"/>
  <c r="A3212" i="1"/>
  <c r="I3212" i="1" s="1"/>
  <c r="H3211" i="1"/>
  <c r="A3211" i="1"/>
  <c r="I3211" i="1" s="1"/>
  <c r="I3210" i="1"/>
  <c r="H3210" i="1"/>
  <c r="A3210" i="1"/>
  <c r="H3209" i="1"/>
  <c r="A3209" i="1"/>
  <c r="I3209" i="1" s="1"/>
  <c r="H3208" i="1"/>
  <c r="A3208" i="1"/>
  <c r="I3208" i="1" s="1"/>
  <c r="H3207" i="1"/>
  <c r="A3207" i="1"/>
  <c r="I3207" i="1" s="1"/>
  <c r="I3206" i="1"/>
  <c r="H3206" i="1"/>
  <c r="A3206" i="1"/>
  <c r="I3205" i="1"/>
  <c r="H3205" i="1"/>
  <c r="A3205" i="1"/>
  <c r="H3204" i="1"/>
  <c r="A3204" i="1"/>
  <c r="I3204" i="1" s="1"/>
  <c r="H3203" i="1"/>
  <c r="A3203" i="1"/>
  <c r="I3203" i="1" s="1"/>
  <c r="I3202" i="1"/>
  <c r="H3202" i="1"/>
  <c r="A3202" i="1"/>
  <c r="H3201" i="1"/>
  <c r="A3201" i="1"/>
  <c r="H3200" i="1"/>
  <c r="A3200" i="1"/>
  <c r="H3199" i="1"/>
  <c r="A3199" i="1"/>
  <c r="I3199" i="1" s="1"/>
  <c r="I3198" i="1"/>
  <c r="H3198" i="1"/>
  <c r="A3198" i="1"/>
  <c r="H3197" i="1"/>
  <c r="I3197" i="1" s="1"/>
  <c r="A3197" i="1"/>
  <c r="H3196" i="1"/>
  <c r="A3196" i="1"/>
  <c r="I3196" i="1" s="1"/>
  <c r="H3195" i="1"/>
  <c r="A3195" i="1"/>
  <c r="I3195" i="1" s="1"/>
  <c r="I3194" i="1"/>
  <c r="H3194" i="1"/>
  <c r="A3194" i="1"/>
  <c r="H3193" i="1"/>
  <c r="A3193" i="1"/>
  <c r="H3192" i="1"/>
  <c r="A3192" i="1"/>
  <c r="I3192" i="1" s="1"/>
  <c r="H3191" i="1"/>
  <c r="A3191" i="1"/>
  <c r="I3191" i="1" s="1"/>
  <c r="I3190" i="1"/>
  <c r="H3190" i="1"/>
  <c r="A3190" i="1"/>
  <c r="I3189" i="1"/>
  <c r="H3189" i="1"/>
  <c r="A3189" i="1"/>
  <c r="H3188" i="1"/>
  <c r="A3188" i="1"/>
  <c r="I3188" i="1" s="1"/>
  <c r="H3187" i="1"/>
  <c r="A3187" i="1"/>
  <c r="I3187" i="1" s="1"/>
  <c r="I3186" i="1"/>
  <c r="H3186" i="1"/>
  <c r="A3186" i="1"/>
  <c r="H3185" i="1"/>
  <c r="A3185" i="1"/>
  <c r="H3184" i="1"/>
  <c r="A3184" i="1"/>
  <c r="H3183" i="1"/>
  <c r="A3183" i="1"/>
  <c r="I3183" i="1" s="1"/>
  <c r="I3182" i="1"/>
  <c r="H3182" i="1"/>
  <c r="A3182" i="1"/>
  <c r="H3181" i="1"/>
  <c r="I3181" i="1" s="1"/>
  <c r="A3181" i="1"/>
  <c r="H3180" i="1"/>
  <c r="A3180" i="1"/>
  <c r="I3180" i="1" s="1"/>
  <c r="H3179" i="1"/>
  <c r="A3179" i="1"/>
  <c r="I3179" i="1" s="1"/>
  <c r="I3178" i="1"/>
  <c r="H3178" i="1"/>
  <c r="A3178" i="1"/>
  <c r="H3177" i="1"/>
  <c r="A3177" i="1"/>
  <c r="I3177" i="1" s="1"/>
  <c r="H3176" i="1"/>
  <c r="A3176" i="1"/>
  <c r="H3175" i="1"/>
  <c r="A3175" i="1"/>
  <c r="I3175" i="1" s="1"/>
  <c r="I3174" i="1"/>
  <c r="H3174" i="1"/>
  <c r="A3174" i="1"/>
  <c r="I3173" i="1"/>
  <c r="H3173" i="1"/>
  <c r="A3173" i="1"/>
  <c r="H3172" i="1"/>
  <c r="A3172" i="1"/>
  <c r="I3172" i="1" s="1"/>
  <c r="H3171" i="1"/>
  <c r="A3171" i="1"/>
  <c r="I3171" i="1" s="1"/>
  <c r="I3170" i="1"/>
  <c r="H3170" i="1"/>
  <c r="A3170" i="1"/>
  <c r="H3169" i="1"/>
  <c r="A3169" i="1"/>
  <c r="H3168" i="1"/>
  <c r="A3168" i="1"/>
  <c r="H3167" i="1"/>
  <c r="A3167" i="1"/>
  <c r="I3167" i="1" s="1"/>
  <c r="I3166" i="1"/>
  <c r="H3166" i="1"/>
  <c r="A3166" i="1"/>
  <c r="H3165" i="1"/>
  <c r="I3165" i="1" s="1"/>
  <c r="A3165" i="1"/>
  <c r="H3164" i="1"/>
  <c r="A3164" i="1"/>
  <c r="I3164" i="1" s="1"/>
  <c r="H3163" i="1"/>
  <c r="A3163" i="1"/>
  <c r="I3163" i="1" s="1"/>
  <c r="I3162" i="1"/>
  <c r="H3162" i="1"/>
  <c r="A3162" i="1"/>
  <c r="H3161" i="1"/>
  <c r="A3161" i="1"/>
  <c r="I3161" i="1" s="1"/>
  <c r="H3160" i="1"/>
  <c r="A3160" i="1"/>
  <c r="I3160" i="1" s="1"/>
  <c r="H3159" i="1"/>
  <c r="A3159" i="1"/>
  <c r="I3159" i="1" s="1"/>
  <c r="I3158" i="1"/>
  <c r="H3158" i="1"/>
  <c r="A3158" i="1"/>
  <c r="I3157" i="1"/>
  <c r="H3157" i="1"/>
  <c r="A3157" i="1"/>
  <c r="H3156" i="1"/>
  <c r="A3156" i="1"/>
  <c r="I3156" i="1" s="1"/>
  <c r="H3155" i="1"/>
  <c r="A3155" i="1"/>
  <c r="I3155" i="1" s="1"/>
  <c r="I3154" i="1"/>
  <c r="H3154" i="1"/>
  <c r="A3154" i="1"/>
  <c r="H3153" i="1"/>
  <c r="A3153" i="1"/>
  <c r="H3152" i="1"/>
  <c r="A3152" i="1"/>
  <c r="H3151" i="1"/>
  <c r="A3151" i="1"/>
  <c r="I3151" i="1" s="1"/>
  <c r="I3150" i="1"/>
  <c r="H3150" i="1"/>
  <c r="A3150" i="1"/>
  <c r="I3149" i="1"/>
  <c r="H3149" i="1"/>
  <c r="A3149" i="1"/>
  <c r="H3148" i="1"/>
  <c r="A3148" i="1"/>
  <c r="I3148" i="1" s="1"/>
  <c r="H3147" i="1"/>
  <c r="A3147" i="1"/>
  <c r="I3147" i="1" s="1"/>
  <c r="I3146" i="1"/>
  <c r="H3146" i="1"/>
  <c r="A3146" i="1"/>
  <c r="H3145" i="1"/>
  <c r="A3145" i="1"/>
  <c r="I3145" i="1" s="1"/>
  <c r="H3144" i="1"/>
  <c r="A3144" i="1"/>
  <c r="I3144" i="1" s="1"/>
  <c r="H3143" i="1"/>
  <c r="A3143" i="1"/>
  <c r="I3143" i="1" s="1"/>
  <c r="I3142" i="1"/>
  <c r="H3142" i="1"/>
  <c r="A3142" i="1"/>
  <c r="I3141" i="1"/>
  <c r="H3141" i="1"/>
  <c r="A3141" i="1"/>
  <c r="H3140" i="1"/>
  <c r="A3140" i="1"/>
  <c r="I3140" i="1" s="1"/>
  <c r="H3139" i="1"/>
  <c r="A3139" i="1"/>
  <c r="I3139" i="1" s="1"/>
  <c r="I3138" i="1"/>
  <c r="H3138" i="1"/>
  <c r="A3138" i="1"/>
  <c r="H3137" i="1"/>
  <c r="A3137" i="1"/>
  <c r="H3136" i="1"/>
  <c r="A3136" i="1"/>
  <c r="H3135" i="1"/>
  <c r="A3135" i="1"/>
  <c r="I3135" i="1" s="1"/>
  <c r="I3134" i="1"/>
  <c r="H3134" i="1"/>
  <c r="A3134" i="1"/>
  <c r="H3133" i="1"/>
  <c r="I3133" i="1" s="1"/>
  <c r="A3133" i="1"/>
  <c r="H3132" i="1"/>
  <c r="A3132" i="1"/>
  <c r="I3132" i="1" s="1"/>
  <c r="H3131" i="1"/>
  <c r="A3131" i="1"/>
  <c r="I3131" i="1" s="1"/>
  <c r="I3130" i="1"/>
  <c r="H3130" i="1"/>
  <c r="A3130" i="1"/>
  <c r="H3129" i="1"/>
  <c r="A3129" i="1"/>
  <c r="H3128" i="1"/>
  <c r="A3128" i="1"/>
  <c r="I3128" i="1" s="1"/>
  <c r="H3127" i="1"/>
  <c r="A3127" i="1"/>
  <c r="I3127" i="1" s="1"/>
  <c r="I3126" i="1"/>
  <c r="H3126" i="1"/>
  <c r="A3126" i="1"/>
  <c r="H3125" i="1"/>
  <c r="I3125" i="1" s="1"/>
  <c r="A3125" i="1"/>
  <c r="H3124" i="1"/>
  <c r="A3124" i="1"/>
  <c r="I3124" i="1" s="1"/>
  <c r="H3123" i="1"/>
  <c r="A3123" i="1"/>
  <c r="I3123" i="1" s="1"/>
  <c r="I3122" i="1"/>
  <c r="H3122" i="1"/>
  <c r="A3122" i="1"/>
  <c r="H3121" i="1"/>
  <c r="A3121" i="1"/>
  <c r="H3120" i="1"/>
  <c r="A3120" i="1"/>
  <c r="H3119" i="1"/>
  <c r="A3119" i="1"/>
  <c r="I3119" i="1" s="1"/>
  <c r="I3118" i="1"/>
  <c r="H3118" i="1"/>
  <c r="A3118" i="1"/>
  <c r="H3117" i="1"/>
  <c r="I3117" i="1" s="1"/>
  <c r="A3117" i="1"/>
  <c r="H3116" i="1"/>
  <c r="A3116" i="1"/>
  <c r="I3116" i="1" s="1"/>
  <c r="H3115" i="1"/>
  <c r="A3115" i="1"/>
  <c r="I3115" i="1" s="1"/>
  <c r="I3114" i="1"/>
  <c r="H3114" i="1"/>
  <c r="A3114" i="1"/>
  <c r="H3113" i="1"/>
  <c r="A3113" i="1"/>
  <c r="I3113" i="1" s="1"/>
  <c r="H3112" i="1"/>
  <c r="A3112" i="1"/>
  <c r="H3111" i="1"/>
  <c r="A3111" i="1"/>
  <c r="I3111" i="1" s="1"/>
  <c r="I3110" i="1"/>
  <c r="H3110" i="1"/>
  <c r="A3110" i="1"/>
  <c r="I3109" i="1"/>
  <c r="H3109" i="1"/>
  <c r="A3109" i="1"/>
  <c r="H3108" i="1"/>
  <c r="A3108" i="1"/>
  <c r="I3108" i="1" s="1"/>
  <c r="H3107" i="1"/>
  <c r="A3107" i="1"/>
  <c r="I3107" i="1" s="1"/>
  <c r="I3106" i="1"/>
  <c r="H3106" i="1"/>
  <c r="A3106" i="1"/>
  <c r="H3105" i="1"/>
  <c r="A3105" i="1"/>
  <c r="H3104" i="1"/>
  <c r="A3104" i="1"/>
  <c r="H3103" i="1"/>
  <c r="A3103" i="1"/>
  <c r="I3103" i="1" s="1"/>
  <c r="I3102" i="1"/>
  <c r="H3102" i="1"/>
  <c r="A3102" i="1"/>
  <c r="H3101" i="1"/>
  <c r="I3101" i="1" s="1"/>
  <c r="A3101" i="1"/>
  <c r="H3100" i="1"/>
  <c r="A3100" i="1"/>
  <c r="I3100" i="1" s="1"/>
  <c r="H3099" i="1"/>
  <c r="A3099" i="1"/>
  <c r="I3099" i="1" s="1"/>
  <c r="I3098" i="1"/>
  <c r="H3098" i="1"/>
  <c r="A3098" i="1"/>
  <c r="H3097" i="1"/>
  <c r="A3097" i="1"/>
  <c r="I3097" i="1" s="1"/>
  <c r="H3096" i="1"/>
  <c r="A3096" i="1"/>
  <c r="I3096" i="1" s="1"/>
  <c r="H3095" i="1"/>
  <c r="A3095" i="1"/>
  <c r="I3095" i="1" s="1"/>
  <c r="I3094" i="1"/>
  <c r="H3094" i="1"/>
  <c r="A3094" i="1"/>
  <c r="I3093" i="1"/>
  <c r="H3093" i="1"/>
  <c r="A3093" i="1"/>
  <c r="H3092" i="1"/>
  <c r="A3092" i="1"/>
  <c r="I3092" i="1" s="1"/>
  <c r="H3091" i="1"/>
  <c r="A3091" i="1"/>
  <c r="I3091" i="1" s="1"/>
  <c r="I3090" i="1"/>
  <c r="H3090" i="1"/>
  <c r="A3090" i="1"/>
  <c r="H3089" i="1"/>
  <c r="A3089" i="1"/>
  <c r="H3088" i="1"/>
  <c r="A3088" i="1"/>
  <c r="H3087" i="1"/>
  <c r="A3087" i="1"/>
  <c r="I3087" i="1" s="1"/>
  <c r="I3086" i="1"/>
  <c r="H3086" i="1"/>
  <c r="A3086" i="1"/>
  <c r="I3085" i="1"/>
  <c r="H3085" i="1"/>
  <c r="A3085" i="1"/>
  <c r="H3084" i="1"/>
  <c r="A3084" i="1"/>
  <c r="I3084" i="1" s="1"/>
  <c r="H3083" i="1"/>
  <c r="A3083" i="1"/>
  <c r="I3083" i="1" s="1"/>
  <c r="I3082" i="1"/>
  <c r="H3082" i="1"/>
  <c r="A3082" i="1"/>
  <c r="H3081" i="1"/>
  <c r="A3081" i="1"/>
  <c r="I3081" i="1" s="1"/>
  <c r="H3080" i="1"/>
  <c r="A3080" i="1"/>
  <c r="I3080" i="1" s="1"/>
  <c r="H3079" i="1"/>
  <c r="A3079" i="1"/>
  <c r="I3079" i="1" s="1"/>
  <c r="I3078" i="1"/>
  <c r="H3078" i="1"/>
  <c r="A3078" i="1"/>
  <c r="I3077" i="1"/>
  <c r="H3077" i="1"/>
  <c r="A3077" i="1"/>
  <c r="H3076" i="1"/>
  <c r="A3076" i="1"/>
  <c r="I3076" i="1" s="1"/>
  <c r="H3075" i="1"/>
  <c r="A3075" i="1"/>
  <c r="I3075" i="1" s="1"/>
  <c r="I3074" i="1"/>
  <c r="H3074" i="1"/>
  <c r="A3074" i="1"/>
  <c r="H3073" i="1"/>
  <c r="A3073" i="1"/>
  <c r="H3072" i="1"/>
  <c r="A3072" i="1"/>
  <c r="H3071" i="1"/>
  <c r="A3071" i="1"/>
  <c r="I3071" i="1" s="1"/>
  <c r="I3070" i="1"/>
  <c r="H3070" i="1"/>
  <c r="A3070" i="1"/>
  <c r="H3069" i="1"/>
  <c r="I3069" i="1" s="1"/>
  <c r="A3069" i="1"/>
  <c r="H3068" i="1"/>
  <c r="A3068" i="1"/>
  <c r="I3068" i="1" s="1"/>
  <c r="H3067" i="1"/>
  <c r="A3067" i="1"/>
  <c r="I3067" i="1" s="1"/>
  <c r="I3066" i="1"/>
  <c r="H3066" i="1"/>
  <c r="A3066" i="1"/>
  <c r="H3065" i="1"/>
  <c r="A3065" i="1"/>
  <c r="H3064" i="1"/>
  <c r="A3064" i="1"/>
  <c r="I3064" i="1" s="1"/>
  <c r="H3063" i="1"/>
  <c r="A3063" i="1"/>
  <c r="I3063" i="1" s="1"/>
  <c r="I3062" i="1"/>
  <c r="H3062" i="1"/>
  <c r="A3062" i="1"/>
  <c r="H3061" i="1"/>
  <c r="I3061" i="1" s="1"/>
  <c r="A3061" i="1"/>
  <c r="H3060" i="1"/>
  <c r="A3060" i="1"/>
  <c r="I3060" i="1" s="1"/>
  <c r="H3059" i="1"/>
  <c r="A3059" i="1"/>
  <c r="I3059" i="1" s="1"/>
  <c r="I3058" i="1"/>
  <c r="H3058" i="1"/>
  <c r="A3058" i="1"/>
  <c r="H3057" i="1"/>
  <c r="A3057" i="1"/>
  <c r="H3056" i="1"/>
  <c r="A3056" i="1"/>
  <c r="H3055" i="1"/>
  <c r="A3055" i="1"/>
  <c r="I3055" i="1" s="1"/>
  <c r="I3054" i="1"/>
  <c r="H3054" i="1"/>
  <c r="A3054" i="1"/>
  <c r="H3053" i="1"/>
  <c r="I3053" i="1" s="1"/>
  <c r="A3053" i="1"/>
  <c r="H3052" i="1"/>
  <c r="A3052" i="1"/>
  <c r="I3052" i="1" s="1"/>
  <c r="H3051" i="1"/>
  <c r="A3051" i="1"/>
  <c r="I3051" i="1" s="1"/>
  <c r="I3050" i="1"/>
  <c r="H3050" i="1"/>
  <c r="A3050" i="1"/>
  <c r="H3049" i="1"/>
  <c r="A3049" i="1"/>
  <c r="I3049" i="1" s="1"/>
  <c r="H3048" i="1"/>
  <c r="A3048" i="1"/>
  <c r="H3047" i="1"/>
  <c r="A3047" i="1"/>
  <c r="I3047" i="1" s="1"/>
  <c r="I3046" i="1"/>
  <c r="H3046" i="1"/>
  <c r="A3046" i="1"/>
  <c r="I3045" i="1"/>
  <c r="H3045" i="1"/>
  <c r="A3045" i="1"/>
  <c r="H3044" i="1"/>
  <c r="A3044" i="1"/>
  <c r="I3044" i="1" s="1"/>
  <c r="H3043" i="1"/>
  <c r="A3043" i="1"/>
  <c r="I3043" i="1" s="1"/>
  <c r="I3042" i="1"/>
  <c r="H3042" i="1"/>
  <c r="A3042" i="1"/>
  <c r="H3041" i="1"/>
  <c r="A3041" i="1"/>
  <c r="H3040" i="1"/>
  <c r="A3040" i="1"/>
  <c r="H3039" i="1"/>
  <c r="A3039" i="1"/>
  <c r="I3039" i="1" s="1"/>
  <c r="I3038" i="1"/>
  <c r="H3038" i="1"/>
  <c r="A3038" i="1"/>
  <c r="H3037" i="1"/>
  <c r="I3037" i="1" s="1"/>
  <c r="A3037" i="1"/>
  <c r="H3036" i="1"/>
  <c r="A3036" i="1"/>
  <c r="I3036" i="1" s="1"/>
  <c r="H3035" i="1"/>
  <c r="A3035" i="1"/>
  <c r="I3035" i="1" s="1"/>
  <c r="I3034" i="1"/>
  <c r="H3034" i="1"/>
  <c r="A3034" i="1"/>
  <c r="H3033" i="1"/>
  <c r="A3033" i="1"/>
  <c r="I3033" i="1" s="1"/>
  <c r="H3032" i="1"/>
  <c r="A3032" i="1"/>
  <c r="I3032" i="1" s="1"/>
  <c r="H3031" i="1"/>
  <c r="A3031" i="1"/>
  <c r="I3031" i="1" s="1"/>
  <c r="I3030" i="1"/>
  <c r="H3030" i="1"/>
  <c r="A3030" i="1"/>
  <c r="I3029" i="1"/>
  <c r="H3029" i="1"/>
  <c r="A3029" i="1"/>
  <c r="H3028" i="1"/>
  <c r="A3028" i="1"/>
  <c r="I3028" i="1" s="1"/>
  <c r="H3027" i="1"/>
  <c r="A3027" i="1"/>
  <c r="I3027" i="1" s="1"/>
  <c r="I3026" i="1"/>
  <c r="H3026" i="1"/>
  <c r="A3026" i="1"/>
  <c r="H3025" i="1"/>
  <c r="A3025" i="1"/>
  <c r="H3024" i="1"/>
  <c r="A3024" i="1"/>
  <c r="H3023" i="1"/>
  <c r="A3023" i="1"/>
  <c r="I3023" i="1" s="1"/>
  <c r="I3022" i="1"/>
  <c r="H3022" i="1"/>
  <c r="A3022" i="1"/>
  <c r="I3021" i="1"/>
  <c r="H3021" i="1"/>
  <c r="A3021" i="1"/>
  <c r="H3020" i="1"/>
  <c r="A3020" i="1"/>
  <c r="I3020" i="1" s="1"/>
  <c r="H3019" i="1"/>
  <c r="A3019" i="1"/>
  <c r="I3019" i="1" s="1"/>
  <c r="I3018" i="1"/>
  <c r="H3018" i="1"/>
  <c r="A3018" i="1"/>
  <c r="H3017" i="1"/>
  <c r="A3017" i="1"/>
  <c r="I3017" i="1" s="1"/>
  <c r="H3016" i="1"/>
  <c r="A3016" i="1"/>
  <c r="I3016" i="1" s="1"/>
  <c r="H3015" i="1"/>
  <c r="A3015" i="1"/>
  <c r="I3015" i="1" s="1"/>
  <c r="I3014" i="1"/>
  <c r="H3014" i="1"/>
  <c r="A3014" i="1"/>
  <c r="I3013" i="1"/>
  <c r="H3013" i="1"/>
  <c r="A3013" i="1"/>
  <c r="H3012" i="1"/>
  <c r="A3012" i="1"/>
  <c r="I3012" i="1" s="1"/>
  <c r="H3011" i="1"/>
  <c r="A3011" i="1"/>
  <c r="I3011" i="1" s="1"/>
  <c r="I3010" i="1"/>
  <c r="H3010" i="1"/>
  <c r="A3010" i="1"/>
  <c r="H3009" i="1"/>
  <c r="A3009" i="1"/>
  <c r="I3009" i="1" s="1"/>
  <c r="H3008" i="1"/>
  <c r="A3008" i="1"/>
  <c r="H3007" i="1"/>
  <c r="A3007" i="1"/>
  <c r="I3007" i="1" s="1"/>
  <c r="I3006" i="1"/>
  <c r="H3006" i="1"/>
  <c r="A3006" i="1"/>
  <c r="I3005" i="1"/>
  <c r="H3005" i="1"/>
  <c r="A3005" i="1"/>
  <c r="I3004" i="1"/>
  <c r="H3004" i="1"/>
  <c r="A3004" i="1"/>
  <c r="H3003" i="1"/>
  <c r="A3003" i="1"/>
  <c r="I3003" i="1" s="1"/>
  <c r="I3002" i="1"/>
  <c r="H3002" i="1"/>
  <c r="A3002" i="1"/>
  <c r="H3001" i="1"/>
  <c r="A3001" i="1"/>
  <c r="I3001" i="1" s="1"/>
  <c r="H3000" i="1"/>
  <c r="A3000" i="1"/>
  <c r="I3000" i="1" s="1"/>
  <c r="H2999" i="1"/>
  <c r="A2999" i="1"/>
  <c r="I2999" i="1" s="1"/>
  <c r="I2998" i="1"/>
  <c r="H2998" i="1"/>
  <c r="A2998" i="1"/>
  <c r="I2997" i="1"/>
  <c r="H2997" i="1"/>
  <c r="A2997" i="1"/>
  <c r="H2996" i="1"/>
  <c r="A2996" i="1"/>
  <c r="I2996" i="1" s="1"/>
  <c r="H2995" i="1"/>
  <c r="A2995" i="1"/>
  <c r="I2995" i="1" s="1"/>
  <c r="I2994" i="1"/>
  <c r="H2994" i="1"/>
  <c r="A2994" i="1"/>
  <c r="H2993" i="1"/>
  <c r="A2993" i="1"/>
  <c r="I2993" i="1" s="1"/>
  <c r="H2992" i="1"/>
  <c r="A2992" i="1"/>
  <c r="H2991" i="1"/>
  <c r="A2991" i="1"/>
  <c r="I2991" i="1" s="1"/>
  <c r="I2990" i="1"/>
  <c r="H2990" i="1"/>
  <c r="A2990" i="1"/>
  <c r="I2989" i="1"/>
  <c r="H2989" i="1"/>
  <c r="A2989" i="1"/>
  <c r="I2988" i="1"/>
  <c r="H2988" i="1"/>
  <c r="A2988" i="1"/>
  <c r="H2987" i="1"/>
  <c r="A2987" i="1"/>
  <c r="I2987" i="1" s="1"/>
  <c r="I2986" i="1"/>
  <c r="H2986" i="1"/>
  <c r="A2986" i="1"/>
  <c r="H2985" i="1"/>
  <c r="A2985" i="1"/>
  <c r="I2985" i="1" s="1"/>
  <c r="H2984" i="1"/>
  <c r="A2984" i="1"/>
  <c r="I2984" i="1" s="1"/>
  <c r="H2983" i="1"/>
  <c r="A2983" i="1"/>
  <c r="I2983" i="1" s="1"/>
  <c r="I2982" i="1"/>
  <c r="H2982" i="1"/>
  <c r="A2982" i="1"/>
  <c r="I2981" i="1"/>
  <c r="H2981" i="1"/>
  <c r="A2981" i="1"/>
  <c r="H2980" i="1"/>
  <c r="A2980" i="1"/>
  <c r="I2980" i="1" s="1"/>
  <c r="H2979" i="1"/>
  <c r="A2979" i="1"/>
  <c r="I2979" i="1" s="1"/>
  <c r="I2978" i="1"/>
  <c r="H2978" i="1"/>
  <c r="A2978" i="1"/>
  <c r="H2977" i="1"/>
  <c r="A2977" i="1"/>
  <c r="I2977" i="1" s="1"/>
  <c r="H2976" i="1"/>
  <c r="A2976" i="1"/>
  <c r="H2975" i="1"/>
  <c r="A2975" i="1"/>
  <c r="I2975" i="1" s="1"/>
  <c r="I2974" i="1"/>
  <c r="H2974" i="1"/>
  <c r="A2974" i="1"/>
  <c r="I2973" i="1"/>
  <c r="H2973" i="1"/>
  <c r="A2973" i="1"/>
  <c r="I2972" i="1"/>
  <c r="H2972" i="1"/>
  <c r="A2972" i="1"/>
  <c r="H2971" i="1"/>
  <c r="A2971" i="1"/>
  <c r="I2971" i="1" s="1"/>
  <c r="I2970" i="1"/>
  <c r="H2970" i="1"/>
  <c r="A2970" i="1"/>
  <c r="H2969" i="1"/>
  <c r="A2969" i="1"/>
  <c r="I2969" i="1" s="1"/>
  <c r="H2968" i="1"/>
  <c r="A2968" i="1"/>
  <c r="I2968" i="1" s="1"/>
  <c r="H2967" i="1"/>
  <c r="A2967" i="1"/>
  <c r="I2967" i="1" s="1"/>
  <c r="I2966" i="1"/>
  <c r="H2966" i="1"/>
  <c r="A2966" i="1"/>
  <c r="I2965" i="1"/>
  <c r="H2965" i="1"/>
  <c r="A2965" i="1"/>
  <c r="H2964" i="1"/>
  <c r="A2964" i="1"/>
  <c r="I2964" i="1" s="1"/>
  <c r="H2963" i="1"/>
  <c r="A2963" i="1"/>
  <c r="I2963" i="1" s="1"/>
  <c r="I2962" i="1"/>
  <c r="H2962" i="1"/>
  <c r="A2962" i="1"/>
  <c r="H2961" i="1"/>
  <c r="A2961" i="1"/>
  <c r="I2961" i="1" s="1"/>
  <c r="H2960" i="1"/>
  <c r="A2960" i="1"/>
  <c r="H2959" i="1"/>
  <c r="A2959" i="1"/>
  <c r="I2959" i="1" s="1"/>
  <c r="I2958" i="1"/>
  <c r="H2958" i="1"/>
  <c r="A2958" i="1"/>
  <c r="I2957" i="1"/>
  <c r="H2957" i="1"/>
  <c r="A2957" i="1"/>
  <c r="I2956" i="1"/>
  <c r="H2956" i="1"/>
  <c r="A2956" i="1"/>
  <c r="H2955" i="1"/>
  <c r="A2955" i="1"/>
  <c r="I2955" i="1" s="1"/>
  <c r="I2954" i="1"/>
  <c r="H2954" i="1"/>
  <c r="A2954" i="1"/>
  <c r="H2953" i="1"/>
  <c r="A2953" i="1"/>
  <c r="I2953" i="1" s="1"/>
  <c r="H2952" i="1"/>
  <c r="A2952" i="1"/>
  <c r="I2952" i="1" s="1"/>
  <c r="H2951" i="1"/>
  <c r="A2951" i="1"/>
  <c r="I2951" i="1" s="1"/>
  <c r="I2950" i="1"/>
  <c r="H2950" i="1"/>
  <c r="A2950" i="1"/>
  <c r="I2949" i="1"/>
  <c r="H2949" i="1"/>
  <c r="A2949" i="1"/>
  <c r="H2948" i="1"/>
  <c r="A2948" i="1"/>
  <c r="I2948" i="1" s="1"/>
  <c r="H2947" i="1"/>
  <c r="A2947" i="1"/>
  <c r="I2947" i="1" s="1"/>
  <c r="I2946" i="1"/>
  <c r="H2946" i="1"/>
  <c r="A2946" i="1"/>
  <c r="H2945" i="1"/>
  <c r="A2945" i="1"/>
  <c r="I2945" i="1" s="1"/>
  <c r="H2944" i="1"/>
  <c r="A2944" i="1"/>
  <c r="H2943" i="1"/>
  <c r="A2943" i="1"/>
  <c r="I2943" i="1" s="1"/>
  <c r="I2942" i="1"/>
  <c r="H2942" i="1"/>
  <c r="A2942" i="1"/>
  <c r="I2941" i="1"/>
  <c r="H2941" i="1"/>
  <c r="A2941" i="1"/>
  <c r="I2940" i="1"/>
  <c r="H2940" i="1"/>
  <c r="A2940" i="1"/>
  <c r="H2939" i="1"/>
  <c r="A2939" i="1"/>
  <c r="I2939" i="1" s="1"/>
  <c r="I2938" i="1"/>
  <c r="H2938" i="1"/>
  <c r="A2938" i="1"/>
  <c r="H2937" i="1"/>
  <c r="A2937" i="1"/>
  <c r="I2937" i="1" s="1"/>
  <c r="H2936" i="1"/>
  <c r="A2936" i="1"/>
  <c r="I2936" i="1" s="1"/>
  <c r="H2935" i="1"/>
  <c r="A2935" i="1"/>
  <c r="I2935" i="1" s="1"/>
  <c r="I2934" i="1"/>
  <c r="H2934" i="1"/>
  <c r="A2934" i="1"/>
  <c r="I2933" i="1"/>
  <c r="H2933" i="1"/>
  <c r="A2933" i="1"/>
  <c r="H2932" i="1"/>
  <c r="A2932" i="1"/>
  <c r="I2932" i="1" s="1"/>
  <c r="H2931" i="1"/>
  <c r="A2931" i="1"/>
  <c r="I2931" i="1" s="1"/>
  <c r="I2930" i="1"/>
  <c r="H2930" i="1"/>
  <c r="A2930" i="1"/>
  <c r="H2929" i="1"/>
  <c r="A2929" i="1"/>
  <c r="I2929" i="1" s="1"/>
  <c r="H2928" i="1"/>
  <c r="A2928" i="1"/>
  <c r="H2927" i="1"/>
  <c r="A2927" i="1"/>
  <c r="I2927" i="1" s="1"/>
  <c r="I2926" i="1"/>
  <c r="H2926" i="1"/>
  <c r="A2926" i="1"/>
  <c r="I2925" i="1"/>
  <c r="H2925" i="1"/>
  <c r="A2925" i="1"/>
  <c r="I2924" i="1"/>
  <c r="H2924" i="1"/>
  <c r="A2924" i="1"/>
  <c r="H2923" i="1"/>
  <c r="A2923" i="1"/>
  <c r="I2923" i="1" s="1"/>
  <c r="I2922" i="1"/>
  <c r="H2922" i="1"/>
  <c r="A2922" i="1"/>
  <c r="H2921" i="1"/>
  <c r="A2921" i="1"/>
  <c r="I2921" i="1" s="1"/>
  <c r="H2920" i="1"/>
  <c r="A2920" i="1"/>
  <c r="I2920" i="1" s="1"/>
  <c r="H2919" i="1"/>
  <c r="A2919" i="1"/>
  <c r="I2919" i="1" s="1"/>
  <c r="I2918" i="1"/>
  <c r="H2918" i="1"/>
  <c r="A2918" i="1"/>
  <c r="I2917" i="1"/>
  <c r="H2917" i="1"/>
  <c r="A2917" i="1"/>
  <c r="H2916" i="1"/>
  <c r="A2916" i="1"/>
  <c r="I2916" i="1" s="1"/>
  <c r="H2915" i="1"/>
  <c r="A2915" i="1"/>
  <c r="I2915" i="1" s="1"/>
  <c r="I2914" i="1"/>
  <c r="H2914" i="1"/>
  <c r="A2914" i="1"/>
  <c r="H2913" i="1"/>
  <c r="A2913" i="1"/>
  <c r="I2913" i="1" s="1"/>
  <c r="H2912" i="1"/>
  <c r="A2912" i="1"/>
  <c r="H2911" i="1"/>
  <c r="A2911" i="1"/>
  <c r="I2911" i="1" s="1"/>
  <c r="H2910" i="1"/>
  <c r="I2910" i="1" s="1"/>
  <c r="A2910" i="1"/>
  <c r="I2909" i="1"/>
  <c r="H2909" i="1"/>
  <c r="A2909" i="1"/>
  <c r="I2908" i="1"/>
  <c r="H2908" i="1"/>
  <c r="A2908" i="1"/>
  <c r="H2907" i="1"/>
  <c r="A2907" i="1"/>
  <c r="I2907" i="1" s="1"/>
  <c r="I2906" i="1"/>
  <c r="H2906" i="1"/>
  <c r="A2906" i="1"/>
  <c r="H2905" i="1"/>
  <c r="A2905" i="1"/>
  <c r="H2904" i="1"/>
  <c r="A2904" i="1"/>
  <c r="H2903" i="1"/>
  <c r="A2903" i="1"/>
  <c r="H2902" i="1"/>
  <c r="I2902" i="1" s="1"/>
  <c r="A2902" i="1"/>
  <c r="H2901" i="1"/>
  <c r="I2901" i="1" s="1"/>
  <c r="A2901" i="1"/>
  <c r="I2900" i="1"/>
  <c r="H2900" i="1"/>
  <c r="A2900" i="1"/>
  <c r="I2899" i="1"/>
  <c r="H2899" i="1"/>
  <c r="A2899" i="1"/>
  <c r="H2898" i="1"/>
  <c r="A2898" i="1"/>
  <c r="I2898" i="1" s="1"/>
  <c r="H2897" i="1"/>
  <c r="A2897" i="1"/>
  <c r="H2896" i="1"/>
  <c r="A2896" i="1"/>
  <c r="I2896" i="1" s="1"/>
  <c r="H2895" i="1"/>
  <c r="A2895" i="1"/>
  <c r="I2895" i="1" s="1"/>
  <c r="H2894" i="1"/>
  <c r="I2894" i="1" s="1"/>
  <c r="A2894" i="1"/>
  <c r="H2893" i="1"/>
  <c r="I2893" i="1" s="1"/>
  <c r="A2893" i="1"/>
  <c r="H2892" i="1"/>
  <c r="A2892" i="1"/>
  <c r="I2892" i="1" s="1"/>
  <c r="I2891" i="1"/>
  <c r="H2891" i="1"/>
  <c r="A2891" i="1"/>
  <c r="I2890" i="1"/>
  <c r="H2890" i="1"/>
  <c r="A2890" i="1"/>
  <c r="H2889" i="1"/>
  <c r="A2889" i="1"/>
  <c r="H2888" i="1"/>
  <c r="A2888" i="1"/>
  <c r="H2887" i="1"/>
  <c r="A2887" i="1"/>
  <c r="I2887" i="1" s="1"/>
  <c r="I2886" i="1"/>
  <c r="H2886" i="1"/>
  <c r="A2886" i="1"/>
  <c r="H2885" i="1"/>
  <c r="I2885" i="1" s="1"/>
  <c r="A2885" i="1"/>
  <c r="H2884" i="1"/>
  <c r="A2884" i="1"/>
  <c r="I2884" i="1" s="1"/>
  <c r="H2883" i="1"/>
  <c r="A2883" i="1"/>
  <c r="I2883" i="1" s="1"/>
  <c r="I2882" i="1"/>
  <c r="H2882" i="1"/>
  <c r="A2882" i="1"/>
  <c r="H2881" i="1"/>
  <c r="A2881" i="1"/>
  <c r="I2881" i="1" s="1"/>
  <c r="H2880" i="1"/>
  <c r="A2880" i="1"/>
  <c r="I2880" i="1" s="1"/>
  <c r="H2879" i="1"/>
  <c r="A2879" i="1"/>
  <c r="I2879" i="1" s="1"/>
  <c r="I2878" i="1"/>
  <c r="H2878" i="1"/>
  <c r="A2878" i="1"/>
  <c r="I2877" i="1"/>
  <c r="H2877" i="1"/>
  <c r="A2877" i="1"/>
  <c r="H2876" i="1"/>
  <c r="A2876" i="1"/>
  <c r="I2876" i="1" s="1"/>
  <c r="H2875" i="1"/>
  <c r="A2875" i="1"/>
  <c r="I2875" i="1" s="1"/>
  <c r="H2874" i="1"/>
  <c r="A2874" i="1"/>
  <c r="I2874" i="1" s="1"/>
  <c r="H2873" i="1"/>
  <c r="A2873" i="1"/>
  <c r="H2872" i="1"/>
  <c r="A2872" i="1"/>
  <c r="I2872" i="1" s="1"/>
  <c r="H2871" i="1"/>
  <c r="A2871" i="1"/>
  <c r="I2870" i="1"/>
  <c r="H2870" i="1"/>
  <c r="A2870" i="1"/>
  <c r="I2869" i="1"/>
  <c r="H2869" i="1"/>
  <c r="A2869" i="1"/>
  <c r="I2868" i="1"/>
  <c r="H2868" i="1"/>
  <c r="A2868" i="1"/>
  <c r="H2867" i="1"/>
  <c r="A2867" i="1"/>
  <c r="I2867" i="1" s="1"/>
  <c r="H2866" i="1"/>
  <c r="A2866" i="1"/>
  <c r="I2866" i="1" s="1"/>
  <c r="H2865" i="1"/>
  <c r="A2865" i="1"/>
  <c r="I2865" i="1" s="1"/>
  <c r="H2864" i="1"/>
  <c r="A2864" i="1"/>
  <c r="I2864" i="1" s="1"/>
  <c r="H2863" i="1"/>
  <c r="A2863" i="1"/>
  <c r="H2862" i="1"/>
  <c r="I2862" i="1" s="1"/>
  <c r="A2862" i="1"/>
  <c r="I2861" i="1"/>
  <c r="H2861" i="1"/>
  <c r="A2861" i="1"/>
  <c r="I2860" i="1"/>
  <c r="H2860" i="1"/>
  <c r="A2860" i="1"/>
  <c r="I2859" i="1"/>
  <c r="H2859" i="1"/>
  <c r="A2859" i="1"/>
  <c r="H2858" i="1"/>
  <c r="A2858" i="1"/>
  <c r="I2858" i="1" s="1"/>
  <c r="H2857" i="1"/>
  <c r="A2857" i="1"/>
  <c r="I2857" i="1" s="1"/>
  <c r="H2856" i="1"/>
  <c r="A2856" i="1"/>
  <c r="H2855" i="1"/>
  <c r="A2855" i="1"/>
  <c r="I2854" i="1"/>
  <c r="H2854" i="1"/>
  <c r="A2854" i="1"/>
  <c r="H2853" i="1"/>
  <c r="I2853" i="1" s="1"/>
  <c r="A2853" i="1"/>
  <c r="H2852" i="1"/>
  <c r="A2852" i="1"/>
  <c r="I2852" i="1" s="1"/>
  <c r="I2851" i="1"/>
  <c r="H2851" i="1"/>
  <c r="A2851" i="1"/>
  <c r="I2850" i="1"/>
  <c r="H2850" i="1"/>
  <c r="A2850" i="1"/>
  <c r="H2849" i="1"/>
  <c r="A2849" i="1"/>
  <c r="I2849" i="1" s="1"/>
  <c r="H2848" i="1"/>
  <c r="A2848" i="1"/>
  <c r="H2847" i="1"/>
  <c r="A2847" i="1"/>
  <c r="I2847" i="1" s="1"/>
  <c r="H2846" i="1"/>
  <c r="I2846" i="1" s="1"/>
  <c r="A2846" i="1"/>
  <c r="I2845" i="1"/>
  <c r="H2845" i="1"/>
  <c r="A2845" i="1"/>
  <c r="I2844" i="1"/>
  <c r="H2844" i="1"/>
  <c r="A2844" i="1"/>
  <c r="H2843" i="1"/>
  <c r="A2843" i="1"/>
  <c r="I2843" i="1" s="1"/>
  <c r="I2842" i="1"/>
  <c r="H2842" i="1"/>
  <c r="A2842" i="1"/>
  <c r="H2841" i="1"/>
  <c r="A2841" i="1"/>
  <c r="H2840" i="1"/>
  <c r="A2840" i="1"/>
  <c r="H2839" i="1"/>
  <c r="A2839" i="1"/>
  <c r="H2838" i="1"/>
  <c r="I2838" i="1" s="1"/>
  <c r="A2838" i="1"/>
  <c r="H2837" i="1"/>
  <c r="I2837" i="1" s="1"/>
  <c r="A2837" i="1"/>
  <c r="I2836" i="1"/>
  <c r="H2836" i="1"/>
  <c r="A2836" i="1"/>
  <c r="I2835" i="1"/>
  <c r="H2835" i="1"/>
  <c r="A2835" i="1"/>
  <c r="H2834" i="1"/>
  <c r="A2834" i="1"/>
  <c r="I2834" i="1" s="1"/>
  <c r="H2833" i="1"/>
  <c r="A2833" i="1"/>
  <c r="H2832" i="1"/>
  <c r="A2832" i="1"/>
  <c r="I2832" i="1" s="1"/>
  <c r="H2831" i="1"/>
  <c r="A2831" i="1"/>
  <c r="I2831" i="1" s="1"/>
  <c r="H2830" i="1"/>
  <c r="I2830" i="1" s="1"/>
  <c r="A2830" i="1"/>
  <c r="H2829" i="1"/>
  <c r="I2829" i="1" s="1"/>
  <c r="A2829" i="1"/>
  <c r="H2828" i="1"/>
  <c r="A2828" i="1"/>
  <c r="I2828" i="1" s="1"/>
  <c r="I2827" i="1"/>
  <c r="H2827" i="1"/>
  <c r="A2827" i="1"/>
  <c r="I2826" i="1"/>
  <c r="H2826" i="1"/>
  <c r="A2826" i="1"/>
  <c r="H2825" i="1"/>
  <c r="A2825" i="1"/>
  <c r="H2824" i="1"/>
  <c r="A2824" i="1"/>
  <c r="H2823" i="1"/>
  <c r="A2823" i="1"/>
  <c r="I2823" i="1" s="1"/>
  <c r="I2822" i="1"/>
  <c r="H2822" i="1"/>
  <c r="A2822" i="1"/>
  <c r="H2821" i="1"/>
  <c r="I2821" i="1" s="1"/>
  <c r="A2821" i="1"/>
  <c r="H2820" i="1"/>
  <c r="A2820" i="1"/>
  <c r="I2820" i="1" s="1"/>
  <c r="H2819" i="1"/>
  <c r="A2819" i="1"/>
  <c r="I2819" i="1" s="1"/>
  <c r="I2818" i="1"/>
  <c r="H2818" i="1"/>
  <c r="A2818" i="1"/>
  <c r="H2817" i="1"/>
  <c r="A2817" i="1"/>
  <c r="I2817" i="1" s="1"/>
  <c r="H2816" i="1"/>
  <c r="A2816" i="1"/>
  <c r="I2816" i="1" s="1"/>
  <c r="H2815" i="1"/>
  <c r="A2815" i="1"/>
  <c r="I2815" i="1" s="1"/>
  <c r="I2814" i="1"/>
  <c r="H2814" i="1"/>
  <c r="A2814" i="1"/>
  <c r="I2813" i="1"/>
  <c r="H2813" i="1"/>
  <c r="A2813" i="1"/>
  <c r="H2812" i="1"/>
  <c r="A2812" i="1"/>
  <c r="I2812" i="1" s="1"/>
  <c r="H2811" i="1"/>
  <c r="A2811" i="1"/>
  <c r="I2811" i="1" s="1"/>
  <c r="H2810" i="1"/>
  <c r="A2810" i="1"/>
  <c r="I2810" i="1" s="1"/>
  <c r="H2809" i="1"/>
  <c r="A2809" i="1"/>
  <c r="H2808" i="1"/>
  <c r="A2808" i="1"/>
  <c r="I2808" i="1" s="1"/>
  <c r="H2807" i="1"/>
  <c r="A2807" i="1"/>
  <c r="I2806" i="1"/>
  <c r="H2806" i="1"/>
  <c r="A2806" i="1"/>
  <c r="I2805" i="1"/>
  <c r="H2805" i="1"/>
  <c r="A2805" i="1"/>
  <c r="I2804" i="1"/>
  <c r="H2804" i="1"/>
  <c r="A2804" i="1"/>
  <c r="H2803" i="1"/>
  <c r="A2803" i="1"/>
  <c r="I2803" i="1" s="1"/>
  <c r="H2802" i="1"/>
  <c r="A2802" i="1"/>
  <c r="I2802" i="1" s="1"/>
  <c r="H2801" i="1"/>
  <c r="A2801" i="1"/>
  <c r="I2801" i="1" s="1"/>
  <c r="H2800" i="1"/>
  <c r="A2800" i="1"/>
  <c r="I2800" i="1" s="1"/>
  <c r="H2799" i="1"/>
  <c r="A2799" i="1"/>
  <c r="H2798" i="1"/>
  <c r="I2798" i="1" s="1"/>
  <c r="A2798" i="1"/>
  <c r="I2797" i="1"/>
  <c r="H2797" i="1"/>
  <c r="A2797" i="1"/>
  <c r="I2796" i="1"/>
  <c r="H2796" i="1"/>
  <c r="A2796" i="1"/>
  <c r="I2795" i="1"/>
  <c r="H2795" i="1"/>
  <c r="A2795" i="1"/>
  <c r="H2794" i="1"/>
  <c r="A2794" i="1"/>
  <c r="I2794" i="1" s="1"/>
  <c r="H2793" i="1"/>
  <c r="A2793" i="1"/>
  <c r="I2793" i="1" s="1"/>
  <c r="H2792" i="1"/>
  <c r="A2792" i="1"/>
  <c r="H2791" i="1"/>
  <c r="A2791" i="1"/>
  <c r="I2790" i="1"/>
  <c r="H2790" i="1"/>
  <c r="A2790" i="1"/>
  <c r="H2789" i="1"/>
  <c r="I2789" i="1" s="1"/>
  <c r="A2789" i="1"/>
  <c r="H2788" i="1"/>
  <c r="A2788" i="1"/>
  <c r="I2788" i="1" s="1"/>
  <c r="I2787" i="1"/>
  <c r="H2787" i="1"/>
  <c r="A2787" i="1"/>
  <c r="I2786" i="1"/>
  <c r="H2786" i="1"/>
  <c r="A2786" i="1"/>
  <c r="H2785" i="1"/>
  <c r="A2785" i="1"/>
  <c r="I2785" i="1" s="1"/>
  <c r="H2784" i="1"/>
  <c r="A2784" i="1"/>
  <c r="H2783" i="1"/>
  <c r="A2783" i="1"/>
  <c r="I2783" i="1" s="1"/>
  <c r="H2782" i="1"/>
  <c r="I2782" i="1" s="1"/>
  <c r="A2782" i="1"/>
  <c r="I2781" i="1"/>
  <c r="H2781" i="1"/>
  <c r="A2781" i="1"/>
  <c r="I2780" i="1"/>
  <c r="H2780" i="1"/>
  <c r="A2780" i="1"/>
  <c r="H2779" i="1"/>
  <c r="A2779" i="1"/>
  <c r="I2779" i="1" s="1"/>
  <c r="I2778" i="1"/>
  <c r="H2778" i="1"/>
  <c r="A2778" i="1"/>
  <c r="H2777" i="1"/>
  <c r="A2777" i="1"/>
  <c r="H2776" i="1"/>
  <c r="A2776" i="1"/>
  <c r="H2775" i="1"/>
  <c r="A2775" i="1"/>
  <c r="H2774" i="1"/>
  <c r="I2774" i="1" s="1"/>
  <c r="A2774" i="1"/>
  <c r="H2773" i="1"/>
  <c r="I2773" i="1" s="1"/>
  <c r="A2773" i="1"/>
  <c r="I2772" i="1"/>
  <c r="H2772" i="1"/>
  <c r="A2772" i="1"/>
  <c r="I2771" i="1"/>
  <c r="H2771" i="1"/>
  <c r="A2771" i="1"/>
  <c r="H2770" i="1"/>
  <c r="A2770" i="1"/>
  <c r="I2770" i="1" s="1"/>
  <c r="H2769" i="1"/>
  <c r="A2769" i="1"/>
  <c r="H2768" i="1"/>
  <c r="A2768" i="1"/>
  <c r="I2768" i="1" s="1"/>
  <c r="H2767" i="1"/>
  <c r="A2767" i="1"/>
  <c r="I2767" i="1" s="1"/>
  <c r="H2766" i="1"/>
  <c r="I2766" i="1" s="1"/>
  <c r="A2766" i="1"/>
  <c r="H2765" i="1"/>
  <c r="I2765" i="1" s="1"/>
  <c r="A2765" i="1"/>
  <c r="H2764" i="1"/>
  <c r="A2764" i="1"/>
  <c r="I2764" i="1" s="1"/>
  <c r="I2763" i="1"/>
  <c r="H2763" i="1"/>
  <c r="A2763" i="1"/>
  <c r="I2762" i="1"/>
  <c r="H2762" i="1"/>
  <c r="A2762" i="1"/>
  <c r="H2761" i="1"/>
  <c r="A2761" i="1"/>
  <c r="H2760" i="1"/>
  <c r="A2760" i="1"/>
  <c r="H2759" i="1"/>
  <c r="A2759" i="1"/>
  <c r="I2759" i="1" s="1"/>
  <c r="I2758" i="1"/>
  <c r="H2758" i="1"/>
  <c r="A2758" i="1"/>
  <c r="H2757" i="1"/>
  <c r="I2757" i="1" s="1"/>
  <c r="A2757" i="1"/>
  <c r="H2756" i="1"/>
  <c r="A2756" i="1"/>
  <c r="I2756" i="1" s="1"/>
  <c r="H2755" i="1"/>
  <c r="A2755" i="1"/>
  <c r="I2755" i="1" s="1"/>
  <c r="I2754" i="1"/>
  <c r="H2754" i="1"/>
  <c r="A2754" i="1"/>
  <c r="H2753" i="1"/>
  <c r="A2753" i="1"/>
  <c r="I2753" i="1" s="1"/>
  <c r="H2752" i="1"/>
  <c r="A2752" i="1"/>
  <c r="I2752" i="1" s="1"/>
  <c r="H2751" i="1"/>
  <c r="A2751" i="1"/>
  <c r="I2751" i="1" s="1"/>
  <c r="I2750" i="1"/>
  <c r="H2750" i="1"/>
  <c r="A2750" i="1"/>
  <c r="I2749" i="1"/>
  <c r="H2749" i="1"/>
  <c r="A2749" i="1"/>
  <c r="H2748" i="1"/>
  <c r="A2748" i="1"/>
  <c r="I2748" i="1" s="1"/>
  <c r="H2747" i="1"/>
  <c r="A2747" i="1"/>
  <c r="I2747" i="1" s="1"/>
  <c r="H2746" i="1"/>
  <c r="A2746" i="1"/>
  <c r="I2746" i="1" s="1"/>
  <c r="H2745" i="1"/>
  <c r="A2745" i="1"/>
  <c r="H2744" i="1"/>
  <c r="A2744" i="1"/>
  <c r="I2744" i="1" s="1"/>
  <c r="H2743" i="1"/>
  <c r="A2743" i="1"/>
  <c r="H2742" i="1"/>
  <c r="A2742" i="1"/>
  <c r="I2742" i="1" s="1"/>
  <c r="I2741" i="1"/>
  <c r="H2741" i="1"/>
  <c r="A2741" i="1"/>
  <c r="I2740" i="1"/>
  <c r="H2740" i="1"/>
  <c r="A2740" i="1"/>
  <c r="H2739" i="1"/>
  <c r="A2739" i="1"/>
  <c r="I2739" i="1" s="1"/>
  <c r="H2738" i="1"/>
  <c r="A2738" i="1"/>
  <c r="I2738" i="1" s="1"/>
  <c r="H2737" i="1"/>
  <c r="A2737" i="1"/>
  <c r="I2737" i="1" s="1"/>
  <c r="I2736" i="1"/>
  <c r="H2736" i="1"/>
  <c r="A2736" i="1"/>
  <c r="H2735" i="1"/>
  <c r="A2735" i="1"/>
  <c r="I2735" i="1" s="1"/>
  <c r="H2734" i="1"/>
  <c r="A2734" i="1"/>
  <c r="I2734" i="1" s="1"/>
  <c r="I2733" i="1"/>
  <c r="H2733" i="1"/>
  <c r="A2733" i="1"/>
  <c r="H2732" i="1"/>
  <c r="I2732" i="1" s="1"/>
  <c r="A2732" i="1"/>
  <c r="H2731" i="1"/>
  <c r="A2731" i="1"/>
  <c r="I2731" i="1" s="1"/>
  <c r="I2730" i="1"/>
  <c r="H2730" i="1"/>
  <c r="A2730" i="1"/>
  <c r="I2729" i="1"/>
  <c r="H2729" i="1"/>
  <c r="A2729" i="1"/>
  <c r="H2728" i="1"/>
  <c r="A2728" i="1"/>
  <c r="I2728" i="1" s="1"/>
  <c r="H2727" i="1"/>
  <c r="A2727" i="1"/>
  <c r="I2727" i="1" s="1"/>
  <c r="I2726" i="1"/>
  <c r="H2726" i="1"/>
  <c r="A2726" i="1"/>
  <c r="H2725" i="1"/>
  <c r="I2725" i="1" s="1"/>
  <c r="A2725" i="1"/>
  <c r="H2724" i="1"/>
  <c r="A2724" i="1"/>
  <c r="I2724" i="1" s="1"/>
  <c r="H2723" i="1"/>
  <c r="A2723" i="1"/>
  <c r="I2723" i="1" s="1"/>
  <c r="I2722" i="1"/>
  <c r="H2722" i="1"/>
  <c r="A2722" i="1"/>
  <c r="H2721" i="1"/>
  <c r="I2721" i="1" s="1"/>
  <c r="A2721" i="1"/>
  <c r="H2720" i="1"/>
  <c r="A2720" i="1"/>
  <c r="I2720" i="1" s="1"/>
  <c r="H2719" i="1"/>
  <c r="A2719" i="1"/>
  <c r="H2718" i="1"/>
  <c r="I2718" i="1" s="1"/>
  <c r="A2718" i="1"/>
  <c r="H2717" i="1"/>
  <c r="A2717" i="1"/>
  <c r="I2717" i="1" s="1"/>
  <c r="I2716" i="1"/>
  <c r="H2716" i="1"/>
  <c r="A2716" i="1"/>
  <c r="I2715" i="1"/>
  <c r="H2715" i="1"/>
  <c r="A2715" i="1"/>
  <c r="H2714" i="1"/>
  <c r="A2714" i="1"/>
  <c r="I2714" i="1" s="1"/>
  <c r="H2713" i="1"/>
  <c r="A2713" i="1"/>
  <c r="I2713" i="1" s="1"/>
  <c r="H2712" i="1"/>
  <c r="A2712" i="1"/>
  <c r="I2712" i="1" s="1"/>
  <c r="I2711" i="1"/>
  <c r="H2711" i="1"/>
  <c r="A2711" i="1"/>
  <c r="H2710" i="1"/>
  <c r="I2710" i="1" s="1"/>
  <c r="A2710" i="1"/>
  <c r="H2709" i="1"/>
  <c r="A2709" i="1"/>
  <c r="I2709" i="1" s="1"/>
  <c r="I2708" i="1"/>
  <c r="H2708" i="1"/>
  <c r="A2708" i="1"/>
  <c r="I2707" i="1"/>
  <c r="H2707" i="1"/>
  <c r="A2707" i="1"/>
  <c r="H2706" i="1"/>
  <c r="A2706" i="1"/>
  <c r="I2706" i="1" s="1"/>
  <c r="H2705" i="1"/>
  <c r="A2705" i="1"/>
  <c r="I2705" i="1" s="1"/>
  <c r="H2704" i="1"/>
  <c r="A2704" i="1"/>
  <c r="I2704" i="1" s="1"/>
  <c r="I2703" i="1"/>
  <c r="H2703" i="1"/>
  <c r="A2703" i="1"/>
  <c r="H2702" i="1"/>
  <c r="I2702" i="1" s="1"/>
  <c r="A2702" i="1"/>
  <c r="H2701" i="1"/>
  <c r="A2701" i="1"/>
  <c r="I2701" i="1" s="1"/>
  <c r="I2700" i="1"/>
  <c r="H2700" i="1"/>
  <c r="A2700" i="1"/>
  <c r="I2699" i="1"/>
  <c r="H2699" i="1"/>
  <c r="A2699" i="1"/>
  <c r="H2698" i="1"/>
  <c r="A2698" i="1"/>
  <c r="I2698" i="1" s="1"/>
  <c r="H2697" i="1"/>
  <c r="A2697" i="1"/>
  <c r="I2697" i="1" s="1"/>
  <c r="H2696" i="1"/>
  <c r="A2696" i="1"/>
  <c r="I2696" i="1" s="1"/>
  <c r="I2695" i="1"/>
  <c r="H2695" i="1"/>
  <c r="A2695" i="1"/>
  <c r="H2694" i="1"/>
  <c r="I2694" i="1" s="1"/>
  <c r="A2694" i="1"/>
  <c r="H2693" i="1"/>
  <c r="A2693" i="1"/>
  <c r="I2693" i="1" s="1"/>
  <c r="I2692" i="1"/>
  <c r="H2692" i="1"/>
  <c r="A2692" i="1"/>
  <c r="I2691" i="1"/>
  <c r="H2691" i="1"/>
  <c r="A2691" i="1"/>
  <c r="H2690" i="1"/>
  <c r="A2690" i="1"/>
  <c r="I2690" i="1" s="1"/>
  <c r="H2689" i="1"/>
  <c r="A2689" i="1"/>
  <c r="I2689" i="1" s="1"/>
  <c r="H2688" i="1"/>
  <c r="A2688" i="1"/>
  <c r="I2688" i="1" s="1"/>
  <c r="I2687" i="1"/>
  <c r="H2687" i="1"/>
  <c r="A2687" i="1"/>
  <c r="H2686" i="1"/>
  <c r="I2686" i="1" s="1"/>
  <c r="A2686" i="1"/>
  <c r="H2685" i="1"/>
  <c r="A2685" i="1"/>
  <c r="I2685" i="1" s="1"/>
  <c r="I2684" i="1"/>
  <c r="H2684" i="1"/>
  <c r="A2684" i="1"/>
  <c r="I2683" i="1"/>
  <c r="H2683" i="1"/>
  <c r="A2683" i="1"/>
  <c r="H2682" i="1"/>
  <c r="A2682" i="1"/>
  <c r="H2681" i="1"/>
  <c r="A2681" i="1"/>
  <c r="I2681" i="1" s="1"/>
  <c r="H2680" i="1"/>
  <c r="A2680" i="1"/>
  <c r="I2680" i="1" s="1"/>
  <c r="I2679" i="1"/>
  <c r="H2679" i="1"/>
  <c r="A2679" i="1"/>
  <c r="H2678" i="1"/>
  <c r="I2678" i="1" s="1"/>
  <c r="A2678" i="1"/>
  <c r="H2677" i="1"/>
  <c r="A2677" i="1"/>
  <c r="I2677" i="1" s="1"/>
  <c r="I2676" i="1"/>
  <c r="H2676" i="1"/>
  <c r="A2676" i="1"/>
  <c r="I2675" i="1"/>
  <c r="H2675" i="1"/>
  <c r="A2675" i="1"/>
  <c r="H2674" i="1"/>
  <c r="A2674" i="1"/>
  <c r="I2674" i="1" s="1"/>
  <c r="H2673" i="1"/>
  <c r="A2673" i="1"/>
  <c r="I2673" i="1" s="1"/>
  <c r="H2672" i="1"/>
  <c r="A2672" i="1"/>
  <c r="I2672" i="1" s="1"/>
  <c r="I2671" i="1"/>
  <c r="H2671" i="1"/>
  <c r="A2671" i="1"/>
  <c r="H2670" i="1"/>
  <c r="I2670" i="1" s="1"/>
  <c r="A2670" i="1"/>
  <c r="H2669" i="1"/>
  <c r="A2669" i="1"/>
  <c r="I2669" i="1" s="1"/>
  <c r="I2668" i="1"/>
  <c r="H2668" i="1"/>
  <c r="A2668" i="1"/>
  <c r="I2667" i="1"/>
  <c r="H2667" i="1"/>
  <c r="A2667" i="1"/>
  <c r="H2666" i="1"/>
  <c r="A2666" i="1"/>
  <c r="H2665" i="1"/>
  <c r="A2665" i="1"/>
  <c r="I2665" i="1" s="1"/>
  <c r="H2664" i="1"/>
  <c r="A2664" i="1"/>
  <c r="I2664" i="1" s="1"/>
  <c r="I2663" i="1"/>
  <c r="H2663" i="1"/>
  <c r="A2663" i="1"/>
  <c r="H2662" i="1"/>
  <c r="I2662" i="1" s="1"/>
  <c r="A2662" i="1"/>
  <c r="H2661" i="1"/>
  <c r="A2661" i="1"/>
  <c r="I2661" i="1" s="1"/>
  <c r="I2660" i="1"/>
  <c r="H2660" i="1"/>
  <c r="A2660" i="1"/>
  <c r="I2659" i="1"/>
  <c r="H2659" i="1"/>
  <c r="A2659" i="1"/>
  <c r="H2658" i="1"/>
  <c r="A2658" i="1"/>
  <c r="I2658" i="1" s="1"/>
  <c r="H2657" i="1"/>
  <c r="A2657" i="1"/>
  <c r="I2657" i="1" s="1"/>
  <c r="H2656" i="1"/>
  <c r="A2656" i="1"/>
  <c r="I2656" i="1" s="1"/>
  <c r="I2655" i="1"/>
  <c r="H2655" i="1"/>
  <c r="A2655" i="1"/>
  <c r="H2654" i="1"/>
  <c r="I2654" i="1" s="1"/>
  <c r="A2654" i="1"/>
  <c r="H2653" i="1"/>
  <c r="A2653" i="1"/>
  <c r="I2653" i="1" s="1"/>
  <c r="I2652" i="1"/>
  <c r="H2652" i="1"/>
  <c r="A2652" i="1"/>
  <c r="I2651" i="1"/>
  <c r="H2651" i="1"/>
  <c r="A2651" i="1"/>
  <c r="H2650" i="1"/>
  <c r="A2650" i="1"/>
  <c r="I2650" i="1" s="1"/>
  <c r="H2649" i="1"/>
  <c r="A2649" i="1"/>
  <c r="I2649" i="1" s="1"/>
  <c r="H2648" i="1"/>
  <c r="A2648" i="1"/>
  <c r="I2648" i="1" s="1"/>
  <c r="I2647" i="1"/>
  <c r="H2647" i="1"/>
  <c r="A2647" i="1"/>
  <c r="H2646" i="1"/>
  <c r="I2646" i="1" s="1"/>
  <c r="A2646" i="1"/>
  <c r="H2645" i="1"/>
  <c r="A2645" i="1"/>
  <c r="I2645" i="1" s="1"/>
  <c r="I2644" i="1"/>
  <c r="H2644" i="1"/>
  <c r="A2644" i="1"/>
  <c r="I2643" i="1"/>
  <c r="H2643" i="1"/>
  <c r="A2643" i="1"/>
  <c r="H2642" i="1"/>
  <c r="A2642" i="1"/>
  <c r="I2642" i="1" s="1"/>
  <c r="H2641" i="1"/>
  <c r="A2641" i="1"/>
  <c r="I2641" i="1" s="1"/>
  <c r="H2640" i="1"/>
  <c r="A2640" i="1"/>
  <c r="I2640" i="1" s="1"/>
  <c r="I2639" i="1"/>
  <c r="H2639" i="1"/>
  <c r="A2639" i="1"/>
  <c r="H2638" i="1"/>
  <c r="I2638" i="1" s="1"/>
  <c r="A2638" i="1"/>
  <c r="H2637" i="1"/>
  <c r="A2637" i="1"/>
  <c r="I2637" i="1" s="1"/>
  <c r="I2636" i="1"/>
  <c r="H2636" i="1"/>
  <c r="A2636" i="1"/>
  <c r="I2635" i="1"/>
  <c r="H2635" i="1"/>
  <c r="A2635" i="1"/>
  <c r="H2634" i="1"/>
  <c r="A2634" i="1"/>
  <c r="H2633" i="1"/>
  <c r="A2633" i="1"/>
  <c r="I2633" i="1" s="1"/>
  <c r="H2632" i="1"/>
  <c r="A2632" i="1"/>
  <c r="I2632" i="1" s="1"/>
  <c r="I2631" i="1"/>
  <c r="H2631" i="1"/>
  <c r="A2631" i="1"/>
  <c r="H2630" i="1"/>
  <c r="I2630" i="1" s="1"/>
  <c r="A2630" i="1"/>
  <c r="H2629" i="1"/>
  <c r="A2629" i="1"/>
  <c r="I2629" i="1" s="1"/>
  <c r="I2628" i="1"/>
  <c r="H2628" i="1"/>
  <c r="A2628" i="1"/>
  <c r="I2627" i="1"/>
  <c r="H2627" i="1"/>
  <c r="A2627" i="1"/>
  <c r="H2626" i="1"/>
  <c r="A2626" i="1"/>
  <c r="H2625" i="1"/>
  <c r="A2625" i="1"/>
  <c r="I2625" i="1" s="1"/>
  <c r="H2624" i="1"/>
  <c r="A2624" i="1"/>
  <c r="I2624" i="1" s="1"/>
  <c r="I2623" i="1"/>
  <c r="H2623" i="1"/>
  <c r="A2623" i="1"/>
  <c r="H2622" i="1"/>
  <c r="I2622" i="1" s="1"/>
  <c r="A2622" i="1"/>
  <c r="H2621" i="1"/>
  <c r="A2621" i="1"/>
  <c r="I2621" i="1" s="1"/>
  <c r="I2620" i="1"/>
  <c r="H2620" i="1"/>
  <c r="A2620" i="1"/>
  <c r="I2619" i="1"/>
  <c r="H2619" i="1"/>
  <c r="A2619" i="1"/>
  <c r="H2618" i="1"/>
  <c r="A2618" i="1"/>
  <c r="H2617" i="1"/>
  <c r="A2617" i="1"/>
  <c r="I2617" i="1" s="1"/>
  <c r="H2616" i="1"/>
  <c r="A2616" i="1"/>
  <c r="I2616" i="1" s="1"/>
  <c r="I2615" i="1"/>
  <c r="H2615" i="1"/>
  <c r="A2615" i="1"/>
  <c r="H2614" i="1"/>
  <c r="I2614" i="1" s="1"/>
  <c r="A2614" i="1"/>
  <c r="H2613" i="1"/>
  <c r="A2613" i="1"/>
  <c r="I2613" i="1" s="1"/>
  <c r="I2612" i="1"/>
  <c r="H2612" i="1"/>
  <c r="A2612" i="1"/>
  <c r="I2611" i="1"/>
  <c r="H2611" i="1"/>
  <c r="A2611" i="1"/>
  <c r="H2610" i="1"/>
  <c r="A2610" i="1"/>
  <c r="I2610" i="1" s="1"/>
  <c r="H2609" i="1"/>
  <c r="A2609" i="1"/>
  <c r="I2609" i="1" s="1"/>
  <c r="H2608" i="1"/>
  <c r="A2608" i="1"/>
  <c r="I2608" i="1" s="1"/>
  <c r="I2607" i="1"/>
  <c r="H2607" i="1"/>
  <c r="A2607" i="1"/>
  <c r="H2606" i="1"/>
  <c r="I2606" i="1" s="1"/>
  <c r="A2606" i="1"/>
  <c r="H2605" i="1"/>
  <c r="A2605" i="1"/>
  <c r="I2605" i="1" s="1"/>
  <c r="I2604" i="1"/>
  <c r="H2604" i="1"/>
  <c r="A2604" i="1"/>
  <c r="I2603" i="1"/>
  <c r="H2603" i="1"/>
  <c r="A2603" i="1"/>
  <c r="H2602" i="1"/>
  <c r="A2602" i="1"/>
  <c r="H2601" i="1"/>
  <c r="A2601" i="1"/>
  <c r="I2601" i="1" s="1"/>
  <c r="H2600" i="1"/>
  <c r="A2600" i="1"/>
  <c r="I2600" i="1" s="1"/>
  <c r="I2599" i="1"/>
  <c r="H2599" i="1"/>
  <c r="A2599" i="1"/>
  <c r="H2598" i="1"/>
  <c r="I2598" i="1" s="1"/>
  <c r="A2598" i="1"/>
  <c r="H2597" i="1"/>
  <c r="A2597" i="1"/>
  <c r="I2597" i="1" s="1"/>
  <c r="I2596" i="1"/>
  <c r="H2596" i="1"/>
  <c r="A2596" i="1"/>
  <c r="I2595" i="1"/>
  <c r="H2595" i="1"/>
  <c r="A2595" i="1"/>
  <c r="H2594" i="1"/>
  <c r="A2594" i="1"/>
  <c r="I2594" i="1" s="1"/>
  <c r="H2593" i="1"/>
  <c r="A2593" i="1"/>
  <c r="I2593" i="1" s="1"/>
  <c r="H2592" i="1"/>
  <c r="A2592" i="1"/>
  <c r="I2592" i="1" s="1"/>
  <c r="I2591" i="1"/>
  <c r="H2591" i="1"/>
  <c r="A2591" i="1"/>
  <c r="H2590" i="1"/>
  <c r="I2590" i="1" s="1"/>
  <c r="A2590" i="1"/>
  <c r="H2589" i="1"/>
  <c r="A2589" i="1"/>
  <c r="I2589" i="1" s="1"/>
  <c r="I2588" i="1"/>
  <c r="H2588" i="1"/>
  <c r="A2588" i="1"/>
  <c r="I2587" i="1"/>
  <c r="H2587" i="1"/>
  <c r="A2587" i="1"/>
  <c r="H2586" i="1"/>
  <c r="A2586" i="1"/>
  <c r="I2586" i="1" s="1"/>
  <c r="H2585" i="1"/>
  <c r="A2585" i="1"/>
  <c r="I2585" i="1" s="1"/>
  <c r="H2584" i="1"/>
  <c r="A2584" i="1"/>
  <c r="I2584" i="1" s="1"/>
  <c r="I2583" i="1"/>
  <c r="H2583" i="1"/>
  <c r="A2583" i="1"/>
  <c r="H2582" i="1"/>
  <c r="I2582" i="1" s="1"/>
  <c r="A2582" i="1"/>
  <c r="H2581" i="1"/>
  <c r="A2581" i="1"/>
  <c r="I2581" i="1" s="1"/>
  <c r="I2580" i="1"/>
  <c r="H2580" i="1"/>
  <c r="A2580" i="1"/>
  <c r="I2579" i="1"/>
  <c r="H2579" i="1"/>
  <c r="A2579" i="1"/>
  <c r="H2578" i="1"/>
  <c r="A2578" i="1"/>
  <c r="I2578" i="1" s="1"/>
  <c r="H2577" i="1"/>
  <c r="A2577" i="1"/>
  <c r="I2577" i="1" s="1"/>
  <c r="H2576" i="1"/>
  <c r="A2576" i="1"/>
  <c r="I2576" i="1" s="1"/>
  <c r="I2575" i="1"/>
  <c r="H2575" i="1"/>
  <c r="A2575" i="1"/>
  <c r="H2574" i="1"/>
  <c r="I2574" i="1" s="1"/>
  <c r="A2574" i="1"/>
  <c r="H2573" i="1"/>
  <c r="A2573" i="1"/>
  <c r="I2573" i="1" s="1"/>
  <c r="I2572" i="1"/>
  <c r="H2572" i="1"/>
  <c r="A2572" i="1"/>
  <c r="I2571" i="1"/>
  <c r="H2571" i="1"/>
  <c r="A2571" i="1"/>
  <c r="H2570" i="1"/>
  <c r="A2570" i="1"/>
  <c r="H2569" i="1"/>
  <c r="A2569" i="1"/>
  <c r="I2569" i="1" s="1"/>
  <c r="H2568" i="1"/>
  <c r="A2568" i="1"/>
  <c r="I2568" i="1" s="1"/>
  <c r="I2567" i="1"/>
  <c r="H2567" i="1"/>
  <c r="A2567" i="1"/>
  <c r="H2566" i="1"/>
  <c r="I2566" i="1" s="1"/>
  <c r="A2566" i="1"/>
  <c r="H2565" i="1"/>
  <c r="A2565" i="1"/>
  <c r="I2565" i="1" s="1"/>
  <c r="I2564" i="1"/>
  <c r="H2564" i="1"/>
  <c r="A2564" i="1"/>
  <c r="I2563" i="1"/>
  <c r="H2563" i="1"/>
  <c r="A2563" i="1"/>
  <c r="H2562" i="1"/>
  <c r="A2562" i="1"/>
  <c r="H2561" i="1"/>
  <c r="A2561" i="1"/>
  <c r="I2561" i="1" s="1"/>
  <c r="H2560" i="1"/>
  <c r="A2560" i="1"/>
  <c r="I2560" i="1" s="1"/>
  <c r="I2559" i="1"/>
  <c r="H2559" i="1"/>
  <c r="A2559" i="1"/>
  <c r="H2558" i="1"/>
  <c r="I2558" i="1" s="1"/>
  <c r="A2558" i="1"/>
  <c r="H2557" i="1"/>
  <c r="A2557" i="1"/>
  <c r="I2557" i="1" s="1"/>
  <c r="I2556" i="1"/>
  <c r="H2556" i="1"/>
  <c r="A2556" i="1"/>
  <c r="I2555" i="1"/>
  <c r="H2555" i="1"/>
  <c r="A2555" i="1"/>
  <c r="H2554" i="1"/>
  <c r="A2554" i="1"/>
  <c r="H2553" i="1"/>
  <c r="A2553" i="1"/>
  <c r="I2553" i="1" s="1"/>
  <c r="H2552" i="1"/>
  <c r="A2552" i="1"/>
  <c r="I2552" i="1" s="1"/>
  <c r="I2551" i="1"/>
  <c r="H2551" i="1"/>
  <c r="A2551" i="1"/>
  <c r="H2550" i="1"/>
  <c r="I2550" i="1" s="1"/>
  <c r="A2550" i="1"/>
  <c r="H2549" i="1"/>
  <c r="A2549" i="1"/>
  <c r="I2549" i="1" s="1"/>
  <c r="I2548" i="1"/>
  <c r="H2548" i="1"/>
  <c r="A2548" i="1"/>
  <c r="I2547" i="1"/>
  <c r="H2547" i="1"/>
  <c r="A2547" i="1"/>
  <c r="H2546" i="1"/>
  <c r="A2546" i="1"/>
  <c r="I2546" i="1" s="1"/>
  <c r="H2545" i="1"/>
  <c r="A2545" i="1"/>
  <c r="I2545" i="1" s="1"/>
  <c r="H2544" i="1"/>
  <c r="A2544" i="1"/>
  <c r="I2544" i="1" s="1"/>
  <c r="I2543" i="1"/>
  <c r="H2543" i="1"/>
  <c r="A2543" i="1"/>
  <c r="H2542" i="1"/>
  <c r="I2542" i="1" s="1"/>
  <c r="A2542" i="1"/>
  <c r="H2541" i="1"/>
  <c r="A2541" i="1"/>
  <c r="I2541" i="1" s="1"/>
  <c r="I2540" i="1"/>
  <c r="H2540" i="1"/>
  <c r="A2540" i="1"/>
  <c r="I2539" i="1"/>
  <c r="H2539" i="1"/>
  <c r="A2539" i="1"/>
  <c r="H2538" i="1"/>
  <c r="A2538" i="1"/>
  <c r="H2537" i="1"/>
  <c r="A2537" i="1"/>
  <c r="I2537" i="1" s="1"/>
  <c r="H2536" i="1"/>
  <c r="A2536" i="1"/>
  <c r="I2536" i="1" s="1"/>
  <c r="I2535" i="1"/>
  <c r="H2535" i="1"/>
  <c r="A2535" i="1"/>
  <c r="H2534" i="1"/>
  <c r="I2534" i="1" s="1"/>
  <c r="A2534" i="1"/>
  <c r="H2533" i="1"/>
  <c r="A2533" i="1"/>
  <c r="I2533" i="1" s="1"/>
  <c r="I2532" i="1"/>
  <c r="H2532" i="1"/>
  <c r="A2532" i="1"/>
  <c r="I2531" i="1"/>
  <c r="H2531" i="1"/>
  <c r="A2531" i="1"/>
  <c r="H2530" i="1"/>
  <c r="A2530" i="1"/>
  <c r="I2530" i="1" s="1"/>
  <c r="H2529" i="1"/>
  <c r="A2529" i="1"/>
  <c r="I2529" i="1" s="1"/>
  <c r="H2528" i="1"/>
  <c r="A2528" i="1"/>
  <c r="I2528" i="1" s="1"/>
  <c r="I2527" i="1"/>
  <c r="H2527" i="1"/>
  <c r="A2527" i="1"/>
  <c r="H2526" i="1"/>
  <c r="I2526" i="1" s="1"/>
  <c r="A2526" i="1"/>
  <c r="H2525" i="1"/>
  <c r="A2525" i="1"/>
  <c r="I2525" i="1" s="1"/>
  <c r="I2524" i="1"/>
  <c r="H2524" i="1"/>
  <c r="A2524" i="1"/>
  <c r="I2523" i="1"/>
  <c r="H2523" i="1"/>
  <c r="A2523" i="1"/>
  <c r="H2522" i="1"/>
  <c r="A2522" i="1"/>
  <c r="I2522" i="1" s="1"/>
  <c r="H2521" i="1"/>
  <c r="A2521" i="1"/>
  <c r="I2521" i="1" s="1"/>
  <c r="H2520" i="1"/>
  <c r="A2520" i="1"/>
  <c r="I2520" i="1" s="1"/>
  <c r="I2519" i="1"/>
  <c r="H2519" i="1"/>
  <c r="A2519" i="1"/>
  <c r="H2518" i="1"/>
  <c r="I2518" i="1" s="1"/>
  <c r="A2518" i="1"/>
  <c r="H2517" i="1"/>
  <c r="A2517" i="1"/>
  <c r="I2517" i="1" s="1"/>
  <c r="I2516" i="1"/>
  <c r="H2516" i="1"/>
  <c r="A2516" i="1"/>
  <c r="I2515" i="1"/>
  <c r="H2515" i="1"/>
  <c r="A2515" i="1"/>
  <c r="H2514" i="1"/>
  <c r="A2514" i="1"/>
  <c r="I2514" i="1" s="1"/>
  <c r="H2513" i="1"/>
  <c r="A2513" i="1"/>
  <c r="I2513" i="1" s="1"/>
  <c r="H2512" i="1"/>
  <c r="A2512" i="1"/>
  <c r="I2512" i="1" s="1"/>
  <c r="I2511" i="1"/>
  <c r="H2511" i="1"/>
  <c r="A2511" i="1"/>
  <c r="H2510" i="1"/>
  <c r="I2510" i="1" s="1"/>
  <c r="A2510" i="1"/>
  <c r="H2509" i="1"/>
  <c r="A2509" i="1"/>
  <c r="I2509" i="1" s="1"/>
  <c r="I2508" i="1"/>
  <c r="H2508" i="1"/>
  <c r="A2508" i="1"/>
  <c r="I2507" i="1"/>
  <c r="H2507" i="1"/>
  <c r="A2507" i="1"/>
  <c r="H2506" i="1"/>
  <c r="A2506" i="1"/>
  <c r="H2505" i="1"/>
  <c r="A2505" i="1"/>
  <c r="I2505" i="1" s="1"/>
  <c r="H2504" i="1"/>
  <c r="A2504" i="1"/>
  <c r="I2504" i="1" s="1"/>
  <c r="I2503" i="1"/>
  <c r="H2503" i="1"/>
  <c r="A2503" i="1"/>
  <c r="H2502" i="1"/>
  <c r="I2502" i="1" s="1"/>
  <c r="A2502" i="1"/>
  <c r="H2501" i="1"/>
  <c r="A2501" i="1"/>
  <c r="I2501" i="1" s="1"/>
  <c r="I2500" i="1"/>
  <c r="H2500" i="1"/>
  <c r="A2500" i="1"/>
  <c r="I2499" i="1"/>
  <c r="H2499" i="1"/>
  <c r="A2499" i="1"/>
  <c r="H2498" i="1"/>
  <c r="A2498" i="1"/>
  <c r="H2497" i="1"/>
  <c r="A2497" i="1"/>
  <c r="I2497" i="1" s="1"/>
  <c r="H2496" i="1"/>
  <c r="A2496" i="1"/>
  <c r="I2496" i="1" s="1"/>
  <c r="I2495" i="1"/>
  <c r="H2495" i="1"/>
  <c r="A2495" i="1"/>
  <c r="H2494" i="1"/>
  <c r="I2494" i="1" s="1"/>
  <c r="A2494" i="1"/>
  <c r="H2493" i="1"/>
  <c r="A2493" i="1"/>
  <c r="I2493" i="1" s="1"/>
  <c r="I2492" i="1"/>
  <c r="H2492" i="1"/>
  <c r="A2492" i="1"/>
  <c r="I2491" i="1"/>
  <c r="H2491" i="1"/>
  <c r="A2491" i="1"/>
  <c r="H2490" i="1"/>
  <c r="A2490" i="1"/>
  <c r="H2489" i="1"/>
  <c r="A2489" i="1"/>
  <c r="I2489" i="1" s="1"/>
  <c r="H2488" i="1"/>
  <c r="A2488" i="1"/>
  <c r="I2488" i="1" s="1"/>
  <c r="I2487" i="1"/>
  <c r="H2487" i="1"/>
  <c r="A2487" i="1"/>
  <c r="H2486" i="1"/>
  <c r="I2486" i="1" s="1"/>
  <c r="A2486" i="1"/>
  <c r="H2485" i="1"/>
  <c r="A2485" i="1"/>
  <c r="I2485" i="1" s="1"/>
  <c r="I2484" i="1"/>
  <c r="H2484" i="1"/>
  <c r="A2484" i="1"/>
  <c r="I2483" i="1"/>
  <c r="H2483" i="1"/>
  <c r="A2483" i="1"/>
  <c r="H2482" i="1"/>
  <c r="A2482" i="1"/>
  <c r="I2482" i="1" s="1"/>
  <c r="H2481" i="1"/>
  <c r="A2481" i="1"/>
  <c r="I2481" i="1" s="1"/>
  <c r="H2480" i="1"/>
  <c r="A2480" i="1"/>
  <c r="I2480" i="1" s="1"/>
  <c r="I2479" i="1"/>
  <c r="H2479" i="1"/>
  <c r="A2479" i="1"/>
  <c r="H2478" i="1"/>
  <c r="I2478" i="1" s="1"/>
  <c r="A2478" i="1"/>
  <c r="H2477" i="1"/>
  <c r="A2477" i="1"/>
  <c r="I2477" i="1" s="1"/>
  <c r="I2476" i="1"/>
  <c r="H2476" i="1"/>
  <c r="A2476" i="1"/>
  <c r="I2475" i="1"/>
  <c r="H2475" i="1"/>
  <c r="A2475" i="1"/>
  <c r="H2474" i="1"/>
  <c r="A2474" i="1"/>
  <c r="H2473" i="1"/>
  <c r="A2473" i="1"/>
  <c r="I2473" i="1" s="1"/>
  <c r="H2472" i="1"/>
  <c r="A2472" i="1"/>
  <c r="I2472" i="1" s="1"/>
  <c r="I2471" i="1"/>
  <c r="H2471" i="1"/>
  <c r="A2471" i="1"/>
  <c r="H2470" i="1"/>
  <c r="I2470" i="1" s="1"/>
  <c r="A2470" i="1"/>
  <c r="H2469" i="1"/>
  <c r="A2469" i="1"/>
  <c r="I2469" i="1" s="1"/>
  <c r="I2468" i="1"/>
  <c r="H2468" i="1"/>
  <c r="A2468" i="1"/>
  <c r="I2467" i="1"/>
  <c r="H2467" i="1"/>
  <c r="A2467" i="1"/>
  <c r="H2466" i="1"/>
  <c r="A2466" i="1"/>
  <c r="I2466" i="1" s="1"/>
  <c r="H2465" i="1"/>
  <c r="A2465" i="1"/>
  <c r="I2465" i="1" s="1"/>
  <c r="H2464" i="1"/>
  <c r="A2464" i="1"/>
  <c r="I2464" i="1" s="1"/>
  <c r="I2463" i="1"/>
  <c r="H2463" i="1"/>
  <c r="A2463" i="1"/>
  <c r="H2462" i="1"/>
  <c r="I2462" i="1" s="1"/>
  <c r="A2462" i="1"/>
  <c r="H2461" i="1"/>
  <c r="A2461" i="1"/>
  <c r="I2461" i="1" s="1"/>
  <c r="I2460" i="1"/>
  <c r="H2460" i="1"/>
  <c r="A2460" i="1"/>
  <c r="I2459" i="1"/>
  <c r="H2459" i="1"/>
  <c r="A2459" i="1"/>
  <c r="H2458" i="1"/>
  <c r="A2458" i="1"/>
  <c r="I2458" i="1" s="1"/>
  <c r="H2457" i="1"/>
  <c r="A2457" i="1"/>
  <c r="I2457" i="1" s="1"/>
  <c r="H2456" i="1"/>
  <c r="A2456" i="1"/>
  <c r="I2456" i="1" s="1"/>
  <c r="I2455" i="1"/>
  <c r="H2455" i="1"/>
  <c r="A2455" i="1"/>
  <c r="H2454" i="1"/>
  <c r="I2454" i="1" s="1"/>
  <c r="A2454" i="1"/>
  <c r="H2453" i="1"/>
  <c r="A2453" i="1"/>
  <c r="I2453" i="1" s="1"/>
  <c r="I2452" i="1"/>
  <c r="H2452" i="1"/>
  <c r="A2452" i="1"/>
  <c r="I2451" i="1"/>
  <c r="H2451" i="1"/>
  <c r="A2451" i="1"/>
  <c r="H2450" i="1"/>
  <c r="A2450" i="1"/>
  <c r="I2450" i="1" s="1"/>
  <c r="H2449" i="1"/>
  <c r="A2449" i="1"/>
  <c r="I2449" i="1" s="1"/>
  <c r="H2448" i="1"/>
  <c r="A2448" i="1"/>
  <c r="I2448" i="1" s="1"/>
  <c r="I2447" i="1"/>
  <c r="H2447" i="1"/>
  <c r="A2447" i="1"/>
  <c r="H2446" i="1"/>
  <c r="I2446" i="1" s="1"/>
  <c r="A2446" i="1"/>
  <c r="H2445" i="1"/>
  <c r="A2445" i="1"/>
  <c r="I2445" i="1" s="1"/>
  <c r="I2444" i="1"/>
  <c r="H2444" i="1"/>
  <c r="A2444" i="1"/>
  <c r="I2443" i="1"/>
  <c r="H2443" i="1"/>
  <c r="A2443" i="1"/>
  <c r="H2442" i="1"/>
  <c r="A2442" i="1"/>
  <c r="H2441" i="1"/>
  <c r="A2441" i="1"/>
  <c r="I2441" i="1" s="1"/>
  <c r="H2440" i="1"/>
  <c r="A2440" i="1"/>
  <c r="I2440" i="1" s="1"/>
  <c r="I2439" i="1"/>
  <c r="H2439" i="1"/>
  <c r="A2439" i="1"/>
  <c r="H2438" i="1"/>
  <c r="I2438" i="1" s="1"/>
  <c r="A2438" i="1"/>
  <c r="H2437" i="1"/>
  <c r="A2437" i="1"/>
  <c r="I2437" i="1" s="1"/>
  <c r="I2436" i="1"/>
  <c r="H2436" i="1"/>
  <c r="A2436" i="1"/>
  <c r="I2435" i="1"/>
  <c r="H2435" i="1"/>
  <c r="A2435" i="1"/>
  <c r="H2434" i="1"/>
  <c r="A2434" i="1"/>
  <c r="H2433" i="1"/>
  <c r="A2433" i="1"/>
  <c r="I2433" i="1" s="1"/>
  <c r="H2432" i="1"/>
  <c r="A2432" i="1"/>
  <c r="I2432" i="1" s="1"/>
  <c r="I2431" i="1"/>
  <c r="H2431" i="1"/>
  <c r="A2431" i="1"/>
  <c r="H2430" i="1"/>
  <c r="I2430" i="1" s="1"/>
  <c r="A2430" i="1"/>
  <c r="H2429" i="1"/>
  <c r="A2429" i="1"/>
  <c r="I2429" i="1" s="1"/>
  <c r="I2428" i="1"/>
  <c r="H2428" i="1"/>
  <c r="A2428" i="1"/>
  <c r="I2427" i="1"/>
  <c r="H2427" i="1"/>
  <c r="A2427" i="1"/>
  <c r="H2426" i="1"/>
  <c r="A2426" i="1"/>
  <c r="H2425" i="1"/>
  <c r="A2425" i="1"/>
  <c r="I2425" i="1" s="1"/>
  <c r="H2424" i="1"/>
  <c r="A2424" i="1"/>
  <c r="I2424" i="1" s="1"/>
  <c r="I2423" i="1"/>
  <c r="H2423" i="1"/>
  <c r="A2423" i="1"/>
  <c r="H2422" i="1"/>
  <c r="I2422" i="1" s="1"/>
  <c r="A2422" i="1"/>
  <c r="H2421" i="1"/>
  <c r="A2421" i="1"/>
  <c r="I2421" i="1" s="1"/>
  <c r="I2420" i="1"/>
  <c r="H2420" i="1"/>
  <c r="A2420" i="1"/>
  <c r="I2419" i="1"/>
  <c r="H2419" i="1"/>
  <c r="A2419" i="1"/>
  <c r="H2418" i="1"/>
  <c r="A2418" i="1"/>
  <c r="I2418" i="1" s="1"/>
  <c r="H2417" i="1"/>
  <c r="A2417" i="1"/>
  <c r="I2417" i="1" s="1"/>
  <c r="H2416" i="1"/>
  <c r="A2416" i="1"/>
  <c r="I2416" i="1" s="1"/>
  <c r="I2415" i="1"/>
  <c r="H2415" i="1"/>
  <c r="A2415" i="1"/>
  <c r="H2414" i="1"/>
  <c r="I2414" i="1" s="1"/>
  <c r="A2414" i="1"/>
  <c r="H2413" i="1"/>
  <c r="A2413" i="1"/>
  <c r="I2413" i="1" s="1"/>
  <c r="I2412" i="1"/>
  <c r="H2412" i="1"/>
  <c r="A2412" i="1"/>
  <c r="I2411" i="1"/>
  <c r="H2411" i="1"/>
  <c r="A2411" i="1"/>
  <c r="H2410" i="1"/>
  <c r="A2410" i="1"/>
  <c r="H2409" i="1"/>
  <c r="A2409" i="1"/>
  <c r="I2409" i="1" s="1"/>
  <c r="H2408" i="1"/>
  <c r="A2408" i="1"/>
  <c r="I2408" i="1" s="1"/>
  <c r="I2407" i="1"/>
  <c r="H2407" i="1"/>
  <c r="A2407" i="1"/>
  <c r="H2406" i="1"/>
  <c r="I2406" i="1" s="1"/>
  <c r="A2406" i="1"/>
  <c r="H2405" i="1"/>
  <c r="A2405" i="1"/>
  <c r="I2405" i="1" s="1"/>
  <c r="I2404" i="1"/>
  <c r="H2404" i="1"/>
  <c r="A2404" i="1"/>
  <c r="I2403" i="1"/>
  <c r="H2403" i="1"/>
  <c r="A2403" i="1"/>
  <c r="H2402" i="1"/>
  <c r="A2402" i="1"/>
  <c r="I2402" i="1" s="1"/>
  <c r="H2401" i="1"/>
  <c r="A2401" i="1"/>
  <c r="I2401" i="1" s="1"/>
  <c r="H2400" i="1"/>
  <c r="A2400" i="1"/>
  <c r="I2400" i="1" s="1"/>
  <c r="I2399" i="1"/>
  <c r="H2399" i="1"/>
  <c r="A2399" i="1"/>
  <c r="H2398" i="1"/>
  <c r="I2398" i="1" s="1"/>
  <c r="A2398" i="1"/>
  <c r="H2397" i="1"/>
  <c r="A2397" i="1"/>
  <c r="I2397" i="1" s="1"/>
  <c r="I2396" i="1"/>
  <c r="H2396" i="1"/>
  <c r="A2396" i="1"/>
  <c r="I2395" i="1"/>
  <c r="H2395" i="1"/>
  <c r="A2395" i="1"/>
  <c r="H2394" i="1"/>
  <c r="A2394" i="1"/>
  <c r="I2394" i="1" s="1"/>
  <c r="H2393" i="1"/>
  <c r="A2393" i="1"/>
  <c r="I2393" i="1" s="1"/>
  <c r="H2392" i="1"/>
  <c r="A2392" i="1"/>
  <c r="I2392" i="1" s="1"/>
  <c r="I2391" i="1"/>
  <c r="H2391" i="1"/>
  <c r="A2391" i="1"/>
  <c r="H2390" i="1"/>
  <c r="I2390" i="1" s="1"/>
  <c r="A2390" i="1"/>
  <c r="H2389" i="1"/>
  <c r="A2389" i="1"/>
  <c r="I2389" i="1" s="1"/>
  <c r="I2388" i="1"/>
  <c r="H2388" i="1"/>
  <c r="A2388" i="1"/>
  <c r="I2387" i="1"/>
  <c r="H2387" i="1"/>
  <c r="A2387" i="1"/>
  <c r="H2386" i="1"/>
  <c r="A2386" i="1"/>
  <c r="I2386" i="1" s="1"/>
  <c r="H2385" i="1"/>
  <c r="A2385" i="1"/>
  <c r="I2385" i="1" s="1"/>
  <c r="H2384" i="1"/>
  <c r="A2384" i="1"/>
  <c r="I2384" i="1" s="1"/>
  <c r="I2383" i="1"/>
  <c r="H2383" i="1"/>
  <c r="A2383" i="1"/>
  <c r="H2382" i="1"/>
  <c r="I2382" i="1" s="1"/>
  <c r="A2382" i="1"/>
  <c r="H2381" i="1"/>
  <c r="A2381" i="1"/>
  <c r="I2381" i="1" s="1"/>
  <c r="I2380" i="1"/>
  <c r="H2380" i="1"/>
  <c r="A2380" i="1"/>
  <c r="I2379" i="1"/>
  <c r="H2379" i="1"/>
  <c r="A2379" i="1"/>
  <c r="H2378" i="1"/>
  <c r="A2378" i="1"/>
  <c r="H2377" i="1"/>
  <c r="A2377" i="1"/>
  <c r="I2377" i="1" s="1"/>
  <c r="H2376" i="1"/>
  <c r="A2376" i="1"/>
  <c r="I2376" i="1" s="1"/>
  <c r="I2375" i="1"/>
  <c r="H2375" i="1"/>
  <c r="A2375" i="1"/>
  <c r="H2374" i="1"/>
  <c r="I2374" i="1" s="1"/>
  <c r="A2374" i="1"/>
  <c r="H2373" i="1"/>
  <c r="A2373" i="1"/>
  <c r="I2373" i="1" s="1"/>
  <c r="I2372" i="1"/>
  <c r="H2372" i="1"/>
  <c r="A2372" i="1"/>
  <c r="I2371" i="1"/>
  <c r="H2371" i="1"/>
  <c r="A2371" i="1"/>
  <c r="H2370" i="1"/>
  <c r="A2370" i="1"/>
  <c r="H2369" i="1"/>
  <c r="A2369" i="1"/>
  <c r="I2369" i="1" s="1"/>
  <c r="H2368" i="1"/>
  <c r="A2368" i="1"/>
  <c r="I2368" i="1" s="1"/>
  <c r="I2367" i="1"/>
  <c r="H2367" i="1"/>
  <c r="A2367" i="1"/>
  <c r="H2366" i="1"/>
  <c r="I2366" i="1" s="1"/>
  <c r="A2366" i="1"/>
  <c r="H2365" i="1"/>
  <c r="A2365" i="1"/>
  <c r="I2365" i="1" s="1"/>
  <c r="I2364" i="1"/>
  <c r="H2364" i="1"/>
  <c r="A2364" i="1"/>
  <c r="I2363" i="1"/>
  <c r="H2363" i="1"/>
  <c r="A2363" i="1"/>
  <c r="H2362" i="1"/>
  <c r="A2362" i="1"/>
  <c r="H2361" i="1"/>
  <c r="A2361" i="1"/>
  <c r="I2361" i="1" s="1"/>
  <c r="H2360" i="1"/>
  <c r="A2360" i="1"/>
  <c r="I2360" i="1" s="1"/>
  <c r="I2359" i="1"/>
  <c r="H2359" i="1"/>
  <c r="A2359" i="1"/>
  <c r="H2358" i="1"/>
  <c r="I2358" i="1" s="1"/>
  <c r="A2358" i="1"/>
  <c r="H2357" i="1"/>
  <c r="A2357" i="1"/>
  <c r="I2357" i="1" s="1"/>
  <c r="I2356" i="1"/>
  <c r="H2356" i="1"/>
  <c r="A2356" i="1"/>
  <c r="I2355" i="1"/>
  <c r="H2355" i="1"/>
  <c r="A2355" i="1"/>
  <c r="H2354" i="1"/>
  <c r="A2354" i="1"/>
  <c r="I2354" i="1" s="1"/>
  <c r="H2353" i="1"/>
  <c r="A2353" i="1"/>
  <c r="I2353" i="1" s="1"/>
  <c r="H2352" i="1"/>
  <c r="A2352" i="1"/>
  <c r="I2352" i="1" s="1"/>
  <c r="I2351" i="1"/>
  <c r="H2351" i="1"/>
  <c r="A2351" i="1"/>
  <c r="H2350" i="1"/>
  <c r="I2350" i="1" s="1"/>
  <c r="A2350" i="1"/>
  <c r="H2349" i="1"/>
  <c r="A2349" i="1"/>
  <c r="I2349" i="1" s="1"/>
  <c r="I2348" i="1"/>
  <c r="H2348" i="1"/>
  <c r="A2348" i="1"/>
  <c r="I2347" i="1"/>
  <c r="H2347" i="1"/>
  <c r="A2347" i="1"/>
  <c r="H2346" i="1"/>
  <c r="A2346" i="1"/>
  <c r="H2345" i="1"/>
  <c r="A2345" i="1"/>
  <c r="I2345" i="1" s="1"/>
  <c r="H2344" i="1"/>
  <c r="A2344" i="1"/>
  <c r="I2344" i="1" s="1"/>
  <c r="I2343" i="1"/>
  <c r="H2343" i="1"/>
  <c r="A2343" i="1"/>
  <c r="H2342" i="1"/>
  <c r="I2342" i="1" s="1"/>
  <c r="A2342" i="1"/>
  <c r="H2341" i="1"/>
  <c r="A2341" i="1"/>
  <c r="I2341" i="1" s="1"/>
  <c r="I2340" i="1"/>
  <c r="H2340" i="1"/>
  <c r="A2340" i="1"/>
  <c r="I2339" i="1"/>
  <c r="H2339" i="1"/>
  <c r="A2339" i="1"/>
  <c r="H2338" i="1"/>
  <c r="A2338" i="1"/>
  <c r="I2338" i="1" s="1"/>
  <c r="H2337" i="1"/>
  <c r="A2337" i="1"/>
  <c r="I2337" i="1" s="1"/>
  <c r="H2336" i="1"/>
  <c r="A2336" i="1"/>
  <c r="I2336" i="1" s="1"/>
  <c r="I2335" i="1"/>
  <c r="H2335" i="1"/>
  <c r="A2335" i="1"/>
  <c r="H2334" i="1"/>
  <c r="I2334" i="1" s="1"/>
  <c r="A2334" i="1"/>
  <c r="H2333" i="1"/>
  <c r="A2333" i="1"/>
  <c r="I2333" i="1" s="1"/>
  <c r="I2332" i="1"/>
  <c r="H2332" i="1"/>
  <c r="A2332" i="1"/>
  <c r="I2331" i="1"/>
  <c r="H2331" i="1"/>
  <c r="A2331" i="1"/>
  <c r="H2330" i="1"/>
  <c r="A2330" i="1"/>
  <c r="I2330" i="1" s="1"/>
  <c r="H2329" i="1"/>
  <c r="A2329" i="1"/>
  <c r="I2329" i="1" s="1"/>
  <c r="H2328" i="1"/>
  <c r="A2328" i="1"/>
  <c r="I2328" i="1" s="1"/>
  <c r="I2327" i="1"/>
  <c r="H2327" i="1"/>
  <c r="A2327" i="1"/>
  <c r="H2326" i="1"/>
  <c r="I2326" i="1" s="1"/>
  <c r="A2326" i="1"/>
  <c r="H2325" i="1"/>
  <c r="A2325" i="1"/>
  <c r="I2325" i="1" s="1"/>
  <c r="I2324" i="1"/>
  <c r="H2324" i="1"/>
  <c r="A2324" i="1"/>
  <c r="I2323" i="1"/>
  <c r="H2323" i="1"/>
  <c r="A2323" i="1"/>
  <c r="H2322" i="1"/>
  <c r="A2322" i="1"/>
  <c r="I2322" i="1" s="1"/>
  <c r="H2321" i="1"/>
  <c r="A2321" i="1"/>
  <c r="I2321" i="1" s="1"/>
  <c r="H2320" i="1"/>
  <c r="A2320" i="1"/>
  <c r="I2320" i="1" s="1"/>
  <c r="I2319" i="1"/>
  <c r="H2319" i="1"/>
  <c r="A2319" i="1"/>
  <c r="H2318" i="1"/>
  <c r="I2318" i="1" s="1"/>
  <c r="A2318" i="1"/>
  <c r="H2317" i="1"/>
  <c r="A2317" i="1"/>
  <c r="I2317" i="1" s="1"/>
  <c r="I2316" i="1"/>
  <c r="H2316" i="1"/>
  <c r="A2316" i="1"/>
  <c r="I2315" i="1"/>
  <c r="H2315" i="1"/>
  <c r="A2315" i="1"/>
  <c r="H2314" i="1"/>
  <c r="A2314" i="1"/>
  <c r="H2313" i="1"/>
  <c r="A2313" i="1"/>
  <c r="I2313" i="1" s="1"/>
  <c r="H2312" i="1"/>
  <c r="A2312" i="1"/>
  <c r="I2312" i="1" s="1"/>
  <c r="I2311" i="1"/>
  <c r="H2311" i="1"/>
  <c r="A2311" i="1"/>
  <c r="H2310" i="1"/>
  <c r="I2310" i="1" s="1"/>
  <c r="A2310" i="1"/>
  <c r="H2309" i="1"/>
  <c r="A2309" i="1"/>
  <c r="I2309" i="1" s="1"/>
  <c r="I2308" i="1"/>
  <c r="H2308" i="1"/>
  <c r="A2308" i="1"/>
  <c r="I2307" i="1"/>
  <c r="H2307" i="1"/>
  <c r="A2307" i="1"/>
  <c r="H2306" i="1"/>
  <c r="A2306" i="1"/>
  <c r="H2305" i="1"/>
  <c r="A2305" i="1"/>
  <c r="I2305" i="1" s="1"/>
  <c r="H2304" i="1"/>
  <c r="A2304" i="1"/>
  <c r="I2304" i="1" s="1"/>
  <c r="I2303" i="1"/>
  <c r="H2303" i="1"/>
  <c r="A2303" i="1"/>
  <c r="H2302" i="1"/>
  <c r="I2302" i="1" s="1"/>
  <c r="A2302" i="1"/>
  <c r="H2301" i="1"/>
  <c r="A2301" i="1"/>
  <c r="I2301" i="1" s="1"/>
  <c r="I2300" i="1"/>
  <c r="H2300" i="1"/>
  <c r="A2300" i="1"/>
  <c r="I2299" i="1"/>
  <c r="H2299" i="1"/>
  <c r="A2299" i="1"/>
  <c r="H2298" i="1"/>
  <c r="A2298" i="1"/>
  <c r="H2297" i="1"/>
  <c r="A2297" i="1"/>
  <c r="I2297" i="1" s="1"/>
  <c r="H2296" i="1"/>
  <c r="A2296" i="1"/>
  <c r="I2296" i="1" s="1"/>
  <c r="I2295" i="1"/>
  <c r="H2295" i="1"/>
  <c r="A2295" i="1"/>
  <c r="H2294" i="1"/>
  <c r="I2294" i="1" s="1"/>
  <c r="A2294" i="1"/>
  <c r="H2293" i="1"/>
  <c r="A2293" i="1"/>
  <c r="I2293" i="1" s="1"/>
  <c r="I2292" i="1"/>
  <c r="H2292" i="1"/>
  <c r="A2292" i="1"/>
  <c r="I2291" i="1"/>
  <c r="H2291" i="1"/>
  <c r="A2291" i="1"/>
  <c r="H2290" i="1"/>
  <c r="A2290" i="1"/>
  <c r="I2290" i="1" s="1"/>
  <c r="H2289" i="1"/>
  <c r="A2289" i="1"/>
  <c r="I2289" i="1" s="1"/>
  <c r="H2288" i="1"/>
  <c r="A2288" i="1"/>
  <c r="I2288" i="1" s="1"/>
  <c r="I2287" i="1"/>
  <c r="H2287" i="1"/>
  <c r="A2287" i="1"/>
  <c r="H2286" i="1"/>
  <c r="I2286" i="1" s="1"/>
  <c r="A2286" i="1"/>
  <c r="H2285" i="1"/>
  <c r="A2285" i="1"/>
  <c r="I2285" i="1" s="1"/>
  <c r="I2284" i="1"/>
  <c r="H2284" i="1"/>
  <c r="A2284" i="1"/>
  <c r="I2283" i="1"/>
  <c r="H2283" i="1"/>
  <c r="A2283" i="1"/>
  <c r="H2282" i="1"/>
  <c r="A2282" i="1"/>
  <c r="H2281" i="1"/>
  <c r="A2281" i="1"/>
  <c r="I2281" i="1" s="1"/>
  <c r="H2280" i="1"/>
  <c r="A2280" i="1"/>
  <c r="I2280" i="1" s="1"/>
  <c r="I2279" i="1"/>
  <c r="H2279" i="1"/>
  <c r="A2279" i="1"/>
  <c r="H2278" i="1"/>
  <c r="I2278" i="1" s="1"/>
  <c r="A2278" i="1"/>
  <c r="H2277" i="1"/>
  <c r="A2277" i="1"/>
  <c r="I2277" i="1" s="1"/>
  <c r="I2276" i="1"/>
  <c r="H2276" i="1"/>
  <c r="A2276" i="1"/>
  <c r="I2275" i="1"/>
  <c r="H2275" i="1"/>
  <c r="A2275" i="1"/>
  <c r="H2274" i="1"/>
  <c r="A2274" i="1"/>
  <c r="I2274" i="1" s="1"/>
  <c r="H2273" i="1"/>
  <c r="A2273" i="1"/>
  <c r="I2273" i="1" s="1"/>
  <c r="H2272" i="1"/>
  <c r="A2272" i="1"/>
  <c r="I2272" i="1" s="1"/>
  <c r="I2271" i="1"/>
  <c r="H2271" i="1"/>
  <c r="A2271" i="1"/>
  <c r="H2270" i="1"/>
  <c r="I2270" i="1" s="1"/>
  <c r="A2270" i="1"/>
  <c r="H2269" i="1"/>
  <c r="A2269" i="1"/>
  <c r="I2269" i="1" s="1"/>
  <c r="I2268" i="1"/>
  <c r="H2268" i="1"/>
  <c r="A2268" i="1"/>
  <c r="I2267" i="1"/>
  <c r="H2267" i="1"/>
  <c r="A2267" i="1"/>
  <c r="H2266" i="1"/>
  <c r="A2266" i="1"/>
  <c r="I2266" i="1" s="1"/>
  <c r="H2265" i="1"/>
  <c r="A2265" i="1"/>
  <c r="I2265" i="1" s="1"/>
  <c r="H2264" i="1"/>
  <c r="A2264" i="1"/>
  <c r="I2264" i="1" s="1"/>
  <c r="I2263" i="1"/>
  <c r="H2263" i="1"/>
  <c r="A2263" i="1"/>
  <c r="H2262" i="1"/>
  <c r="I2262" i="1" s="1"/>
  <c r="A2262" i="1"/>
  <c r="H2261" i="1"/>
  <c r="A2261" i="1"/>
  <c r="I2261" i="1" s="1"/>
  <c r="I2260" i="1"/>
  <c r="H2260" i="1"/>
  <c r="A2260" i="1"/>
  <c r="I2259" i="1"/>
  <c r="H2259" i="1"/>
  <c r="A2259" i="1"/>
  <c r="H2258" i="1"/>
  <c r="A2258" i="1"/>
  <c r="I2258" i="1" s="1"/>
  <c r="H2257" i="1"/>
  <c r="A2257" i="1"/>
  <c r="I2257" i="1" s="1"/>
  <c r="H2256" i="1"/>
  <c r="A2256" i="1"/>
  <c r="I2256" i="1" s="1"/>
  <c r="I2255" i="1"/>
  <c r="H2255" i="1"/>
  <c r="A2255" i="1"/>
  <c r="H2254" i="1"/>
  <c r="I2254" i="1" s="1"/>
  <c r="A2254" i="1"/>
  <c r="H2253" i="1"/>
  <c r="A2253" i="1"/>
  <c r="I2253" i="1" s="1"/>
  <c r="I2252" i="1"/>
  <c r="H2252" i="1"/>
  <c r="A2252" i="1"/>
  <c r="I2251" i="1"/>
  <c r="H2251" i="1"/>
  <c r="A2251" i="1"/>
  <c r="H2250" i="1"/>
  <c r="A2250" i="1"/>
  <c r="H2249" i="1"/>
  <c r="A2249" i="1"/>
  <c r="I2249" i="1" s="1"/>
  <c r="H2248" i="1"/>
  <c r="A2248" i="1"/>
  <c r="I2248" i="1" s="1"/>
  <c r="I2247" i="1"/>
  <c r="H2247" i="1"/>
  <c r="A2247" i="1"/>
  <c r="H2246" i="1"/>
  <c r="I2246" i="1" s="1"/>
  <c r="A2246" i="1"/>
  <c r="H2245" i="1"/>
  <c r="A2245" i="1"/>
  <c r="I2245" i="1" s="1"/>
  <c r="I2244" i="1"/>
  <c r="H2244" i="1"/>
  <c r="A2244" i="1"/>
  <c r="I2243" i="1"/>
  <c r="H2243" i="1"/>
  <c r="A2243" i="1"/>
  <c r="H2242" i="1"/>
  <c r="A2242" i="1"/>
  <c r="H2241" i="1"/>
  <c r="A2241" i="1"/>
  <c r="I2241" i="1" s="1"/>
  <c r="H2240" i="1"/>
  <c r="A2240" i="1"/>
  <c r="I2240" i="1" s="1"/>
  <c r="I2239" i="1"/>
  <c r="H2239" i="1"/>
  <c r="A2239" i="1"/>
  <c r="H2238" i="1"/>
  <c r="I2238" i="1" s="1"/>
  <c r="A2238" i="1"/>
  <c r="H2237" i="1"/>
  <c r="A2237" i="1"/>
  <c r="I2237" i="1" s="1"/>
  <c r="I2236" i="1"/>
  <c r="H2236" i="1"/>
  <c r="A2236" i="1"/>
  <c r="I2235" i="1"/>
  <c r="H2235" i="1"/>
  <c r="A2235" i="1"/>
  <c r="H2234" i="1"/>
  <c r="A2234" i="1"/>
  <c r="H2233" i="1"/>
  <c r="A2233" i="1"/>
  <c r="I2233" i="1" s="1"/>
  <c r="H2232" i="1"/>
  <c r="A2232" i="1"/>
  <c r="I2232" i="1" s="1"/>
  <c r="I2231" i="1"/>
  <c r="H2231" i="1"/>
  <c r="A2231" i="1"/>
  <c r="H2230" i="1"/>
  <c r="I2230" i="1" s="1"/>
  <c r="A2230" i="1"/>
  <c r="H2229" i="1"/>
  <c r="A2229" i="1"/>
  <c r="I2229" i="1" s="1"/>
  <c r="I2228" i="1"/>
  <c r="H2228" i="1"/>
  <c r="A2228" i="1"/>
  <c r="I2227" i="1"/>
  <c r="H2227" i="1"/>
  <c r="A2227" i="1"/>
  <c r="H2226" i="1"/>
  <c r="A2226" i="1"/>
  <c r="I2226" i="1" s="1"/>
  <c r="H2225" i="1"/>
  <c r="A2225" i="1"/>
  <c r="I2225" i="1" s="1"/>
  <c r="H2224" i="1"/>
  <c r="A2224" i="1"/>
  <c r="I2224" i="1" s="1"/>
  <c r="I2223" i="1"/>
  <c r="H2223" i="1"/>
  <c r="A2223" i="1"/>
  <c r="H2222" i="1"/>
  <c r="I2222" i="1" s="1"/>
  <c r="A2222" i="1"/>
  <c r="H2221" i="1"/>
  <c r="A2221" i="1"/>
  <c r="I2221" i="1" s="1"/>
  <c r="I2220" i="1"/>
  <c r="H2220" i="1"/>
  <c r="A2220" i="1"/>
  <c r="I2219" i="1"/>
  <c r="H2219" i="1"/>
  <c r="A2219" i="1"/>
  <c r="H2218" i="1"/>
  <c r="A2218" i="1"/>
  <c r="H2217" i="1"/>
  <c r="A2217" i="1"/>
  <c r="I2217" i="1" s="1"/>
  <c r="H2216" i="1"/>
  <c r="A2216" i="1"/>
  <c r="I2216" i="1" s="1"/>
  <c r="I2215" i="1"/>
  <c r="H2215" i="1"/>
  <c r="A2215" i="1"/>
  <c r="H2214" i="1"/>
  <c r="I2214" i="1" s="1"/>
  <c r="A2214" i="1"/>
  <c r="H2213" i="1"/>
  <c r="A2213" i="1"/>
  <c r="I2213" i="1" s="1"/>
  <c r="I2212" i="1"/>
  <c r="H2212" i="1"/>
  <c r="A2212" i="1"/>
  <c r="I2211" i="1"/>
  <c r="H2211" i="1"/>
  <c r="A2211" i="1"/>
  <c r="H2210" i="1"/>
  <c r="A2210" i="1"/>
  <c r="I2210" i="1" s="1"/>
  <c r="H2209" i="1"/>
  <c r="A2209" i="1"/>
  <c r="I2209" i="1" s="1"/>
  <c r="H2208" i="1"/>
  <c r="A2208" i="1"/>
  <c r="I2208" i="1" s="1"/>
  <c r="I2207" i="1"/>
  <c r="H2207" i="1"/>
  <c r="A2207" i="1"/>
  <c r="H2206" i="1"/>
  <c r="I2206" i="1" s="1"/>
  <c r="A2206" i="1"/>
  <c r="H2205" i="1"/>
  <c r="A2205" i="1"/>
  <c r="I2205" i="1" s="1"/>
  <c r="I2204" i="1"/>
  <c r="H2204" i="1"/>
  <c r="A2204" i="1"/>
  <c r="I2203" i="1"/>
  <c r="H2203" i="1"/>
  <c r="A2203" i="1"/>
  <c r="H2202" i="1"/>
  <c r="A2202" i="1"/>
  <c r="I2202" i="1" s="1"/>
  <c r="H2201" i="1"/>
  <c r="A2201" i="1"/>
  <c r="I2201" i="1" s="1"/>
  <c r="H2200" i="1"/>
  <c r="A2200" i="1"/>
  <c r="I2200" i="1" s="1"/>
  <c r="I2199" i="1"/>
  <c r="H2199" i="1"/>
  <c r="A2199" i="1"/>
  <c r="H2198" i="1"/>
  <c r="I2198" i="1" s="1"/>
  <c r="A2198" i="1"/>
  <c r="H2197" i="1"/>
  <c r="A2197" i="1"/>
  <c r="I2197" i="1" s="1"/>
  <c r="I2196" i="1"/>
  <c r="H2196" i="1"/>
  <c r="A2196" i="1"/>
  <c r="I2195" i="1"/>
  <c r="H2195" i="1"/>
  <c r="A2195" i="1"/>
  <c r="H2194" i="1"/>
  <c r="A2194" i="1"/>
  <c r="I2194" i="1" s="1"/>
  <c r="H2193" i="1"/>
  <c r="A2193" i="1"/>
  <c r="I2193" i="1" s="1"/>
  <c r="H2192" i="1"/>
  <c r="A2192" i="1"/>
  <c r="I2192" i="1" s="1"/>
  <c r="I2191" i="1"/>
  <c r="H2191" i="1"/>
  <c r="A2191" i="1"/>
  <c r="H2190" i="1"/>
  <c r="I2190" i="1" s="1"/>
  <c r="A2190" i="1"/>
  <c r="H2189" i="1"/>
  <c r="A2189" i="1"/>
  <c r="I2189" i="1" s="1"/>
  <c r="I2188" i="1"/>
  <c r="H2188" i="1"/>
  <c r="A2188" i="1"/>
  <c r="I2187" i="1"/>
  <c r="H2187" i="1"/>
  <c r="A2187" i="1"/>
  <c r="H2186" i="1"/>
  <c r="A2186" i="1"/>
  <c r="H2185" i="1"/>
  <c r="A2185" i="1"/>
  <c r="I2185" i="1" s="1"/>
  <c r="H2184" i="1"/>
  <c r="A2184" i="1"/>
  <c r="I2184" i="1" s="1"/>
  <c r="I2183" i="1"/>
  <c r="H2183" i="1"/>
  <c r="A2183" i="1"/>
  <c r="H2182" i="1"/>
  <c r="I2182" i="1" s="1"/>
  <c r="A2182" i="1"/>
  <c r="H2181" i="1"/>
  <c r="A2181" i="1"/>
  <c r="I2181" i="1" s="1"/>
  <c r="I2180" i="1"/>
  <c r="H2180" i="1"/>
  <c r="A2180" i="1"/>
  <c r="I2179" i="1"/>
  <c r="H2179" i="1"/>
  <c r="A2179" i="1"/>
  <c r="H2178" i="1"/>
  <c r="A2178" i="1"/>
  <c r="H2177" i="1"/>
  <c r="A2177" i="1"/>
  <c r="I2177" i="1" s="1"/>
  <c r="H2176" i="1"/>
  <c r="A2176" i="1"/>
  <c r="I2176" i="1" s="1"/>
  <c r="I2175" i="1"/>
  <c r="H2175" i="1"/>
  <c r="A2175" i="1"/>
  <c r="H2174" i="1"/>
  <c r="I2174" i="1" s="1"/>
  <c r="A2174" i="1"/>
  <c r="H2173" i="1"/>
  <c r="A2173" i="1"/>
  <c r="I2173" i="1" s="1"/>
  <c r="I2172" i="1"/>
  <c r="H2172" i="1"/>
  <c r="A2172" i="1"/>
  <c r="I2171" i="1"/>
  <c r="H2171" i="1"/>
  <c r="A2171" i="1"/>
  <c r="H2170" i="1"/>
  <c r="A2170" i="1"/>
  <c r="H2169" i="1"/>
  <c r="A2169" i="1"/>
  <c r="I2169" i="1" s="1"/>
  <c r="H2168" i="1"/>
  <c r="A2168" i="1"/>
  <c r="I2168" i="1" s="1"/>
  <c r="I2167" i="1"/>
  <c r="H2167" i="1"/>
  <c r="A2167" i="1"/>
  <c r="H2166" i="1"/>
  <c r="I2166" i="1" s="1"/>
  <c r="A2166" i="1"/>
  <c r="H2165" i="1"/>
  <c r="A2165" i="1"/>
  <c r="I2165" i="1" s="1"/>
  <c r="I2164" i="1"/>
  <c r="H2164" i="1"/>
  <c r="A2164" i="1"/>
  <c r="I2163" i="1"/>
  <c r="H2163" i="1"/>
  <c r="A2163" i="1"/>
  <c r="H2162" i="1"/>
  <c r="A2162" i="1"/>
  <c r="I2162" i="1" s="1"/>
  <c r="H2161" i="1"/>
  <c r="A2161" i="1"/>
  <c r="I2161" i="1" s="1"/>
  <c r="H2160" i="1"/>
  <c r="A2160" i="1"/>
  <c r="I2160" i="1" s="1"/>
  <c r="I2159" i="1"/>
  <c r="H2159" i="1"/>
  <c r="A2159" i="1"/>
  <c r="H2158" i="1"/>
  <c r="I2158" i="1" s="1"/>
  <c r="A2158" i="1"/>
  <c r="H2157" i="1"/>
  <c r="A2157" i="1"/>
  <c r="I2157" i="1" s="1"/>
  <c r="I2156" i="1"/>
  <c r="H2156" i="1"/>
  <c r="A2156" i="1"/>
  <c r="I2155" i="1"/>
  <c r="H2155" i="1"/>
  <c r="A2155" i="1"/>
  <c r="H2154" i="1"/>
  <c r="A2154" i="1"/>
  <c r="H2153" i="1"/>
  <c r="A2153" i="1"/>
  <c r="I2153" i="1" s="1"/>
  <c r="H2152" i="1"/>
  <c r="A2152" i="1"/>
  <c r="I2152" i="1" s="1"/>
  <c r="I2151" i="1"/>
  <c r="H2151" i="1"/>
  <c r="A2151" i="1"/>
  <c r="H2150" i="1"/>
  <c r="I2150" i="1" s="1"/>
  <c r="A2150" i="1"/>
  <c r="H2149" i="1"/>
  <c r="A2149" i="1"/>
  <c r="I2149" i="1" s="1"/>
  <c r="I2148" i="1"/>
  <c r="H2148" i="1"/>
  <c r="A2148" i="1"/>
  <c r="I2147" i="1"/>
  <c r="H2147" i="1"/>
  <c r="A2147" i="1"/>
  <c r="H2146" i="1"/>
  <c r="A2146" i="1"/>
  <c r="I2146" i="1" s="1"/>
  <c r="H2145" i="1"/>
  <c r="A2145" i="1"/>
  <c r="I2145" i="1" s="1"/>
  <c r="H2144" i="1"/>
  <c r="A2144" i="1"/>
  <c r="I2144" i="1" s="1"/>
  <c r="I2143" i="1"/>
  <c r="H2143" i="1"/>
  <c r="A2143" i="1"/>
  <c r="H2142" i="1"/>
  <c r="I2142" i="1" s="1"/>
  <c r="A2142" i="1"/>
  <c r="H2141" i="1"/>
  <c r="A2141" i="1"/>
  <c r="I2141" i="1" s="1"/>
  <c r="I2140" i="1"/>
  <c r="H2140" i="1"/>
  <c r="A2140" i="1"/>
  <c r="I2139" i="1"/>
  <c r="H2139" i="1"/>
  <c r="A2139" i="1"/>
  <c r="H2138" i="1"/>
  <c r="A2138" i="1"/>
  <c r="I2138" i="1" s="1"/>
  <c r="H2137" i="1"/>
  <c r="A2137" i="1"/>
  <c r="I2137" i="1" s="1"/>
  <c r="H2136" i="1"/>
  <c r="A2136" i="1"/>
  <c r="I2136" i="1" s="1"/>
  <c r="I2135" i="1"/>
  <c r="H2135" i="1"/>
  <c r="A2135" i="1"/>
  <c r="H2134" i="1"/>
  <c r="I2134" i="1" s="1"/>
  <c r="A2134" i="1"/>
  <c r="H2133" i="1"/>
  <c r="A2133" i="1"/>
  <c r="I2133" i="1" s="1"/>
  <c r="I2132" i="1"/>
  <c r="H2132" i="1"/>
  <c r="A2132" i="1"/>
  <c r="I2131" i="1"/>
  <c r="H2131" i="1"/>
  <c r="A2131" i="1"/>
  <c r="H2130" i="1"/>
  <c r="A2130" i="1"/>
  <c r="I2130" i="1" s="1"/>
  <c r="H2129" i="1"/>
  <c r="A2129" i="1"/>
  <c r="I2129" i="1" s="1"/>
  <c r="H2128" i="1"/>
  <c r="A2128" i="1"/>
  <c r="I2128" i="1" s="1"/>
  <c r="I2127" i="1"/>
  <c r="H2127" i="1"/>
  <c r="A2127" i="1"/>
  <c r="H2126" i="1"/>
  <c r="I2126" i="1" s="1"/>
  <c r="A2126" i="1"/>
  <c r="H2125" i="1"/>
  <c r="A2125" i="1"/>
  <c r="I2125" i="1" s="1"/>
  <c r="I2124" i="1"/>
  <c r="H2124" i="1"/>
  <c r="A2124" i="1"/>
  <c r="I2123" i="1"/>
  <c r="H2123" i="1"/>
  <c r="A2123" i="1"/>
  <c r="H2122" i="1"/>
  <c r="A2122" i="1"/>
  <c r="H2121" i="1"/>
  <c r="A2121" i="1"/>
  <c r="I2121" i="1" s="1"/>
  <c r="H2120" i="1"/>
  <c r="I2120" i="1" s="1"/>
  <c r="A2120" i="1"/>
  <c r="I2119" i="1"/>
  <c r="H2119" i="1"/>
  <c r="A2119" i="1"/>
  <c r="H2118" i="1"/>
  <c r="I2118" i="1" s="1"/>
  <c r="A2118" i="1"/>
  <c r="H2117" i="1"/>
  <c r="A2117" i="1"/>
  <c r="I2117" i="1" s="1"/>
  <c r="I2116" i="1"/>
  <c r="H2116" i="1"/>
  <c r="A2116" i="1"/>
  <c r="I2115" i="1"/>
  <c r="H2115" i="1"/>
  <c r="A2115" i="1"/>
  <c r="H2114" i="1"/>
  <c r="A2114" i="1"/>
  <c r="H2113" i="1"/>
  <c r="A2113" i="1"/>
  <c r="I2113" i="1" s="1"/>
  <c r="H2112" i="1"/>
  <c r="I2112" i="1" s="1"/>
  <c r="A2112" i="1"/>
  <c r="I2111" i="1"/>
  <c r="H2111" i="1"/>
  <c r="A2111" i="1"/>
  <c r="H2110" i="1"/>
  <c r="I2110" i="1" s="1"/>
  <c r="A2110" i="1"/>
  <c r="H2109" i="1"/>
  <c r="A2109" i="1"/>
  <c r="I2109" i="1" s="1"/>
  <c r="I2108" i="1"/>
  <c r="H2108" i="1"/>
  <c r="A2108" i="1"/>
  <c r="I2107" i="1"/>
  <c r="H2107" i="1"/>
  <c r="A2107" i="1"/>
  <c r="H2106" i="1"/>
  <c r="A2106" i="1"/>
  <c r="H2105" i="1"/>
  <c r="A2105" i="1"/>
  <c r="I2105" i="1" s="1"/>
  <c r="H2104" i="1"/>
  <c r="I2104" i="1" s="1"/>
  <c r="A2104" i="1"/>
  <c r="I2103" i="1"/>
  <c r="H2103" i="1"/>
  <c r="A2103" i="1"/>
  <c r="H2102" i="1"/>
  <c r="I2102" i="1" s="1"/>
  <c r="A2102" i="1"/>
  <c r="H2101" i="1"/>
  <c r="A2101" i="1"/>
  <c r="I2101" i="1" s="1"/>
  <c r="I2100" i="1"/>
  <c r="H2100" i="1"/>
  <c r="A2100" i="1"/>
  <c r="I2099" i="1"/>
  <c r="H2099" i="1"/>
  <c r="A2099" i="1"/>
  <c r="H2098" i="1"/>
  <c r="A2098" i="1"/>
  <c r="I2098" i="1" s="1"/>
  <c r="H2097" i="1"/>
  <c r="A2097" i="1"/>
  <c r="I2097" i="1" s="1"/>
  <c r="H2096" i="1"/>
  <c r="I2096" i="1" s="1"/>
  <c r="A2096" i="1"/>
  <c r="I2095" i="1"/>
  <c r="H2095" i="1"/>
  <c r="A2095" i="1"/>
  <c r="H2094" i="1"/>
  <c r="I2094" i="1" s="1"/>
  <c r="A2094" i="1"/>
  <c r="H2093" i="1"/>
  <c r="A2093" i="1"/>
  <c r="I2093" i="1" s="1"/>
  <c r="I2092" i="1"/>
  <c r="H2092" i="1"/>
  <c r="A2092" i="1"/>
  <c r="I2091" i="1"/>
  <c r="H2091" i="1"/>
  <c r="A2091" i="1"/>
  <c r="H2090" i="1"/>
  <c r="A2090" i="1"/>
  <c r="H2089" i="1"/>
  <c r="A2089" i="1"/>
  <c r="I2089" i="1" s="1"/>
  <c r="H2088" i="1"/>
  <c r="I2088" i="1" s="1"/>
  <c r="A2088" i="1"/>
  <c r="I2087" i="1"/>
  <c r="H2087" i="1"/>
  <c r="A2087" i="1"/>
  <c r="H2086" i="1"/>
  <c r="I2086" i="1" s="1"/>
  <c r="A2086" i="1"/>
  <c r="H2085" i="1"/>
  <c r="A2085" i="1"/>
  <c r="I2085" i="1" s="1"/>
  <c r="I2084" i="1"/>
  <c r="H2084" i="1"/>
  <c r="A2084" i="1"/>
  <c r="I2083" i="1"/>
  <c r="H2083" i="1"/>
  <c r="A2083" i="1"/>
  <c r="H2082" i="1"/>
  <c r="A2082" i="1"/>
  <c r="I2082" i="1" s="1"/>
  <c r="H2081" i="1"/>
  <c r="A2081" i="1"/>
  <c r="I2081" i="1" s="1"/>
  <c r="H2080" i="1"/>
  <c r="I2080" i="1" s="1"/>
  <c r="A2080" i="1"/>
  <c r="I2079" i="1"/>
  <c r="H2079" i="1"/>
  <c r="A2079" i="1"/>
  <c r="H2078" i="1"/>
  <c r="I2078" i="1" s="1"/>
  <c r="A2078" i="1"/>
  <c r="H2077" i="1"/>
  <c r="A2077" i="1"/>
  <c r="I2077" i="1" s="1"/>
  <c r="I2076" i="1"/>
  <c r="H2076" i="1"/>
  <c r="A2076" i="1"/>
  <c r="I2075" i="1"/>
  <c r="H2075" i="1"/>
  <c r="A2075" i="1"/>
  <c r="H2074" i="1"/>
  <c r="A2074" i="1"/>
  <c r="I2074" i="1" s="1"/>
  <c r="H2073" i="1"/>
  <c r="A2073" i="1"/>
  <c r="I2073" i="1" s="1"/>
  <c r="H2072" i="1"/>
  <c r="I2072" i="1" s="1"/>
  <c r="A2072" i="1"/>
  <c r="I2071" i="1"/>
  <c r="H2071" i="1"/>
  <c r="A2071" i="1"/>
  <c r="H2070" i="1"/>
  <c r="I2070" i="1" s="1"/>
  <c r="A2070" i="1"/>
  <c r="H2069" i="1"/>
  <c r="A2069" i="1"/>
  <c r="I2069" i="1" s="1"/>
  <c r="I2068" i="1"/>
  <c r="H2068" i="1"/>
  <c r="A2068" i="1"/>
  <c r="I2067" i="1"/>
  <c r="H2067" i="1"/>
  <c r="A2067" i="1"/>
  <c r="H2066" i="1"/>
  <c r="A2066" i="1"/>
  <c r="I2066" i="1" s="1"/>
  <c r="H2065" i="1"/>
  <c r="A2065" i="1"/>
  <c r="I2065" i="1" s="1"/>
  <c r="H2064" i="1"/>
  <c r="I2064" i="1" s="1"/>
  <c r="A2064" i="1"/>
  <c r="I2063" i="1"/>
  <c r="H2063" i="1"/>
  <c r="A2063" i="1"/>
  <c r="H2062" i="1"/>
  <c r="I2062" i="1" s="1"/>
  <c r="A2062" i="1"/>
  <c r="H2061" i="1"/>
  <c r="A2061" i="1"/>
  <c r="I2061" i="1" s="1"/>
  <c r="I2060" i="1"/>
  <c r="H2060" i="1"/>
  <c r="A2060" i="1"/>
  <c r="I2059" i="1"/>
  <c r="H2059" i="1"/>
  <c r="A2059" i="1"/>
  <c r="H2058" i="1"/>
  <c r="A2058" i="1"/>
  <c r="H2057" i="1"/>
  <c r="A2057" i="1"/>
  <c r="I2057" i="1" s="1"/>
  <c r="H2056" i="1"/>
  <c r="I2056" i="1" s="1"/>
  <c r="A2056" i="1"/>
  <c r="I2055" i="1"/>
  <c r="H2055" i="1"/>
  <c r="A2055" i="1"/>
  <c r="H2054" i="1"/>
  <c r="I2054" i="1" s="1"/>
  <c r="A2054" i="1"/>
  <c r="H2053" i="1"/>
  <c r="A2053" i="1"/>
  <c r="I2053" i="1" s="1"/>
  <c r="I2052" i="1"/>
  <c r="H2052" i="1"/>
  <c r="A2052" i="1"/>
  <c r="I2051" i="1"/>
  <c r="H2051" i="1"/>
  <c r="A2051" i="1"/>
  <c r="H2050" i="1"/>
  <c r="A2050" i="1"/>
  <c r="H2049" i="1"/>
  <c r="A2049" i="1"/>
  <c r="I2049" i="1" s="1"/>
  <c r="H2048" i="1"/>
  <c r="I2048" i="1" s="1"/>
  <c r="A2048" i="1"/>
  <c r="I2047" i="1"/>
  <c r="H2047" i="1"/>
  <c r="A2047" i="1"/>
  <c r="H2046" i="1"/>
  <c r="I2046" i="1" s="1"/>
  <c r="A2046" i="1"/>
  <c r="H2045" i="1"/>
  <c r="A2045" i="1"/>
  <c r="I2045" i="1" s="1"/>
  <c r="I2044" i="1"/>
  <c r="H2044" i="1"/>
  <c r="A2044" i="1"/>
  <c r="I2043" i="1"/>
  <c r="H2043" i="1"/>
  <c r="A2043" i="1"/>
  <c r="H2042" i="1"/>
  <c r="A2042" i="1"/>
  <c r="H2041" i="1"/>
  <c r="A2041" i="1"/>
  <c r="I2041" i="1" s="1"/>
  <c r="H2040" i="1"/>
  <c r="A2040" i="1"/>
  <c r="I2040" i="1" s="1"/>
  <c r="I2039" i="1"/>
  <c r="H2039" i="1"/>
  <c r="A2039" i="1"/>
  <c r="H2038" i="1"/>
  <c r="I2038" i="1" s="1"/>
  <c r="A2038" i="1"/>
  <c r="H2037" i="1"/>
  <c r="A2037" i="1"/>
  <c r="I2037" i="1" s="1"/>
  <c r="I2036" i="1"/>
  <c r="H2036" i="1"/>
  <c r="A2036" i="1"/>
  <c r="I2035" i="1"/>
  <c r="H2035" i="1"/>
  <c r="A2035" i="1"/>
  <c r="H2034" i="1"/>
  <c r="A2034" i="1"/>
  <c r="I2034" i="1" s="1"/>
  <c r="H2033" i="1"/>
  <c r="A2033" i="1"/>
  <c r="I2033" i="1" s="1"/>
  <c r="H2032" i="1"/>
  <c r="A2032" i="1"/>
  <c r="I2032" i="1" s="1"/>
  <c r="I2031" i="1"/>
  <c r="H2031" i="1"/>
  <c r="A2031" i="1"/>
  <c r="H2030" i="1"/>
  <c r="I2030" i="1" s="1"/>
  <c r="A2030" i="1"/>
  <c r="H2029" i="1"/>
  <c r="A2029" i="1"/>
  <c r="I2029" i="1" s="1"/>
  <c r="I2028" i="1"/>
  <c r="H2028" i="1"/>
  <c r="A2028" i="1"/>
  <c r="I2027" i="1"/>
  <c r="H2027" i="1"/>
  <c r="A2027" i="1"/>
  <c r="H2026" i="1"/>
  <c r="A2026" i="1"/>
  <c r="H2025" i="1"/>
  <c r="A2025" i="1"/>
  <c r="I2025" i="1" s="1"/>
  <c r="H2024" i="1"/>
  <c r="A2024" i="1"/>
  <c r="I2024" i="1" s="1"/>
  <c r="I2023" i="1"/>
  <c r="H2023" i="1"/>
  <c r="A2023" i="1"/>
  <c r="H2022" i="1"/>
  <c r="I2022" i="1" s="1"/>
  <c r="A2022" i="1"/>
  <c r="H2021" i="1"/>
  <c r="A2021" i="1"/>
  <c r="I2021" i="1" s="1"/>
  <c r="I2020" i="1"/>
  <c r="H2020" i="1"/>
  <c r="A2020" i="1"/>
  <c r="I2019" i="1"/>
  <c r="H2019" i="1"/>
  <c r="A2019" i="1"/>
  <c r="H2018" i="1"/>
  <c r="A2018" i="1"/>
  <c r="I2018" i="1" s="1"/>
  <c r="H2017" i="1"/>
  <c r="A2017" i="1"/>
  <c r="I2017" i="1" s="1"/>
  <c r="H2016" i="1"/>
  <c r="A2016" i="1"/>
  <c r="I2016" i="1" s="1"/>
  <c r="I2015" i="1"/>
  <c r="H2015" i="1"/>
  <c r="A2015" i="1"/>
  <c r="H2014" i="1"/>
  <c r="I2014" i="1" s="1"/>
  <c r="A2014" i="1"/>
  <c r="H2013" i="1"/>
  <c r="A2013" i="1"/>
  <c r="I2013" i="1" s="1"/>
  <c r="I2012" i="1"/>
  <c r="H2012" i="1"/>
  <c r="A2012" i="1"/>
  <c r="I2011" i="1"/>
  <c r="H2011" i="1"/>
  <c r="A2011" i="1"/>
  <c r="H2010" i="1"/>
  <c r="A2010" i="1"/>
  <c r="I2010" i="1" s="1"/>
  <c r="H2009" i="1"/>
  <c r="A2009" i="1"/>
  <c r="I2009" i="1" s="1"/>
  <c r="H2008" i="1"/>
  <c r="A2008" i="1"/>
  <c r="I2008" i="1" s="1"/>
  <c r="I2007" i="1"/>
  <c r="H2007" i="1"/>
  <c r="A2007" i="1"/>
  <c r="H2006" i="1"/>
  <c r="I2006" i="1" s="1"/>
  <c r="A2006" i="1"/>
  <c r="H2005" i="1"/>
  <c r="A2005" i="1"/>
  <c r="I2005" i="1" s="1"/>
  <c r="I2004" i="1"/>
  <c r="H2004" i="1"/>
  <c r="A2004" i="1"/>
  <c r="I2003" i="1"/>
  <c r="H2003" i="1"/>
  <c r="A2003" i="1"/>
  <c r="H2002" i="1"/>
  <c r="A2002" i="1"/>
  <c r="I2002" i="1" s="1"/>
  <c r="H2001" i="1"/>
  <c r="A2001" i="1"/>
  <c r="I2001" i="1" s="1"/>
  <c r="H2000" i="1"/>
  <c r="A2000" i="1"/>
  <c r="I2000" i="1" s="1"/>
  <c r="I1999" i="1"/>
  <c r="H1999" i="1"/>
  <c r="A1999" i="1"/>
  <c r="H1998" i="1"/>
  <c r="I1998" i="1" s="1"/>
  <c r="A1998" i="1"/>
  <c r="H1997" i="1"/>
  <c r="A1997" i="1"/>
  <c r="I1997" i="1" s="1"/>
  <c r="I1996" i="1"/>
  <c r="H1996" i="1"/>
  <c r="A1996" i="1"/>
  <c r="I1995" i="1"/>
  <c r="H1995" i="1"/>
  <c r="A1995" i="1"/>
  <c r="H1994" i="1"/>
  <c r="A1994" i="1"/>
  <c r="H1993" i="1"/>
  <c r="A1993" i="1"/>
  <c r="I1993" i="1" s="1"/>
  <c r="H1992" i="1"/>
  <c r="A1992" i="1"/>
  <c r="I1992" i="1" s="1"/>
  <c r="I1991" i="1"/>
  <c r="H1991" i="1"/>
  <c r="A1991" i="1"/>
  <c r="H1990" i="1"/>
  <c r="I1990" i="1" s="1"/>
  <c r="A1990" i="1"/>
  <c r="H1989" i="1"/>
  <c r="A1989" i="1"/>
  <c r="I1989" i="1" s="1"/>
  <c r="I1988" i="1"/>
  <c r="H1988" i="1"/>
  <c r="A1988" i="1"/>
  <c r="I1987" i="1"/>
  <c r="H1987" i="1"/>
  <c r="A1987" i="1"/>
  <c r="H1986" i="1"/>
  <c r="A1986" i="1"/>
  <c r="H1985" i="1"/>
  <c r="A1985" i="1"/>
  <c r="I1985" i="1" s="1"/>
  <c r="H1984" i="1"/>
  <c r="A1984" i="1"/>
  <c r="I1984" i="1" s="1"/>
  <c r="I1983" i="1"/>
  <c r="H1983" i="1"/>
  <c r="A1983" i="1"/>
  <c r="H1982" i="1"/>
  <c r="I1982" i="1" s="1"/>
  <c r="A1982" i="1"/>
  <c r="H1981" i="1"/>
  <c r="A1981" i="1"/>
  <c r="I1981" i="1" s="1"/>
  <c r="I1980" i="1"/>
  <c r="H1980" i="1"/>
  <c r="A1980" i="1"/>
  <c r="I1979" i="1"/>
  <c r="H1979" i="1"/>
  <c r="A1979" i="1"/>
  <c r="H1978" i="1"/>
  <c r="A1978" i="1"/>
  <c r="H1977" i="1"/>
  <c r="A1977" i="1"/>
  <c r="I1977" i="1" s="1"/>
  <c r="H1976" i="1"/>
  <c r="A1976" i="1"/>
  <c r="I1976" i="1" s="1"/>
  <c r="I1975" i="1"/>
  <c r="H1975" i="1"/>
  <c r="A1975" i="1"/>
  <c r="H1974" i="1"/>
  <c r="I1974" i="1" s="1"/>
  <c r="A1974" i="1"/>
  <c r="H1973" i="1"/>
  <c r="A1973" i="1"/>
  <c r="I1973" i="1" s="1"/>
  <c r="I1972" i="1"/>
  <c r="H1972" i="1"/>
  <c r="A1972" i="1"/>
  <c r="I1971" i="1"/>
  <c r="H1971" i="1"/>
  <c r="A1971" i="1"/>
  <c r="H1970" i="1"/>
  <c r="A1970" i="1"/>
  <c r="I1970" i="1" s="1"/>
  <c r="H1969" i="1"/>
  <c r="A1969" i="1"/>
  <c r="I1969" i="1" s="1"/>
  <c r="H1968" i="1"/>
  <c r="A1968" i="1"/>
  <c r="I1968" i="1" s="1"/>
  <c r="I1967" i="1"/>
  <c r="H1967" i="1"/>
  <c r="A1967" i="1"/>
  <c r="H1966" i="1"/>
  <c r="I1966" i="1" s="1"/>
  <c r="A1966" i="1"/>
  <c r="H1965" i="1"/>
  <c r="A1965" i="1"/>
  <c r="I1965" i="1" s="1"/>
  <c r="I1964" i="1"/>
  <c r="H1964" i="1"/>
  <c r="A1964" i="1"/>
  <c r="I1963" i="1"/>
  <c r="H1963" i="1"/>
  <c r="A1963" i="1"/>
  <c r="H1962" i="1"/>
  <c r="A1962" i="1"/>
  <c r="H1961" i="1"/>
  <c r="A1961" i="1"/>
  <c r="I1961" i="1" s="1"/>
  <c r="H1960" i="1"/>
  <c r="I1960" i="1" s="1"/>
  <c r="A1960" i="1"/>
  <c r="I1959" i="1"/>
  <c r="H1959" i="1"/>
  <c r="A1959" i="1"/>
  <c r="H1958" i="1"/>
  <c r="I1958" i="1" s="1"/>
  <c r="A1958" i="1"/>
  <c r="H1957" i="1"/>
  <c r="A1957" i="1"/>
  <c r="I1957" i="1" s="1"/>
  <c r="I1956" i="1"/>
  <c r="H1956" i="1"/>
  <c r="A1956" i="1"/>
  <c r="I1955" i="1"/>
  <c r="H1955" i="1"/>
  <c r="A1955" i="1"/>
  <c r="H1954" i="1"/>
  <c r="A1954" i="1"/>
  <c r="I1954" i="1" s="1"/>
  <c r="H1953" i="1"/>
  <c r="A1953" i="1"/>
  <c r="I1953" i="1" s="1"/>
  <c r="H1952" i="1"/>
  <c r="I1952" i="1" s="1"/>
  <c r="A1952" i="1"/>
  <c r="I1951" i="1"/>
  <c r="H1951" i="1"/>
  <c r="A1951" i="1"/>
  <c r="H1950" i="1"/>
  <c r="I1950" i="1" s="1"/>
  <c r="A1950" i="1"/>
  <c r="H1949" i="1"/>
  <c r="A1949" i="1"/>
  <c r="I1949" i="1" s="1"/>
  <c r="I1948" i="1"/>
  <c r="H1948" i="1"/>
  <c r="A1948" i="1"/>
  <c r="I1947" i="1"/>
  <c r="H1947" i="1"/>
  <c r="A1947" i="1"/>
  <c r="H1946" i="1"/>
  <c r="A1946" i="1"/>
  <c r="I1946" i="1" s="1"/>
  <c r="H1945" i="1"/>
  <c r="A1945" i="1"/>
  <c r="I1945" i="1" s="1"/>
  <c r="H1944" i="1"/>
  <c r="I1944" i="1" s="1"/>
  <c r="A1944" i="1"/>
  <c r="I1943" i="1"/>
  <c r="H1943" i="1"/>
  <c r="A1943" i="1"/>
  <c r="H1942" i="1"/>
  <c r="I1942" i="1" s="1"/>
  <c r="A1942" i="1"/>
  <c r="H1941" i="1"/>
  <c r="A1941" i="1"/>
  <c r="I1941" i="1" s="1"/>
  <c r="I1940" i="1"/>
  <c r="H1940" i="1"/>
  <c r="A1940" i="1"/>
  <c r="I1939" i="1"/>
  <c r="H1939" i="1"/>
  <c r="A1939" i="1"/>
  <c r="H1938" i="1"/>
  <c r="A1938" i="1"/>
  <c r="I1938" i="1" s="1"/>
  <c r="H1937" i="1"/>
  <c r="A1937" i="1"/>
  <c r="I1937" i="1" s="1"/>
  <c r="H1936" i="1"/>
  <c r="I1936" i="1" s="1"/>
  <c r="A1936" i="1"/>
  <c r="I1935" i="1"/>
  <c r="H1935" i="1"/>
  <c r="A1935" i="1"/>
  <c r="H1934" i="1"/>
  <c r="I1934" i="1" s="1"/>
  <c r="A1934" i="1"/>
  <c r="H1933" i="1"/>
  <c r="A1933" i="1"/>
  <c r="I1933" i="1" s="1"/>
  <c r="I1932" i="1"/>
  <c r="H1932" i="1"/>
  <c r="A1932" i="1"/>
  <c r="I1931" i="1"/>
  <c r="H1931" i="1"/>
  <c r="A1931" i="1"/>
  <c r="H1930" i="1"/>
  <c r="A1930" i="1"/>
  <c r="H1929" i="1"/>
  <c r="A1929" i="1"/>
  <c r="I1929" i="1" s="1"/>
  <c r="H1928" i="1"/>
  <c r="I1928" i="1" s="1"/>
  <c r="A1928" i="1"/>
  <c r="I1927" i="1"/>
  <c r="H1927" i="1"/>
  <c r="A1927" i="1"/>
  <c r="H1926" i="1"/>
  <c r="I1926" i="1" s="1"/>
  <c r="A1926" i="1"/>
  <c r="H1925" i="1"/>
  <c r="A1925" i="1"/>
  <c r="I1925" i="1" s="1"/>
  <c r="I1924" i="1"/>
  <c r="H1924" i="1"/>
  <c r="A1924" i="1"/>
  <c r="I1923" i="1"/>
  <c r="H1923" i="1"/>
  <c r="A1923" i="1"/>
  <c r="H1922" i="1"/>
  <c r="A1922" i="1"/>
  <c r="H1921" i="1"/>
  <c r="A1921" i="1"/>
  <c r="I1921" i="1" s="1"/>
  <c r="H1920" i="1"/>
  <c r="I1920" i="1" s="1"/>
  <c r="A1920" i="1"/>
  <c r="I1919" i="1"/>
  <c r="H1919" i="1"/>
  <c r="A1919" i="1"/>
  <c r="H1918" i="1"/>
  <c r="I1918" i="1" s="1"/>
  <c r="A1918" i="1"/>
  <c r="H1917" i="1"/>
  <c r="A1917" i="1"/>
  <c r="I1917" i="1" s="1"/>
  <c r="I1916" i="1"/>
  <c r="H1916" i="1"/>
  <c r="A1916" i="1"/>
  <c r="I1915" i="1"/>
  <c r="H1915" i="1"/>
  <c r="A1915" i="1"/>
  <c r="H1914" i="1"/>
  <c r="A1914" i="1"/>
  <c r="H1913" i="1"/>
  <c r="A1913" i="1"/>
  <c r="I1913" i="1" s="1"/>
  <c r="H1912" i="1"/>
  <c r="I1912" i="1" s="1"/>
  <c r="A1912" i="1"/>
  <c r="I1911" i="1"/>
  <c r="H1911" i="1"/>
  <c r="A1911" i="1"/>
  <c r="H1910" i="1"/>
  <c r="I1910" i="1" s="1"/>
  <c r="A1910" i="1"/>
  <c r="H1909" i="1"/>
  <c r="A1909" i="1"/>
  <c r="I1909" i="1" s="1"/>
  <c r="I1908" i="1"/>
  <c r="H1908" i="1"/>
  <c r="A1908" i="1"/>
  <c r="I1907" i="1"/>
  <c r="H1907" i="1"/>
  <c r="A1907" i="1"/>
  <c r="H1906" i="1"/>
  <c r="A1906" i="1"/>
  <c r="I1906" i="1" s="1"/>
  <c r="H1905" i="1"/>
  <c r="A1905" i="1"/>
  <c r="I1905" i="1" s="1"/>
  <c r="H1904" i="1"/>
  <c r="I1904" i="1" s="1"/>
  <c r="A1904" i="1"/>
  <c r="I1903" i="1"/>
  <c r="H1903" i="1"/>
  <c r="A1903" i="1"/>
  <c r="H1902" i="1"/>
  <c r="I1902" i="1" s="1"/>
  <c r="A1902" i="1"/>
  <c r="H1901" i="1"/>
  <c r="A1901" i="1"/>
  <c r="I1901" i="1" s="1"/>
  <c r="I1900" i="1"/>
  <c r="H1900" i="1"/>
  <c r="A1900" i="1"/>
  <c r="I1899" i="1"/>
  <c r="H1899" i="1"/>
  <c r="A1899" i="1"/>
  <c r="H1898" i="1"/>
  <c r="A1898" i="1"/>
  <c r="H1897" i="1"/>
  <c r="A1897" i="1"/>
  <c r="I1897" i="1" s="1"/>
  <c r="H1896" i="1"/>
  <c r="A1896" i="1"/>
  <c r="I1896" i="1" s="1"/>
  <c r="I1895" i="1"/>
  <c r="H1895" i="1"/>
  <c r="A1895" i="1"/>
  <c r="H1894" i="1"/>
  <c r="I1894" i="1" s="1"/>
  <c r="A1894" i="1"/>
  <c r="H1893" i="1"/>
  <c r="A1893" i="1"/>
  <c r="I1893" i="1" s="1"/>
  <c r="I1892" i="1"/>
  <c r="H1892" i="1"/>
  <c r="A1892" i="1"/>
  <c r="I1891" i="1"/>
  <c r="H1891" i="1"/>
  <c r="A1891" i="1"/>
  <c r="H1890" i="1"/>
  <c r="A1890" i="1"/>
  <c r="I1890" i="1" s="1"/>
  <c r="H1889" i="1"/>
  <c r="A1889" i="1"/>
  <c r="I1889" i="1" s="1"/>
  <c r="H1888" i="1"/>
  <c r="A1888" i="1"/>
  <c r="I1888" i="1" s="1"/>
  <c r="I1887" i="1"/>
  <c r="H1887" i="1"/>
  <c r="A1887" i="1"/>
  <c r="H1886" i="1"/>
  <c r="I1886" i="1" s="1"/>
  <c r="A1886" i="1"/>
  <c r="H1885" i="1"/>
  <c r="A1885" i="1"/>
  <c r="I1885" i="1" s="1"/>
  <c r="I1884" i="1"/>
  <c r="H1884" i="1"/>
  <c r="A1884" i="1"/>
  <c r="I1883" i="1"/>
  <c r="H1883" i="1"/>
  <c r="A1883" i="1"/>
  <c r="H1882" i="1"/>
  <c r="A1882" i="1"/>
  <c r="I1882" i="1" s="1"/>
  <c r="H1881" i="1"/>
  <c r="A1881" i="1"/>
  <c r="I1881" i="1" s="1"/>
  <c r="H1880" i="1"/>
  <c r="A1880" i="1"/>
  <c r="I1880" i="1" s="1"/>
  <c r="I1879" i="1"/>
  <c r="H1879" i="1"/>
  <c r="A1879" i="1"/>
  <c r="H1878" i="1"/>
  <c r="I1878" i="1" s="1"/>
  <c r="A1878" i="1"/>
  <c r="H1877" i="1"/>
  <c r="A1877" i="1"/>
  <c r="I1877" i="1" s="1"/>
  <c r="I1876" i="1"/>
  <c r="H1876" i="1"/>
  <c r="A1876" i="1"/>
  <c r="I1875" i="1"/>
  <c r="H1875" i="1"/>
  <c r="A1875" i="1"/>
  <c r="H1874" i="1"/>
  <c r="A1874" i="1"/>
  <c r="I1874" i="1" s="1"/>
  <c r="H1873" i="1"/>
  <c r="A1873" i="1"/>
  <c r="I1873" i="1" s="1"/>
  <c r="H1872" i="1"/>
  <c r="A1872" i="1"/>
  <c r="I1872" i="1" s="1"/>
  <c r="I1871" i="1"/>
  <c r="H1871" i="1"/>
  <c r="A1871" i="1"/>
  <c r="H1870" i="1"/>
  <c r="I1870" i="1" s="1"/>
  <c r="A1870" i="1"/>
  <c r="H1869" i="1"/>
  <c r="A1869" i="1"/>
  <c r="I1869" i="1" s="1"/>
  <c r="I1868" i="1"/>
  <c r="H1868" i="1"/>
  <c r="A1868" i="1"/>
  <c r="I1867" i="1"/>
  <c r="H1867" i="1"/>
  <c r="A1867" i="1"/>
  <c r="H1866" i="1"/>
  <c r="A1866" i="1"/>
  <c r="H1865" i="1"/>
  <c r="A1865" i="1"/>
  <c r="I1865" i="1" s="1"/>
  <c r="H1864" i="1"/>
  <c r="A1864" i="1"/>
  <c r="I1864" i="1" s="1"/>
  <c r="I1863" i="1"/>
  <c r="H1863" i="1"/>
  <c r="A1863" i="1"/>
  <c r="H1862" i="1"/>
  <c r="I1862" i="1" s="1"/>
  <c r="A1862" i="1"/>
  <c r="H1861" i="1"/>
  <c r="A1861" i="1"/>
  <c r="I1861" i="1" s="1"/>
  <c r="I1860" i="1"/>
  <c r="H1860" i="1"/>
  <c r="A1860" i="1"/>
  <c r="I1859" i="1"/>
  <c r="H1859" i="1"/>
  <c r="A1859" i="1"/>
  <c r="H1858" i="1"/>
  <c r="A1858" i="1"/>
  <c r="H1857" i="1"/>
  <c r="A1857" i="1"/>
  <c r="I1857" i="1" s="1"/>
  <c r="H1856" i="1"/>
  <c r="A1856" i="1"/>
  <c r="I1856" i="1" s="1"/>
  <c r="I1855" i="1"/>
  <c r="H1855" i="1"/>
  <c r="A1855" i="1"/>
  <c r="H1854" i="1"/>
  <c r="I1854" i="1" s="1"/>
  <c r="A1854" i="1"/>
  <c r="H1853" i="1"/>
  <c r="A1853" i="1"/>
  <c r="I1853" i="1" s="1"/>
  <c r="I1852" i="1"/>
  <c r="H1852" i="1"/>
  <c r="A1852" i="1"/>
  <c r="I1851" i="1"/>
  <c r="H1851" i="1"/>
  <c r="A1851" i="1"/>
  <c r="H1850" i="1"/>
  <c r="A1850" i="1"/>
  <c r="H1849" i="1"/>
  <c r="A1849" i="1"/>
  <c r="I1849" i="1" s="1"/>
  <c r="H1848" i="1"/>
  <c r="A1848" i="1"/>
  <c r="I1848" i="1" s="1"/>
  <c r="I1847" i="1"/>
  <c r="H1847" i="1"/>
  <c r="A1847" i="1"/>
  <c r="H1846" i="1"/>
  <c r="I1846" i="1" s="1"/>
  <c r="A1846" i="1"/>
  <c r="H1845" i="1"/>
  <c r="A1845" i="1"/>
  <c r="I1845" i="1" s="1"/>
  <c r="I1844" i="1"/>
  <c r="H1844" i="1"/>
  <c r="A1844" i="1"/>
  <c r="I1843" i="1"/>
  <c r="H1843" i="1"/>
  <c r="A1843" i="1"/>
  <c r="H1842" i="1"/>
  <c r="A1842" i="1"/>
  <c r="I1842" i="1" s="1"/>
  <c r="H1841" i="1"/>
  <c r="A1841" i="1"/>
  <c r="I1841" i="1" s="1"/>
  <c r="H1840" i="1"/>
  <c r="A1840" i="1"/>
  <c r="I1840" i="1" s="1"/>
  <c r="I1839" i="1"/>
  <c r="H1839" i="1"/>
  <c r="A1839" i="1"/>
  <c r="H1838" i="1"/>
  <c r="I1838" i="1" s="1"/>
  <c r="A1838" i="1"/>
  <c r="H1837" i="1"/>
  <c r="A1837" i="1"/>
  <c r="I1837" i="1" s="1"/>
  <c r="I1836" i="1"/>
  <c r="H1836" i="1"/>
  <c r="A1836" i="1"/>
  <c r="I1835" i="1"/>
  <c r="H1835" i="1"/>
  <c r="A1835" i="1"/>
  <c r="H1834" i="1"/>
  <c r="A1834" i="1"/>
  <c r="H1833" i="1"/>
  <c r="A1833" i="1"/>
  <c r="I1833" i="1" s="1"/>
  <c r="H1832" i="1"/>
  <c r="A1832" i="1"/>
  <c r="I1832" i="1" s="1"/>
  <c r="I1831" i="1"/>
  <c r="H1831" i="1"/>
  <c r="A1831" i="1"/>
  <c r="H1830" i="1"/>
  <c r="I1830" i="1" s="1"/>
  <c r="A1830" i="1"/>
  <c r="H1829" i="1"/>
  <c r="A1829" i="1"/>
  <c r="I1829" i="1" s="1"/>
  <c r="I1828" i="1"/>
  <c r="H1828" i="1"/>
  <c r="A1828" i="1"/>
  <c r="I1827" i="1"/>
  <c r="H1827" i="1"/>
  <c r="A1827" i="1"/>
  <c r="H1826" i="1"/>
  <c r="A1826" i="1"/>
  <c r="I1826" i="1" s="1"/>
  <c r="H1825" i="1"/>
  <c r="A1825" i="1"/>
  <c r="I1825" i="1" s="1"/>
  <c r="H1824" i="1"/>
  <c r="A1824" i="1"/>
  <c r="I1824" i="1" s="1"/>
  <c r="I1823" i="1"/>
  <c r="H1823" i="1"/>
  <c r="A1823" i="1"/>
  <c r="H1822" i="1"/>
  <c r="I1822" i="1" s="1"/>
  <c r="A1822" i="1"/>
  <c r="H1821" i="1"/>
  <c r="A1821" i="1"/>
  <c r="I1821" i="1" s="1"/>
  <c r="I1820" i="1"/>
  <c r="H1820" i="1"/>
  <c r="A1820" i="1"/>
  <c r="I1819" i="1"/>
  <c r="H1819" i="1"/>
  <c r="A1819" i="1"/>
  <c r="H1818" i="1"/>
  <c r="A1818" i="1"/>
  <c r="I1818" i="1" s="1"/>
  <c r="H1817" i="1"/>
  <c r="A1817" i="1"/>
  <c r="I1817" i="1" s="1"/>
  <c r="H1816" i="1"/>
  <c r="A1816" i="1"/>
  <c r="I1816" i="1" s="1"/>
  <c r="I1815" i="1"/>
  <c r="H1815" i="1"/>
  <c r="A1815" i="1"/>
  <c r="H1814" i="1"/>
  <c r="I1814" i="1" s="1"/>
  <c r="A1814" i="1"/>
  <c r="H1813" i="1"/>
  <c r="A1813" i="1"/>
  <c r="I1813" i="1" s="1"/>
  <c r="I1812" i="1"/>
  <c r="H1812" i="1"/>
  <c r="A1812" i="1"/>
  <c r="I1811" i="1"/>
  <c r="H1811" i="1"/>
  <c r="A1811" i="1"/>
  <c r="H1810" i="1"/>
  <c r="A1810" i="1"/>
  <c r="I1810" i="1" s="1"/>
  <c r="H1809" i="1"/>
  <c r="A1809" i="1"/>
  <c r="I1809" i="1" s="1"/>
  <c r="H1808" i="1"/>
  <c r="A1808" i="1"/>
  <c r="I1808" i="1" s="1"/>
  <c r="I1807" i="1"/>
  <c r="H1807" i="1"/>
  <c r="A1807" i="1"/>
  <c r="H1806" i="1"/>
  <c r="I1806" i="1" s="1"/>
  <c r="A1806" i="1"/>
  <c r="H1805" i="1"/>
  <c r="A1805" i="1"/>
  <c r="I1805" i="1" s="1"/>
  <c r="I1804" i="1"/>
  <c r="H1804" i="1"/>
  <c r="A1804" i="1"/>
  <c r="I1803" i="1"/>
  <c r="H1803" i="1"/>
  <c r="A1803" i="1"/>
  <c r="H1802" i="1"/>
  <c r="A1802" i="1"/>
  <c r="H1801" i="1"/>
  <c r="A1801" i="1"/>
  <c r="I1801" i="1" s="1"/>
  <c r="H1800" i="1"/>
  <c r="A1800" i="1"/>
  <c r="I1800" i="1" s="1"/>
  <c r="I1799" i="1"/>
  <c r="H1799" i="1"/>
  <c r="A1799" i="1"/>
  <c r="H1798" i="1"/>
  <c r="I1798" i="1" s="1"/>
  <c r="A1798" i="1"/>
  <c r="H1797" i="1"/>
  <c r="A1797" i="1"/>
  <c r="I1797" i="1" s="1"/>
  <c r="I1796" i="1"/>
  <c r="H1796" i="1"/>
  <c r="A1796" i="1"/>
  <c r="I1795" i="1"/>
  <c r="H1795" i="1"/>
  <c r="A1795" i="1"/>
  <c r="H1794" i="1"/>
  <c r="A1794" i="1"/>
  <c r="H1793" i="1"/>
  <c r="A1793" i="1"/>
  <c r="I1793" i="1" s="1"/>
  <c r="H1792" i="1"/>
  <c r="A1792" i="1"/>
  <c r="I1792" i="1" s="1"/>
  <c r="I1791" i="1"/>
  <c r="H1791" i="1"/>
  <c r="A1791" i="1"/>
  <c r="H1790" i="1"/>
  <c r="I1790" i="1" s="1"/>
  <c r="A1790" i="1"/>
  <c r="H1789" i="1"/>
  <c r="A1789" i="1"/>
  <c r="I1789" i="1" s="1"/>
  <c r="I1788" i="1"/>
  <c r="H1788" i="1"/>
  <c r="A1788" i="1"/>
  <c r="I1787" i="1"/>
  <c r="H1787" i="1"/>
  <c r="A1787" i="1"/>
  <c r="H1786" i="1"/>
  <c r="A1786" i="1"/>
  <c r="H1785" i="1"/>
  <c r="A1785" i="1"/>
  <c r="I1785" i="1" s="1"/>
  <c r="H1784" i="1"/>
  <c r="A1784" i="1"/>
  <c r="I1784" i="1" s="1"/>
  <c r="I1783" i="1"/>
  <c r="H1783" i="1"/>
  <c r="A1783" i="1"/>
  <c r="H1782" i="1"/>
  <c r="I1782" i="1" s="1"/>
  <c r="A1782" i="1"/>
  <c r="H1781" i="1"/>
  <c r="A1781" i="1"/>
  <c r="I1781" i="1" s="1"/>
  <c r="I1780" i="1"/>
  <c r="H1780" i="1"/>
  <c r="A1780" i="1"/>
  <c r="I1779" i="1"/>
  <c r="H1779" i="1"/>
  <c r="A1779" i="1"/>
  <c r="H1778" i="1"/>
  <c r="A1778" i="1"/>
  <c r="I1778" i="1" s="1"/>
  <c r="H1777" i="1"/>
  <c r="A1777" i="1"/>
  <c r="I1777" i="1" s="1"/>
  <c r="H1776" i="1"/>
  <c r="A1776" i="1"/>
  <c r="I1776" i="1" s="1"/>
  <c r="I1775" i="1"/>
  <c r="H1775" i="1"/>
  <c r="A1775" i="1"/>
  <c r="H1774" i="1"/>
  <c r="I1774" i="1" s="1"/>
  <c r="A1774" i="1"/>
  <c r="H1773" i="1"/>
  <c r="A1773" i="1"/>
  <c r="I1773" i="1" s="1"/>
  <c r="I1772" i="1"/>
  <c r="H1772" i="1"/>
  <c r="A1772" i="1"/>
  <c r="I1771" i="1"/>
  <c r="H1771" i="1"/>
  <c r="A1771" i="1"/>
  <c r="H1770" i="1"/>
  <c r="A1770" i="1"/>
  <c r="H1769" i="1"/>
  <c r="A1769" i="1"/>
  <c r="I1769" i="1" s="1"/>
  <c r="H1768" i="1"/>
  <c r="A1768" i="1"/>
  <c r="I1768" i="1" s="1"/>
  <c r="I1767" i="1"/>
  <c r="H1767" i="1"/>
  <c r="A1767" i="1"/>
  <c r="H1766" i="1"/>
  <c r="I1766" i="1" s="1"/>
  <c r="A1766" i="1"/>
  <c r="H1765" i="1"/>
  <c r="A1765" i="1"/>
  <c r="I1765" i="1" s="1"/>
  <c r="I1764" i="1"/>
  <c r="H1764" i="1"/>
  <c r="A1764" i="1"/>
  <c r="I1763" i="1"/>
  <c r="H1763" i="1"/>
  <c r="A1763" i="1"/>
  <c r="H1762" i="1"/>
  <c r="A1762" i="1"/>
  <c r="I1762" i="1" s="1"/>
  <c r="H1761" i="1"/>
  <c r="A1761" i="1"/>
  <c r="I1761" i="1" s="1"/>
  <c r="H1760" i="1"/>
  <c r="A1760" i="1"/>
  <c r="I1760" i="1" s="1"/>
  <c r="H1759" i="1"/>
  <c r="I1759" i="1" s="1"/>
  <c r="A1759" i="1"/>
  <c r="H1758" i="1"/>
  <c r="I1758" i="1" s="1"/>
  <c r="A1758" i="1"/>
  <c r="H1757" i="1"/>
  <c r="A1757" i="1"/>
  <c r="I1757" i="1" s="1"/>
  <c r="I1756" i="1"/>
  <c r="H1756" i="1"/>
  <c r="A1756" i="1"/>
  <c r="I1755" i="1"/>
  <c r="H1755" i="1"/>
  <c r="A1755" i="1"/>
  <c r="H1754" i="1"/>
  <c r="A1754" i="1"/>
  <c r="I1754" i="1" s="1"/>
  <c r="H1753" i="1"/>
  <c r="A1753" i="1"/>
  <c r="I1753" i="1" s="1"/>
  <c r="H1752" i="1"/>
  <c r="A1752" i="1"/>
  <c r="I1752" i="1" s="1"/>
  <c r="I1751" i="1"/>
  <c r="H1751" i="1"/>
  <c r="A1751" i="1"/>
  <c r="H1750" i="1"/>
  <c r="I1750" i="1" s="1"/>
  <c r="A1750" i="1"/>
  <c r="H1749" i="1"/>
  <c r="A1749" i="1"/>
  <c r="I1749" i="1" s="1"/>
  <c r="I1748" i="1"/>
  <c r="H1748" i="1"/>
  <c r="A1748" i="1"/>
  <c r="I1747" i="1"/>
  <c r="H1747" i="1"/>
  <c r="A1747" i="1"/>
  <c r="H1746" i="1"/>
  <c r="A1746" i="1"/>
  <c r="I1746" i="1" s="1"/>
  <c r="H1745" i="1"/>
  <c r="A1745" i="1"/>
  <c r="I1745" i="1" s="1"/>
  <c r="H1744" i="1"/>
  <c r="A1744" i="1"/>
  <c r="I1744" i="1" s="1"/>
  <c r="I1743" i="1"/>
  <c r="H1743" i="1"/>
  <c r="A1743" i="1"/>
  <c r="H1742" i="1"/>
  <c r="I1742" i="1" s="1"/>
  <c r="A1742" i="1"/>
  <c r="H1741" i="1"/>
  <c r="A1741" i="1"/>
  <c r="I1741" i="1" s="1"/>
  <c r="I1740" i="1"/>
  <c r="H1740" i="1"/>
  <c r="A1740" i="1"/>
  <c r="I1739" i="1"/>
  <c r="H1739" i="1"/>
  <c r="A1739" i="1"/>
  <c r="H1738" i="1"/>
  <c r="A1738" i="1"/>
  <c r="H1737" i="1"/>
  <c r="A1737" i="1"/>
  <c r="I1737" i="1" s="1"/>
  <c r="H1736" i="1"/>
  <c r="A1736" i="1"/>
  <c r="I1736" i="1" s="1"/>
  <c r="I1735" i="1"/>
  <c r="H1735" i="1"/>
  <c r="A1735" i="1"/>
  <c r="H1734" i="1"/>
  <c r="I1734" i="1" s="1"/>
  <c r="A1734" i="1"/>
  <c r="H1733" i="1"/>
  <c r="A1733" i="1"/>
  <c r="I1733" i="1" s="1"/>
  <c r="I1732" i="1"/>
  <c r="H1732" i="1"/>
  <c r="A1732" i="1"/>
  <c r="I1731" i="1"/>
  <c r="H1731" i="1"/>
  <c r="A1731" i="1"/>
  <c r="H1730" i="1"/>
  <c r="A1730" i="1"/>
  <c r="H1729" i="1"/>
  <c r="A1729" i="1"/>
  <c r="I1729" i="1" s="1"/>
  <c r="H1728" i="1"/>
  <c r="A1728" i="1"/>
  <c r="I1728" i="1" s="1"/>
  <c r="H1727" i="1"/>
  <c r="I1727" i="1" s="1"/>
  <c r="A1727" i="1"/>
  <c r="H1726" i="1"/>
  <c r="I1726" i="1" s="1"/>
  <c r="A1726" i="1"/>
  <c r="H1725" i="1"/>
  <c r="A1725" i="1"/>
  <c r="I1725" i="1" s="1"/>
  <c r="I1724" i="1"/>
  <c r="H1724" i="1"/>
  <c r="A1724" i="1"/>
  <c r="I1723" i="1"/>
  <c r="H1723" i="1"/>
  <c r="A1723" i="1"/>
  <c r="H1722" i="1"/>
  <c r="A1722" i="1"/>
  <c r="H1721" i="1"/>
  <c r="A1721" i="1"/>
  <c r="I1721" i="1" s="1"/>
  <c r="H1720" i="1"/>
  <c r="A1720" i="1"/>
  <c r="I1720" i="1" s="1"/>
  <c r="I1719" i="1"/>
  <c r="H1719" i="1"/>
  <c r="A1719" i="1"/>
  <c r="H1718" i="1"/>
  <c r="I1718" i="1" s="1"/>
  <c r="A1718" i="1"/>
  <c r="H1717" i="1"/>
  <c r="A1717" i="1"/>
  <c r="I1717" i="1" s="1"/>
  <c r="I1716" i="1"/>
  <c r="H1716" i="1"/>
  <c r="A1716" i="1"/>
  <c r="I1715" i="1"/>
  <c r="H1715" i="1"/>
  <c r="A1715" i="1"/>
  <c r="H1714" i="1"/>
  <c r="A1714" i="1"/>
  <c r="I1714" i="1" s="1"/>
  <c r="H1713" i="1"/>
  <c r="A1713" i="1"/>
  <c r="I1713" i="1" s="1"/>
  <c r="H1712" i="1"/>
  <c r="A1712" i="1"/>
  <c r="I1712" i="1" s="1"/>
  <c r="H1711" i="1"/>
  <c r="I1711" i="1" s="1"/>
  <c r="A1711" i="1"/>
  <c r="H1710" i="1"/>
  <c r="I1710" i="1" s="1"/>
  <c r="A1710" i="1"/>
  <c r="H1709" i="1"/>
  <c r="A1709" i="1"/>
  <c r="I1709" i="1" s="1"/>
  <c r="I1708" i="1"/>
  <c r="H1708" i="1"/>
  <c r="A1708" i="1"/>
  <c r="I1707" i="1"/>
  <c r="H1707" i="1"/>
  <c r="A1707" i="1"/>
  <c r="H1706" i="1"/>
  <c r="A1706" i="1"/>
  <c r="H1705" i="1"/>
  <c r="A1705" i="1"/>
  <c r="I1705" i="1" s="1"/>
  <c r="H1704" i="1"/>
  <c r="A1704" i="1"/>
  <c r="I1704" i="1" s="1"/>
  <c r="H1703" i="1"/>
  <c r="I1703" i="1" s="1"/>
  <c r="A1703" i="1"/>
  <c r="H1702" i="1"/>
  <c r="I1702" i="1" s="1"/>
  <c r="A1702" i="1"/>
  <c r="H1701" i="1"/>
  <c r="A1701" i="1"/>
  <c r="I1701" i="1" s="1"/>
  <c r="I1700" i="1"/>
  <c r="H1700" i="1"/>
  <c r="A1700" i="1"/>
  <c r="I1699" i="1"/>
  <c r="H1699" i="1"/>
  <c r="A1699" i="1"/>
  <c r="H1698" i="1"/>
  <c r="A1698" i="1"/>
  <c r="I1698" i="1" s="1"/>
  <c r="H1697" i="1"/>
  <c r="A1697" i="1"/>
  <c r="I1697" i="1" s="1"/>
  <c r="H1696" i="1"/>
  <c r="A1696" i="1"/>
  <c r="I1696" i="1" s="1"/>
  <c r="H1695" i="1"/>
  <c r="I1695" i="1" s="1"/>
  <c r="A1695" i="1"/>
  <c r="H1694" i="1"/>
  <c r="I1694" i="1" s="1"/>
  <c r="A1694" i="1"/>
  <c r="H1693" i="1"/>
  <c r="A1693" i="1"/>
  <c r="I1693" i="1" s="1"/>
  <c r="I1692" i="1"/>
  <c r="H1692" i="1"/>
  <c r="A1692" i="1"/>
  <c r="I1691" i="1"/>
  <c r="H1691" i="1"/>
  <c r="A1691" i="1"/>
  <c r="H1690" i="1"/>
  <c r="A1690" i="1"/>
  <c r="I1690" i="1" s="1"/>
  <c r="H1689" i="1"/>
  <c r="A1689" i="1"/>
  <c r="I1689" i="1" s="1"/>
  <c r="H1688" i="1"/>
  <c r="A1688" i="1"/>
  <c r="I1688" i="1" s="1"/>
  <c r="I1687" i="1"/>
  <c r="H1687" i="1"/>
  <c r="A1687" i="1"/>
  <c r="H1686" i="1"/>
  <c r="I1686" i="1" s="1"/>
  <c r="A1686" i="1"/>
  <c r="H1685" i="1"/>
  <c r="A1685" i="1"/>
  <c r="I1685" i="1" s="1"/>
  <c r="I1684" i="1"/>
  <c r="H1684" i="1"/>
  <c r="A1684" i="1"/>
  <c r="I1683" i="1"/>
  <c r="H1683" i="1"/>
  <c r="A1683" i="1"/>
  <c r="H1682" i="1"/>
  <c r="A1682" i="1"/>
  <c r="I1682" i="1" s="1"/>
  <c r="H1681" i="1"/>
  <c r="A1681" i="1"/>
  <c r="I1681" i="1" s="1"/>
  <c r="H1680" i="1"/>
  <c r="A1680" i="1"/>
  <c r="I1680" i="1" s="1"/>
  <c r="I1679" i="1"/>
  <c r="H1679" i="1"/>
  <c r="A1679" i="1"/>
  <c r="H1678" i="1"/>
  <c r="I1678" i="1" s="1"/>
  <c r="A1678" i="1"/>
  <c r="H1677" i="1"/>
  <c r="A1677" i="1"/>
  <c r="I1677" i="1" s="1"/>
  <c r="I1676" i="1"/>
  <c r="H1676" i="1"/>
  <c r="A1676" i="1"/>
  <c r="I1675" i="1"/>
  <c r="H1675" i="1"/>
  <c r="A1675" i="1"/>
  <c r="H1674" i="1"/>
  <c r="A1674" i="1"/>
  <c r="H1673" i="1"/>
  <c r="A1673" i="1"/>
  <c r="I1673" i="1" s="1"/>
  <c r="H1672" i="1"/>
  <c r="A1672" i="1"/>
  <c r="I1672" i="1" s="1"/>
  <c r="I1671" i="1"/>
  <c r="H1671" i="1"/>
  <c r="A1671" i="1"/>
  <c r="H1670" i="1"/>
  <c r="I1670" i="1" s="1"/>
  <c r="A1670" i="1"/>
  <c r="H1669" i="1"/>
  <c r="A1669" i="1"/>
  <c r="I1669" i="1" s="1"/>
  <c r="I1668" i="1"/>
  <c r="H1668" i="1"/>
  <c r="A1668" i="1"/>
  <c r="I1667" i="1"/>
  <c r="H1667" i="1"/>
  <c r="A1667" i="1"/>
  <c r="H1666" i="1"/>
  <c r="A1666" i="1"/>
  <c r="H1665" i="1"/>
  <c r="A1665" i="1"/>
  <c r="I1665" i="1" s="1"/>
  <c r="H1664" i="1"/>
  <c r="A1664" i="1"/>
  <c r="I1664" i="1" s="1"/>
  <c r="H1663" i="1"/>
  <c r="I1663" i="1" s="1"/>
  <c r="A1663" i="1"/>
  <c r="H1662" i="1"/>
  <c r="I1662" i="1" s="1"/>
  <c r="A1662" i="1"/>
  <c r="H1661" i="1"/>
  <c r="A1661" i="1"/>
  <c r="I1661" i="1" s="1"/>
  <c r="I1660" i="1"/>
  <c r="H1660" i="1"/>
  <c r="A1660" i="1"/>
  <c r="I1659" i="1"/>
  <c r="H1659" i="1"/>
  <c r="A1659" i="1"/>
  <c r="H1658" i="1"/>
  <c r="A1658" i="1"/>
  <c r="H1657" i="1"/>
  <c r="A1657" i="1"/>
  <c r="I1657" i="1" s="1"/>
  <c r="H1656" i="1"/>
  <c r="A1656" i="1"/>
  <c r="I1656" i="1" s="1"/>
  <c r="I1655" i="1"/>
  <c r="H1655" i="1"/>
  <c r="A1655" i="1"/>
  <c r="H1654" i="1"/>
  <c r="I1654" i="1" s="1"/>
  <c r="A1654" i="1"/>
  <c r="H1653" i="1"/>
  <c r="A1653" i="1"/>
  <c r="I1653" i="1" s="1"/>
  <c r="I1652" i="1"/>
  <c r="H1652" i="1"/>
  <c r="A1652" i="1"/>
  <c r="I1651" i="1"/>
  <c r="H1651" i="1"/>
  <c r="A1651" i="1"/>
  <c r="H1650" i="1"/>
  <c r="A1650" i="1"/>
  <c r="I1650" i="1" s="1"/>
  <c r="H1649" i="1"/>
  <c r="A1649" i="1"/>
  <c r="I1649" i="1" s="1"/>
  <c r="H1648" i="1"/>
  <c r="A1648" i="1"/>
  <c r="I1648" i="1" s="1"/>
  <c r="H1647" i="1"/>
  <c r="I1647" i="1" s="1"/>
  <c r="A1647" i="1"/>
  <c r="H1646" i="1"/>
  <c r="I1646" i="1" s="1"/>
  <c r="A1646" i="1"/>
  <c r="H1645" i="1"/>
  <c r="A1645" i="1"/>
  <c r="I1645" i="1" s="1"/>
  <c r="I1644" i="1"/>
  <c r="H1644" i="1"/>
  <c r="A1644" i="1"/>
  <c r="I1643" i="1"/>
  <c r="H1643" i="1"/>
  <c r="A1643" i="1"/>
  <c r="H1642" i="1"/>
  <c r="A1642" i="1"/>
  <c r="H1641" i="1"/>
  <c r="A1641" i="1"/>
  <c r="I1641" i="1" s="1"/>
  <c r="H1640" i="1"/>
  <c r="A1640" i="1"/>
  <c r="I1640" i="1" s="1"/>
  <c r="H1639" i="1"/>
  <c r="I1639" i="1" s="1"/>
  <c r="A1639" i="1"/>
  <c r="H1638" i="1"/>
  <c r="I1638" i="1" s="1"/>
  <c r="A1638" i="1"/>
  <c r="H1637" i="1"/>
  <c r="A1637" i="1"/>
  <c r="I1637" i="1" s="1"/>
  <c r="I1636" i="1"/>
  <c r="H1636" i="1"/>
  <c r="A1636" i="1"/>
  <c r="I1635" i="1"/>
  <c r="H1635" i="1"/>
  <c r="A1635" i="1"/>
  <c r="H1634" i="1"/>
  <c r="A1634" i="1"/>
  <c r="I1634" i="1" s="1"/>
  <c r="H1633" i="1"/>
  <c r="A1633" i="1"/>
  <c r="I1633" i="1" s="1"/>
  <c r="H1632" i="1"/>
  <c r="A1632" i="1"/>
  <c r="I1632" i="1" s="1"/>
  <c r="H1631" i="1"/>
  <c r="I1631" i="1" s="1"/>
  <c r="A1631" i="1"/>
  <c r="H1630" i="1"/>
  <c r="I1630" i="1" s="1"/>
  <c r="A1630" i="1"/>
  <c r="H1629" i="1"/>
  <c r="A1629" i="1"/>
  <c r="I1629" i="1" s="1"/>
  <c r="I1628" i="1"/>
  <c r="H1628" i="1"/>
  <c r="A1628" i="1"/>
  <c r="I1627" i="1"/>
  <c r="H1627" i="1"/>
  <c r="A1627" i="1"/>
  <c r="H1626" i="1"/>
  <c r="A1626" i="1"/>
  <c r="I1626" i="1" s="1"/>
  <c r="H1625" i="1"/>
  <c r="A1625" i="1"/>
  <c r="I1625" i="1" s="1"/>
  <c r="H1624" i="1"/>
  <c r="A1624" i="1"/>
  <c r="I1624" i="1" s="1"/>
  <c r="I1623" i="1"/>
  <c r="H1623" i="1"/>
  <c r="A1623" i="1"/>
  <c r="H1622" i="1"/>
  <c r="I1622" i="1" s="1"/>
  <c r="A1622" i="1"/>
  <c r="H1621" i="1"/>
  <c r="A1621" i="1"/>
  <c r="I1621" i="1" s="1"/>
  <c r="I1620" i="1"/>
  <c r="H1620" i="1"/>
  <c r="A1620" i="1"/>
  <c r="I1619" i="1"/>
  <c r="H1619" i="1"/>
  <c r="A1619" i="1"/>
  <c r="H1618" i="1"/>
  <c r="A1618" i="1"/>
  <c r="I1618" i="1" s="1"/>
  <c r="H1617" i="1"/>
  <c r="A1617" i="1"/>
  <c r="I1617" i="1" s="1"/>
  <c r="H1616" i="1"/>
  <c r="A1616" i="1"/>
  <c r="I1616" i="1" s="1"/>
  <c r="I1615" i="1"/>
  <c r="H1615" i="1"/>
  <c r="A1615" i="1"/>
  <c r="H1614" i="1"/>
  <c r="I1614" i="1" s="1"/>
  <c r="A1614" i="1"/>
  <c r="H1613" i="1"/>
  <c r="A1613" i="1"/>
  <c r="I1613" i="1" s="1"/>
  <c r="I1612" i="1"/>
  <c r="H1612" i="1"/>
  <c r="A1612" i="1"/>
  <c r="I1611" i="1"/>
  <c r="H1611" i="1"/>
  <c r="A1611" i="1"/>
  <c r="H1610" i="1"/>
  <c r="A1610" i="1"/>
  <c r="H1609" i="1"/>
  <c r="A1609" i="1"/>
  <c r="I1609" i="1" s="1"/>
  <c r="H1608" i="1"/>
  <c r="A1608" i="1"/>
  <c r="I1608" i="1" s="1"/>
  <c r="I1607" i="1"/>
  <c r="H1607" i="1"/>
  <c r="A1607" i="1"/>
  <c r="H1606" i="1"/>
  <c r="I1606" i="1" s="1"/>
  <c r="A1606" i="1"/>
  <c r="H1605" i="1"/>
  <c r="A1605" i="1"/>
  <c r="I1605" i="1" s="1"/>
  <c r="I1604" i="1"/>
  <c r="H1604" i="1"/>
  <c r="A1604" i="1"/>
  <c r="I1603" i="1"/>
  <c r="H1603" i="1"/>
  <c r="A1603" i="1"/>
  <c r="H1602" i="1"/>
  <c r="A1602" i="1"/>
  <c r="H1601" i="1"/>
  <c r="A1601" i="1"/>
  <c r="I1601" i="1" s="1"/>
  <c r="H1600" i="1"/>
  <c r="A1600" i="1"/>
  <c r="I1600" i="1" s="1"/>
  <c r="H1599" i="1"/>
  <c r="I1599" i="1" s="1"/>
  <c r="A1599" i="1"/>
  <c r="H1598" i="1"/>
  <c r="I1598" i="1" s="1"/>
  <c r="A1598" i="1"/>
  <c r="H1597" i="1"/>
  <c r="A1597" i="1"/>
  <c r="I1597" i="1" s="1"/>
  <c r="I1596" i="1"/>
  <c r="H1596" i="1"/>
  <c r="A1596" i="1"/>
  <c r="I1595" i="1"/>
  <c r="H1595" i="1"/>
  <c r="A1595" i="1"/>
  <c r="H1594" i="1"/>
  <c r="A1594" i="1"/>
  <c r="H1593" i="1"/>
  <c r="A1593" i="1"/>
  <c r="I1593" i="1" s="1"/>
  <c r="H1592" i="1"/>
  <c r="A1592" i="1"/>
  <c r="I1592" i="1" s="1"/>
  <c r="I1591" i="1"/>
  <c r="H1591" i="1"/>
  <c r="A1591" i="1"/>
  <c r="H1590" i="1"/>
  <c r="I1590" i="1" s="1"/>
  <c r="A1590" i="1"/>
  <c r="H1589" i="1"/>
  <c r="A1589" i="1"/>
  <c r="I1589" i="1" s="1"/>
  <c r="I1588" i="1"/>
  <c r="H1588" i="1"/>
  <c r="A1588" i="1"/>
  <c r="I1587" i="1"/>
  <c r="H1587" i="1"/>
  <c r="A1587" i="1"/>
  <c r="H1586" i="1"/>
  <c r="A1586" i="1"/>
  <c r="I1586" i="1" s="1"/>
  <c r="H1585" i="1"/>
  <c r="A1585" i="1"/>
  <c r="I1585" i="1" s="1"/>
  <c r="H1584" i="1"/>
  <c r="A1584" i="1"/>
  <c r="I1584" i="1" s="1"/>
  <c r="H1583" i="1"/>
  <c r="I1583" i="1" s="1"/>
  <c r="A1583" i="1"/>
  <c r="H1582" i="1"/>
  <c r="I1582" i="1" s="1"/>
  <c r="A1582" i="1"/>
  <c r="H1581" i="1"/>
  <c r="A1581" i="1"/>
  <c r="I1581" i="1" s="1"/>
  <c r="I1580" i="1"/>
  <c r="H1580" i="1"/>
  <c r="A1580" i="1"/>
  <c r="I1579" i="1"/>
  <c r="H1579" i="1"/>
  <c r="A1579" i="1"/>
  <c r="H1578" i="1"/>
  <c r="A1578" i="1"/>
  <c r="H1577" i="1"/>
  <c r="A1577" i="1"/>
  <c r="I1577" i="1" s="1"/>
  <c r="H1576" i="1"/>
  <c r="A1576" i="1"/>
  <c r="I1576" i="1" s="1"/>
  <c r="H1575" i="1"/>
  <c r="I1575" i="1" s="1"/>
  <c r="A1575" i="1"/>
  <c r="H1574" i="1"/>
  <c r="I1574" i="1" s="1"/>
  <c r="A1574" i="1"/>
  <c r="H1573" i="1"/>
  <c r="A1573" i="1"/>
  <c r="I1573" i="1" s="1"/>
  <c r="I1572" i="1"/>
  <c r="H1572" i="1"/>
  <c r="A1572" i="1"/>
  <c r="I1571" i="1"/>
  <c r="H1571" i="1"/>
  <c r="A1571" i="1"/>
  <c r="H1570" i="1"/>
  <c r="A1570" i="1"/>
  <c r="I1570" i="1" s="1"/>
  <c r="H1569" i="1"/>
  <c r="A1569" i="1"/>
  <c r="I1569" i="1" s="1"/>
  <c r="H1568" i="1"/>
  <c r="I1568" i="1" s="1"/>
  <c r="A1568" i="1"/>
  <c r="H1567" i="1"/>
  <c r="I1567" i="1" s="1"/>
  <c r="A1567" i="1"/>
  <c r="H1566" i="1"/>
  <c r="I1566" i="1" s="1"/>
  <c r="A1566" i="1"/>
  <c r="H1565" i="1"/>
  <c r="A1565" i="1"/>
  <c r="I1565" i="1" s="1"/>
  <c r="I1564" i="1"/>
  <c r="H1564" i="1"/>
  <c r="A1564" i="1"/>
  <c r="I1563" i="1"/>
  <c r="H1563" i="1"/>
  <c r="A1563" i="1"/>
  <c r="H1562" i="1"/>
  <c r="A1562" i="1"/>
  <c r="I1562" i="1" s="1"/>
  <c r="H1561" i="1"/>
  <c r="A1561" i="1"/>
  <c r="I1561" i="1" s="1"/>
  <c r="H1560" i="1"/>
  <c r="I1560" i="1" s="1"/>
  <c r="A1560" i="1"/>
  <c r="I1559" i="1"/>
  <c r="H1559" i="1"/>
  <c r="A1559" i="1"/>
  <c r="H1558" i="1"/>
  <c r="I1558" i="1" s="1"/>
  <c r="A1558" i="1"/>
  <c r="H1557" i="1"/>
  <c r="A1557" i="1"/>
  <c r="I1557" i="1" s="1"/>
  <c r="I1556" i="1"/>
  <c r="H1556" i="1"/>
  <c r="A1556" i="1"/>
  <c r="I1555" i="1"/>
  <c r="H1555" i="1"/>
  <c r="A1555" i="1"/>
  <c r="H1554" i="1"/>
  <c r="A1554" i="1"/>
  <c r="I1554" i="1" s="1"/>
  <c r="H1553" i="1"/>
  <c r="A1553" i="1"/>
  <c r="I1553" i="1" s="1"/>
  <c r="H1552" i="1"/>
  <c r="I1552" i="1" s="1"/>
  <c r="A1552" i="1"/>
  <c r="I1551" i="1"/>
  <c r="H1551" i="1"/>
  <c r="A1551" i="1"/>
  <c r="H1550" i="1"/>
  <c r="I1550" i="1" s="1"/>
  <c r="A1550" i="1"/>
  <c r="H1549" i="1"/>
  <c r="A1549" i="1"/>
  <c r="I1549" i="1" s="1"/>
  <c r="I1548" i="1"/>
  <c r="H1548" i="1"/>
  <c r="A1548" i="1"/>
  <c r="I1547" i="1"/>
  <c r="H1547" i="1"/>
  <c r="A1547" i="1"/>
  <c r="H1546" i="1"/>
  <c r="A1546" i="1"/>
  <c r="H1545" i="1"/>
  <c r="A1545" i="1"/>
  <c r="I1545" i="1" s="1"/>
  <c r="H1544" i="1"/>
  <c r="I1544" i="1" s="1"/>
  <c r="A1544" i="1"/>
  <c r="I1543" i="1"/>
  <c r="H1543" i="1"/>
  <c r="A1543" i="1"/>
  <c r="H1542" i="1"/>
  <c r="I1542" i="1" s="1"/>
  <c r="A1542" i="1"/>
  <c r="H1541" i="1"/>
  <c r="A1541" i="1"/>
  <c r="I1541" i="1" s="1"/>
  <c r="I1540" i="1"/>
  <c r="H1540" i="1"/>
  <c r="A1540" i="1"/>
  <c r="I1539" i="1"/>
  <c r="H1539" i="1"/>
  <c r="A1539" i="1"/>
  <c r="H1538" i="1"/>
  <c r="A1538" i="1"/>
  <c r="H1537" i="1"/>
  <c r="A1537" i="1"/>
  <c r="I1537" i="1" s="1"/>
  <c r="H1536" i="1"/>
  <c r="A1536" i="1"/>
  <c r="I1536" i="1" s="1"/>
  <c r="H1535" i="1"/>
  <c r="I1535" i="1" s="1"/>
  <c r="A1535" i="1"/>
  <c r="H1534" i="1"/>
  <c r="I1534" i="1" s="1"/>
  <c r="A1534" i="1"/>
  <c r="H1533" i="1"/>
  <c r="A1533" i="1"/>
  <c r="I1533" i="1" s="1"/>
  <c r="I1532" i="1"/>
  <c r="H1532" i="1"/>
  <c r="A1532" i="1"/>
  <c r="I1531" i="1"/>
  <c r="H1531" i="1"/>
  <c r="A1531" i="1"/>
  <c r="H1530" i="1"/>
  <c r="A1530" i="1"/>
  <c r="H1529" i="1"/>
  <c r="A1529" i="1"/>
  <c r="I1529" i="1" s="1"/>
  <c r="H1528" i="1"/>
  <c r="A1528" i="1"/>
  <c r="I1528" i="1" s="1"/>
  <c r="I1527" i="1"/>
  <c r="H1527" i="1"/>
  <c r="A1527" i="1"/>
  <c r="H1526" i="1"/>
  <c r="I1526" i="1" s="1"/>
  <c r="A1526" i="1"/>
  <c r="H1525" i="1"/>
  <c r="A1525" i="1"/>
  <c r="I1525" i="1" s="1"/>
  <c r="I1524" i="1"/>
  <c r="H1524" i="1"/>
  <c r="A1524" i="1"/>
  <c r="I1523" i="1"/>
  <c r="H1523" i="1"/>
  <c r="A1523" i="1"/>
  <c r="H1522" i="1"/>
  <c r="A1522" i="1"/>
  <c r="I1522" i="1" s="1"/>
  <c r="H1521" i="1"/>
  <c r="A1521" i="1"/>
  <c r="I1521" i="1" s="1"/>
  <c r="H1520" i="1"/>
  <c r="A1520" i="1"/>
  <c r="I1520" i="1" s="1"/>
  <c r="H1519" i="1"/>
  <c r="I1519" i="1" s="1"/>
  <c r="A1519" i="1"/>
  <c r="H1518" i="1"/>
  <c r="I1518" i="1" s="1"/>
  <c r="A1518" i="1"/>
  <c r="H1517" i="1"/>
  <c r="A1517" i="1"/>
  <c r="I1517" i="1" s="1"/>
  <c r="I1516" i="1"/>
  <c r="H1516" i="1"/>
  <c r="A1516" i="1"/>
  <c r="I1515" i="1"/>
  <c r="H1515" i="1"/>
  <c r="A1515" i="1"/>
  <c r="H1514" i="1"/>
  <c r="A1514" i="1"/>
  <c r="H1513" i="1"/>
  <c r="A1513" i="1"/>
  <c r="I1513" i="1" s="1"/>
  <c r="H1512" i="1"/>
  <c r="A1512" i="1"/>
  <c r="I1512" i="1" s="1"/>
  <c r="H1511" i="1"/>
  <c r="I1511" i="1" s="1"/>
  <c r="A1511" i="1"/>
  <c r="H1510" i="1"/>
  <c r="I1510" i="1" s="1"/>
  <c r="A1510" i="1"/>
  <c r="H1509" i="1"/>
  <c r="A1509" i="1"/>
  <c r="I1509" i="1" s="1"/>
  <c r="I1508" i="1"/>
  <c r="H1508" i="1"/>
  <c r="A1508" i="1"/>
  <c r="I1507" i="1"/>
  <c r="H1507" i="1"/>
  <c r="A1507" i="1"/>
  <c r="H1506" i="1"/>
  <c r="A1506" i="1"/>
  <c r="I1506" i="1" s="1"/>
  <c r="H1505" i="1"/>
  <c r="A1505" i="1"/>
  <c r="I1505" i="1" s="1"/>
  <c r="H1504" i="1"/>
  <c r="A1504" i="1"/>
  <c r="I1504" i="1" s="1"/>
  <c r="H1503" i="1"/>
  <c r="I1503" i="1" s="1"/>
  <c r="A1503" i="1"/>
  <c r="H1502" i="1"/>
  <c r="I1502" i="1" s="1"/>
  <c r="A1502" i="1"/>
  <c r="H1501" i="1"/>
  <c r="A1501" i="1"/>
  <c r="I1501" i="1" s="1"/>
  <c r="I1500" i="1"/>
  <c r="H1500" i="1"/>
  <c r="A1500" i="1"/>
  <c r="I1499" i="1"/>
  <c r="H1499" i="1"/>
  <c r="A1499" i="1"/>
  <c r="H1498" i="1"/>
  <c r="A1498" i="1"/>
  <c r="I1498" i="1" s="1"/>
  <c r="H1497" i="1"/>
  <c r="A1497" i="1"/>
  <c r="I1497" i="1" s="1"/>
  <c r="H1496" i="1"/>
  <c r="A1496" i="1"/>
  <c r="I1496" i="1" s="1"/>
  <c r="I1495" i="1"/>
  <c r="H1495" i="1"/>
  <c r="A1495" i="1"/>
  <c r="H1494" i="1"/>
  <c r="I1494" i="1" s="1"/>
  <c r="A1494" i="1"/>
  <c r="H1493" i="1"/>
  <c r="A1493" i="1"/>
  <c r="I1493" i="1" s="1"/>
  <c r="I1492" i="1"/>
  <c r="H1492" i="1"/>
  <c r="A1492" i="1"/>
  <c r="I1491" i="1"/>
  <c r="H1491" i="1"/>
  <c r="A1491" i="1"/>
  <c r="H1490" i="1"/>
  <c r="A1490" i="1"/>
  <c r="I1490" i="1" s="1"/>
  <c r="H1489" i="1"/>
  <c r="A1489" i="1"/>
  <c r="I1489" i="1" s="1"/>
  <c r="H1488" i="1"/>
  <c r="A1488" i="1"/>
  <c r="I1488" i="1" s="1"/>
  <c r="I1487" i="1"/>
  <c r="H1487" i="1"/>
  <c r="A1487" i="1"/>
  <c r="H1486" i="1"/>
  <c r="I1486" i="1" s="1"/>
  <c r="A1486" i="1"/>
  <c r="H1485" i="1"/>
  <c r="A1485" i="1"/>
  <c r="I1485" i="1" s="1"/>
  <c r="I1484" i="1"/>
  <c r="H1484" i="1"/>
  <c r="A1484" i="1"/>
  <c r="I1483" i="1"/>
  <c r="H1483" i="1"/>
  <c r="A1483" i="1"/>
  <c r="H1482" i="1"/>
  <c r="A1482" i="1"/>
  <c r="H1481" i="1"/>
  <c r="A1481" i="1"/>
  <c r="I1481" i="1" s="1"/>
  <c r="H1480" i="1"/>
  <c r="A1480" i="1"/>
  <c r="I1480" i="1" s="1"/>
  <c r="I1479" i="1"/>
  <c r="H1479" i="1"/>
  <c r="A1479" i="1"/>
  <c r="H1478" i="1"/>
  <c r="I1478" i="1" s="1"/>
  <c r="A1478" i="1"/>
  <c r="H1477" i="1"/>
  <c r="A1477" i="1"/>
  <c r="I1477" i="1" s="1"/>
  <c r="I1476" i="1"/>
  <c r="H1476" i="1"/>
  <c r="A1476" i="1"/>
  <c r="I1475" i="1"/>
  <c r="H1475" i="1"/>
  <c r="A1475" i="1"/>
  <c r="H1474" i="1"/>
  <c r="A1474" i="1"/>
  <c r="H1473" i="1"/>
  <c r="A1473" i="1"/>
  <c r="I1473" i="1" s="1"/>
  <c r="H1472" i="1"/>
  <c r="A1472" i="1"/>
  <c r="I1472" i="1" s="1"/>
  <c r="H1471" i="1"/>
  <c r="I1471" i="1" s="1"/>
  <c r="A1471" i="1"/>
  <c r="H1470" i="1"/>
  <c r="I1470" i="1" s="1"/>
  <c r="A1470" i="1"/>
  <c r="H1469" i="1"/>
  <c r="A1469" i="1"/>
  <c r="I1469" i="1" s="1"/>
  <c r="I1468" i="1"/>
  <c r="H1468" i="1"/>
  <c r="A1468" i="1"/>
  <c r="I1467" i="1"/>
  <c r="H1467" i="1"/>
  <c r="A1467" i="1"/>
  <c r="H1466" i="1"/>
  <c r="A1466" i="1"/>
  <c r="H1465" i="1"/>
  <c r="A1465" i="1"/>
  <c r="I1465" i="1" s="1"/>
  <c r="H1464" i="1"/>
  <c r="A1464" i="1"/>
  <c r="I1464" i="1" s="1"/>
  <c r="I1463" i="1"/>
  <c r="H1463" i="1"/>
  <c r="A1463" i="1"/>
  <c r="H1462" i="1"/>
  <c r="I1462" i="1" s="1"/>
  <c r="A1462" i="1"/>
  <c r="H1461" i="1"/>
  <c r="A1461" i="1"/>
  <c r="I1461" i="1" s="1"/>
  <c r="I1460" i="1"/>
  <c r="H1460" i="1"/>
  <c r="A1460" i="1"/>
  <c r="I1459" i="1"/>
  <c r="H1459" i="1"/>
  <c r="A1459" i="1"/>
  <c r="H1458" i="1"/>
  <c r="A1458" i="1"/>
  <c r="I1458" i="1" s="1"/>
  <c r="H1457" i="1"/>
  <c r="A1457" i="1"/>
  <c r="I1457" i="1" s="1"/>
  <c r="H1456" i="1"/>
  <c r="A1456" i="1"/>
  <c r="I1456" i="1" s="1"/>
  <c r="H1455" i="1"/>
  <c r="I1455" i="1" s="1"/>
  <c r="A1455" i="1"/>
  <c r="H1454" i="1"/>
  <c r="I1454" i="1" s="1"/>
  <c r="A1454" i="1"/>
  <c r="H1453" i="1"/>
  <c r="A1453" i="1"/>
  <c r="I1453" i="1" s="1"/>
  <c r="I1452" i="1"/>
  <c r="H1452" i="1"/>
  <c r="A1452" i="1"/>
  <c r="I1451" i="1"/>
  <c r="H1451" i="1"/>
  <c r="A1451" i="1"/>
  <c r="H1450" i="1"/>
  <c r="A1450" i="1"/>
  <c r="H1449" i="1"/>
  <c r="A1449" i="1"/>
  <c r="I1449" i="1" s="1"/>
  <c r="H1448" i="1"/>
  <c r="A1448" i="1"/>
  <c r="I1448" i="1" s="1"/>
  <c r="H1447" i="1"/>
  <c r="I1447" i="1" s="1"/>
  <c r="A1447" i="1"/>
  <c r="H1446" i="1"/>
  <c r="I1446" i="1" s="1"/>
  <c r="A1446" i="1"/>
  <c r="H1445" i="1"/>
  <c r="A1445" i="1"/>
  <c r="I1445" i="1" s="1"/>
  <c r="I1444" i="1"/>
  <c r="H1444" i="1"/>
  <c r="A1444" i="1"/>
  <c r="I1443" i="1"/>
  <c r="H1443" i="1"/>
  <c r="A1443" i="1"/>
  <c r="H1442" i="1"/>
  <c r="A1442" i="1"/>
  <c r="I1442" i="1" s="1"/>
  <c r="H1441" i="1"/>
  <c r="A1441" i="1"/>
  <c r="I1441" i="1" s="1"/>
  <c r="H1440" i="1"/>
  <c r="A1440" i="1"/>
  <c r="I1440" i="1" s="1"/>
  <c r="H1439" i="1"/>
  <c r="I1439" i="1" s="1"/>
  <c r="A1439" i="1"/>
  <c r="H1438" i="1"/>
  <c r="I1438" i="1" s="1"/>
  <c r="A1438" i="1"/>
  <c r="H1437" i="1"/>
  <c r="A1437" i="1"/>
  <c r="I1437" i="1" s="1"/>
  <c r="I1436" i="1"/>
  <c r="H1436" i="1"/>
  <c r="A1436" i="1"/>
  <c r="I1435" i="1"/>
  <c r="H1435" i="1"/>
  <c r="A1435" i="1"/>
  <c r="H1434" i="1"/>
  <c r="A1434" i="1"/>
  <c r="I1434" i="1" s="1"/>
  <c r="H1433" i="1"/>
  <c r="A1433" i="1"/>
  <c r="I1433" i="1" s="1"/>
  <c r="H1432" i="1"/>
  <c r="A1432" i="1"/>
  <c r="I1432" i="1" s="1"/>
  <c r="I1431" i="1"/>
  <c r="H1431" i="1"/>
  <c r="A1431" i="1"/>
  <c r="H1430" i="1"/>
  <c r="I1430" i="1" s="1"/>
  <c r="A1430" i="1"/>
  <c r="H1429" i="1"/>
  <c r="A1429" i="1"/>
  <c r="I1429" i="1" s="1"/>
  <c r="I1428" i="1"/>
  <c r="H1428" i="1"/>
  <c r="A1428" i="1"/>
  <c r="I1427" i="1"/>
  <c r="H1427" i="1"/>
  <c r="A1427" i="1"/>
  <c r="H1426" i="1"/>
  <c r="A1426" i="1"/>
  <c r="I1426" i="1" s="1"/>
  <c r="H1425" i="1"/>
  <c r="A1425" i="1"/>
  <c r="I1425" i="1" s="1"/>
  <c r="H1424" i="1"/>
  <c r="A1424" i="1"/>
  <c r="I1424" i="1" s="1"/>
  <c r="I1423" i="1"/>
  <c r="H1423" i="1"/>
  <c r="A1423" i="1"/>
  <c r="H1422" i="1"/>
  <c r="I1422" i="1" s="1"/>
  <c r="A1422" i="1"/>
  <c r="H1421" i="1"/>
  <c r="A1421" i="1"/>
  <c r="I1421" i="1" s="1"/>
  <c r="I1420" i="1"/>
  <c r="H1420" i="1"/>
  <c r="A1420" i="1"/>
  <c r="I1419" i="1"/>
  <c r="H1419" i="1"/>
  <c r="A1419" i="1"/>
  <c r="H1418" i="1"/>
  <c r="A1418" i="1"/>
  <c r="H1417" i="1"/>
  <c r="A1417" i="1"/>
  <c r="I1417" i="1" s="1"/>
  <c r="H1416" i="1"/>
  <c r="I1416" i="1" s="1"/>
  <c r="A1416" i="1"/>
  <c r="I1415" i="1"/>
  <c r="H1415" i="1"/>
  <c r="A1415" i="1"/>
  <c r="H1414" i="1"/>
  <c r="I1414" i="1" s="1"/>
  <c r="A1414" i="1"/>
  <c r="H1413" i="1"/>
  <c r="A1413" i="1"/>
  <c r="I1413" i="1" s="1"/>
  <c r="I1412" i="1"/>
  <c r="H1412" i="1"/>
  <c r="A1412" i="1"/>
  <c r="I1411" i="1"/>
  <c r="H1411" i="1"/>
  <c r="A1411" i="1"/>
  <c r="H1410" i="1"/>
  <c r="A1410" i="1"/>
  <c r="H1409" i="1"/>
  <c r="A1409" i="1"/>
  <c r="I1409" i="1" s="1"/>
  <c r="H1408" i="1"/>
  <c r="I1408" i="1" s="1"/>
  <c r="A1408" i="1"/>
  <c r="H1407" i="1"/>
  <c r="I1407" i="1" s="1"/>
  <c r="A1407" i="1"/>
  <c r="H1406" i="1"/>
  <c r="I1406" i="1" s="1"/>
  <c r="A1406" i="1"/>
  <c r="H1405" i="1"/>
  <c r="A1405" i="1"/>
  <c r="I1405" i="1" s="1"/>
  <c r="I1404" i="1"/>
  <c r="H1404" i="1"/>
  <c r="A1404" i="1"/>
  <c r="I1403" i="1"/>
  <c r="H1403" i="1"/>
  <c r="A1403" i="1"/>
  <c r="H1402" i="1"/>
  <c r="A1402" i="1"/>
  <c r="H1401" i="1"/>
  <c r="A1401" i="1"/>
  <c r="I1401" i="1" s="1"/>
  <c r="H1400" i="1"/>
  <c r="I1400" i="1" s="1"/>
  <c r="A1400" i="1"/>
  <c r="I1399" i="1"/>
  <c r="H1399" i="1"/>
  <c r="A1399" i="1"/>
  <c r="H1398" i="1"/>
  <c r="I1398" i="1" s="1"/>
  <c r="A1398" i="1"/>
  <c r="H1397" i="1"/>
  <c r="A1397" i="1"/>
  <c r="I1397" i="1" s="1"/>
  <c r="I1396" i="1"/>
  <c r="H1396" i="1"/>
  <c r="A1396" i="1"/>
  <c r="I1395" i="1"/>
  <c r="H1395" i="1"/>
  <c r="A1395" i="1"/>
  <c r="H1394" i="1"/>
  <c r="A1394" i="1"/>
  <c r="I1394" i="1" s="1"/>
  <c r="H1393" i="1"/>
  <c r="A1393" i="1"/>
  <c r="I1393" i="1" s="1"/>
  <c r="H1392" i="1"/>
  <c r="I1392" i="1" s="1"/>
  <c r="A1392" i="1"/>
  <c r="H1391" i="1"/>
  <c r="I1391" i="1" s="1"/>
  <c r="A1391" i="1"/>
  <c r="H1390" i="1"/>
  <c r="I1390" i="1" s="1"/>
  <c r="A1390" i="1"/>
  <c r="H1389" i="1"/>
  <c r="A1389" i="1"/>
  <c r="I1389" i="1" s="1"/>
  <c r="I1388" i="1"/>
  <c r="H1388" i="1"/>
  <c r="A1388" i="1"/>
  <c r="I1387" i="1"/>
  <c r="H1387" i="1"/>
  <c r="A1387" i="1"/>
  <c r="H1386" i="1"/>
  <c r="A1386" i="1"/>
  <c r="H1385" i="1"/>
  <c r="A1385" i="1"/>
  <c r="I1385" i="1" s="1"/>
  <c r="H1384" i="1"/>
  <c r="I1384" i="1" s="1"/>
  <c r="A1384" i="1"/>
  <c r="H1383" i="1"/>
  <c r="I1383" i="1" s="1"/>
  <c r="A1383" i="1"/>
  <c r="H1382" i="1"/>
  <c r="I1382" i="1" s="1"/>
  <c r="A1382" i="1"/>
  <c r="H1381" i="1"/>
  <c r="A1381" i="1"/>
  <c r="I1381" i="1" s="1"/>
  <c r="I1380" i="1"/>
  <c r="H1380" i="1"/>
  <c r="A1380" i="1"/>
  <c r="I1379" i="1"/>
  <c r="H1379" i="1"/>
  <c r="A1379" i="1"/>
  <c r="H1378" i="1"/>
  <c r="A1378" i="1"/>
  <c r="I1378" i="1" s="1"/>
  <c r="H1377" i="1"/>
  <c r="A1377" i="1"/>
  <c r="I1377" i="1" s="1"/>
  <c r="H1376" i="1"/>
  <c r="I1376" i="1" s="1"/>
  <c r="A1376" i="1"/>
  <c r="H1375" i="1"/>
  <c r="I1375" i="1" s="1"/>
  <c r="A1375" i="1"/>
  <c r="H1374" i="1"/>
  <c r="I1374" i="1" s="1"/>
  <c r="A1374" i="1"/>
  <c r="H1373" i="1"/>
  <c r="A1373" i="1"/>
  <c r="I1373" i="1" s="1"/>
  <c r="I1372" i="1"/>
  <c r="H1372" i="1"/>
  <c r="A1372" i="1"/>
  <c r="I1371" i="1"/>
  <c r="H1371" i="1"/>
  <c r="A1371" i="1"/>
  <c r="H1370" i="1"/>
  <c r="A1370" i="1"/>
  <c r="I1370" i="1" s="1"/>
  <c r="H1369" i="1"/>
  <c r="A1369" i="1"/>
  <c r="I1369" i="1" s="1"/>
  <c r="H1368" i="1"/>
  <c r="I1368" i="1" s="1"/>
  <c r="A1368" i="1"/>
  <c r="I1367" i="1"/>
  <c r="H1367" i="1"/>
  <c r="A1367" i="1"/>
  <c r="H1366" i="1"/>
  <c r="I1366" i="1" s="1"/>
  <c r="A1366" i="1"/>
  <c r="H1365" i="1"/>
  <c r="A1365" i="1"/>
  <c r="I1365" i="1" s="1"/>
  <c r="I1364" i="1"/>
  <c r="H1364" i="1"/>
  <c r="A1364" i="1"/>
  <c r="I1363" i="1"/>
  <c r="H1363" i="1"/>
  <c r="A1363" i="1"/>
  <c r="H1362" i="1"/>
  <c r="A1362" i="1"/>
  <c r="I1362" i="1" s="1"/>
  <c r="H1361" i="1"/>
  <c r="A1361" i="1"/>
  <c r="I1361" i="1" s="1"/>
  <c r="H1360" i="1"/>
  <c r="I1360" i="1" s="1"/>
  <c r="A1360" i="1"/>
  <c r="I1359" i="1"/>
  <c r="H1359" i="1"/>
  <c r="A1359" i="1"/>
  <c r="H1358" i="1"/>
  <c r="I1358" i="1" s="1"/>
  <c r="A1358" i="1"/>
  <c r="H1357" i="1"/>
  <c r="A1357" i="1"/>
  <c r="I1357" i="1" s="1"/>
  <c r="I1356" i="1"/>
  <c r="H1356" i="1"/>
  <c r="A1356" i="1"/>
  <c r="I1355" i="1"/>
  <c r="H1355" i="1"/>
  <c r="A1355" i="1"/>
  <c r="H1354" i="1"/>
  <c r="A1354" i="1"/>
  <c r="H1353" i="1"/>
  <c r="A1353" i="1"/>
  <c r="I1353" i="1" s="1"/>
  <c r="H1352" i="1"/>
  <c r="I1352" i="1" s="1"/>
  <c r="A1352" i="1"/>
  <c r="I1351" i="1"/>
  <c r="H1351" i="1"/>
  <c r="A1351" i="1"/>
  <c r="H1350" i="1"/>
  <c r="I1350" i="1" s="1"/>
  <c r="A1350" i="1"/>
  <c r="H1349" i="1"/>
  <c r="A1349" i="1"/>
  <c r="I1349" i="1" s="1"/>
  <c r="I1348" i="1"/>
  <c r="H1348" i="1"/>
  <c r="A1348" i="1"/>
  <c r="I1347" i="1"/>
  <c r="H1347" i="1"/>
  <c r="A1347" i="1"/>
  <c r="H1346" i="1"/>
  <c r="A1346" i="1"/>
  <c r="H1345" i="1"/>
  <c r="A1345" i="1"/>
  <c r="I1345" i="1" s="1"/>
  <c r="H1344" i="1"/>
  <c r="I1344" i="1" s="1"/>
  <c r="A1344" i="1"/>
  <c r="H1343" i="1"/>
  <c r="I1343" i="1" s="1"/>
  <c r="A1343" i="1"/>
  <c r="H1342" i="1"/>
  <c r="I1342" i="1" s="1"/>
  <c r="A1342" i="1"/>
  <c r="H1341" i="1"/>
  <c r="A1341" i="1"/>
  <c r="I1341" i="1" s="1"/>
  <c r="I1340" i="1"/>
  <c r="H1340" i="1"/>
  <c r="A1340" i="1"/>
  <c r="I1339" i="1"/>
  <c r="H1339" i="1"/>
  <c r="A1339" i="1"/>
  <c r="H1338" i="1"/>
  <c r="A1338" i="1"/>
  <c r="H1337" i="1"/>
  <c r="A1337" i="1"/>
  <c r="I1337" i="1" s="1"/>
  <c r="H1336" i="1"/>
  <c r="A1336" i="1"/>
  <c r="I1336" i="1" s="1"/>
  <c r="I1335" i="1"/>
  <c r="H1335" i="1"/>
  <c r="A1335" i="1"/>
  <c r="H1334" i="1"/>
  <c r="I1334" i="1" s="1"/>
  <c r="A1334" i="1"/>
  <c r="H1333" i="1"/>
  <c r="A1333" i="1"/>
  <c r="I1333" i="1" s="1"/>
  <c r="I1332" i="1"/>
  <c r="H1332" i="1"/>
  <c r="A1332" i="1"/>
  <c r="I1331" i="1"/>
  <c r="H1331" i="1"/>
  <c r="A1331" i="1"/>
  <c r="H1330" i="1"/>
  <c r="A1330" i="1"/>
  <c r="I1330" i="1" s="1"/>
  <c r="H1329" i="1"/>
  <c r="A1329" i="1"/>
  <c r="I1329" i="1" s="1"/>
  <c r="H1328" i="1"/>
  <c r="A1328" i="1"/>
  <c r="I1328" i="1" s="1"/>
  <c r="H1327" i="1"/>
  <c r="I1327" i="1" s="1"/>
  <c r="A1327" i="1"/>
  <c r="H1326" i="1"/>
  <c r="I1326" i="1" s="1"/>
  <c r="A1326" i="1"/>
  <c r="H1325" i="1"/>
  <c r="A1325" i="1"/>
  <c r="I1325" i="1" s="1"/>
  <c r="I1324" i="1"/>
  <c r="H1324" i="1"/>
  <c r="A1324" i="1"/>
  <c r="I1323" i="1"/>
  <c r="H1323" i="1"/>
  <c r="A1323" i="1"/>
  <c r="H1322" i="1"/>
  <c r="A1322" i="1"/>
  <c r="H1321" i="1"/>
  <c r="A1321" i="1"/>
  <c r="I1321" i="1" s="1"/>
  <c r="H1320" i="1"/>
  <c r="A1320" i="1"/>
  <c r="I1320" i="1" s="1"/>
  <c r="H1319" i="1"/>
  <c r="I1319" i="1" s="1"/>
  <c r="A1319" i="1"/>
  <c r="H1318" i="1"/>
  <c r="I1318" i="1" s="1"/>
  <c r="A1318" i="1"/>
  <c r="H1317" i="1"/>
  <c r="A1317" i="1"/>
  <c r="I1317" i="1" s="1"/>
  <c r="I1316" i="1"/>
  <c r="H1316" i="1"/>
  <c r="A1316" i="1"/>
  <c r="I1315" i="1"/>
  <c r="H1315" i="1"/>
  <c r="A1315" i="1"/>
  <c r="H1314" i="1"/>
  <c r="A1314" i="1"/>
  <c r="I1314" i="1" s="1"/>
  <c r="H1313" i="1"/>
  <c r="A1313" i="1"/>
  <c r="I1313" i="1" s="1"/>
  <c r="H1312" i="1"/>
  <c r="A1312" i="1"/>
  <c r="I1312" i="1" s="1"/>
  <c r="H1311" i="1"/>
  <c r="I1311" i="1" s="1"/>
  <c r="A1311" i="1"/>
  <c r="H1310" i="1"/>
  <c r="I1310" i="1" s="1"/>
  <c r="A1310" i="1"/>
  <c r="H1309" i="1"/>
  <c r="A1309" i="1"/>
  <c r="I1309" i="1" s="1"/>
  <c r="I1308" i="1"/>
  <c r="H1308" i="1"/>
  <c r="A1308" i="1"/>
  <c r="I1307" i="1"/>
  <c r="H1307" i="1"/>
  <c r="A1307" i="1"/>
  <c r="H1306" i="1"/>
  <c r="A1306" i="1"/>
  <c r="I1306" i="1" s="1"/>
  <c r="H1305" i="1"/>
  <c r="A1305" i="1"/>
  <c r="I1305" i="1" s="1"/>
  <c r="H1304" i="1"/>
  <c r="A1304" i="1"/>
  <c r="I1304" i="1" s="1"/>
  <c r="I1303" i="1"/>
  <c r="H1303" i="1"/>
  <c r="A1303" i="1"/>
  <c r="H1302" i="1"/>
  <c r="I1302" i="1" s="1"/>
  <c r="A1302" i="1"/>
  <c r="H1301" i="1"/>
  <c r="A1301" i="1"/>
  <c r="I1301" i="1" s="1"/>
  <c r="I1300" i="1"/>
  <c r="H1300" i="1"/>
  <c r="A1300" i="1"/>
  <c r="I1299" i="1"/>
  <c r="H1299" i="1"/>
  <c r="A1299" i="1"/>
  <c r="H1298" i="1"/>
  <c r="A1298" i="1"/>
  <c r="I1298" i="1" s="1"/>
  <c r="H1297" i="1"/>
  <c r="A1297" i="1"/>
  <c r="I1297" i="1" s="1"/>
  <c r="H1296" i="1"/>
  <c r="A1296" i="1"/>
  <c r="I1296" i="1" s="1"/>
  <c r="I1295" i="1"/>
  <c r="H1295" i="1"/>
  <c r="A1295" i="1"/>
  <c r="H1294" i="1"/>
  <c r="I1294" i="1" s="1"/>
  <c r="A1294" i="1"/>
  <c r="H1293" i="1"/>
  <c r="A1293" i="1"/>
  <c r="I1293" i="1" s="1"/>
  <c r="I1292" i="1"/>
  <c r="H1292" i="1"/>
  <c r="A1292" i="1"/>
  <c r="I1291" i="1"/>
  <c r="H1291" i="1"/>
  <c r="A1291" i="1"/>
  <c r="H1290" i="1"/>
  <c r="A1290" i="1"/>
  <c r="H1289" i="1"/>
  <c r="A1289" i="1"/>
  <c r="I1289" i="1" s="1"/>
  <c r="H1288" i="1"/>
  <c r="A1288" i="1"/>
  <c r="I1288" i="1" s="1"/>
  <c r="I1287" i="1"/>
  <c r="H1287" i="1"/>
  <c r="A1287" i="1"/>
  <c r="H1286" i="1"/>
  <c r="I1286" i="1" s="1"/>
  <c r="A1286" i="1"/>
  <c r="H1285" i="1"/>
  <c r="A1285" i="1"/>
  <c r="I1285" i="1" s="1"/>
  <c r="I1284" i="1"/>
  <c r="H1284" i="1"/>
  <c r="A1284" i="1"/>
  <c r="I1283" i="1"/>
  <c r="H1283" i="1"/>
  <c r="A1283" i="1"/>
  <c r="H1282" i="1"/>
  <c r="A1282" i="1"/>
  <c r="H1281" i="1"/>
  <c r="A1281" i="1"/>
  <c r="I1281" i="1" s="1"/>
  <c r="H1280" i="1"/>
  <c r="A1280" i="1"/>
  <c r="I1280" i="1" s="1"/>
  <c r="H1279" i="1"/>
  <c r="I1279" i="1" s="1"/>
  <c r="A1279" i="1"/>
  <c r="H1278" i="1"/>
  <c r="I1278" i="1" s="1"/>
  <c r="A1278" i="1"/>
  <c r="H1277" i="1"/>
  <c r="A1277" i="1"/>
  <c r="I1277" i="1" s="1"/>
  <c r="I1276" i="1"/>
  <c r="H1276" i="1"/>
  <c r="A1276" i="1"/>
  <c r="I1275" i="1"/>
  <c r="H1275" i="1"/>
  <c r="A1275" i="1"/>
  <c r="H1274" i="1"/>
  <c r="A1274" i="1"/>
  <c r="H1273" i="1"/>
  <c r="A1273" i="1"/>
  <c r="I1273" i="1" s="1"/>
  <c r="H1272" i="1"/>
  <c r="A1272" i="1"/>
  <c r="I1272" i="1" s="1"/>
  <c r="I1271" i="1"/>
  <c r="H1271" i="1"/>
  <c r="A1271" i="1"/>
  <c r="H1270" i="1"/>
  <c r="I1270" i="1" s="1"/>
  <c r="A1270" i="1"/>
  <c r="H1269" i="1"/>
  <c r="A1269" i="1"/>
  <c r="I1269" i="1" s="1"/>
  <c r="I1268" i="1"/>
  <c r="H1268" i="1"/>
  <c r="A1268" i="1"/>
  <c r="I1267" i="1"/>
  <c r="H1267" i="1"/>
  <c r="A1267" i="1"/>
  <c r="H1266" i="1"/>
  <c r="A1266" i="1"/>
  <c r="I1266" i="1" s="1"/>
  <c r="H1265" i="1"/>
  <c r="A1265" i="1"/>
  <c r="I1265" i="1" s="1"/>
  <c r="H1264" i="1"/>
  <c r="A1264" i="1"/>
  <c r="I1264" i="1" s="1"/>
  <c r="H1263" i="1"/>
  <c r="I1263" i="1" s="1"/>
  <c r="A1263" i="1"/>
  <c r="H1262" i="1"/>
  <c r="I1262" i="1" s="1"/>
  <c r="A1262" i="1"/>
  <c r="H1261" i="1"/>
  <c r="A1261" i="1"/>
  <c r="I1261" i="1" s="1"/>
  <c r="I1260" i="1"/>
  <c r="H1260" i="1"/>
  <c r="A1260" i="1"/>
  <c r="I1259" i="1"/>
  <c r="H1259" i="1"/>
  <c r="A1259" i="1"/>
  <c r="H1258" i="1"/>
  <c r="A1258" i="1"/>
  <c r="H1257" i="1"/>
  <c r="A1257" i="1"/>
  <c r="I1257" i="1" s="1"/>
  <c r="H1256" i="1"/>
  <c r="A1256" i="1"/>
  <c r="I1256" i="1" s="1"/>
  <c r="H1255" i="1"/>
  <c r="I1255" i="1" s="1"/>
  <c r="A1255" i="1"/>
  <c r="H1254" i="1"/>
  <c r="I1254" i="1" s="1"/>
  <c r="A1254" i="1"/>
  <c r="H1253" i="1"/>
  <c r="A1253" i="1"/>
  <c r="I1253" i="1" s="1"/>
  <c r="I1252" i="1"/>
  <c r="H1252" i="1"/>
  <c r="A1252" i="1"/>
  <c r="I1251" i="1"/>
  <c r="H1251" i="1"/>
  <c r="A1251" i="1"/>
  <c r="H1250" i="1"/>
  <c r="A1250" i="1"/>
  <c r="I1250" i="1" s="1"/>
  <c r="H1249" i="1"/>
  <c r="A1249" i="1"/>
  <c r="I1249" i="1" s="1"/>
  <c r="H1248" i="1"/>
  <c r="A1248" i="1"/>
  <c r="I1248" i="1" s="1"/>
  <c r="H1247" i="1"/>
  <c r="I1247" i="1" s="1"/>
  <c r="A1247" i="1"/>
  <c r="H1246" i="1"/>
  <c r="I1246" i="1" s="1"/>
  <c r="A1246" i="1"/>
  <c r="H1245" i="1"/>
  <c r="A1245" i="1"/>
  <c r="I1245" i="1" s="1"/>
  <c r="I1244" i="1"/>
  <c r="H1244" i="1"/>
  <c r="A1244" i="1"/>
  <c r="I1243" i="1"/>
  <c r="H1243" i="1"/>
  <c r="A1243" i="1"/>
  <c r="H1242" i="1"/>
  <c r="A1242" i="1"/>
  <c r="I1242" i="1" s="1"/>
  <c r="H1241" i="1"/>
  <c r="A1241" i="1"/>
  <c r="I1241" i="1" s="1"/>
  <c r="H1240" i="1"/>
  <c r="A1240" i="1"/>
  <c r="I1240" i="1" s="1"/>
  <c r="I1239" i="1"/>
  <c r="H1239" i="1"/>
  <c r="A1239" i="1"/>
  <c r="H1238" i="1"/>
  <c r="I1238" i="1" s="1"/>
  <c r="A1238" i="1"/>
  <c r="H1237" i="1"/>
  <c r="A1237" i="1"/>
  <c r="I1237" i="1" s="1"/>
  <c r="I1236" i="1"/>
  <c r="H1236" i="1"/>
  <c r="A1236" i="1"/>
  <c r="I1235" i="1"/>
  <c r="H1235" i="1"/>
  <c r="A1235" i="1"/>
  <c r="H1234" i="1"/>
  <c r="A1234" i="1"/>
  <c r="I1234" i="1" s="1"/>
  <c r="H1233" i="1"/>
  <c r="A1233" i="1"/>
  <c r="I1233" i="1" s="1"/>
  <c r="H1232" i="1"/>
  <c r="A1232" i="1"/>
  <c r="I1232" i="1" s="1"/>
  <c r="I1231" i="1"/>
  <c r="H1231" i="1"/>
  <c r="A1231" i="1"/>
  <c r="H1230" i="1"/>
  <c r="I1230" i="1" s="1"/>
  <c r="A1230" i="1"/>
  <c r="H1229" i="1"/>
  <c r="A1229" i="1"/>
  <c r="I1229" i="1" s="1"/>
  <c r="I1228" i="1"/>
  <c r="H1228" i="1"/>
  <c r="A1228" i="1"/>
  <c r="I1227" i="1"/>
  <c r="H1227" i="1"/>
  <c r="A1227" i="1"/>
  <c r="H1226" i="1"/>
  <c r="A1226" i="1"/>
  <c r="H1225" i="1"/>
  <c r="A1225" i="1"/>
  <c r="I1225" i="1" s="1"/>
  <c r="H1224" i="1"/>
  <c r="A1224" i="1"/>
  <c r="I1224" i="1" s="1"/>
  <c r="I1223" i="1"/>
  <c r="H1223" i="1"/>
  <c r="A1223" i="1"/>
  <c r="H1222" i="1"/>
  <c r="I1222" i="1" s="1"/>
  <c r="A1222" i="1"/>
  <c r="I1221" i="1"/>
  <c r="H1221" i="1"/>
  <c r="A1221" i="1"/>
  <c r="I1220" i="1"/>
  <c r="H1220" i="1"/>
  <c r="A1220" i="1"/>
  <c r="H1219" i="1"/>
  <c r="A1219" i="1"/>
  <c r="I1219" i="1" s="1"/>
  <c r="H1218" i="1"/>
  <c r="A1218" i="1"/>
  <c r="H1217" i="1"/>
  <c r="A1217" i="1"/>
  <c r="I1217" i="1" s="1"/>
  <c r="H1216" i="1"/>
  <c r="I1216" i="1" s="1"/>
  <c r="A1216" i="1"/>
  <c r="H1215" i="1"/>
  <c r="I1215" i="1" s="1"/>
  <c r="A1215" i="1"/>
  <c r="H1214" i="1"/>
  <c r="I1214" i="1" s="1"/>
  <c r="A1214" i="1"/>
  <c r="I1213" i="1"/>
  <c r="H1213" i="1"/>
  <c r="A1213" i="1"/>
  <c r="I1212" i="1"/>
  <c r="H1212" i="1"/>
  <c r="A1212" i="1"/>
  <c r="H1211" i="1"/>
  <c r="A1211" i="1"/>
  <c r="I1211" i="1" s="1"/>
  <c r="H1210" i="1"/>
  <c r="A1210" i="1"/>
  <c r="H1209" i="1"/>
  <c r="A1209" i="1"/>
  <c r="I1209" i="1" s="1"/>
  <c r="H1208" i="1"/>
  <c r="I1208" i="1" s="1"/>
  <c r="A1208" i="1"/>
  <c r="I1207" i="1"/>
  <c r="H1207" i="1"/>
  <c r="A1207" i="1"/>
  <c r="H1206" i="1"/>
  <c r="I1206" i="1" s="1"/>
  <c r="A1206" i="1"/>
  <c r="I1205" i="1"/>
  <c r="H1205" i="1"/>
  <c r="A1205" i="1"/>
  <c r="I1204" i="1"/>
  <c r="H1204" i="1"/>
  <c r="A1204" i="1"/>
  <c r="H1203" i="1"/>
  <c r="A1203" i="1"/>
  <c r="I1203" i="1" s="1"/>
  <c r="H1202" i="1"/>
  <c r="A1202" i="1"/>
  <c r="I1202" i="1" s="1"/>
  <c r="H1201" i="1"/>
  <c r="A1201" i="1"/>
  <c r="I1201" i="1" s="1"/>
  <c r="H1200" i="1"/>
  <c r="I1200" i="1" s="1"/>
  <c r="A1200" i="1"/>
  <c r="H1199" i="1"/>
  <c r="I1199" i="1" s="1"/>
  <c r="A1199" i="1"/>
  <c r="H1198" i="1"/>
  <c r="I1198" i="1" s="1"/>
  <c r="A1198" i="1"/>
  <c r="I1197" i="1"/>
  <c r="H1197" i="1"/>
  <c r="A1197" i="1"/>
  <c r="I1196" i="1"/>
  <c r="H1196" i="1"/>
  <c r="A1196" i="1"/>
  <c r="H1195" i="1"/>
  <c r="A1195" i="1"/>
  <c r="I1195" i="1" s="1"/>
  <c r="H1194" i="1"/>
  <c r="A1194" i="1"/>
  <c r="H1193" i="1"/>
  <c r="A1193" i="1"/>
  <c r="I1193" i="1" s="1"/>
  <c r="H1192" i="1"/>
  <c r="I1192" i="1" s="1"/>
  <c r="A1192" i="1"/>
  <c r="I1191" i="1"/>
  <c r="H1191" i="1"/>
  <c r="A1191" i="1"/>
  <c r="H1190" i="1"/>
  <c r="I1190" i="1" s="1"/>
  <c r="A1190" i="1"/>
  <c r="I1189" i="1"/>
  <c r="H1189" i="1"/>
  <c r="A1189" i="1"/>
  <c r="I1188" i="1"/>
  <c r="H1188" i="1"/>
  <c r="A1188" i="1"/>
  <c r="H1187" i="1"/>
  <c r="A1187" i="1"/>
  <c r="I1187" i="1" s="1"/>
  <c r="H1186" i="1"/>
  <c r="A1186" i="1"/>
  <c r="I1186" i="1" s="1"/>
  <c r="H1185" i="1"/>
  <c r="A1185" i="1"/>
  <c r="I1185" i="1" s="1"/>
  <c r="H1184" i="1"/>
  <c r="I1184" i="1" s="1"/>
  <c r="A1184" i="1"/>
  <c r="H1183" i="1"/>
  <c r="I1183" i="1" s="1"/>
  <c r="A1183" i="1"/>
  <c r="H1182" i="1"/>
  <c r="I1182" i="1" s="1"/>
  <c r="A1182" i="1"/>
  <c r="I1181" i="1"/>
  <c r="H1181" i="1"/>
  <c r="A1181" i="1"/>
  <c r="I1180" i="1"/>
  <c r="H1180" i="1"/>
  <c r="A1180" i="1"/>
  <c r="H1179" i="1"/>
  <c r="A1179" i="1"/>
  <c r="I1179" i="1" s="1"/>
  <c r="H1178" i="1"/>
  <c r="A1178" i="1"/>
  <c r="H1177" i="1"/>
  <c r="A1177" i="1"/>
  <c r="I1177" i="1" s="1"/>
  <c r="H1176" i="1"/>
  <c r="I1176" i="1" s="1"/>
  <c r="A1176" i="1"/>
  <c r="I1175" i="1"/>
  <c r="H1175" i="1"/>
  <c r="A1175" i="1"/>
  <c r="H1174" i="1"/>
  <c r="I1174" i="1" s="1"/>
  <c r="A1174" i="1"/>
  <c r="I1173" i="1"/>
  <c r="H1173" i="1"/>
  <c r="A1173" i="1"/>
  <c r="I1172" i="1"/>
  <c r="H1172" i="1"/>
  <c r="A1172" i="1"/>
  <c r="H1171" i="1"/>
  <c r="A1171" i="1"/>
  <c r="I1171" i="1" s="1"/>
  <c r="H1170" i="1"/>
  <c r="A1170" i="1"/>
  <c r="I1170" i="1" s="1"/>
  <c r="H1169" i="1"/>
  <c r="A1169" i="1"/>
  <c r="I1169" i="1" s="1"/>
  <c r="H1168" i="1"/>
  <c r="I1168" i="1" s="1"/>
  <c r="A1168" i="1"/>
  <c r="H1167" i="1"/>
  <c r="I1167" i="1" s="1"/>
  <c r="A1167" i="1"/>
  <c r="H1166" i="1"/>
  <c r="I1166" i="1" s="1"/>
  <c r="A1166" i="1"/>
  <c r="I1165" i="1"/>
  <c r="H1165" i="1"/>
  <c r="A1165" i="1"/>
  <c r="I1164" i="1"/>
  <c r="H1164" i="1"/>
  <c r="A1164" i="1"/>
  <c r="H1163" i="1"/>
  <c r="A1163" i="1"/>
  <c r="I1163" i="1" s="1"/>
  <c r="H1162" i="1"/>
  <c r="A1162" i="1"/>
  <c r="H1161" i="1"/>
  <c r="A1161" i="1"/>
  <c r="I1161" i="1" s="1"/>
  <c r="H1160" i="1"/>
  <c r="I1160" i="1" s="1"/>
  <c r="A1160" i="1"/>
  <c r="I1159" i="1"/>
  <c r="H1159" i="1"/>
  <c r="A1159" i="1"/>
  <c r="H1158" i="1"/>
  <c r="I1158" i="1" s="1"/>
  <c r="A1158" i="1"/>
  <c r="I1157" i="1"/>
  <c r="H1157" i="1"/>
  <c r="A1157" i="1"/>
  <c r="I1156" i="1"/>
  <c r="H1156" i="1"/>
  <c r="A1156" i="1"/>
  <c r="H1155" i="1"/>
  <c r="A1155" i="1"/>
  <c r="I1155" i="1" s="1"/>
  <c r="H1154" i="1"/>
  <c r="A1154" i="1"/>
  <c r="I1154" i="1" s="1"/>
  <c r="H1153" i="1"/>
  <c r="A1153" i="1"/>
  <c r="I1153" i="1" s="1"/>
  <c r="H1152" i="1"/>
  <c r="I1152" i="1" s="1"/>
  <c r="A1152" i="1"/>
  <c r="H1151" i="1"/>
  <c r="I1151" i="1" s="1"/>
  <c r="A1151" i="1"/>
  <c r="H1150" i="1"/>
  <c r="I1150" i="1" s="1"/>
  <c r="A1150" i="1"/>
  <c r="I1149" i="1"/>
  <c r="H1149" i="1"/>
  <c r="A1149" i="1"/>
  <c r="I1148" i="1"/>
  <c r="H1148" i="1"/>
  <c r="A1148" i="1"/>
  <c r="H1147" i="1"/>
  <c r="A1147" i="1"/>
  <c r="I1147" i="1" s="1"/>
  <c r="H1146" i="1"/>
  <c r="A1146" i="1"/>
  <c r="H1145" i="1"/>
  <c r="A1145" i="1"/>
  <c r="I1145" i="1" s="1"/>
  <c r="H1144" i="1"/>
  <c r="I1144" i="1" s="1"/>
  <c r="A1144" i="1"/>
  <c r="I1143" i="1"/>
  <c r="H1143" i="1"/>
  <c r="A1143" i="1"/>
  <c r="H1142" i="1"/>
  <c r="I1142" i="1" s="1"/>
  <c r="A1142" i="1"/>
  <c r="I1141" i="1"/>
  <c r="H1141" i="1"/>
  <c r="A1141" i="1"/>
  <c r="I1140" i="1"/>
  <c r="H1140" i="1"/>
  <c r="A1140" i="1"/>
  <c r="H1139" i="1"/>
  <c r="A1139" i="1"/>
  <c r="I1139" i="1" s="1"/>
  <c r="H1138" i="1"/>
  <c r="A1138" i="1"/>
  <c r="I1138" i="1" s="1"/>
  <c r="H1137" i="1"/>
  <c r="A1137" i="1"/>
  <c r="I1137" i="1" s="1"/>
  <c r="H1136" i="1"/>
  <c r="I1136" i="1" s="1"/>
  <c r="A1136" i="1"/>
  <c r="H1135" i="1"/>
  <c r="I1135" i="1" s="1"/>
  <c r="A1135" i="1"/>
  <c r="H1134" i="1"/>
  <c r="I1134" i="1" s="1"/>
  <c r="A1134" i="1"/>
  <c r="I1133" i="1"/>
  <c r="H1133" i="1"/>
  <c r="A1133" i="1"/>
  <c r="I1132" i="1"/>
  <c r="H1132" i="1"/>
  <c r="A1132" i="1"/>
  <c r="H1131" i="1"/>
  <c r="A1131" i="1"/>
  <c r="I1131" i="1" s="1"/>
  <c r="H1130" i="1"/>
  <c r="A1130" i="1"/>
  <c r="H1129" i="1"/>
  <c r="A1129" i="1"/>
  <c r="I1129" i="1" s="1"/>
  <c r="H1128" i="1"/>
  <c r="I1128" i="1" s="1"/>
  <c r="A1128" i="1"/>
  <c r="I1127" i="1"/>
  <c r="H1127" i="1"/>
  <c r="A1127" i="1"/>
  <c r="H1126" i="1"/>
  <c r="I1126" i="1" s="1"/>
  <c r="A1126" i="1"/>
  <c r="I1125" i="1"/>
  <c r="H1125" i="1"/>
  <c r="A1125" i="1"/>
  <c r="I1124" i="1"/>
  <c r="H1124" i="1"/>
  <c r="A1124" i="1"/>
  <c r="H1123" i="1"/>
  <c r="A1123" i="1"/>
  <c r="I1123" i="1" s="1"/>
  <c r="H1122" i="1"/>
  <c r="A1122" i="1"/>
  <c r="I1122" i="1" s="1"/>
  <c r="H1121" i="1"/>
  <c r="A1121" i="1"/>
  <c r="I1121" i="1" s="1"/>
  <c r="H1120" i="1"/>
  <c r="I1120" i="1" s="1"/>
  <c r="A1120" i="1"/>
  <c r="H1119" i="1"/>
  <c r="I1119" i="1" s="1"/>
  <c r="A1119" i="1"/>
  <c r="H1118" i="1"/>
  <c r="I1118" i="1" s="1"/>
  <c r="A1118" i="1"/>
  <c r="I1117" i="1"/>
  <c r="H1117" i="1"/>
  <c r="A1117" i="1"/>
  <c r="I1116" i="1"/>
  <c r="H1116" i="1"/>
  <c r="A1116" i="1"/>
  <c r="H1115" i="1"/>
  <c r="A1115" i="1"/>
  <c r="I1115" i="1" s="1"/>
  <c r="H1114" i="1"/>
  <c r="A1114" i="1"/>
  <c r="H1113" i="1"/>
  <c r="A1113" i="1"/>
  <c r="I1113" i="1" s="1"/>
  <c r="H1112" i="1"/>
  <c r="A1112" i="1"/>
  <c r="I1112" i="1" s="1"/>
  <c r="I1111" i="1"/>
  <c r="H1111" i="1"/>
  <c r="A1111" i="1"/>
  <c r="H1110" i="1"/>
  <c r="I1110" i="1" s="1"/>
  <c r="A1110" i="1"/>
  <c r="I1109" i="1"/>
  <c r="H1109" i="1"/>
  <c r="A1109" i="1"/>
  <c r="I1108" i="1"/>
  <c r="H1108" i="1"/>
  <c r="A1108" i="1"/>
  <c r="H1107" i="1"/>
  <c r="A1107" i="1"/>
  <c r="I1107" i="1" s="1"/>
  <c r="H1106" i="1"/>
  <c r="A1106" i="1"/>
  <c r="I1106" i="1" s="1"/>
  <c r="H1105" i="1"/>
  <c r="A1105" i="1"/>
  <c r="I1105" i="1" s="1"/>
  <c r="H1104" i="1"/>
  <c r="A1104" i="1"/>
  <c r="H1103" i="1"/>
  <c r="I1103" i="1" s="1"/>
  <c r="A1103" i="1"/>
  <c r="H1102" i="1"/>
  <c r="I1102" i="1" s="1"/>
  <c r="A1102" i="1"/>
  <c r="I1101" i="1"/>
  <c r="H1101" i="1"/>
  <c r="A1101" i="1"/>
  <c r="I1100" i="1"/>
  <c r="H1100" i="1"/>
  <c r="A1100" i="1"/>
  <c r="H1099" i="1"/>
  <c r="A1099" i="1"/>
  <c r="I1099" i="1" s="1"/>
  <c r="H1098" i="1"/>
  <c r="A1098" i="1"/>
  <c r="H1097" i="1"/>
  <c r="A1097" i="1"/>
  <c r="I1097" i="1" s="1"/>
  <c r="H1096" i="1"/>
  <c r="A1096" i="1"/>
  <c r="I1096" i="1" s="1"/>
  <c r="I1095" i="1"/>
  <c r="H1095" i="1"/>
  <c r="A1095" i="1"/>
  <c r="H1094" i="1"/>
  <c r="I1094" i="1" s="1"/>
  <c r="A1094" i="1"/>
  <c r="I1093" i="1"/>
  <c r="H1093" i="1"/>
  <c r="A1093" i="1"/>
  <c r="I1092" i="1"/>
  <c r="H1092" i="1"/>
  <c r="A1092" i="1"/>
  <c r="H1091" i="1"/>
  <c r="A1091" i="1"/>
  <c r="I1091" i="1" s="1"/>
  <c r="H1090" i="1"/>
  <c r="A1090" i="1"/>
  <c r="I1090" i="1" s="1"/>
  <c r="H1089" i="1"/>
  <c r="A1089" i="1"/>
  <c r="I1089" i="1" s="1"/>
  <c r="H1088" i="1"/>
  <c r="A1088" i="1"/>
  <c r="H1087" i="1"/>
  <c r="I1087" i="1" s="1"/>
  <c r="A1087" i="1"/>
  <c r="H1086" i="1"/>
  <c r="I1086" i="1" s="1"/>
  <c r="A1086" i="1"/>
  <c r="I1085" i="1"/>
  <c r="H1085" i="1"/>
  <c r="A1085" i="1"/>
  <c r="I1084" i="1"/>
  <c r="H1084" i="1"/>
  <c r="A1084" i="1"/>
  <c r="H1083" i="1"/>
  <c r="A1083" i="1"/>
  <c r="I1083" i="1" s="1"/>
  <c r="H1082" i="1"/>
  <c r="A1082" i="1"/>
  <c r="H1081" i="1"/>
  <c r="A1081" i="1"/>
  <c r="I1081" i="1" s="1"/>
  <c r="H1080" i="1"/>
  <c r="A1080" i="1"/>
  <c r="I1080" i="1" s="1"/>
  <c r="I1079" i="1"/>
  <c r="H1079" i="1"/>
  <c r="A1079" i="1"/>
  <c r="H1078" i="1"/>
  <c r="I1078" i="1" s="1"/>
  <c r="A1078" i="1"/>
  <c r="I1077" i="1"/>
  <c r="H1077" i="1"/>
  <c r="A1077" i="1"/>
  <c r="I1076" i="1"/>
  <c r="H1076" i="1"/>
  <c r="A1076" i="1"/>
  <c r="H1075" i="1"/>
  <c r="A1075" i="1"/>
  <c r="I1075" i="1" s="1"/>
  <c r="H1074" i="1"/>
  <c r="A1074" i="1"/>
  <c r="I1074" i="1" s="1"/>
  <c r="H1073" i="1"/>
  <c r="A1073" i="1"/>
  <c r="I1073" i="1" s="1"/>
  <c r="H1072" i="1"/>
  <c r="A1072" i="1"/>
  <c r="H1071" i="1"/>
  <c r="I1071" i="1" s="1"/>
  <c r="A1071" i="1"/>
  <c r="H1070" i="1"/>
  <c r="I1070" i="1" s="1"/>
  <c r="A1070" i="1"/>
  <c r="I1069" i="1"/>
  <c r="H1069" i="1"/>
  <c r="A1069" i="1"/>
  <c r="I1068" i="1"/>
  <c r="H1068" i="1"/>
  <c r="A1068" i="1"/>
  <c r="H1067" i="1"/>
  <c r="A1067" i="1"/>
  <c r="I1067" i="1" s="1"/>
  <c r="H1066" i="1"/>
  <c r="A1066" i="1"/>
  <c r="H1065" i="1"/>
  <c r="A1065" i="1"/>
  <c r="I1065" i="1" s="1"/>
  <c r="H1064" i="1"/>
  <c r="A1064" i="1"/>
  <c r="I1064" i="1" s="1"/>
  <c r="I1063" i="1"/>
  <c r="H1063" i="1"/>
  <c r="A1063" i="1"/>
  <c r="H1062" i="1"/>
  <c r="I1062" i="1" s="1"/>
  <c r="A1062" i="1"/>
  <c r="I1061" i="1"/>
  <c r="H1061" i="1"/>
  <c r="A1061" i="1"/>
  <c r="I1060" i="1"/>
  <c r="H1060" i="1"/>
  <c r="A1060" i="1"/>
  <c r="H1059" i="1"/>
  <c r="A1059" i="1"/>
  <c r="I1059" i="1" s="1"/>
  <c r="H1058" i="1"/>
  <c r="A1058" i="1"/>
  <c r="I1058" i="1" s="1"/>
  <c r="H1057" i="1"/>
  <c r="A1057" i="1"/>
  <c r="I1057" i="1" s="1"/>
  <c r="H1056" i="1"/>
  <c r="A1056" i="1"/>
  <c r="H1055" i="1"/>
  <c r="I1055" i="1" s="1"/>
  <c r="A1055" i="1"/>
  <c r="H1054" i="1"/>
  <c r="I1054" i="1" s="1"/>
  <c r="A1054" i="1"/>
  <c r="I1053" i="1"/>
  <c r="H1053" i="1"/>
  <c r="A1053" i="1"/>
  <c r="I1052" i="1"/>
  <c r="H1052" i="1"/>
  <c r="A1052" i="1"/>
  <c r="H1051" i="1"/>
  <c r="A1051" i="1"/>
  <c r="I1051" i="1" s="1"/>
  <c r="H1050" i="1"/>
  <c r="A1050" i="1"/>
  <c r="H1049" i="1"/>
  <c r="A1049" i="1"/>
  <c r="I1049" i="1" s="1"/>
  <c r="H1048" i="1"/>
  <c r="A1048" i="1"/>
  <c r="I1048" i="1" s="1"/>
  <c r="I1047" i="1"/>
  <c r="H1047" i="1"/>
  <c r="A1047" i="1"/>
  <c r="H1046" i="1"/>
  <c r="I1046" i="1" s="1"/>
  <c r="A1046" i="1"/>
  <c r="I1045" i="1"/>
  <c r="H1045" i="1"/>
  <c r="A1045" i="1"/>
  <c r="I1044" i="1"/>
  <c r="H1044" i="1"/>
  <c r="A1044" i="1"/>
  <c r="H1043" i="1"/>
  <c r="A1043" i="1"/>
  <c r="I1043" i="1" s="1"/>
  <c r="H1042" i="1"/>
  <c r="A1042" i="1"/>
  <c r="I1042" i="1" s="1"/>
  <c r="H1041" i="1"/>
  <c r="A1041" i="1"/>
  <c r="I1041" i="1" s="1"/>
  <c r="H1040" i="1"/>
  <c r="A1040" i="1"/>
  <c r="H1039" i="1"/>
  <c r="I1039" i="1" s="1"/>
  <c r="A1039" i="1"/>
  <c r="H1038" i="1"/>
  <c r="I1038" i="1" s="1"/>
  <c r="A1038" i="1"/>
  <c r="I1037" i="1"/>
  <c r="H1037" i="1"/>
  <c r="A1037" i="1"/>
  <c r="I1036" i="1"/>
  <c r="H1036" i="1"/>
  <c r="A1036" i="1"/>
  <c r="H1035" i="1"/>
  <c r="A1035" i="1"/>
  <c r="I1035" i="1" s="1"/>
  <c r="H1034" i="1"/>
  <c r="A1034" i="1"/>
  <c r="H1033" i="1"/>
  <c r="A1033" i="1"/>
  <c r="I1033" i="1" s="1"/>
  <c r="H1032" i="1"/>
  <c r="A1032" i="1"/>
  <c r="I1032" i="1" s="1"/>
  <c r="I1031" i="1"/>
  <c r="H1031" i="1"/>
  <c r="A1031" i="1"/>
  <c r="H1030" i="1"/>
  <c r="I1030" i="1" s="1"/>
  <c r="A1030" i="1"/>
  <c r="I1029" i="1"/>
  <c r="H1029" i="1"/>
  <c r="A1029" i="1"/>
  <c r="I1028" i="1"/>
  <c r="H1028" i="1"/>
  <c r="A1028" i="1"/>
  <c r="H1027" i="1"/>
  <c r="A1027" i="1"/>
  <c r="I1027" i="1" s="1"/>
  <c r="H1026" i="1"/>
  <c r="A1026" i="1"/>
  <c r="I1026" i="1" s="1"/>
  <c r="H1025" i="1"/>
  <c r="A1025" i="1"/>
  <c r="I1025" i="1" s="1"/>
  <c r="H1024" i="1"/>
  <c r="A1024" i="1"/>
  <c r="H1023" i="1"/>
  <c r="I1023" i="1" s="1"/>
  <c r="A1023" i="1"/>
  <c r="H1022" i="1"/>
  <c r="I1022" i="1" s="1"/>
  <c r="A1022" i="1"/>
  <c r="I1021" i="1"/>
  <c r="H1021" i="1"/>
  <c r="A1021" i="1"/>
  <c r="I1020" i="1"/>
  <c r="H1020" i="1"/>
  <c r="A1020" i="1"/>
  <c r="H1019" i="1"/>
  <c r="A1019" i="1"/>
  <c r="I1019" i="1" s="1"/>
  <c r="H1018" i="1"/>
  <c r="A1018" i="1"/>
  <c r="H1017" i="1"/>
  <c r="A1017" i="1"/>
  <c r="I1017" i="1" s="1"/>
  <c r="H1016" i="1"/>
  <c r="A1016" i="1"/>
  <c r="I1016" i="1" s="1"/>
  <c r="I1015" i="1"/>
  <c r="H1015" i="1"/>
  <c r="A1015" i="1"/>
  <c r="H1014" i="1"/>
  <c r="I1014" i="1" s="1"/>
  <c r="A1014" i="1"/>
  <c r="I1013" i="1"/>
  <c r="H1013" i="1"/>
  <c r="A1013" i="1"/>
  <c r="I1012" i="1"/>
  <c r="H1012" i="1"/>
  <c r="A1012" i="1"/>
  <c r="H1011" i="1"/>
  <c r="A1011" i="1"/>
  <c r="I1011" i="1" s="1"/>
  <c r="H1010" i="1"/>
  <c r="A1010" i="1"/>
  <c r="I1010" i="1" s="1"/>
  <c r="H1009" i="1"/>
  <c r="A1009" i="1"/>
  <c r="I1009" i="1" s="1"/>
  <c r="H1008" i="1"/>
  <c r="A1008" i="1"/>
  <c r="H1007" i="1"/>
  <c r="I1007" i="1" s="1"/>
  <c r="A1007" i="1"/>
  <c r="H1006" i="1"/>
  <c r="I1006" i="1" s="1"/>
  <c r="A1006" i="1"/>
  <c r="I1005" i="1"/>
  <c r="H1005" i="1"/>
  <c r="A1005" i="1"/>
  <c r="I1004" i="1"/>
  <c r="H1004" i="1"/>
  <c r="A1004" i="1"/>
  <c r="H1003" i="1"/>
  <c r="A1003" i="1"/>
  <c r="I1003" i="1" s="1"/>
  <c r="H1002" i="1"/>
  <c r="A1002" i="1"/>
  <c r="H1001" i="1"/>
  <c r="A1001" i="1"/>
  <c r="I1001" i="1" s="1"/>
  <c r="H1000" i="1"/>
  <c r="A1000" i="1"/>
  <c r="I1000" i="1" s="1"/>
  <c r="I999" i="1"/>
  <c r="H999" i="1"/>
  <c r="A999" i="1"/>
  <c r="H998" i="1"/>
  <c r="I998" i="1" s="1"/>
  <c r="A998" i="1"/>
  <c r="I997" i="1"/>
  <c r="H997" i="1"/>
  <c r="A997" i="1"/>
  <c r="I996" i="1"/>
  <c r="H996" i="1"/>
  <c r="A996" i="1"/>
  <c r="H995" i="1"/>
  <c r="A995" i="1"/>
  <c r="I995" i="1" s="1"/>
  <c r="H994" i="1"/>
  <c r="A994" i="1"/>
  <c r="I994" i="1" s="1"/>
  <c r="H993" i="1"/>
  <c r="A993" i="1"/>
  <c r="I993" i="1" s="1"/>
  <c r="H992" i="1"/>
  <c r="A992" i="1"/>
  <c r="H991" i="1"/>
  <c r="I991" i="1" s="1"/>
  <c r="A991" i="1"/>
  <c r="H990" i="1"/>
  <c r="I990" i="1" s="1"/>
  <c r="A990" i="1"/>
  <c r="I989" i="1"/>
  <c r="H989" i="1"/>
  <c r="A989" i="1"/>
  <c r="I988" i="1"/>
  <c r="H988" i="1"/>
  <c r="A988" i="1"/>
  <c r="H987" i="1"/>
  <c r="A987" i="1"/>
  <c r="I987" i="1" s="1"/>
  <c r="H986" i="1"/>
  <c r="A986" i="1"/>
  <c r="H985" i="1"/>
  <c r="A985" i="1"/>
  <c r="I985" i="1" s="1"/>
  <c r="H984" i="1"/>
  <c r="A984" i="1"/>
  <c r="I984" i="1" s="1"/>
  <c r="I983" i="1"/>
  <c r="H983" i="1"/>
  <c r="A983" i="1"/>
  <c r="H982" i="1"/>
  <c r="I982" i="1" s="1"/>
  <c r="A982" i="1"/>
  <c r="I981" i="1"/>
  <c r="H981" i="1"/>
  <c r="A981" i="1"/>
  <c r="I980" i="1"/>
  <c r="H980" i="1"/>
  <c r="A980" i="1"/>
  <c r="H979" i="1"/>
  <c r="A979" i="1"/>
  <c r="I979" i="1" s="1"/>
  <c r="H978" i="1"/>
  <c r="A978" i="1"/>
  <c r="I978" i="1" s="1"/>
  <c r="H977" i="1"/>
  <c r="A977" i="1"/>
  <c r="I977" i="1" s="1"/>
  <c r="H976" i="1"/>
  <c r="A976" i="1"/>
  <c r="H975" i="1"/>
  <c r="I975" i="1" s="1"/>
  <c r="A975" i="1"/>
  <c r="H974" i="1"/>
  <c r="I974" i="1" s="1"/>
  <c r="A974" i="1"/>
  <c r="I973" i="1"/>
  <c r="H973" i="1"/>
  <c r="A973" i="1"/>
  <c r="I972" i="1"/>
  <c r="H972" i="1"/>
  <c r="A972" i="1"/>
  <c r="H971" i="1"/>
  <c r="A971" i="1"/>
  <c r="I971" i="1" s="1"/>
  <c r="H970" i="1"/>
  <c r="A970" i="1"/>
  <c r="H969" i="1"/>
  <c r="A969" i="1"/>
  <c r="I969" i="1" s="1"/>
  <c r="H968" i="1"/>
  <c r="A968" i="1"/>
  <c r="I968" i="1" s="1"/>
  <c r="I967" i="1"/>
  <c r="H967" i="1"/>
  <c r="A967" i="1"/>
  <c r="H966" i="1"/>
  <c r="I966" i="1" s="1"/>
  <c r="A966" i="1"/>
  <c r="I965" i="1"/>
  <c r="H965" i="1"/>
  <c r="A965" i="1"/>
  <c r="I964" i="1"/>
  <c r="H964" i="1"/>
  <c r="A964" i="1"/>
  <c r="H963" i="1"/>
  <c r="A963" i="1"/>
  <c r="I963" i="1" s="1"/>
  <c r="H962" i="1"/>
  <c r="A962" i="1"/>
  <c r="I962" i="1" s="1"/>
  <c r="H961" i="1"/>
  <c r="A961" i="1"/>
  <c r="I961" i="1" s="1"/>
  <c r="H960" i="1"/>
  <c r="A960" i="1"/>
  <c r="H959" i="1"/>
  <c r="I959" i="1" s="1"/>
  <c r="A959" i="1"/>
  <c r="H958" i="1"/>
  <c r="I958" i="1" s="1"/>
  <c r="A958" i="1"/>
  <c r="I957" i="1"/>
  <c r="H957" i="1"/>
  <c r="A957" i="1"/>
  <c r="I956" i="1"/>
  <c r="H956" i="1"/>
  <c r="A956" i="1"/>
  <c r="H955" i="1"/>
  <c r="A955" i="1"/>
  <c r="I955" i="1" s="1"/>
  <c r="H954" i="1"/>
  <c r="A954" i="1"/>
  <c r="H953" i="1"/>
  <c r="A953" i="1"/>
  <c r="I953" i="1" s="1"/>
  <c r="H952" i="1"/>
  <c r="A952" i="1"/>
  <c r="I952" i="1" s="1"/>
  <c r="I951" i="1"/>
  <c r="H951" i="1"/>
  <c r="A951" i="1"/>
  <c r="H950" i="1"/>
  <c r="I950" i="1" s="1"/>
  <c r="A950" i="1"/>
  <c r="I949" i="1"/>
  <c r="H949" i="1"/>
  <c r="A949" i="1"/>
  <c r="I948" i="1"/>
  <c r="H948" i="1"/>
  <c r="A948" i="1"/>
  <c r="H947" i="1"/>
  <c r="A947" i="1"/>
  <c r="I947" i="1" s="1"/>
  <c r="H946" i="1"/>
  <c r="A946" i="1"/>
  <c r="I946" i="1" s="1"/>
  <c r="H945" i="1"/>
  <c r="A945" i="1"/>
  <c r="I945" i="1" s="1"/>
  <c r="H944" i="1"/>
  <c r="A944" i="1"/>
  <c r="H943" i="1"/>
  <c r="I943" i="1" s="1"/>
  <c r="A943" i="1"/>
  <c r="H942" i="1"/>
  <c r="I942" i="1" s="1"/>
  <c r="A942" i="1"/>
  <c r="I941" i="1"/>
  <c r="H941" i="1"/>
  <c r="A941" i="1"/>
  <c r="I940" i="1"/>
  <c r="H940" i="1"/>
  <c r="A940" i="1"/>
  <c r="H939" i="1"/>
  <c r="A939" i="1"/>
  <c r="I939" i="1" s="1"/>
  <c r="H938" i="1"/>
  <c r="A938" i="1"/>
  <c r="H937" i="1"/>
  <c r="A937" i="1"/>
  <c r="I937" i="1" s="1"/>
  <c r="H936" i="1"/>
  <c r="A936" i="1"/>
  <c r="I936" i="1" s="1"/>
  <c r="I935" i="1"/>
  <c r="H935" i="1"/>
  <c r="A935" i="1"/>
  <c r="H934" i="1"/>
  <c r="I934" i="1" s="1"/>
  <c r="A934" i="1"/>
  <c r="I933" i="1"/>
  <c r="H933" i="1"/>
  <c r="A933" i="1"/>
  <c r="I932" i="1"/>
  <c r="H932" i="1"/>
  <c r="A932" i="1"/>
  <c r="H931" i="1"/>
  <c r="A931" i="1"/>
  <c r="I931" i="1" s="1"/>
  <c r="H930" i="1"/>
  <c r="A930" i="1"/>
  <c r="I930" i="1" s="1"/>
  <c r="H929" i="1"/>
  <c r="A929" i="1"/>
  <c r="I929" i="1" s="1"/>
  <c r="H928" i="1"/>
  <c r="A928" i="1"/>
  <c r="H927" i="1"/>
  <c r="I927" i="1" s="1"/>
  <c r="A927" i="1"/>
  <c r="H926" i="1"/>
  <c r="I926" i="1" s="1"/>
  <c r="A926" i="1"/>
  <c r="I925" i="1"/>
  <c r="H925" i="1"/>
  <c r="A925" i="1"/>
  <c r="I924" i="1"/>
  <c r="H924" i="1"/>
  <c r="A924" i="1"/>
  <c r="I923" i="1"/>
  <c r="H923" i="1"/>
  <c r="A923" i="1"/>
  <c r="H922" i="1"/>
  <c r="A922" i="1"/>
  <c r="H921" i="1"/>
  <c r="A921" i="1"/>
  <c r="I921" i="1" s="1"/>
  <c r="H920" i="1"/>
  <c r="A920" i="1"/>
  <c r="I920" i="1" s="1"/>
  <c r="I919" i="1"/>
  <c r="H919" i="1"/>
  <c r="A919" i="1"/>
  <c r="H918" i="1"/>
  <c r="I918" i="1" s="1"/>
  <c r="A918" i="1"/>
  <c r="I917" i="1"/>
  <c r="H917" i="1"/>
  <c r="A917" i="1"/>
  <c r="I916" i="1"/>
  <c r="H916" i="1"/>
  <c r="A916" i="1"/>
  <c r="H915" i="1"/>
  <c r="A915" i="1"/>
  <c r="I915" i="1" s="1"/>
  <c r="H914" i="1"/>
  <c r="A914" i="1"/>
  <c r="I914" i="1" s="1"/>
  <c r="H913" i="1"/>
  <c r="A913" i="1"/>
  <c r="I913" i="1" s="1"/>
  <c r="H912" i="1"/>
  <c r="A912" i="1"/>
  <c r="H911" i="1"/>
  <c r="I911" i="1" s="1"/>
  <c r="A911" i="1"/>
  <c r="H910" i="1"/>
  <c r="I910" i="1" s="1"/>
  <c r="A910" i="1"/>
  <c r="I909" i="1"/>
  <c r="H909" i="1"/>
  <c r="A909" i="1"/>
  <c r="I908" i="1"/>
  <c r="H908" i="1"/>
  <c r="A908" i="1"/>
  <c r="I907" i="1"/>
  <c r="H907" i="1"/>
  <c r="A907" i="1"/>
  <c r="H906" i="1"/>
  <c r="A906" i="1"/>
  <c r="H905" i="1"/>
  <c r="A905" i="1"/>
  <c r="I905" i="1" s="1"/>
  <c r="H904" i="1"/>
  <c r="I904" i="1" s="1"/>
  <c r="A904" i="1"/>
  <c r="I903" i="1"/>
  <c r="H903" i="1"/>
  <c r="A903" i="1"/>
  <c r="H902" i="1"/>
  <c r="I902" i="1" s="1"/>
  <c r="A902" i="1"/>
  <c r="I901" i="1"/>
  <c r="H901" i="1"/>
  <c r="A901" i="1"/>
  <c r="I900" i="1"/>
  <c r="H900" i="1"/>
  <c r="A900" i="1"/>
  <c r="H899" i="1"/>
  <c r="A899" i="1"/>
  <c r="I899" i="1" s="1"/>
  <c r="H898" i="1"/>
  <c r="A898" i="1"/>
  <c r="I898" i="1" s="1"/>
  <c r="H897" i="1"/>
  <c r="A897" i="1"/>
  <c r="I897" i="1" s="1"/>
  <c r="H896" i="1"/>
  <c r="I896" i="1" s="1"/>
  <c r="A896" i="1"/>
  <c r="H895" i="1"/>
  <c r="I895" i="1" s="1"/>
  <c r="A895" i="1"/>
  <c r="H894" i="1"/>
  <c r="I894" i="1" s="1"/>
  <c r="A894" i="1"/>
  <c r="I893" i="1"/>
  <c r="H893" i="1"/>
  <c r="A893" i="1"/>
  <c r="I892" i="1"/>
  <c r="H892" i="1"/>
  <c r="A892" i="1"/>
  <c r="I891" i="1"/>
  <c r="H891" i="1"/>
  <c r="A891" i="1"/>
  <c r="H890" i="1"/>
  <c r="A890" i="1"/>
  <c r="H889" i="1"/>
  <c r="A889" i="1"/>
  <c r="I889" i="1" s="1"/>
  <c r="H888" i="1"/>
  <c r="I888" i="1" s="1"/>
  <c r="A888" i="1"/>
  <c r="I887" i="1"/>
  <c r="H887" i="1"/>
  <c r="A887" i="1"/>
  <c r="H886" i="1"/>
  <c r="I886" i="1" s="1"/>
  <c r="A886" i="1"/>
  <c r="I885" i="1"/>
  <c r="H885" i="1"/>
  <c r="A885" i="1"/>
  <c r="I884" i="1"/>
  <c r="H884" i="1"/>
  <c r="A884" i="1"/>
  <c r="H883" i="1"/>
  <c r="A883" i="1"/>
  <c r="I883" i="1" s="1"/>
  <c r="H882" i="1"/>
  <c r="A882" i="1"/>
  <c r="I882" i="1" s="1"/>
  <c r="H881" i="1"/>
  <c r="A881" i="1"/>
  <c r="I881" i="1" s="1"/>
  <c r="H880" i="1"/>
  <c r="I880" i="1" s="1"/>
  <c r="A880" i="1"/>
  <c r="H879" i="1"/>
  <c r="I879" i="1" s="1"/>
  <c r="A879" i="1"/>
  <c r="H878" i="1"/>
  <c r="I878" i="1" s="1"/>
  <c r="A878" i="1"/>
  <c r="I877" i="1"/>
  <c r="H877" i="1"/>
  <c r="A877" i="1"/>
  <c r="I876" i="1"/>
  <c r="H876" i="1"/>
  <c r="A876" i="1"/>
  <c r="I875" i="1"/>
  <c r="H875" i="1"/>
  <c r="A875" i="1"/>
  <c r="H874" i="1"/>
  <c r="A874" i="1"/>
  <c r="H873" i="1"/>
  <c r="A873" i="1"/>
  <c r="I873" i="1" s="1"/>
  <c r="H872" i="1"/>
  <c r="A872" i="1"/>
  <c r="I872" i="1" s="1"/>
  <c r="I871" i="1"/>
  <c r="H871" i="1"/>
  <c r="A871" i="1"/>
  <c r="H870" i="1"/>
  <c r="I870" i="1" s="1"/>
  <c r="A870" i="1"/>
  <c r="I869" i="1"/>
  <c r="H869" i="1"/>
  <c r="A869" i="1"/>
  <c r="I868" i="1"/>
  <c r="H868" i="1"/>
  <c r="A868" i="1"/>
  <c r="H867" i="1"/>
  <c r="A867" i="1"/>
  <c r="I867" i="1" s="1"/>
  <c r="H866" i="1"/>
  <c r="A866" i="1"/>
  <c r="I866" i="1" s="1"/>
  <c r="H865" i="1"/>
  <c r="A865" i="1"/>
  <c r="I865" i="1" s="1"/>
  <c r="H864" i="1"/>
  <c r="A864" i="1"/>
  <c r="H863" i="1"/>
  <c r="I863" i="1" s="1"/>
  <c r="A863" i="1"/>
  <c r="H862" i="1"/>
  <c r="I862" i="1" s="1"/>
  <c r="A862" i="1"/>
  <c r="I861" i="1"/>
  <c r="H861" i="1"/>
  <c r="A861" i="1"/>
  <c r="I860" i="1"/>
  <c r="H860" i="1"/>
  <c r="A860" i="1"/>
  <c r="I859" i="1"/>
  <c r="H859" i="1"/>
  <c r="A859" i="1"/>
  <c r="H858" i="1"/>
  <c r="A858" i="1"/>
  <c r="H857" i="1"/>
  <c r="A857" i="1"/>
  <c r="I857" i="1" s="1"/>
  <c r="H856" i="1"/>
  <c r="A856" i="1"/>
  <c r="I856" i="1" s="1"/>
  <c r="I855" i="1"/>
  <c r="H855" i="1"/>
  <c r="A855" i="1"/>
  <c r="H854" i="1"/>
  <c r="I854" i="1" s="1"/>
  <c r="A854" i="1"/>
  <c r="I853" i="1"/>
  <c r="H853" i="1"/>
  <c r="A853" i="1"/>
  <c r="I852" i="1"/>
  <c r="H852" i="1"/>
  <c r="A852" i="1"/>
  <c r="H851" i="1"/>
  <c r="A851" i="1"/>
  <c r="I851" i="1" s="1"/>
  <c r="H850" i="1"/>
  <c r="A850" i="1"/>
  <c r="I850" i="1" s="1"/>
  <c r="I849" i="1"/>
  <c r="H849" i="1"/>
  <c r="A849" i="1"/>
  <c r="H848" i="1"/>
  <c r="A848" i="1"/>
  <c r="I848" i="1" s="1"/>
  <c r="I847" i="1"/>
  <c r="H847" i="1"/>
  <c r="A847" i="1"/>
  <c r="I846" i="1"/>
  <c r="H846" i="1"/>
  <c r="A846" i="1"/>
  <c r="H845" i="1"/>
  <c r="A845" i="1"/>
  <c r="I845" i="1" s="1"/>
  <c r="H844" i="1"/>
  <c r="A844" i="1"/>
  <c r="I844" i="1" s="1"/>
  <c r="I843" i="1"/>
  <c r="H843" i="1"/>
  <c r="A843" i="1"/>
  <c r="H842" i="1"/>
  <c r="A842" i="1"/>
  <c r="I842" i="1" s="1"/>
  <c r="H841" i="1"/>
  <c r="A841" i="1"/>
  <c r="I841" i="1" s="1"/>
  <c r="H840" i="1"/>
  <c r="A840" i="1"/>
  <c r="I840" i="1" s="1"/>
  <c r="H839" i="1"/>
  <c r="A839" i="1"/>
  <c r="I839" i="1" s="1"/>
  <c r="H838" i="1"/>
  <c r="I838" i="1" s="1"/>
  <c r="A838" i="1"/>
  <c r="I837" i="1"/>
  <c r="H837" i="1"/>
  <c r="A837" i="1"/>
  <c r="H836" i="1"/>
  <c r="I836" i="1" s="1"/>
  <c r="A836" i="1"/>
  <c r="I835" i="1"/>
  <c r="H835" i="1"/>
  <c r="A835" i="1"/>
  <c r="H834" i="1"/>
  <c r="A834" i="1"/>
  <c r="H833" i="1"/>
  <c r="I833" i="1" s="1"/>
  <c r="A833" i="1"/>
  <c r="H832" i="1"/>
  <c r="I832" i="1" s="1"/>
  <c r="A832" i="1"/>
  <c r="H831" i="1"/>
  <c r="I831" i="1" s="1"/>
  <c r="A831" i="1"/>
  <c r="H830" i="1"/>
  <c r="I830" i="1" s="1"/>
  <c r="A830" i="1"/>
  <c r="I829" i="1"/>
  <c r="H829" i="1"/>
  <c r="A829" i="1"/>
  <c r="H828" i="1"/>
  <c r="A828" i="1"/>
  <c r="I828" i="1" s="1"/>
  <c r="I827" i="1"/>
  <c r="H827" i="1"/>
  <c r="A827" i="1"/>
  <c r="H826" i="1"/>
  <c r="A826" i="1"/>
  <c r="H825" i="1"/>
  <c r="A825" i="1"/>
  <c r="I825" i="1" s="1"/>
  <c r="H824" i="1"/>
  <c r="I824" i="1" s="1"/>
  <c r="A824" i="1"/>
  <c r="H823" i="1"/>
  <c r="I823" i="1" s="1"/>
  <c r="A823" i="1"/>
  <c r="I822" i="1"/>
  <c r="H822" i="1"/>
  <c r="A822" i="1"/>
  <c r="I821" i="1"/>
  <c r="H821" i="1"/>
  <c r="A821" i="1"/>
  <c r="I820" i="1"/>
  <c r="H820" i="1"/>
  <c r="A820" i="1"/>
  <c r="H819" i="1"/>
  <c r="A819" i="1"/>
  <c r="I819" i="1" s="1"/>
  <c r="H818" i="1"/>
  <c r="A818" i="1"/>
  <c r="I818" i="1" s="1"/>
  <c r="I817" i="1"/>
  <c r="H817" i="1"/>
  <c r="A817" i="1"/>
  <c r="H816" i="1"/>
  <c r="I816" i="1" s="1"/>
  <c r="A816" i="1"/>
  <c r="I815" i="1"/>
  <c r="H815" i="1"/>
  <c r="A815" i="1"/>
  <c r="I814" i="1"/>
  <c r="H814" i="1"/>
  <c r="A814" i="1"/>
  <c r="H813" i="1"/>
  <c r="A813" i="1"/>
  <c r="I813" i="1" s="1"/>
  <c r="H812" i="1"/>
  <c r="A812" i="1"/>
  <c r="I812" i="1" s="1"/>
  <c r="I811" i="1"/>
  <c r="H811" i="1"/>
  <c r="A811" i="1"/>
  <c r="H810" i="1"/>
  <c r="A810" i="1"/>
  <c r="I810" i="1" s="1"/>
  <c r="H809" i="1"/>
  <c r="A809" i="1"/>
  <c r="I809" i="1" s="1"/>
  <c r="H808" i="1"/>
  <c r="I808" i="1" s="1"/>
  <c r="A808" i="1"/>
  <c r="H807" i="1"/>
  <c r="A807" i="1"/>
  <c r="I807" i="1" s="1"/>
  <c r="H806" i="1"/>
  <c r="I806" i="1" s="1"/>
  <c r="A806" i="1"/>
  <c r="I805" i="1"/>
  <c r="H805" i="1"/>
  <c r="A805" i="1"/>
  <c r="H804" i="1"/>
  <c r="I804" i="1" s="1"/>
  <c r="A804" i="1"/>
  <c r="I803" i="1"/>
  <c r="H803" i="1"/>
  <c r="A803" i="1"/>
  <c r="H802" i="1"/>
  <c r="A802" i="1"/>
  <c r="H801" i="1"/>
  <c r="I801" i="1" s="1"/>
  <c r="A801" i="1"/>
  <c r="H800" i="1"/>
  <c r="I800" i="1" s="1"/>
  <c r="A800" i="1"/>
  <c r="H799" i="1"/>
  <c r="I799" i="1" s="1"/>
  <c r="A799" i="1"/>
  <c r="H798" i="1"/>
  <c r="I798" i="1" s="1"/>
  <c r="A798" i="1"/>
  <c r="I797" i="1"/>
  <c r="H797" i="1"/>
  <c r="A797" i="1"/>
  <c r="H796" i="1"/>
  <c r="A796" i="1"/>
  <c r="I796" i="1" s="1"/>
  <c r="I795" i="1"/>
  <c r="H795" i="1"/>
  <c r="A795" i="1"/>
  <c r="H794" i="1"/>
  <c r="A794" i="1"/>
  <c r="H793" i="1"/>
  <c r="A793" i="1"/>
  <c r="I793" i="1" s="1"/>
  <c r="H792" i="1"/>
  <c r="A792" i="1"/>
  <c r="H791" i="1"/>
  <c r="I791" i="1" s="1"/>
  <c r="A791" i="1"/>
  <c r="I790" i="1"/>
  <c r="H790" i="1"/>
  <c r="A790" i="1"/>
  <c r="I789" i="1"/>
  <c r="H789" i="1"/>
  <c r="A789" i="1"/>
  <c r="I788" i="1"/>
  <c r="H788" i="1"/>
  <c r="A788" i="1"/>
  <c r="H787" i="1"/>
  <c r="A787" i="1"/>
  <c r="I787" i="1" s="1"/>
  <c r="H786" i="1"/>
  <c r="A786" i="1"/>
  <c r="I786" i="1" s="1"/>
  <c r="I785" i="1"/>
  <c r="H785" i="1"/>
  <c r="A785" i="1"/>
  <c r="H784" i="1"/>
  <c r="I784" i="1" s="1"/>
  <c r="A784" i="1"/>
  <c r="I783" i="1"/>
  <c r="H783" i="1"/>
  <c r="A783" i="1"/>
  <c r="I782" i="1"/>
  <c r="H782" i="1"/>
  <c r="A782" i="1"/>
  <c r="H781" i="1"/>
  <c r="A781" i="1"/>
  <c r="I781" i="1" s="1"/>
  <c r="H780" i="1"/>
  <c r="A780" i="1"/>
  <c r="I780" i="1" s="1"/>
  <c r="I779" i="1"/>
  <c r="H779" i="1"/>
  <c r="A779" i="1"/>
  <c r="H778" i="1"/>
  <c r="A778" i="1"/>
  <c r="I778" i="1" s="1"/>
  <c r="H777" i="1"/>
  <c r="A777" i="1"/>
  <c r="I777" i="1" s="1"/>
  <c r="H776" i="1"/>
  <c r="A776" i="1"/>
  <c r="I776" i="1" s="1"/>
  <c r="H775" i="1"/>
  <c r="A775" i="1"/>
  <c r="I775" i="1" s="1"/>
  <c r="H774" i="1"/>
  <c r="I774" i="1" s="1"/>
  <c r="A774" i="1"/>
  <c r="I773" i="1"/>
  <c r="H773" i="1"/>
  <c r="A773" i="1"/>
  <c r="H772" i="1"/>
  <c r="I772" i="1" s="1"/>
  <c r="A772" i="1"/>
  <c r="I771" i="1"/>
  <c r="H771" i="1"/>
  <c r="A771" i="1"/>
  <c r="H770" i="1"/>
  <c r="A770" i="1"/>
  <c r="H769" i="1"/>
  <c r="I769" i="1" s="1"/>
  <c r="A769" i="1"/>
  <c r="H768" i="1"/>
  <c r="A768" i="1"/>
  <c r="I768" i="1" s="1"/>
  <c r="H767" i="1"/>
  <c r="I767" i="1" s="1"/>
  <c r="A767" i="1"/>
  <c r="H766" i="1"/>
  <c r="I766" i="1" s="1"/>
  <c r="A766" i="1"/>
  <c r="I765" i="1"/>
  <c r="H765" i="1"/>
  <c r="A765" i="1"/>
  <c r="H764" i="1"/>
  <c r="A764" i="1"/>
  <c r="I764" i="1" s="1"/>
  <c r="I763" i="1"/>
  <c r="H763" i="1"/>
  <c r="A763" i="1"/>
  <c r="H762" i="1"/>
  <c r="A762" i="1"/>
  <c r="H761" i="1"/>
  <c r="A761" i="1"/>
  <c r="I761" i="1" s="1"/>
  <c r="H760" i="1"/>
  <c r="A760" i="1"/>
  <c r="H759" i="1"/>
  <c r="I759" i="1" s="1"/>
  <c r="A759" i="1"/>
  <c r="I758" i="1"/>
  <c r="H758" i="1"/>
  <c r="A758" i="1"/>
  <c r="I757" i="1"/>
  <c r="H757" i="1"/>
  <c r="A757" i="1"/>
  <c r="I756" i="1"/>
  <c r="H756" i="1"/>
  <c r="A756" i="1"/>
  <c r="H755" i="1"/>
  <c r="A755" i="1"/>
  <c r="I755" i="1" s="1"/>
  <c r="H754" i="1"/>
  <c r="A754" i="1"/>
  <c r="I754" i="1" s="1"/>
  <c r="I753" i="1"/>
  <c r="H753" i="1"/>
  <c r="A753" i="1"/>
  <c r="H752" i="1"/>
  <c r="A752" i="1"/>
  <c r="I752" i="1" s="1"/>
  <c r="I751" i="1"/>
  <c r="H751" i="1"/>
  <c r="A751" i="1"/>
  <c r="I750" i="1"/>
  <c r="H750" i="1"/>
  <c r="A750" i="1"/>
  <c r="H749" i="1"/>
  <c r="A749" i="1"/>
  <c r="I749" i="1" s="1"/>
  <c r="H748" i="1"/>
  <c r="A748" i="1"/>
  <c r="I748" i="1" s="1"/>
  <c r="I747" i="1"/>
  <c r="H747" i="1"/>
  <c r="A747" i="1"/>
  <c r="H746" i="1"/>
  <c r="A746" i="1"/>
  <c r="I746" i="1" s="1"/>
  <c r="H745" i="1"/>
  <c r="A745" i="1"/>
  <c r="I745" i="1" s="1"/>
  <c r="H744" i="1"/>
  <c r="A744" i="1"/>
  <c r="I744" i="1" s="1"/>
  <c r="H743" i="1"/>
  <c r="A743" i="1"/>
  <c r="I743" i="1" s="1"/>
  <c r="H742" i="1"/>
  <c r="I742" i="1" s="1"/>
  <c r="A742" i="1"/>
  <c r="I741" i="1"/>
  <c r="H741" i="1"/>
  <c r="A741" i="1"/>
  <c r="H740" i="1"/>
  <c r="I740" i="1" s="1"/>
  <c r="A740" i="1"/>
  <c r="I739" i="1"/>
  <c r="H739" i="1"/>
  <c r="A739" i="1"/>
  <c r="H738" i="1"/>
  <c r="A738" i="1"/>
  <c r="H737" i="1"/>
  <c r="I737" i="1" s="1"/>
  <c r="A737" i="1"/>
  <c r="H736" i="1"/>
  <c r="A736" i="1"/>
  <c r="I736" i="1" s="1"/>
  <c r="H735" i="1"/>
  <c r="I735" i="1" s="1"/>
  <c r="A735" i="1"/>
  <c r="H734" i="1"/>
  <c r="I734" i="1" s="1"/>
  <c r="A734" i="1"/>
  <c r="I733" i="1"/>
  <c r="H733" i="1"/>
  <c r="A733" i="1"/>
  <c r="H732" i="1"/>
  <c r="A732" i="1"/>
  <c r="I732" i="1" s="1"/>
  <c r="I731" i="1"/>
  <c r="H731" i="1"/>
  <c r="A731" i="1"/>
  <c r="H730" i="1"/>
  <c r="A730" i="1"/>
  <c r="H729" i="1"/>
  <c r="A729" i="1"/>
  <c r="I729" i="1" s="1"/>
  <c r="H728" i="1"/>
  <c r="A728" i="1"/>
  <c r="H727" i="1"/>
  <c r="I727" i="1" s="1"/>
  <c r="A727" i="1"/>
  <c r="I726" i="1"/>
  <c r="H726" i="1"/>
  <c r="A726" i="1"/>
  <c r="I725" i="1"/>
  <c r="H725" i="1"/>
  <c r="A725" i="1"/>
  <c r="I724" i="1"/>
  <c r="H724" i="1"/>
  <c r="A724" i="1"/>
  <c r="H723" i="1"/>
  <c r="A723" i="1"/>
  <c r="I723" i="1" s="1"/>
  <c r="H722" i="1"/>
  <c r="A722" i="1"/>
  <c r="I722" i="1" s="1"/>
  <c r="I721" i="1"/>
  <c r="H721" i="1"/>
  <c r="A721" i="1"/>
  <c r="H720" i="1"/>
  <c r="A720" i="1"/>
  <c r="I720" i="1" s="1"/>
  <c r="I719" i="1"/>
  <c r="H719" i="1"/>
  <c r="A719" i="1"/>
  <c r="I718" i="1"/>
  <c r="H718" i="1"/>
  <c r="A718" i="1"/>
  <c r="H717" i="1"/>
  <c r="A717" i="1"/>
  <c r="I717" i="1" s="1"/>
  <c r="H716" i="1"/>
  <c r="A716" i="1"/>
  <c r="I716" i="1" s="1"/>
  <c r="I715" i="1"/>
  <c r="H715" i="1"/>
  <c r="A715" i="1"/>
  <c r="H714" i="1"/>
  <c r="A714" i="1"/>
  <c r="I714" i="1" s="1"/>
  <c r="H713" i="1"/>
  <c r="A713" i="1"/>
  <c r="I713" i="1" s="1"/>
  <c r="H712" i="1"/>
  <c r="A712" i="1"/>
  <c r="I712" i="1" s="1"/>
  <c r="H711" i="1"/>
  <c r="A711" i="1"/>
  <c r="I711" i="1" s="1"/>
  <c r="H710" i="1"/>
  <c r="I710" i="1" s="1"/>
  <c r="A710" i="1"/>
  <c r="I709" i="1"/>
  <c r="H709" i="1"/>
  <c r="A709" i="1"/>
  <c r="H708" i="1"/>
  <c r="I708" i="1" s="1"/>
  <c r="A708" i="1"/>
  <c r="I707" i="1"/>
  <c r="H707" i="1"/>
  <c r="A707" i="1"/>
  <c r="H706" i="1"/>
  <c r="A706" i="1"/>
  <c r="H705" i="1"/>
  <c r="I705" i="1" s="1"/>
  <c r="A705" i="1"/>
  <c r="H704" i="1"/>
  <c r="A704" i="1"/>
  <c r="I704" i="1" s="1"/>
  <c r="H703" i="1"/>
  <c r="I703" i="1" s="1"/>
  <c r="A703" i="1"/>
  <c r="H702" i="1"/>
  <c r="I702" i="1" s="1"/>
  <c r="A702" i="1"/>
  <c r="I701" i="1"/>
  <c r="H701" i="1"/>
  <c r="A701" i="1"/>
  <c r="H700" i="1"/>
  <c r="A700" i="1"/>
  <c r="I700" i="1" s="1"/>
  <c r="I699" i="1"/>
  <c r="H699" i="1"/>
  <c r="A699" i="1"/>
  <c r="H698" i="1"/>
  <c r="A698" i="1"/>
  <c r="H697" i="1"/>
  <c r="A697" i="1"/>
  <c r="I697" i="1" s="1"/>
  <c r="H696" i="1"/>
  <c r="A696" i="1"/>
  <c r="H695" i="1"/>
  <c r="I695" i="1" s="1"/>
  <c r="A695" i="1"/>
  <c r="I694" i="1"/>
  <c r="H694" i="1"/>
  <c r="A694" i="1"/>
  <c r="I693" i="1"/>
  <c r="H693" i="1"/>
  <c r="A693" i="1"/>
  <c r="I692" i="1"/>
  <c r="H692" i="1"/>
  <c r="A692" i="1"/>
  <c r="H691" i="1"/>
  <c r="A691" i="1"/>
  <c r="I691" i="1" s="1"/>
  <c r="H690" i="1"/>
  <c r="A690" i="1"/>
  <c r="I690" i="1" s="1"/>
  <c r="I689" i="1"/>
  <c r="H689" i="1"/>
  <c r="A689" i="1"/>
  <c r="H688" i="1"/>
  <c r="A688" i="1"/>
  <c r="I688" i="1" s="1"/>
  <c r="I687" i="1"/>
  <c r="H687" i="1"/>
  <c r="A687" i="1"/>
  <c r="I686" i="1"/>
  <c r="H686" i="1"/>
  <c r="A686" i="1"/>
  <c r="H685" i="1"/>
  <c r="A685" i="1"/>
  <c r="I685" i="1" s="1"/>
  <c r="H684" i="1"/>
  <c r="A684" i="1"/>
  <c r="I684" i="1" s="1"/>
  <c r="I683" i="1"/>
  <c r="H683" i="1"/>
  <c r="A683" i="1"/>
  <c r="H682" i="1"/>
  <c r="A682" i="1"/>
  <c r="I682" i="1" s="1"/>
  <c r="H681" i="1"/>
  <c r="A681" i="1"/>
  <c r="I681" i="1" s="1"/>
  <c r="H680" i="1"/>
  <c r="A680" i="1"/>
  <c r="I680" i="1" s="1"/>
  <c r="H679" i="1"/>
  <c r="A679" i="1"/>
  <c r="I679" i="1" s="1"/>
  <c r="H678" i="1"/>
  <c r="I678" i="1" s="1"/>
  <c r="A678" i="1"/>
  <c r="I677" i="1"/>
  <c r="H677" i="1"/>
  <c r="A677" i="1"/>
  <c r="H676" i="1"/>
  <c r="I676" i="1" s="1"/>
  <c r="A676" i="1"/>
  <c r="I675" i="1"/>
  <c r="H675" i="1"/>
  <c r="A675" i="1"/>
  <c r="H674" i="1"/>
  <c r="A674" i="1"/>
  <c r="H673" i="1"/>
  <c r="I673" i="1" s="1"/>
  <c r="A673" i="1"/>
  <c r="H672" i="1"/>
  <c r="A672" i="1"/>
  <c r="I672" i="1" s="1"/>
  <c r="H671" i="1"/>
  <c r="I671" i="1" s="1"/>
  <c r="A671" i="1"/>
  <c r="H670" i="1"/>
  <c r="I670" i="1" s="1"/>
  <c r="A670" i="1"/>
  <c r="I669" i="1"/>
  <c r="H669" i="1"/>
  <c r="A669" i="1"/>
  <c r="H668" i="1"/>
  <c r="A668" i="1"/>
  <c r="I668" i="1" s="1"/>
  <c r="I667" i="1"/>
  <c r="H667" i="1"/>
  <c r="A667" i="1"/>
  <c r="H666" i="1"/>
  <c r="A666" i="1"/>
  <c r="H665" i="1"/>
  <c r="A665" i="1"/>
  <c r="I665" i="1" s="1"/>
  <c r="H664" i="1"/>
  <c r="A664" i="1"/>
  <c r="H663" i="1"/>
  <c r="I663" i="1" s="1"/>
  <c r="A663" i="1"/>
  <c r="I662" i="1"/>
  <c r="H662" i="1"/>
  <c r="A662" i="1"/>
  <c r="I661" i="1"/>
  <c r="H661" i="1"/>
  <c r="A661" i="1"/>
  <c r="I660" i="1"/>
  <c r="H660" i="1"/>
  <c r="A660" i="1"/>
  <c r="H659" i="1"/>
  <c r="A659" i="1"/>
  <c r="I659" i="1" s="1"/>
  <c r="H658" i="1"/>
  <c r="A658" i="1"/>
  <c r="I658" i="1" s="1"/>
  <c r="I657" i="1"/>
  <c r="H657" i="1"/>
  <c r="A657" i="1"/>
  <c r="H656" i="1"/>
  <c r="A656" i="1"/>
  <c r="I656" i="1" s="1"/>
  <c r="I655" i="1"/>
  <c r="H655" i="1"/>
  <c r="A655" i="1"/>
  <c r="I654" i="1"/>
  <c r="H654" i="1"/>
  <c r="A654" i="1"/>
  <c r="H653" i="1"/>
  <c r="A653" i="1"/>
  <c r="I653" i="1" s="1"/>
  <c r="H652" i="1"/>
  <c r="A652" i="1"/>
  <c r="I652" i="1" s="1"/>
  <c r="I651" i="1"/>
  <c r="H651" i="1"/>
  <c r="A651" i="1"/>
  <c r="H650" i="1"/>
  <c r="A650" i="1"/>
  <c r="I650" i="1" s="1"/>
  <c r="H649" i="1"/>
  <c r="A649" i="1"/>
  <c r="I649" i="1" s="1"/>
  <c r="H648" i="1"/>
  <c r="A648" i="1"/>
  <c r="I648" i="1" s="1"/>
  <c r="H647" i="1"/>
  <c r="A647" i="1"/>
  <c r="I647" i="1" s="1"/>
  <c r="H646" i="1"/>
  <c r="I646" i="1" s="1"/>
  <c r="A646" i="1"/>
  <c r="I645" i="1"/>
  <c r="H645" i="1"/>
  <c r="A645" i="1"/>
  <c r="H644" i="1"/>
  <c r="I644" i="1" s="1"/>
  <c r="A644" i="1"/>
  <c r="I643" i="1"/>
  <c r="H643" i="1"/>
  <c r="A643" i="1"/>
  <c r="H642" i="1"/>
  <c r="A642" i="1"/>
  <c r="H641" i="1"/>
  <c r="I641" i="1" s="1"/>
  <c r="A641" i="1"/>
  <c r="H640" i="1"/>
  <c r="A640" i="1"/>
  <c r="I640" i="1" s="1"/>
  <c r="H639" i="1"/>
  <c r="I639" i="1" s="1"/>
  <c r="A639" i="1"/>
  <c r="H638" i="1"/>
  <c r="I638" i="1" s="1"/>
  <c r="A638" i="1"/>
  <c r="I637" i="1"/>
  <c r="H637" i="1"/>
  <c r="A637" i="1"/>
  <c r="H636" i="1"/>
  <c r="A636" i="1"/>
  <c r="I636" i="1" s="1"/>
  <c r="I635" i="1"/>
  <c r="H635" i="1"/>
  <c r="A635" i="1"/>
  <c r="H634" i="1"/>
  <c r="A634" i="1"/>
  <c r="H633" i="1"/>
  <c r="A633" i="1"/>
  <c r="I633" i="1" s="1"/>
  <c r="H632" i="1"/>
  <c r="A632" i="1"/>
  <c r="H631" i="1"/>
  <c r="I631" i="1" s="1"/>
  <c r="A631" i="1"/>
  <c r="I630" i="1"/>
  <c r="H630" i="1"/>
  <c r="A630" i="1"/>
  <c r="I629" i="1"/>
  <c r="H629" i="1"/>
  <c r="A629" i="1"/>
  <c r="I628" i="1"/>
  <c r="H628" i="1"/>
  <c r="A628" i="1"/>
  <c r="H627" i="1"/>
  <c r="A627" i="1"/>
  <c r="I627" i="1" s="1"/>
  <c r="H626" i="1"/>
  <c r="A626" i="1"/>
  <c r="I626" i="1" s="1"/>
  <c r="I625" i="1"/>
  <c r="H625" i="1"/>
  <c r="A625" i="1"/>
  <c r="H624" i="1"/>
  <c r="A624" i="1"/>
  <c r="I624" i="1" s="1"/>
  <c r="I623" i="1"/>
  <c r="H623" i="1"/>
  <c r="A623" i="1"/>
  <c r="I622" i="1"/>
  <c r="H622" i="1"/>
  <c r="A622" i="1"/>
  <c r="H621" i="1"/>
  <c r="A621" i="1"/>
  <c r="I621" i="1" s="1"/>
  <c r="H620" i="1"/>
  <c r="A620" i="1"/>
  <c r="I620" i="1" s="1"/>
  <c r="I619" i="1"/>
  <c r="H619" i="1"/>
  <c r="A619" i="1"/>
  <c r="H618" i="1"/>
  <c r="A618" i="1"/>
  <c r="I618" i="1" s="1"/>
  <c r="H617" i="1"/>
  <c r="A617" i="1"/>
  <c r="I617" i="1" s="1"/>
  <c r="H616" i="1"/>
  <c r="A616" i="1"/>
  <c r="I616" i="1" s="1"/>
  <c r="H615" i="1"/>
  <c r="A615" i="1"/>
  <c r="I615" i="1" s="1"/>
  <c r="H614" i="1"/>
  <c r="I614" i="1" s="1"/>
  <c r="A614" i="1"/>
  <c r="I613" i="1"/>
  <c r="H613" i="1"/>
  <c r="A613" i="1"/>
  <c r="H612" i="1"/>
  <c r="I612" i="1" s="1"/>
  <c r="A612" i="1"/>
  <c r="I611" i="1"/>
  <c r="H611" i="1"/>
  <c r="A611" i="1"/>
  <c r="H610" i="1"/>
  <c r="A610" i="1"/>
  <c r="H609" i="1"/>
  <c r="I609" i="1" s="1"/>
  <c r="A609" i="1"/>
  <c r="H608" i="1"/>
  <c r="A608" i="1"/>
  <c r="I608" i="1" s="1"/>
  <c r="H607" i="1"/>
  <c r="I607" i="1" s="1"/>
  <c r="A607" i="1"/>
  <c r="H606" i="1"/>
  <c r="I606" i="1" s="1"/>
  <c r="A606" i="1"/>
  <c r="I605" i="1"/>
  <c r="H605" i="1"/>
  <c r="A605" i="1"/>
  <c r="H604" i="1"/>
  <c r="A604" i="1"/>
  <c r="I604" i="1" s="1"/>
  <c r="I603" i="1"/>
  <c r="H603" i="1"/>
  <c r="A603" i="1"/>
  <c r="H602" i="1"/>
  <c r="A602" i="1"/>
  <c r="H601" i="1"/>
  <c r="A601" i="1"/>
  <c r="I601" i="1" s="1"/>
  <c r="H600" i="1"/>
  <c r="A600" i="1"/>
  <c r="H599" i="1"/>
  <c r="I599" i="1" s="1"/>
  <c r="A599" i="1"/>
  <c r="H598" i="1"/>
  <c r="A598" i="1"/>
  <c r="I598" i="1" s="1"/>
  <c r="I597" i="1"/>
  <c r="H597" i="1"/>
  <c r="A597" i="1"/>
  <c r="I596" i="1"/>
  <c r="H596" i="1"/>
  <c r="A596" i="1"/>
  <c r="H595" i="1"/>
  <c r="A595" i="1"/>
  <c r="I595" i="1" s="1"/>
  <c r="H594" i="1"/>
  <c r="A594" i="1"/>
  <c r="I594" i="1" s="1"/>
  <c r="H593" i="1"/>
  <c r="I593" i="1" s="1"/>
  <c r="A593" i="1"/>
  <c r="H592" i="1"/>
  <c r="I592" i="1" s="1"/>
  <c r="A592" i="1"/>
  <c r="H591" i="1"/>
  <c r="I591" i="1" s="1"/>
  <c r="A591" i="1"/>
  <c r="H590" i="1"/>
  <c r="A590" i="1"/>
  <c r="I590" i="1" s="1"/>
  <c r="I589" i="1"/>
  <c r="H589" i="1"/>
  <c r="A589" i="1"/>
  <c r="I588" i="1"/>
  <c r="H588" i="1"/>
  <c r="A588" i="1"/>
  <c r="H587" i="1"/>
  <c r="A587" i="1"/>
  <c r="I587" i="1" s="1"/>
  <c r="H586" i="1"/>
  <c r="A586" i="1"/>
  <c r="I586" i="1" s="1"/>
  <c r="H585" i="1"/>
  <c r="I585" i="1" s="1"/>
  <c r="A585" i="1"/>
  <c r="H584" i="1"/>
  <c r="I584" i="1" s="1"/>
  <c r="A584" i="1"/>
  <c r="H583" i="1"/>
  <c r="I583" i="1" s="1"/>
  <c r="A583" i="1"/>
  <c r="H582" i="1"/>
  <c r="A582" i="1"/>
  <c r="I582" i="1" s="1"/>
  <c r="I581" i="1"/>
  <c r="H581" i="1"/>
  <c r="A581" i="1"/>
  <c r="I580" i="1"/>
  <c r="H580" i="1"/>
  <c r="A580" i="1"/>
  <c r="H579" i="1"/>
  <c r="A579" i="1"/>
  <c r="I579" i="1" s="1"/>
  <c r="H578" i="1"/>
  <c r="A578" i="1"/>
  <c r="I578" i="1" s="1"/>
  <c r="H577" i="1"/>
  <c r="I577" i="1" s="1"/>
  <c r="A577" i="1"/>
  <c r="H576" i="1"/>
  <c r="I576" i="1" s="1"/>
  <c r="A576" i="1"/>
  <c r="H575" i="1"/>
  <c r="I575" i="1" s="1"/>
  <c r="A575" i="1"/>
  <c r="H574" i="1"/>
  <c r="A574" i="1"/>
  <c r="I574" i="1" s="1"/>
  <c r="I573" i="1"/>
  <c r="H573" i="1"/>
  <c r="A573" i="1"/>
  <c r="I572" i="1"/>
  <c r="H572" i="1"/>
  <c r="A572" i="1"/>
  <c r="H571" i="1"/>
  <c r="A571" i="1"/>
  <c r="I571" i="1" s="1"/>
  <c r="H570" i="1"/>
  <c r="A570" i="1"/>
  <c r="I570" i="1" s="1"/>
  <c r="H569" i="1"/>
  <c r="I569" i="1" s="1"/>
  <c r="A569" i="1"/>
  <c r="H568" i="1"/>
  <c r="I568" i="1" s="1"/>
  <c r="A568" i="1"/>
  <c r="H567" i="1"/>
  <c r="I567" i="1" s="1"/>
  <c r="A567" i="1"/>
  <c r="H566" i="1"/>
  <c r="A566" i="1"/>
  <c r="I566" i="1" s="1"/>
  <c r="I565" i="1"/>
  <c r="H565" i="1"/>
  <c r="A565" i="1"/>
  <c r="I564" i="1"/>
  <c r="H564" i="1"/>
  <c r="A564" i="1"/>
  <c r="H563" i="1"/>
  <c r="A563" i="1"/>
  <c r="I563" i="1" s="1"/>
  <c r="H562" i="1"/>
  <c r="A562" i="1"/>
  <c r="I562" i="1" s="1"/>
  <c r="H561" i="1"/>
  <c r="I561" i="1" s="1"/>
  <c r="A561" i="1"/>
  <c r="H560" i="1"/>
  <c r="I560" i="1" s="1"/>
  <c r="A560" i="1"/>
  <c r="H559" i="1"/>
  <c r="I559" i="1" s="1"/>
  <c r="A559" i="1"/>
  <c r="H558" i="1"/>
  <c r="A558" i="1"/>
  <c r="I558" i="1" s="1"/>
  <c r="I557" i="1"/>
  <c r="H557" i="1"/>
  <c r="A557" i="1"/>
  <c r="I556" i="1"/>
  <c r="H556" i="1"/>
  <c r="A556" i="1"/>
  <c r="H555" i="1"/>
  <c r="A555" i="1"/>
  <c r="I555" i="1" s="1"/>
  <c r="H554" i="1"/>
  <c r="A554" i="1"/>
  <c r="I554" i="1" s="1"/>
  <c r="H553" i="1"/>
  <c r="I553" i="1" s="1"/>
  <c r="A553" i="1"/>
  <c r="H552" i="1"/>
  <c r="I552" i="1" s="1"/>
  <c r="A552" i="1"/>
  <c r="H551" i="1"/>
  <c r="I551" i="1" s="1"/>
  <c r="A551" i="1"/>
  <c r="H550" i="1"/>
  <c r="A550" i="1"/>
  <c r="I550" i="1" s="1"/>
  <c r="I549" i="1"/>
  <c r="H549" i="1"/>
  <c r="A549" i="1"/>
  <c r="I548" i="1"/>
  <c r="H548" i="1"/>
  <c r="A548" i="1"/>
  <c r="H547" i="1"/>
  <c r="A547" i="1"/>
  <c r="I547" i="1" s="1"/>
  <c r="H546" i="1"/>
  <c r="A546" i="1"/>
  <c r="I546" i="1" s="1"/>
  <c r="H545" i="1"/>
  <c r="I545" i="1" s="1"/>
  <c r="A545" i="1"/>
  <c r="H544" i="1"/>
  <c r="I544" i="1" s="1"/>
  <c r="A544" i="1"/>
  <c r="H543" i="1"/>
  <c r="I543" i="1" s="1"/>
  <c r="A543" i="1"/>
  <c r="H542" i="1"/>
  <c r="A542" i="1"/>
  <c r="I542" i="1" s="1"/>
  <c r="I541" i="1"/>
  <c r="H541" i="1"/>
  <c r="A541" i="1"/>
  <c r="I540" i="1"/>
  <c r="H540" i="1"/>
  <c r="A540" i="1"/>
  <c r="H539" i="1"/>
  <c r="A539" i="1"/>
  <c r="I539" i="1" s="1"/>
  <c r="H538" i="1"/>
  <c r="A538" i="1"/>
  <c r="I538" i="1" s="1"/>
  <c r="H537" i="1"/>
  <c r="I537" i="1" s="1"/>
  <c r="A537" i="1"/>
  <c r="H536" i="1"/>
  <c r="I536" i="1" s="1"/>
  <c r="A536" i="1"/>
  <c r="H535" i="1"/>
  <c r="I535" i="1" s="1"/>
  <c r="A535" i="1"/>
  <c r="H534" i="1"/>
  <c r="A534" i="1"/>
  <c r="I534" i="1" s="1"/>
  <c r="I533" i="1"/>
  <c r="H533" i="1"/>
  <c r="A533" i="1"/>
  <c r="I532" i="1"/>
  <c r="H532" i="1"/>
  <c r="A532" i="1"/>
  <c r="H531" i="1"/>
  <c r="A531" i="1"/>
  <c r="I531" i="1" s="1"/>
  <c r="H530" i="1"/>
  <c r="A530" i="1"/>
  <c r="I530" i="1" s="1"/>
  <c r="H529" i="1"/>
  <c r="I529" i="1" s="1"/>
  <c r="A529" i="1"/>
  <c r="H528" i="1"/>
  <c r="I528" i="1" s="1"/>
  <c r="A528" i="1"/>
  <c r="H527" i="1"/>
  <c r="I527" i="1" s="1"/>
  <c r="A527" i="1"/>
  <c r="H526" i="1"/>
  <c r="A526" i="1"/>
  <c r="I526" i="1" s="1"/>
  <c r="I525" i="1"/>
  <c r="H525" i="1"/>
  <c r="A525" i="1"/>
  <c r="I524" i="1"/>
  <c r="H524" i="1"/>
  <c r="A524" i="1"/>
  <c r="H523" i="1"/>
  <c r="A523" i="1"/>
  <c r="I523" i="1" s="1"/>
  <c r="H522" i="1"/>
  <c r="A522" i="1"/>
  <c r="I522" i="1" s="1"/>
  <c r="H521" i="1"/>
  <c r="I521" i="1" s="1"/>
  <c r="A521" i="1"/>
  <c r="H520" i="1"/>
  <c r="I520" i="1" s="1"/>
  <c r="A520" i="1"/>
  <c r="H519" i="1"/>
  <c r="I519" i="1" s="1"/>
  <c r="A519" i="1"/>
  <c r="H518" i="1"/>
  <c r="A518" i="1"/>
  <c r="I518" i="1" s="1"/>
  <c r="I517" i="1"/>
  <c r="H517" i="1"/>
  <c r="A517" i="1"/>
  <c r="I516" i="1"/>
  <c r="H516" i="1"/>
  <c r="A516" i="1"/>
  <c r="H515" i="1"/>
  <c r="A515" i="1"/>
  <c r="I515" i="1" s="1"/>
  <c r="H514" i="1"/>
  <c r="A514" i="1"/>
  <c r="I514" i="1" s="1"/>
  <c r="H513" i="1"/>
  <c r="I513" i="1" s="1"/>
  <c r="A513" i="1"/>
  <c r="H512" i="1"/>
  <c r="I512" i="1" s="1"/>
  <c r="A512" i="1"/>
  <c r="H511" i="1"/>
  <c r="I511" i="1" s="1"/>
  <c r="A511" i="1"/>
  <c r="H510" i="1"/>
  <c r="A510" i="1"/>
  <c r="I510" i="1" s="1"/>
  <c r="I509" i="1"/>
  <c r="H509" i="1"/>
  <c r="A509" i="1"/>
  <c r="I508" i="1"/>
  <c r="H508" i="1"/>
  <c r="A508" i="1"/>
  <c r="H507" i="1"/>
  <c r="A507" i="1"/>
  <c r="I507" i="1" s="1"/>
  <c r="H506" i="1"/>
  <c r="A506" i="1"/>
  <c r="I506" i="1" s="1"/>
  <c r="H505" i="1"/>
  <c r="I505" i="1" s="1"/>
  <c r="A505" i="1"/>
  <c r="H504" i="1"/>
  <c r="I504" i="1" s="1"/>
  <c r="A504" i="1"/>
  <c r="H503" i="1"/>
  <c r="I503" i="1" s="1"/>
  <c r="A503" i="1"/>
  <c r="H502" i="1"/>
  <c r="A502" i="1"/>
  <c r="I502" i="1" s="1"/>
  <c r="I501" i="1"/>
  <c r="H501" i="1"/>
  <c r="A501" i="1"/>
  <c r="I500" i="1"/>
  <c r="H500" i="1"/>
  <c r="A500" i="1"/>
  <c r="H499" i="1"/>
  <c r="A499" i="1"/>
  <c r="I499" i="1" s="1"/>
  <c r="H498" i="1"/>
  <c r="A498" i="1"/>
  <c r="I498" i="1" s="1"/>
  <c r="H497" i="1"/>
  <c r="I497" i="1" s="1"/>
  <c r="A497" i="1"/>
  <c r="H496" i="1"/>
  <c r="I496" i="1" s="1"/>
  <c r="A496" i="1"/>
  <c r="H495" i="1"/>
  <c r="I495" i="1" s="1"/>
  <c r="A495" i="1"/>
  <c r="H494" i="1"/>
  <c r="A494" i="1"/>
  <c r="I494" i="1" s="1"/>
  <c r="I493" i="1"/>
  <c r="H493" i="1"/>
  <c r="A493" i="1"/>
  <c r="I492" i="1"/>
  <c r="H492" i="1"/>
  <c r="A492" i="1"/>
  <c r="H491" i="1"/>
  <c r="A491" i="1"/>
  <c r="I491" i="1" s="1"/>
  <c r="H490" i="1"/>
  <c r="A490" i="1"/>
  <c r="I490" i="1" s="1"/>
  <c r="H489" i="1"/>
  <c r="I489" i="1" s="1"/>
  <c r="A489" i="1"/>
  <c r="H488" i="1"/>
  <c r="I488" i="1" s="1"/>
  <c r="A488" i="1"/>
  <c r="H487" i="1"/>
  <c r="I487" i="1" s="1"/>
  <c r="A487" i="1"/>
  <c r="H486" i="1"/>
  <c r="A486" i="1"/>
  <c r="I486" i="1" s="1"/>
  <c r="I485" i="1"/>
  <c r="H485" i="1"/>
  <c r="A485" i="1"/>
  <c r="I484" i="1"/>
  <c r="H484" i="1"/>
  <c r="A484" i="1"/>
  <c r="H483" i="1"/>
  <c r="A483" i="1"/>
  <c r="I483" i="1" s="1"/>
  <c r="H482" i="1"/>
  <c r="A482" i="1"/>
  <c r="I482" i="1" s="1"/>
  <c r="H481" i="1"/>
  <c r="I481" i="1" s="1"/>
  <c r="A481" i="1"/>
  <c r="H480" i="1"/>
  <c r="I480" i="1" s="1"/>
  <c r="A480" i="1"/>
  <c r="H479" i="1"/>
  <c r="I479" i="1" s="1"/>
  <c r="A479" i="1"/>
  <c r="H478" i="1"/>
  <c r="A478" i="1"/>
  <c r="I478" i="1" s="1"/>
  <c r="I477" i="1"/>
  <c r="H477" i="1"/>
  <c r="A477" i="1"/>
  <c r="I476" i="1"/>
  <c r="H476" i="1"/>
  <c r="A476" i="1"/>
  <c r="H475" i="1"/>
  <c r="A475" i="1"/>
  <c r="I475" i="1" s="1"/>
  <c r="H474" i="1"/>
  <c r="A474" i="1"/>
  <c r="I474" i="1" s="1"/>
  <c r="H473" i="1"/>
  <c r="I473" i="1" s="1"/>
  <c r="A473" i="1"/>
  <c r="H472" i="1"/>
  <c r="I472" i="1" s="1"/>
  <c r="A472" i="1"/>
  <c r="H471" i="1"/>
  <c r="I471" i="1" s="1"/>
  <c r="A471" i="1"/>
  <c r="H470" i="1"/>
  <c r="A470" i="1"/>
  <c r="I470" i="1" s="1"/>
  <c r="I469" i="1"/>
  <c r="H469" i="1"/>
  <c r="A469" i="1"/>
  <c r="I468" i="1"/>
  <c r="H468" i="1"/>
  <c r="A468" i="1"/>
  <c r="H467" i="1"/>
  <c r="A467" i="1"/>
  <c r="I467" i="1" s="1"/>
  <c r="H466" i="1"/>
  <c r="A466" i="1"/>
  <c r="I466" i="1" s="1"/>
  <c r="H465" i="1"/>
  <c r="I465" i="1" s="1"/>
  <c r="A465" i="1"/>
  <c r="H464" i="1"/>
  <c r="I464" i="1" s="1"/>
  <c r="A464" i="1"/>
  <c r="H463" i="1"/>
  <c r="I463" i="1" s="1"/>
  <c r="A463" i="1"/>
  <c r="H462" i="1"/>
  <c r="A462" i="1"/>
  <c r="I462" i="1" s="1"/>
  <c r="I461" i="1"/>
  <c r="H461" i="1"/>
  <c r="A461" i="1"/>
  <c r="I460" i="1"/>
  <c r="H460" i="1"/>
  <c r="A460" i="1"/>
  <c r="H459" i="1"/>
  <c r="A459" i="1"/>
  <c r="I459" i="1" s="1"/>
  <c r="H458" i="1"/>
  <c r="A458" i="1"/>
  <c r="I458" i="1" s="1"/>
  <c r="H457" i="1"/>
  <c r="I457" i="1" s="1"/>
  <c r="A457" i="1"/>
  <c r="H456" i="1"/>
  <c r="I456" i="1" s="1"/>
  <c r="A456" i="1"/>
  <c r="H455" i="1"/>
  <c r="I455" i="1" s="1"/>
  <c r="A455" i="1"/>
  <c r="H454" i="1"/>
  <c r="A454" i="1"/>
  <c r="I454" i="1" s="1"/>
  <c r="I453" i="1"/>
  <c r="H453" i="1"/>
  <c r="A453" i="1"/>
  <c r="I452" i="1"/>
  <c r="H452" i="1"/>
  <c r="A452" i="1"/>
  <c r="H451" i="1"/>
  <c r="A451" i="1"/>
  <c r="I451" i="1" s="1"/>
  <c r="H450" i="1"/>
  <c r="A450" i="1"/>
  <c r="I450" i="1" s="1"/>
  <c r="H449" i="1"/>
  <c r="I449" i="1" s="1"/>
  <c r="A449" i="1"/>
  <c r="H448" i="1"/>
  <c r="I448" i="1" s="1"/>
  <c r="A448" i="1"/>
  <c r="H447" i="1"/>
  <c r="I447" i="1" s="1"/>
  <c r="A447" i="1"/>
  <c r="H446" i="1"/>
  <c r="A446" i="1"/>
  <c r="I446" i="1" s="1"/>
  <c r="I445" i="1"/>
  <c r="H445" i="1"/>
  <c r="A445" i="1"/>
  <c r="I444" i="1"/>
  <c r="H444" i="1"/>
  <c r="A444" i="1"/>
  <c r="H443" i="1"/>
  <c r="A443" i="1"/>
  <c r="I443" i="1" s="1"/>
  <c r="H442" i="1"/>
  <c r="A442" i="1"/>
  <c r="I442" i="1" s="1"/>
  <c r="H441" i="1"/>
  <c r="I441" i="1" s="1"/>
  <c r="A441" i="1"/>
  <c r="H440" i="1"/>
  <c r="I440" i="1" s="1"/>
  <c r="A440" i="1"/>
  <c r="H439" i="1"/>
  <c r="I439" i="1" s="1"/>
  <c r="A439" i="1"/>
  <c r="H438" i="1"/>
  <c r="A438" i="1"/>
  <c r="I438" i="1" s="1"/>
  <c r="I437" i="1"/>
  <c r="H437" i="1"/>
  <c r="A437" i="1"/>
  <c r="I436" i="1"/>
  <c r="H436" i="1"/>
  <c r="A436" i="1"/>
  <c r="H435" i="1"/>
  <c r="A435" i="1"/>
  <c r="I435" i="1" s="1"/>
  <c r="H434" i="1"/>
  <c r="A434" i="1"/>
  <c r="I434" i="1" s="1"/>
  <c r="H433" i="1"/>
  <c r="I433" i="1" s="1"/>
  <c r="A433" i="1"/>
  <c r="H432" i="1"/>
  <c r="I432" i="1" s="1"/>
  <c r="A432" i="1"/>
  <c r="H431" i="1"/>
  <c r="I431" i="1" s="1"/>
  <c r="A431" i="1"/>
  <c r="H430" i="1"/>
  <c r="A430" i="1"/>
  <c r="I430" i="1" s="1"/>
  <c r="I429" i="1"/>
  <c r="H429" i="1"/>
  <c r="A429" i="1"/>
  <c r="I428" i="1"/>
  <c r="H428" i="1"/>
  <c r="A428" i="1"/>
  <c r="H427" i="1"/>
  <c r="A427" i="1"/>
  <c r="I427" i="1" s="1"/>
  <c r="H426" i="1"/>
  <c r="A426" i="1"/>
  <c r="I426" i="1" s="1"/>
  <c r="H425" i="1"/>
  <c r="I425" i="1" s="1"/>
  <c r="A425" i="1"/>
  <c r="H424" i="1"/>
  <c r="I424" i="1" s="1"/>
  <c r="A424" i="1"/>
  <c r="H423" i="1"/>
  <c r="I423" i="1" s="1"/>
  <c r="A423" i="1"/>
  <c r="H422" i="1"/>
  <c r="A422" i="1"/>
  <c r="I422" i="1" s="1"/>
  <c r="I421" i="1"/>
  <c r="H421" i="1"/>
  <c r="A421" i="1"/>
  <c r="I420" i="1"/>
  <c r="H420" i="1"/>
  <c r="A420" i="1"/>
  <c r="H419" i="1"/>
  <c r="A419" i="1"/>
  <c r="I419" i="1" s="1"/>
  <c r="H418" i="1"/>
  <c r="A418" i="1"/>
  <c r="I418" i="1" s="1"/>
  <c r="H417" i="1"/>
  <c r="I417" i="1" s="1"/>
  <c r="A417" i="1"/>
  <c r="H416" i="1"/>
  <c r="I416" i="1" s="1"/>
  <c r="A416" i="1"/>
  <c r="H415" i="1"/>
  <c r="I415" i="1" s="1"/>
  <c r="A415" i="1"/>
  <c r="H414" i="1"/>
  <c r="A414" i="1"/>
  <c r="I414" i="1" s="1"/>
  <c r="I413" i="1"/>
  <c r="H413" i="1"/>
  <c r="A413" i="1"/>
  <c r="I412" i="1"/>
  <c r="H412" i="1"/>
  <c r="A412" i="1"/>
  <c r="H411" i="1"/>
  <c r="A411" i="1"/>
  <c r="I411" i="1" s="1"/>
  <c r="H410" i="1"/>
  <c r="A410" i="1"/>
  <c r="I410" i="1" s="1"/>
  <c r="H409" i="1"/>
  <c r="I409" i="1" s="1"/>
  <c r="A409" i="1"/>
  <c r="H408" i="1"/>
  <c r="I408" i="1" s="1"/>
  <c r="A408" i="1"/>
  <c r="H407" i="1"/>
  <c r="I407" i="1" s="1"/>
  <c r="A407" i="1"/>
  <c r="H406" i="1"/>
  <c r="A406" i="1"/>
  <c r="I406" i="1" s="1"/>
  <c r="I405" i="1"/>
  <c r="H405" i="1"/>
  <c r="A405" i="1"/>
  <c r="I404" i="1"/>
  <c r="H404" i="1"/>
  <c r="A404" i="1"/>
  <c r="H403" i="1"/>
  <c r="A403" i="1"/>
  <c r="I403" i="1" s="1"/>
  <c r="H402" i="1"/>
  <c r="A402" i="1"/>
  <c r="I402" i="1" s="1"/>
  <c r="H401" i="1"/>
  <c r="I401" i="1" s="1"/>
  <c r="A401" i="1"/>
  <c r="H400" i="1"/>
  <c r="I400" i="1" s="1"/>
  <c r="A400" i="1"/>
  <c r="H399" i="1"/>
  <c r="I399" i="1" s="1"/>
  <c r="A399" i="1"/>
  <c r="H398" i="1"/>
  <c r="A398" i="1"/>
  <c r="I398" i="1" s="1"/>
  <c r="I397" i="1"/>
  <c r="H397" i="1"/>
  <c r="A397" i="1"/>
  <c r="I396" i="1"/>
  <c r="H396" i="1"/>
  <c r="A396" i="1"/>
  <c r="H395" i="1"/>
  <c r="A395" i="1"/>
  <c r="I395" i="1" s="1"/>
  <c r="H394" i="1"/>
  <c r="A394" i="1"/>
  <c r="I394" i="1" s="1"/>
  <c r="H393" i="1"/>
  <c r="I393" i="1" s="1"/>
  <c r="A393" i="1"/>
  <c r="H392" i="1"/>
  <c r="I392" i="1" s="1"/>
  <c r="A392" i="1"/>
  <c r="H391" i="1"/>
  <c r="I391" i="1" s="1"/>
  <c r="A391" i="1"/>
  <c r="H390" i="1"/>
  <c r="A390" i="1"/>
  <c r="I390" i="1" s="1"/>
  <c r="I389" i="1"/>
  <c r="H389" i="1"/>
  <c r="A389" i="1"/>
  <c r="I388" i="1"/>
  <c r="H388" i="1"/>
  <c r="A388" i="1"/>
  <c r="H387" i="1"/>
  <c r="A387" i="1"/>
  <c r="I387" i="1" s="1"/>
  <c r="H386" i="1"/>
  <c r="A386" i="1"/>
  <c r="I386" i="1" s="1"/>
  <c r="H385" i="1"/>
  <c r="I385" i="1" s="1"/>
  <c r="A385" i="1"/>
  <c r="H384" i="1"/>
  <c r="I384" i="1" s="1"/>
  <c r="A384" i="1"/>
  <c r="H383" i="1"/>
  <c r="I383" i="1" s="1"/>
  <c r="A383" i="1"/>
  <c r="H382" i="1"/>
  <c r="A382" i="1"/>
  <c r="I382" i="1" s="1"/>
  <c r="I381" i="1"/>
  <c r="H381" i="1"/>
  <c r="A381" i="1"/>
  <c r="I380" i="1"/>
  <c r="H380" i="1"/>
  <c r="A380" i="1"/>
  <c r="H379" i="1"/>
  <c r="A379" i="1"/>
  <c r="I379" i="1" s="1"/>
  <c r="H378" i="1"/>
  <c r="A378" i="1"/>
  <c r="I378" i="1" s="1"/>
  <c r="H377" i="1"/>
  <c r="I377" i="1" s="1"/>
  <c r="A377" i="1"/>
  <c r="H376" i="1"/>
  <c r="I376" i="1" s="1"/>
  <c r="A376" i="1"/>
  <c r="H375" i="1"/>
  <c r="I375" i="1" s="1"/>
  <c r="A375" i="1"/>
  <c r="H374" i="1"/>
  <c r="A374" i="1"/>
  <c r="I374" i="1" s="1"/>
  <c r="I373" i="1"/>
  <c r="H373" i="1"/>
  <c r="A373" i="1"/>
  <c r="I372" i="1"/>
  <c r="H372" i="1"/>
  <c r="A372" i="1"/>
  <c r="H371" i="1"/>
  <c r="A371" i="1"/>
  <c r="I371" i="1" s="1"/>
  <c r="H370" i="1"/>
  <c r="A370" i="1"/>
  <c r="I370" i="1" s="1"/>
  <c r="H369" i="1"/>
  <c r="I369" i="1" s="1"/>
  <c r="A369" i="1"/>
  <c r="H368" i="1"/>
  <c r="I368" i="1" s="1"/>
  <c r="A368" i="1"/>
  <c r="H367" i="1"/>
  <c r="I367" i="1" s="1"/>
  <c r="A367" i="1"/>
  <c r="H366" i="1"/>
  <c r="A366" i="1"/>
  <c r="I366" i="1" s="1"/>
  <c r="I365" i="1"/>
  <c r="H365" i="1"/>
  <c r="A365" i="1"/>
  <c r="I364" i="1"/>
  <c r="H364" i="1"/>
  <c r="A364" i="1"/>
  <c r="H363" i="1"/>
  <c r="A363" i="1"/>
  <c r="I363" i="1" s="1"/>
  <c r="H362" i="1"/>
  <c r="A362" i="1"/>
  <c r="I362" i="1" s="1"/>
  <c r="H361" i="1"/>
  <c r="I361" i="1" s="1"/>
  <c r="A361" i="1"/>
  <c r="H360" i="1"/>
  <c r="I360" i="1" s="1"/>
  <c r="A360" i="1"/>
  <c r="H359" i="1"/>
  <c r="I359" i="1" s="1"/>
  <c r="A359" i="1"/>
  <c r="H358" i="1"/>
  <c r="A358" i="1"/>
  <c r="I358" i="1" s="1"/>
  <c r="I357" i="1"/>
  <c r="H357" i="1"/>
  <c r="A357" i="1"/>
  <c r="I356" i="1"/>
  <c r="H356" i="1"/>
  <c r="A356" i="1"/>
  <c r="H355" i="1"/>
  <c r="A355" i="1"/>
  <c r="I355" i="1" s="1"/>
  <c r="H354" i="1"/>
  <c r="A354" i="1"/>
  <c r="I354" i="1" s="1"/>
  <c r="H353" i="1"/>
  <c r="I353" i="1" s="1"/>
  <c r="A353" i="1"/>
  <c r="H352" i="1"/>
  <c r="I352" i="1" s="1"/>
  <c r="A352" i="1"/>
  <c r="H351" i="1"/>
  <c r="I351" i="1" s="1"/>
  <c r="A351" i="1"/>
  <c r="H350" i="1"/>
  <c r="A350" i="1"/>
  <c r="I350" i="1" s="1"/>
  <c r="I349" i="1"/>
  <c r="H349" i="1"/>
  <c r="A349" i="1"/>
  <c r="I348" i="1"/>
  <c r="H348" i="1"/>
  <c r="A348" i="1"/>
  <c r="H347" i="1"/>
  <c r="A347" i="1"/>
  <c r="I347" i="1" s="1"/>
  <c r="H346" i="1"/>
  <c r="A346" i="1"/>
  <c r="I346" i="1" s="1"/>
  <c r="H345" i="1"/>
  <c r="I345" i="1" s="1"/>
  <c r="A345" i="1"/>
  <c r="H344" i="1"/>
  <c r="I344" i="1" s="1"/>
  <c r="A344" i="1"/>
  <c r="H343" i="1"/>
  <c r="I343" i="1" s="1"/>
  <c r="A343" i="1"/>
  <c r="H342" i="1"/>
  <c r="A342" i="1"/>
  <c r="I342" i="1" s="1"/>
  <c r="I341" i="1"/>
  <c r="H341" i="1"/>
  <c r="A341" i="1"/>
  <c r="I340" i="1"/>
  <c r="H340" i="1"/>
  <c r="A340" i="1"/>
  <c r="H339" i="1"/>
  <c r="A339" i="1"/>
  <c r="I339" i="1" s="1"/>
  <c r="H338" i="1"/>
  <c r="A338" i="1"/>
  <c r="I338" i="1" s="1"/>
  <c r="H337" i="1"/>
  <c r="I337" i="1" s="1"/>
  <c r="A337" i="1"/>
  <c r="H336" i="1"/>
  <c r="I336" i="1" s="1"/>
  <c r="A336" i="1"/>
  <c r="H335" i="1"/>
  <c r="I335" i="1" s="1"/>
  <c r="A335" i="1"/>
  <c r="H334" i="1"/>
  <c r="A334" i="1"/>
  <c r="I334" i="1" s="1"/>
  <c r="I333" i="1"/>
  <c r="H333" i="1"/>
  <c r="A333" i="1"/>
  <c r="I332" i="1"/>
  <c r="H332" i="1"/>
  <c r="A332" i="1"/>
  <c r="H331" i="1"/>
  <c r="A331" i="1"/>
  <c r="I331" i="1" s="1"/>
  <c r="H330" i="1"/>
  <c r="A330" i="1"/>
  <c r="I330" i="1" s="1"/>
  <c r="H329" i="1"/>
  <c r="I329" i="1" s="1"/>
  <c r="A329" i="1"/>
  <c r="H328" i="1"/>
  <c r="I328" i="1" s="1"/>
  <c r="A328" i="1"/>
  <c r="H327" i="1"/>
  <c r="I327" i="1" s="1"/>
  <c r="A327" i="1"/>
  <c r="H326" i="1"/>
  <c r="A326" i="1"/>
  <c r="I326" i="1" s="1"/>
  <c r="I325" i="1"/>
  <c r="H325" i="1"/>
  <c r="A325" i="1"/>
  <c r="I324" i="1"/>
  <c r="H324" i="1"/>
  <c r="A324" i="1"/>
  <c r="H323" i="1"/>
  <c r="A323" i="1"/>
  <c r="I323" i="1" s="1"/>
  <c r="H322" i="1"/>
  <c r="A322" i="1"/>
  <c r="I322" i="1" s="1"/>
  <c r="H321" i="1"/>
  <c r="I321" i="1" s="1"/>
  <c r="A321" i="1"/>
  <c r="H320" i="1"/>
  <c r="I320" i="1" s="1"/>
  <c r="A320" i="1"/>
  <c r="H319" i="1"/>
  <c r="I319" i="1" s="1"/>
  <c r="A319" i="1"/>
  <c r="H318" i="1"/>
  <c r="A318" i="1"/>
  <c r="I318" i="1" s="1"/>
  <c r="I317" i="1"/>
  <c r="H317" i="1"/>
  <c r="A317" i="1"/>
  <c r="I316" i="1"/>
  <c r="H316" i="1"/>
  <c r="A316" i="1"/>
  <c r="H315" i="1"/>
  <c r="A315" i="1"/>
  <c r="I315" i="1" s="1"/>
  <c r="H314" i="1"/>
  <c r="A314" i="1"/>
  <c r="I314" i="1" s="1"/>
  <c r="H313" i="1"/>
  <c r="I313" i="1" s="1"/>
  <c r="A313" i="1"/>
  <c r="H312" i="1"/>
  <c r="I312" i="1" s="1"/>
  <c r="A312" i="1"/>
  <c r="H311" i="1"/>
  <c r="I311" i="1" s="1"/>
  <c r="A311" i="1"/>
  <c r="H310" i="1"/>
  <c r="A310" i="1"/>
  <c r="I310" i="1" s="1"/>
  <c r="I309" i="1"/>
  <c r="H309" i="1"/>
  <c r="A309" i="1"/>
  <c r="I308" i="1"/>
  <c r="H308" i="1"/>
  <c r="A308" i="1"/>
  <c r="H307" i="1"/>
  <c r="A307" i="1"/>
  <c r="I307" i="1" s="1"/>
  <c r="H306" i="1"/>
  <c r="A306" i="1"/>
  <c r="I306" i="1" s="1"/>
  <c r="H305" i="1"/>
  <c r="I305" i="1" s="1"/>
  <c r="A305" i="1"/>
  <c r="H304" i="1"/>
  <c r="I304" i="1" s="1"/>
  <c r="A304" i="1"/>
  <c r="H303" i="1"/>
  <c r="I303" i="1" s="1"/>
  <c r="A303" i="1"/>
  <c r="H302" i="1"/>
  <c r="A302" i="1"/>
  <c r="I302" i="1" s="1"/>
  <c r="I301" i="1"/>
  <c r="H301" i="1"/>
  <c r="A301" i="1"/>
  <c r="I300" i="1"/>
  <c r="H300" i="1"/>
  <c r="A300" i="1"/>
  <c r="H299" i="1"/>
  <c r="A299" i="1"/>
  <c r="I299" i="1" s="1"/>
  <c r="H298" i="1"/>
  <c r="A298" i="1"/>
  <c r="I298" i="1" s="1"/>
  <c r="H297" i="1"/>
  <c r="I297" i="1" s="1"/>
  <c r="A297" i="1"/>
  <c r="H296" i="1"/>
  <c r="I296" i="1" s="1"/>
  <c r="A296" i="1"/>
  <c r="H295" i="1"/>
  <c r="I295" i="1" s="1"/>
  <c r="A295" i="1"/>
  <c r="H294" i="1"/>
  <c r="A294" i="1"/>
  <c r="I294" i="1" s="1"/>
  <c r="I293" i="1"/>
  <c r="H293" i="1"/>
  <c r="A293" i="1"/>
  <c r="I292" i="1"/>
  <c r="H292" i="1"/>
  <c r="A292" i="1"/>
  <c r="H291" i="1"/>
  <c r="A291" i="1"/>
  <c r="I291" i="1" s="1"/>
  <c r="H290" i="1"/>
  <c r="A290" i="1"/>
  <c r="I290" i="1" s="1"/>
  <c r="H289" i="1"/>
  <c r="I289" i="1" s="1"/>
  <c r="A289" i="1"/>
  <c r="H288" i="1"/>
  <c r="I288" i="1" s="1"/>
  <c r="A288" i="1"/>
  <c r="H287" i="1"/>
  <c r="I287" i="1" s="1"/>
  <c r="A287" i="1"/>
  <c r="H286" i="1"/>
  <c r="A286" i="1"/>
  <c r="I286" i="1" s="1"/>
  <c r="I285" i="1"/>
  <c r="H285" i="1"/>
  <c r="A285" i="1"/>
  <c r="I284" i="1"/>
  <c r="H284" i="1"/>
  <c r="A284" i="1"/>
  <c r="H283" i="1"/>
  <c r="A283" i="1"/>
  <c r="I283" i="1" s="1"/>
  <c r="H282" i="1"/>
  <c r="A282" i="1"/>
  <c r="I282" i="1" s="1"/>
  <c r="H281" i="1"/>
  <c r="I281" i="1" s="1"/>
  <c r="A281" i="1"/>
  <c r="H280" i="1"/>
  <c r="I280" i="1" s="1"/>
  <c r="A280" i="1"/>
  <c r="H279" i="1"/>
  <c r="I279" i="1" s="1"/>
  <c r="A279" i="1"/>
  <c r="H278" i="1"/>
  <c r="A278" i="1"/>
  <c r="I278" i="1" s="1"/>
  <c r="I277" i="1"/>
  <c r="H277" i="1"/>
  <c r="A277" i="1"/>
  <c r="I276" i="1"/>
  <c r="H276" i="1"/>
  <c r="A276" i="1"/>
  <c r="H275" i="1"/>
  <c r="A275" i="1"/>
  <c r="I275" i="1" s="1"/>
  <c r="H274" i="1"/>
  <c r="A274" i="1"/>
  <c r="I274" i="1" s="1"/>
  <c r="H273" i="1"/>
  <c r="I273" i="1" s="1"/>
  <c r="A273" i="1"/>
  <c r="H272" i="1"/>
  <c r="I272" i="1" s="1"/>
  <c r="A272" i="1"/>
  <c r="H271" i="1"/>
  <c r="I271" i="1" s="1"/>
  <c r="A271" i="1"/>
  <c r="H270" i="1"/>
  <c r="A270" i="1"/>
  <c r="I270" i="1" s="1"/>
  <c r="I269" i="1"/>
  <c r="H269" i="1"/>
  <c r="A269" i="1"/>
  <c r="I268" i="1"/>
  <c r="H268" i="1"/>
  <c r="A268" i="1"/>
  <c r="H267" i="1"/>
  <c r="A267" i="1"/>
  <c r="I267" i="1" s="1"/>
  <c r="H266" i="1"/>
  <c r="A266" i="1"/>
  <c r="I266" i="1" s="1"/>
  <c r="H265" i="1"/>
  <c r="I265" i="1" s="1"/>
  <c r="A265" i="1"/>
  <c r="H264" i="1"/>
  <c r="I264" i="1" s="1"/>
  <c r="A264" i="1"/>
  <c r="H263" i="1"/>
  <c r="I263" i="1" s="1"/>
  <c r="A263" i="1"/>
  <c r="H262" i="1"/>
  <c r="A262" i="1"/>
  <c r="I262" i="1" s="1"/>
  <c r="I261" i="1"/>
  <c r="H261" i="1"/>
  <c r="A261" i="1"/>
  <c r="I260" i="1"/>
  <c r="H260" i="1"/>
  <c r="A260" i="1"/>
  <c r="H259" i="1"/>
  <c r="A259" i="1"/>
  <c r="I259" i="1" s="1"/>
  <c r="H258" i="1"/>
  <c r="A258" i="1"/>
  <c r="I258" i="1" s="1"/>
  <c r="H257" i="1"/>
  <c r="I257" i="1" s="1"/>
  <c r="A257" i="1"/>
  <c r="H256" i="1"/>
  <c r="I256" i="1" s="1"/>
  <c r="A256" i="1"/>
  <c r="H255" i="1"/>
  <c r="I255" i="1" s="1"/>
  <c r="A255" i="1"/>
  <c r="H254" i="1"/>
  <c r="A254" i="1"/>
  <c r="I254" i="1" s="1"/>
  <c r="I253" i="1"/>
  <c r="H253" i="1"/>
  <c r="A253" i="1"/>
  <c r="I252" i="1"/>
  <c r="H252" i="1"/>
  <c r="A252" i="1"/>
  <c r="H251" i="1"/>
  <c r="A251" i="1"/>
  <c r="I251" i="1" s="1"/>
  <c r="H250" i="1"/>
  <c r="A250" i="1"/>
  <c r="I250" i="1" s="1"/>
  <c r="H249" i="1"/>
  <c r="I249" i="1" s="1"/>
  <c r="A249" i="1"/>
  <c r="H248" i="1"/>
  <c r="I248" i="1" s="1"/>
  <c r="A248" i="1"/>
  <c r="H247" i="1"/>
  <c r="I247" i="1" s="1"/>
  <c r="A247" i="1"/>
  <c r="H246" i="1"/>
  <c r="A246" i="1"/>
  <c r="I246" i="1" s="1"/>
  <c r="I245" i="1"/>
  <c r="H245" i="1"/>
  <c r="A245" i="1"/>
  <c r="I244" i="1"/>
  <c r="H244" i="1"/>
  <c r="A244" i="1"/>
  <c r="H243" i="1"/>
  <c r="A243" i="1"/>
  <c r="I243" i="1" s="1"/>
  <c r="H242" i="1"/>
  <c r="A242" i="1"/>
  <c r="I242" i="1" s="1"/>
  <c r="H241" i="1"/>
  <c r="I241" i="1" s="1"/>
  <c r="A241" i="1"/>
  <c r="H240" i="1"/>
  <c r="I240" i="1" s="1"/>
  <c r="A240" i="1"/>
  <c r="H239" i="1"/>
  <c r="I239" i="1" s="1"/>
  <c r="A239" i="1"/>
  <c r="H238" i="1"/>
  <c r="A238" i="1"/>
  <c r="I238" i="1" s="1"/>
  <c r="I237" i="1"/>
  <c r="H237" i="1"/>
  <c r="A237" i="1"/>
  <c r="I236" i="1"/>
  <c r="H236" i="1"/>
  <c r="A236" i="1"/>
  <c r="H235" i="1"/>
  <c r="A235" i="1"/>
  <c r="I235" i="1" s="1"/>
  <c r="H234" i="1"/>
  <c r="A234" i="1"/>
  <c r="I234" i="1" s="1"/>
  <c r="H233" i="1"/>
  <c r="I233" i="1" s="1"/>
  <c r="A233" i="1"/>
  <c r="H232" i="1"/>
  <c r="I232" i="1" s="1"/>
  <c r="A232" i="1"/>
  <c r="H231" i="1"/>
  <c r="I231" i="1" s="1"/>
  <c r="A231" i="1"/>
  <c r="H230" i="1"/>
  <c r="A230" i="1"/>
  <c r="I230" i="1" s="1"/>
  <c r="I229" i="1"/>
  <c r="H229" i="1"/>
  <c r="A229" i="1"/>
  <c r="I228" i="1"/>
  <c r="H228" i="1"/>
  <c r="A228" i="1"/>
  <c r="H227" i="1"/>
  <c r="A227" i="1"/>
  <c r="I227" i="1" s="1"/>
  <c r="H226" i="1"/>
  <c r="A226" i="1"/>
  <c r="I226" i="1" s="1"/>
  <c r="H225" i="1"/>
  <c r="I225" i="1" s="1"/>
  <c r="A225" i="1"/>
  <c r="H224" i="1"/>
  <c r="I224" i="1" s="1"/>
  <c r="A224" i="1"/>
  <c r="H223" i="1"/>
  <c r="I223" i="1" s="1"/>
  <c r="A223" i="1"/>
  <c r="H222" i="1"/>
  <c r="A222" i="1"/>
  <c r="I222" i="1" s="1"/>
  <c r="I221" i="1"/>
  <c r="H221" i="1"/>
  <c r="A221" i="1"/>
  <c r="I220" i="1"/>
  <c r="H220" i="1"/>
  <c r="A220" i="1"/>
  <c r="H219" i="1"/>
  <c r="A219" i="1"/>
  <c r="I219" i="1" s="1"/>
  <c r="H218" i="1"/>
  <c r="A218" i="1"/>
  <c r="I218" i="1" s="1"/>
  <c r="H217" i="1"/>
  <c r="I217" i="1" s="1"/>
  <c r="A217" i="1"/>
  <c r="H216" i="1"/>
  <c r="I216" i="1" s="1"/>
  <c r="A216" i="1"/>
  <c r="H215" i="1"/>
  <c r="I215" i="1" s="1"/>
  <c r="A215" i="1"/>
  <c r="H214" i="1"/>
  <c r="A214" i="1"/>
  <c r="I214" i="1" s="1"/>
  <c r="I213" i="1"/>
  <c r="H213" i="1"/>
  <c r="A213" i="1"/>
  <c r="I212" i="1"/>
  <c r="H212" i="1"/>
  <c r="A212" i="1"/>
  <c r="H211" i="1"/>
  <c r="A211" i="1"/>
  <c r="I211" i="1" s="1"/>
  <c r="H210" i="1"/>
  <c r="A210" i="1"/>
  <c r="I210" i="1" s="1"/>
  <c r="H209" i="1"/>
  <c r="I209" i="1" s="1"/>
  <c r="A209" i="1"/>
  <c r="H208" i="1"/>
  <c r="I208" i="1" s="1"/>
  <c r="A208" i="1"/>
  <c r="H207" i="1"/>
  <c r="I207" i="1" s="1"/>
  <c r="A207" i="1"/>
  <c r="H206" i="1"/>
  <c r="A206" i="1"/>
  <c r="I206" i="1" s="1"/>
  <c r="I205" i="1"/>
  <c r="H205" i="1"/>
  <c r="A205" i="1"/>
  <c r="I204" i="1"/>
  <c r="H204" i="1"/>
  <c r="A204" i="1"/>
  <c r="H203" i="1"/>
  <c r="A203" i="1"/>
  <c r="I203" i="1" s="1"/>
  <c r="H202" i="1"/>
  <c r="A202" i="1"/>
  <c r="I202" i="1" s="1"/>
  <c r="H201" i="1"/>
  <c r="I201" i="1" s="1"/>
  <c r="A201" i="1"/>
  <c r="H200" i="1"/>
  <c r="I200" i="1" s="1"/>
  <c r="A200" i="1"/>
  <c r="H199" i="1"/>
  <c r="I199" i="1" s="1"/>
  <c r="A199" i="1"/>
  <c r="H198" i="1"/>
  <c r="A198" i="1"/>
  <c r="I198" i="1" s="1"/>
  <c r="I197" i="1"/>
  <c r="H197" i="1"/>
  <c r="A197" i="1"/>
  <c r="I196" i="1"/>
  <c r="H196" i="1"/>
  <c r="A196" i="1"/>
  <c r="H195" i="1"/>
  <c r="A195" i="1"/>
  <c r="I195" i="1" s="1"/>
  <c r="H194" i="1"/>
  <c r="A194" i="1"/>
  <c r="I194" i="1" s="1"/>
  <c r="H193" i="1"/>
  <c r="I193" i="1" s="1"/>
  <c r="A193" i="1"/>
  <c r="H192" i="1"/>
  <c r="I192" i="1" s="1"/>
  <c r="A192" i="1"/>
  <c r="H191" i="1"/>
  <c r="I191" i="1" s="1"/>
  <c r="A191" i="1"/>
  <c r="H190" i="1"/>
  <c r="A190" i="1"/>
  <c r="I190" i="1" s="1"/>
  <c r="I189" i="1"/>
  <c r="H189" i="1"/>
  <c r="A189" i="1"/>
  <c r="I188" i="1"/>
  <c r="H188" i="1"/>
  <c r="A188" i="1"/>
  <c r="H187" i="1"/>
  <c r="A187" i="1"/>
  <c r="I187" i="1" s="1"/>
  <c r="H186" i="1"/>
  <c r="A186" i="1"/>
  <c r="I186" i="1" s="1"/>
  <c r="H185" i="1"/>
  <c r="I185" i="1" s="1"/>
  <c r="A185" i="1"/>
  <c r="H184" i="1"/>
  <c r="I184" i="1" s="1"/>
  <c r="A184" i="1"/>
  <c r="H183" i="1"/>
  <c r="I183" i="1" s="1"/>
  <c r="A183" i="1"/>
  <c r="H182" i="1"/>
  <c r="A182" i="1"/>
  <c r="I182" i="1" s="1"/>
  <c r="I181" i="1"/>
  <c r="H181" i="1"/>
  <c r="A181" i="1"/>
  <c r="I180" i="1"/>
  <c r="H180" i="1"/>
  <c r="A180" i="1"/>
  <c r="H179" i="1"/>
  <c r="A179" i="1"/>
  <c r="I179" i="1" s="1"/>
  <c r="H178" i="1"/>
  <c r="A178" i="1"/>
  <c r="I178" i="1" s="1"/>
  <c r="H177" i="1"/>
  <c r="I177" i="1" s="1"/>
  <c r="A177" i="1"/>
  <c r="H176" i="1"/>
  <c r="I176" i="1" s="1"/>
  <c r="A176" i="1"/>
  <c r="H175" i="1"/>
  <c r="A175" i="1"/>
  <c r="I175" i="1" s="1"/>
  <c r="H174" i="1"/>
  <c r="A174" i="1"/>
  <c r="I174" i="1" s="1"/>
  <c r="I173" i="1"/>
  <c r="H173" i="1"/>
  <c r="A173" i="1"/>
  <c r="I172" i="1"/>
  <c r="H172" i="1"/>
  <c r="A172" i="1"/>
  <c r="H171" i="1"/>
  <c r="A171" i="1"/>
  <c r="I171" i="1" s="1"/>
  <c r="H170" i="1"/>
  <c r="A170" i="1"/>
  <c r="I170" i="1" s="1"/>
  <c r="H169" i="1"/>
  <c r="I169" i="1" s="1"/>
  <c r="A169" i="1"/>
  <c r="H168" i="1"/>
  <c r="I168" i="1" s="1"/>
  <c r="A168" i="1"/>
  <c r="H167" i="1"/>
  <c r="A167" i="1"/>
  <c r="I167" i="1" s="1"/>
  <c r="H166" i="1"/>
  <c r="A166" i="1"/>
  <c r="I166" i="1" s="1"/>
  <c r="I165" i="1"/>
  <c r="H165" i="1"/>
  <c r="A165" i="1"/>
  <c r="I164" i="1"/>
  <c r="H164" i="1"/>
  <c r="A164" i="1"/>
  <c r="H163" i="1"/>
  <c r="A163" i="1"/>
  <c r="I163" i="1" s="1"/>
  <c r="H162" i="1"/>
  <c r="A162" i="1"/>
  <c r="I162" i="1" s="1"/>
  <c r="H161" i="1"/>
  <c r="I161" i="1" s="1"/>
  <c r="A161" i="1"/>
  <c r="H160" i="1"/>
  <c r="I160" i="1" s="1"/>
  <c r="A160" i="1"/>
  <c r="H159" i="1"/>
  <c r="A159" i="1"/>
  <c r="I159" i="1" s="1"/>
  <c r="H158" i="1"/>
  <c r="A158" i="1"/>
  <c r="I158" i="1" s="1"/>
  <c r="I157" i="1"/>
  <c r="H157" i="1"/>
  <c r="A157" i="1"/>
  <c r="I156" i="1"/>
  <c r="H156" i="1"/>
  <c r="A156" i="1"/>
  <c r="H155" i="1"/>
  <c r="A155" i="1"/>
  <c r="I155" i="1" s="1"/>
  <c r="H154" i="1"/>
  <c r="A154" i="1"/>
  <c r="I154" i="1" s="1"/>
  <c r="H153" i="1"/>
  <c r="I153" i="1" s="1"/>
  <c r="A153" i="1"/>
  <c r="H152" i="1"/>
  <c r="I152" i="1" s="1"/>
  <c r="A152" i="1"/>
  <c r="H151" i="1"/>
  <c r="A151" i="1"/>
  <c r="I151" i="1" s="1"/>
  <c r="H150" i="1"/>
  <c r="A150" i="1"/>
  <c r="I150" i="1" s="1"/>
  <c r="I149" i="1"/>
  <c r="H149" i="1"/>
  <c r="A149" i="1"/>
  <c r="I148" i="1"/>
  <c r="H148" i="1"/>
  <c r="A148" i="1"/>
  <c r="H147" i="1"/>
  <c r="A147" i="1"/>
  <c r="I147" i="1" s="1"/>
  <c r="H146" i="1"/>
  <c r="A146" i="1"/>
  <c r="I146" i="1" s="1"/>
  <c r="H145" i="1"/>
  <c r="I145" i="1" s="1"/>
  <c r="A145" i="1"/>
  <c r="H144" i="1"/>
  <c r="I144" i="1" s="1"/>
  <c r="A144" i="1"/>
  <c r="H143" i="1"/>
  <c r="A143" i="1"/>
  <c r="I143" i="1" s="1"/>
  <c r="H142" i="1"/>
  <c r="A142" i="1"/>
  <c r="I142" i="1" s="1"/>
  <c r="I141" i="1"/>
  <c r="H141" i="1"/>
  <c r="A141" i="1"/>
  <c r="I140" i="1"/>
  <c r="H140" i="1"/>
  <c r="A140" i="1"/>
  <c r="H139" i="1"/>
  <c r="A139" i="1"/>
  <c r="I139" i="1" s="1"/>
  <c r="H138" i="1"/>
  <c r="A138" i="1"/>
  <c r="I138" i="1" s="1"/>
  <c r="H137" i="1"/>
  <c r="I137" i="1" s="1"/>
  <c r="A137" i="1"/>
  <c r="H136" i="1"/>
  <c r="I136" i="1" s="1"/>
  <c r="A136" i="1"/>
  <c r="H135" i="1"/>
  <c r="A135" i="1"/>
  <c r="I135" i="1" s="1"/>
  <c r="H134" i="1"/>
  <c r="A134" i="1"/>
  <c r="I134" i="1" s="1"/>
  <c r="I133" i="1"/>
  <c r="H133" i="1"/>
  <c r="A133" i="1"/>
  <c r="I132" i="1"/>
  <c r="H132" i="1"/>
  <c r="A132" i="1"/>
  <c r="H131" i="1"/>
  <c r="A131" i="1"/>
  <c r="I131" i="1" s="1"/>
  <c r="H130" i="1"/>
  <c r="A130" i="1"/>
  <c r="I130" i="1" s="1"/>
  <c r="H129" i="1"/>
  <c r="I129" i="1" s="1"/>
  <c r="A129" i="1"/>
  <c r="H128" i="1"/>
  <c r="I128" i="1" s="1"/>
  <c r="A128" i="1"/>
  <c r="H127" i="1"/>
  <c r="A127" i="1"/>
  <c r="I127" i="1" s="1"/>
  <c r="H126" i="1"/>
  <c r="A126" i="1"/>
  <c r="I126" i="1" s="1"/>
  <c r="I125" i="1"/>
  <c r="H125" i="1"/>
  <c r="A125" i="1"/>
  <c r="I124" i="1"/>
  <c r="H124" i="1"/>
  <c r="A124" i="1"/>
  <c r="H123" i="1"/>
  <c r="A123" i="1"/>
  <c r="I123" i="1" s="1"/>
  <c r="H122" i="1"/>
  <c r="A122" i="1"/>
  <c r="I122" i="1" s="1"/>
  <c r="H121" i="1"/>
  <c r="I121" i="1" s="1"/>
  <c r="A121" i="1"/>
  <c r="H120" i="1"/>
  <c r="I120" i="1" s="1"/>
  <c r="A120" i="1"/>
  <c r="H119" i="1"/>
  <c r="A119" i="1"/>
  <c r="I119" i="1" s="1"/>
  <c r="H118" i="1"/>
  <c r="A118" i="1"/>
  <c r="I118" i="1" s="1"/>
  <c r="I117" i="1"/>
  <c r="H117" i="1"/>
  <c r="A117" i="1"/>
  <c r="I116" i="1"/>
  <c r="H116" i="1"/>
  <c r="A116" i="1"/>
  <c r="H115" i="1"/>
  <c r="A115" i="1"/>
  <c r="I115" i="1" s="1"/>
  <c r="H114" i="1"/>
  <c r="A114" i="1"/>
  <c r="I114" i="1" s="1"/>
  <c r="H113" i="1"/>
  <c r="I113" i="1" s="1"/>
  <c r="A113" i="1"/>
  <c r="H112" i="1"/>
  <c r="I112" i="1" s="1"/>
  <c r="A112" i="1"/>
  <c r="H111" i="1"/>
  <c r="A111" i="1"/>
  <c r="I111" i="1" s="1"/>
  <c r="H110" i="1"/>
  <c r="A110" i="1"/>
  <c r="I110" i="1" s="1"/>
  <c r="I109" i="1"/>
  <c r="H109" i="1"/>
  <c r="A109" i="1"/>
  <c r="I108" i="1"/>
  <c r="H108" i="1"/>
  <c r="A108" i="1"/>
  <c r="H107" i="1"/>
  <c r="A107" i="1"/>
  <c r="I107" i="1" s="1"/>
  <c r="H106" i="1"/>
  <c r="A106" i="1"/>
  <c r="I106" i="1" s="1"/>
  <c r="H105" i="1"/>
  <c r="I105" i="1" s="1"/>
  <c r="A105" i="1"/>
  <c r="H104" i="1"/>
  <c r="I104" i="1" s="1"/>
  <c r="A104" i="1"/>
  <c r="H103" i="1"/>
  <c r="A103" i="1"/>
  <c r="I103" i="1" s="1"/>
  <c r="H102" i="1"/>
  <c r="A102" i="1"/>
  <c r="I102" i="1" s="1"/>
  <c r="I101" i="1"/>
  <c r="H101" i="1"/>
  <c r="A101" i="1"/>
  <c r="I100" i="1"/>
  <c r="H100" i="1"/>
  <c r="A100" i="1"/>
  <c r="H99" i="1"/>
  <c r="A99" i="1"/>
  <c r="I99" i="1" s="1"/>
  <c r="H98" i="1"/>
  <c r="A98" i="1"/>
  <c r="I98" i="1" s="1"/>
  <c r="H97" i="1"/>
  <c r="I97" i="1" s="1"/>
  <c r="A97" i="1"/>
  <c r="H96" i="1"/>
  <c r="I96" i="1" s="1"/>
  <c r="A96" i="1"/>
  <c r="H95" i="1"/>
  <c r="A95" i="1"/>
  <c r="I95" i="1" s="1"/>
  <c r="H94" i="1"/>
  <c r="A94" i="1"/>
  <c r="I94" i="1" s="1"/>
  <c r="I93" i="1"/>
  <c r="H93" i="1"/>
  <c r="A93" i="1"/>
  <c r="I92" i="1"/>
  <c r="H92" i="1"/>
  <c r="A92" i="1"/>
  <c r="H91" i="1"/>
  <c r="A91" i="1"/>
  <c r="I91" i="1" s="1"/>
  <c r="H90" i="1"/>
  <c r="A90" i="1"/>
  <c r="I90" i="1" s="1"/>
  <c r="H89" i="1"/>
  <c r="I89" i="1" s="1"/>
  <c r="A89" i="1"/>
  <c r="H88" i="1"/>
  <c r="I88" i="1" s="1"/>
  <c r="A88" i="1"/>
  <c r="H87" i="1"/>
  <c r="A87" i="1"/>
  <c r="I87" i="1" s="1"/>
  <c r="H86" i="1"/>
  <c r="A86" i="1"/>
  <c r="I86" i="1" s="1"/>
  <c r="I85" i="1"/>
  <c r="H85" i="1"/>
  <c r="A85" i="1"/>
  <c r="I84" i="1"/>
  <c r="H84" i="1"/>
  <c r="A84" i="1"/>
  <c r="H83" i="1"/>
  <c r="A83" i="1"/>
  <c r="I83" i="1" s="1"/>
  <c r="H82" i="1"/>
  <c r="A82" i="1"/>
  <c r="I82" i="1" s="1"/>
  <c r="H81" i="1"/>
  <c r="I81" i="1" s="1"/>
  <c r="A81" i="1"/>
  <c r="H80" i="1"/>
  <c r="I80" i="1" s="1"/>
  <c r="A80" i="1"/>
  <c r="H79" i="1"/>
  <c r="A79" i="1"/>
  <c r="I79" i="1" s="1"/>
  <c r="H78" i="1"/>
  <c r="A78" i="1"/>
  <c r="I78" i="1" s="1"/>
  <c r="I77" i="1"/>
  <c r="H77" i="1"/>
  <c r="A77" i="1"/>
  <c r="I76" i="1"/>
  <c r="H76" i="1"/>
  <c r="A76" i="1"/>
  <c r="H75" i="1"/>
  <c r="A75" i="1"/>
  <c r="I75" i="1" s="1"/>
  <c r="H74" i="1"/>
  <c r="A74" i="1"/>
  <c r="I74" i="1" s="1"/>
  <c r="H73" i="1"/>
  <c r="I73" i="1" s="1"/>
  <c r="A73" i="1"/>
  <c r="H72" i="1"/>
  <c r="I72" i="1" s="1"/>
  <c r="A72" i="1"/>
  <c r="H71" i="1"/>
  <c r="A71" i="1"/>
  <c r="I71" i="1" s="1"/>
  <c r="H70" i="1"/>
  <c r="A70" i="1"/>
  <c r="I70" i="1" s="1"/>
  <c r="I69" i="1"/>
  <c r="H69" i="1"/>
  <c r="A69" i="1"/>
  <c r="I68" i="1"/>
  <c r="H68" i="1"/>
  <c r="A68" i="1"/>
  <c r="H67" i="1"/>
  <c r="A67" i="1"/>
  <c r="I67" i="1" s="1"/>
  <c r="H66" i="1"/>
  <c r="A66" i="1"/>
  <c r="I66" i="1" s="1"/>
  <c r="H65" i="1"/>
  <c r="I65" i="1" s="1"/>
  <c r="A65" i="1"/>
  <c r="H64" i="1"/>
  <c r="I64" i="1" s="1"/>
  <c r="A64" i="1"/>
  <c r="H63" i="1"/>
  <c r="A63" i="1"/>
  <c r="I63" i="1" s="1"/>
  <c r="H62" i="1"/>
  <c r="A62" i="1"/>
  <c r="I62" i="1" s="1"/>
  <c r="I61" i="1"/>
  <c r="H61" i="1"/>
  <c r="A61" i="1"/>
  <c r="I60" i="1"/>
  <c r="H60" i="1"/>
  <c r="A60" i="1"/>
  <c r="H59" i="1"/>
  <c r="A59" i="1"/>
  <c r="I59" i="1" s="1"/>
  <c r="H58" i="1"/>
  <c r="A58" i="1"/>
  <c r="I58" i="1" s="1"/>
  <c r="H57" i="1"/>
  <c r="I57" i="1" s="1"/>
  <c r="A57" i="1"/>
  <c r="H56" i="1"/>
  <c r="I56" i="1" s="1"/>
  <c r="A56" i="1"/>
  <c r="H55" i="1"/>
  <c r="A55" i="1"/>
  <c r="I55" i="1" s="1"/>
  <c r="H54" i="1"/>
  <c r="A54" i="1"/>
  <c r="I54" i="1" s="1"/>
  <c r="I53" i="1"/>
  <c r="H53" i="1"/>
  <c r="A53" i="1"/>
  <c r="I52" i="1"/>
  <c r="H52" i="1"/>
  <c r="A52" i="1"/>
  <c r="H51" i="1"/>
  <c r="A51" i="1"/>
  <c r="I51" i="1" s="1"/>
  <c r="H50" i="1"/>
  <c r="A50" i="1"/>
  <c r="I50" i="1" s="1"/>
  <c r="H49" i="1"/>
  <c r="I49" i="1" s="1"/>
  <c r="A49" i="1"/>
  <c r="H48" i="1"/>
  <c r="I48" i="1" s="1"/>
  <c r="A48" i="1"/>
  <c r="H47" i="1"/>
  <c r="A47" i="1"/>
  <c r="I47" i="1" s="1"/>
  <c r="H46" i="1"/>
  <c r="A46" i="1"/>
  <c r="I46" i="1" s="1"/>
  <c r="I45" i="1"/>
  <c r="H45" i="1"/>
  <c r="A45" i="1"/>
  <c r="I44" i="1"/>
  <c r="H44" i="1"/>
  <c r="A44" i="1"/>
  <c r="H43" i="1"/>
  <c r="A43" i="1"/>
  <c r="I43" i="1" s="1"/>
  <c r="H42" i="1"/>
  <c r="A42" i="1"/>
  <c r="I42" i="1" s="1"/>
  <c r="H41" i="1"/>
  <c r="I41" i="1" s="1"/>
  <c r="A41" i="1"/>
  <c r="H40" i="1"/>
  <c r="I40" i="1" s="1"/>
  <c r="A40" i="1"/>
  <c r="H39" i="1"/>
  <c r="A39" i="1"/>
  <c r="I39" i="1" s="1"/>
  <c r="H38" i="1"/>
  <c r="A38" i="1"/>
  <c r="I38" i="1" s="1"/>
  <c r="I37" i="1"/>
  <c r="H37" i="1"/>
  <c r="A37" i="1"/>
  <c r="I36" i="1"/>
  <c r="H36" i="1"/>
  <c r="A36" i="1"/>
  <c r="H35" i="1"/>
  <c r="A35" i="1"/>
  <c r="I35" i="1" s="1"/>
  <c r="H34" i="1"/>
  <c r="A34" i="1"/>
  <c r="I34" i="1" s="1"/>
  <c r="H33" i="1"/>
  <c r="I33" i="1" s="1"/>
  <c r="A33" i="1"/>
  <c r="H32" i="1"/>
  <c r="I32" i="1" s="1"/>
  <c r="A32" i="1"/>
  <c r="H31" i="1"/>
  <c r="A31" i="1"/>
  <c r="I31" i="1" s="1"/>
  <c r="H30" i="1"/>
  <c r="A30" i="1"/>
  <c r="I30" i="1" s="1"/>
  <c r="I29" i="1"/>
  <c r="H29" i="1"/>
  <c r="A29" i="1"/>
  <c r="I28" i="1"/>
  <c r="H28" i="1"/>
  <c r="A28" i="1"/>
  <c r="H27" i="1"/>
  <c r="A27" i="1"/>
  <c r="I27" i="1" s="1"/>
  <c r="H26" i="1"/>
  <c r="A26" i="1"/>
  <c r="I26" i="1" s="1"/>
  <c r="H25" i="1"/>
  <c r="I25" i="1" s="1"/>
  <c r="A25" i="1"/>
  <c r="H24" i="1"/>
  <c r="I24" i="1" s="1"/>
  <c r="A24" i="1"/>
  <c r="H23" i="1"/>
  <c r="A23" i="1"/>
  <c r="I23" i="1" s="1"/>
  <c r="H22" i="1"/>
  <c r="A22" i="1"/>
  <c r="I22" i="1" s="1"/>
  <c r="I21" i="1"/>
  <c r="H21" i="1"/>
  <c r="A21" i="1"/>
  <c r="I20" i="1"/>
  <c r="H20" i="1"/>
  <c r="A20" i="1"/>
  <c r="H19" i="1"/>
  <c r="A19" i="1"/>
  <c r="I19" i="1" s="1"/>
  <c r="H18" i="1"/>
  <c r="A18" i="1"/>
  <c r="I18" i="1" s="1"/>
  <c r="H17" i="1"/>
  <c r="I17" i="1" s="1"/>
  <c r="A17" i="1"/>
  <c r="H16" i="1"/>
  <c r="I16" i="1" s="1"/>
  <c r="A16" i="1"/>
  <c r="H15" i="1"/>
  <c r="A15" i="1"/>
  <c r="I15" i="1" s="1"/>
  <c r="H14" i="1"/>
  <c r="A14" i="1"/>
  <c r="I14" i="1" s="1"/>
  <c r="I13" i="1"/>
  <c r="H13" i="1"/>
  <c r="A13" i="1"/>
  <c r="I12" i="1"/>
  <c r="H12" i="1"/>
  <c r="A12" i="1"/>
  <c r="H11" i="1"/>
  <c r="A11" i="1"/>
  <c r="I11" i="1" s="1"/>
  <c r="H10" i="1"/>
  <c r="A10" i="1"/>
  <c r="I10" i="1" s="1"/>
  <c r="H9" i="1"/>
  <c r="I9" i="1" s="1"/>
  <c r="A9" i="1"/>
  <c r="H8" i="1"/>
  <c r="I8" i="1" s="1"/>
  <c r="A8" i="1"/>
  <c r="H7" i="1"/>
  <c r="A7" i="1"/>
  <c r="I7" i="1" s="1"/>
  <c r="H6" i="1"/>
  <c r="A6" i="1"/>
  <c r="I6" i="1" s="1"/>
  <c r="I5" i="1"/>
  <c r="H5" i="1"/>
  <c r="A5" i="1"/>
  <c r="I4" i="1"/>
  <c r="H4" i="1"/>
  <c r="A4" i="1"/>
  <c r="H3" i="1"/>
  <c r="A3" i="1"/>
  <c r="I3" i="1" s="1"/>
  <c r="H2" i="1"/>
  <c r="A2" i="1"/>
  <c r="I2" i="1" s="1"/>
  <c r="I610" i="1" l="1"/>
  <c r="I642" i="1"/>
  <c r="I674" i="1"/>
  <c r="I706" i="1"/>
  <c r="I738" i="1"/>
  <c r="I770" i="1"/>
  <c r="I802" i="1"/>
  <c r="I834" i="1"/>
  <c r="I858" i="1"/>
  <c r="I864" i="1"/>
  <c r="I874" i="1"/>
  <c r="I890" i="1"/>
  <c r="I906" i="1"/>
  <c r="I912" i="1"/>
  <c r="I922" i="1"/>
  <c r="I928" i="1"/>
  <c r="I938" i="1"/>
  <c r="I944" i="1"/>
  <c r="I954" i="1"/>
  <c r="I960" i="1"/>
  <c r="I970" i="1"/>
  <c r="I976" i="1"/>
  <c r="I986" i="1"/>
  <c r="I992" i="1"/>
  <c r="I1002" i="1"/>
  <c r="I1008" i="1"/>
  <c r="I1018" i="1"/>
  <c r="I1024" i="1"/>
  <c r="I1034" i="1"/>
  <c r="I1040" i="1"/>
  <c r="I1050" i="1"/>
  <c r="I1056" i="1"/>
  <c r="I1066" i="1"/>
  <c r="I1072" i="1"/>
  <c r="I1082" i="1"/>
  <c r="I1088" i="1"/>
  <c r="I1098" i="1"/>
  <c r="I1104" i="1"/>
  <c r="I1114" i="1"/>
  <c r="I1130" i="1"/>
  <c r="I1146" i="1"/>
  <c r="I1162" i="1"/>
  <c r="I1178" i="1"/>
  <c r="I1194" i="1"/>
  <c r="I1210" i="1"/>
  <c r="I1226" i="1"/>
  <c r="I1290" i="1"/>
  <c r="I1354" i="1"/>
  <c r="I1418" i="1"/>
  <c r="I1482" i="1"/>
  <c r="I1546" i="1"/>
  <c r="I1610" i="1"/>
  <c r="I1674" i="1"/>
  <c r="I1738" i="1"/>
  <c r="I1802" i="1"/>
  <c r="I1866" i="1"/>
  <c r="I1930" i="1"/>
  <c r="I1994" i="1"/>
  <c r="I2058" i="1"/>
  <c r="I2122" i="1"/>
  <c r="I2186" i="1"/>
  <c r="I2250" i="1"/>
  <c r="I2314" i="1"/>
  <c r="I2378" i="1"/>
  <c r="I2442" i="1"/>
  <c r="I2506" i="1"/>
  <c r="I2570" i="1"/>
  <c r="I2634" i="1"/>
  <c r="I602" i="1"/>
  <c r="I634" i="1"/>
  <c r="I666" i="1"/>
  <c r="I698" i="1"/>
  <c r="I730" i="1"/>
  <c r="I762" i="1"/>
  <c r="I794" i="1"/>
  <c r="I826" i="1"/>
  <c r="I1274" i="1"/>
  <c r="I1338" i="1"/>
  <c r="I1402" i="1"/>
  <c r="I1466" i="1"/>
  <c r="I1530" i="1"/>
  <c r="I1594" i="1"/>
  <c r="I1658" i="1"/>
  <c r="I1722" i="1"/>
  <c r="I1786" i="1"/>
  <c r="I1850" i="1"/>
  <c r="I1914" i="1"/>
  <c r="I1978" i="1"/>
  <c r="I2042" i="1"/>
  <c r="I2106" i="1"/>
  <c r="I2170" i="1"/>
  <c r="I2234" i="1"/>
  <c r="I2298" i="1"/>
  <c r="I2362" i="1"/>
  <c r="I2426" i="1"/>
  <c r="I2490" i="1"/>
  <c r="I2554" i="1"/>
  <c r="I2618" i="1"/>
  <c r="I2682" i="1"/>
  <c r="I1218" i="1"/>
  <c r="I1258" i="1"/>
  <c r="I1322" i="1"/>
  <c r="I1386" i="1"/>
  <c r="I1450" i="1"/>
  <c r="I1514" i="1"/>
  <c r="I1578" i="1"/>
  <c r="I1642" i="1"/>
  <c r="I1706" i="1"/>
  <c r="I1770" i="1"/>
  <c r="I1834" i="1"/>
  <c r="I1898" i="1"/>
  <c r="I1962" i="1"/>
  <c r="I2026" i="1"/>
  <c r="I2090" i="1"/>
  <c r="I2154" i="1"/>
  <c r="I2218" i="1"/>
  <c r="I2282" i="1"/>
  <c r="I2346" i="1"/>
  <c r="I2410" i="1"/>
  <c r="I2474" i="1"/>
  <c r="I2538" i="1"/>
  <c r="I2602" i="1"/>
  <c r="I2666" i="1"/>
  <c r="I600" i="1"/>
  <c r="I632" i="1"/>
  <c r="I664" i="1"/>
  <c r="I696" i="1"/>
  <c r="I728" i="1"/>
  <c r="I760" i="1"/>
  <c r="I792" i="1"/>
  <c r="I1282" i="1"/>
  <c r="I1346" i="1"/>
  <c r="I1410" i="1"/>
  <c r="I1474" i="1"/>
  <c r="I1538" i="1"/>
  <c r="I1602" i="1"/>
  <c r="I1666" i="1"/>
  <c r="I1730" i="1"/>
  <c r="I1794" i="1"/>
  <c r="I1858" i="1"/>
  <c r="I1922" i="1"/>
  <c r="I1986" i="1"/>
  <c r="I2050" i="1"/>
  <c r="I2114" i="1"/>
  <c r="I2178" i="1"/>
  <c r="I2242" i="1"/>
  <c r="I2306" i="1"/>
  <c r="I2370" i="1"/>
  <c r="I2434" i="1"/>
  <c r="I2498" i="1"/>
  <c r="I2562" i="1"/>
  <c r="I2626" i="1"/>
  <c r="I2761" i="1"/>
  <c r="I2776" i="1"/>
  <c r="I2791" i="1"/>
  <c r="I2825" i="1"/>
  <c r="I2840" i="1"/>
  <c r="I2855" i="1"/>
  <c r="I2889" i="1"/>
  <c r="I2904" i="1"/>
  <c r="I3056" i="1"/>
  <c r="I3073" i="1"/>
  <c r="I3120" i="1"/>
  <c r="I3137" i="1"/>
  <c r="I3184" i="1"/>
  <c r="I3201" i="1"/>
  <c r="I3248" i="1"/>
  <c r="I3265" i="1"/>
  <c r="I3312" i="1"/>
  <c r="I3329" i="1"/>
  <c r="I3376" i="1"/>
  <c r="I3393" i="1"/>
  <c r="I3440" i="1"/>
  <c r="I3457" i="1"/>
  <c r="I3504" i="1"/>
  <c r="I3521" i="1"/>
  <c r="I3568" i="1"/>
  <c r="I3585" i="1"/>
  <c r="I3632" i="1"/>
  <c r="I3649" i="1"/>
  <c r="I3696" i="1"/>
  <c r="I3713" i="1"/>
  <c r="I3760" i="1"/>
  <c r="I3777" i="1"/>
  <c r="I3824" i="1"/>
  <c r="I3841" i="1"/>
  <c r="I3888" i="1"/>
  <c r="I3905" i="1"/>
  <c r="I3952" i="1"/>
  <c r="I4016" i="1"/>
  <c r="I4080" i="1"/>
  <c r="I4144" i="1"/>
  <c r="I2743" i="1"/>
  <c r="I2777" i="1"/>
  <c r="I2792" i="1"/>
  <c r="I2807" i="1"/>
  <c r="I2841" i="1"/>
  <c r="I2856" i="1"/>
  <c r="I2871" i="1"/>
  <c r="I2905" i="1"/>
  <c r="I3040" i="1"/>
  <c r="I3057" i="1"/>
  <c r="I3104" i="1"/>
  <c r="I3121" i="1"/>
  <c r="I3168" i="1"/>
  <c r="I3185" i="1"/>
  <c r="I3232" i="1"/>
  <c r="I3249" i="1"/>
  <c r="I3296" i="1"/>
  <c r="I3313" i="1"/>
  <c r="I3360" i="1"/>
  <c r="I3377" i="1"/>
  <c r="I3424" i="1"/>
  <c r="I3441" i="1"/>
  <c r="I3488" i="1"/>
  <c r="I3505" i="1"/>
  <c r="I3552" i="1"/>
  <c r="I3569" i="1"/>
  <c r="I3616" i="1"/>
  <c r="I3633" i="1"/>
  <c r="I3680" i="1"/>
  <c r="I3697" i="1"/>
  <c r="I3744" i="1"/>
  <c r="I3761" i="1"/>
  <c r="I3808" i="1"/>
  <c r="I3825" i="1"/>
  <c r="I3872" i="1"/>
  <c r="I3889" i="1"/>
  <c r="I3936" i="1"/>
  <c r="I3953" i="1"/>
  <c r="I4000" i="1"/>
  <c r="I4064" i="1"/>
  <c r="I4128" i="1"/>
  <c r="I3024" i="1"/>
  <c r="I3041" i="1"/>
  <c r="I3088" i="1"/>
  <c r="I3105" i="1"/>
  <c r="I3152" i="1"/>
  <c r="I3169" i="1"/>
  <c r="I3216" i="1"/>
  <c r="I3233" i="1"/>
  <c r="I3280" i="1"/>
  <c r="I3297" i="1"/>
  <c r="I3344" i="1"/>
  <c r="I3361" i="1"/>
  <c r="I3408" i="1"/>
  <c r="I3425" i="1"/>
  <c r="I3472" i="1"/>
  <c r="I3489" i="1"/>
  <c r="I3536" i="1"/>
  <c r="I3553" i="1"/>
  <c r="I3600" i="1"/>
  <c r="I3617" i="1"/>
  <c r="I3664" i="1"/>
  <c r="I3681" i="1"/>
  <c r="I3728" i="1"/>
  <c r="I3745" i="1"/>
  <c r="I3792" i="1"/>
  <c r="I3809" i="1"/>
  <c r="I3856" i="1"/>
  <c r="I3873" i="1"/>
  <c r="I3920" i="1"/>
  <c r="I3937" i="1"/>
  <c r="I3984" i="1"/>
  <c r="I4048" i="1"/>
  <c r="I4112" i="1"/>
  <c r="I4176" i="1"/>
  <c r="I2719" i="1"/>
  <c r="I2769" i="1"/>
  <c r="I2784" i="1"/>
  <c r="I2799" i="1"/>
  <c r="I2833" i="1"/>
  <c r="I2848" i="1"/>
  <c r="I2863" i="1"/>
  <c r="I2897" i="1"/>
  <c r="I2912" i="1"/>
  <c r="I2928" i="1"/>
  <c r="I2944" i="1"/>
  <c r="I2960" i="1"/>
  <c r="I2976" i="1"/>
  <c r="I2992" i="1"/>
  <c r="I3008" i="1"/>
  <c r="I3048" i="1"/>
  <c r="I3065" i="1"/>
  <c r="I3112" i="1"/>
  <c r="I3129" i="1"/>
  <c r="I3176" i="1"/>
  <c r="I3193" i="1"/>
  <c r="I3240" i="1"/>
  <c r="I3257" i="1"/>
  <c r="I3304" i="1"/>
  <c r="I3321" i="1"/>
  <c r="I3368" i="1"/>
  <c r="I3385" i="1"/>
  <c r="I3432" i="1"/>
  <c r="I3449" i="1"/>
  <c r="I3496" i="1"/>
  <c r="I3513" i="1"/>
  <c r="I3560" i="1"/>
  <c r="I3577" i="1"/>
  <c r="I3624" i="1"/>
  <c r="I3641" i="1"/>
  <c r="I3688" i="1"/>
  <c r="I3705" i="1"/>
  <c r="I3752" i="1"/>
  <c r="I3769" i="1"/>
  <c r="I3816" i="1"/>
  <c r="I3833" i="1"/>
  <c r="I3880" i="1"/>
  <c r="I3897" i="1"/>
  <c r="I3944" i="1"/>
  <c r="I4008" i="1"/>
  <c r="I4072" i="1"/>
  <c r="I4136" i="1"/>
  <c r="I2745" i="1"/>
  <c r="I2760" i="1"/>
  <c r="I2775" i="1"/>
  <c r="I2809" i="1"/>
  <c r="I2824" i="1"/>
  <c r="I2839" i="1"/>
  <c r="I2873" i="1"/>
  <c r="I2888" i="1"/>
  <c r="I2903" i="1"/>
  <c r="I3025" i="1"/>
  <c r="I3072" i="1"/>
  <c r="I3089" i="1"/>
  <c r="I3136" i="1"/>
  <c r="I3153" i="1"/>
  <c r="I3200" i="1"/>
  <c r="I3217" i="1"/>
  <c r="I3264" i="1"/>
  <c r="I3281" i="1"/>
  <c r="I3328" i="1"/>
  <c r="I3345" i="1"/>
  <c r="I3392" i="1"/>
  <c r="I3409" i="1"/>
  <c r="I3456" i="1"/>
  <c r="I3473" i="1"/>
  <c r="I3520" i="1"/>
  <c r="I3537" i="1"/>
  <c r="I3584" i="1"/>
  <c r="I3601" i="1"/>
  <c r="I3648" i="1"/>
  <c r="I3665" i="1"/>
  <c r="I3712" i="1"/>
  <c r="I3729" i="1"/>
  <c r="I3776" i="1"/>
  <c r="I3793" i="1"/>
  <c r="I3840" i="1"/>
  <c r="I3857" i="1"/>
  <c r="I3904" i="1"/>
  <c r="I3921" i="1"/>
  <c r="I3968" i="1"/>
  <c r="I4032" i="1"/>
  <c r="I4096" i="1"/>
  <c r="I4160" i="1"/>
  <c r="I4758" i="1"/>
  <c r="I4774" i="1"/>
  <c r="I4790" i="1"/>
  <c r="I4806" i="1"/>
  <c r="I4822" i="1"/>
  <c r="I4838" i="1"/>
  <c r="I4854" i="1"/>
  <c r="I4870" i="1"/>
  <c r="I4886" i="1"/>
  <c r="I4902" i="1"/>
  <c r="I4918" i="1"/>
  <c r="I4934" i="1"/>
  <c r="I4950" i="1"/>
  <c r="I4966" i="1"/>
  <c r="I4982" i="1"/>
  <c r="I4998" i="1"/>
  <c r="I5014" i="1"/>
  <c r="I5030" i="1"/>
  <c r="I5046" i="1"/>
  <c r="I5062" i="1"/>
  <c r="I5078" i="1"/>
  <c r="I5094" i="1"/>
  <c r="I5110" i="1"/>
  <c r="I5126" i="1"/>
  <c r="I5142" i="1"/>
  <c r="I5158" i="1"/>
  <c r="I5174" i="1"/>
  <c r="I5190" i="1"/>
  <c r="I5206" i="1"/>
  <c r="I5222" i="1"/>
  <c r="I5238" i="1"/>
  <c r="I5254" i="1"/>
  <c r="I5270" i="1"/>
  <c r="I5286" i="1"/>
  <c r="I5302" i="1"/>
  <c r="I5318" i="1"/>
  <c r="I5334" i="1"/>
  <c r="I5350" i="1"/>
  <c r="I5366" i="1"/>
  <c r="I5382" i="1"/>
  <c r="I5398" i="1"/>
  <c r="I5414" i="1"/>
  <c r="I5430" i="1"/>
  <c r="I5446" i="1"/>
  <c r="I5462" i="1"/>
  <c r="I5502" i="1"/>
  <c r="I5566" i="1"/>
  <c r="I5630" i="1"/>
  <c r="I4502" i="1"/>
  <c r="I4550" i="1"/>
  <c r="I4582" i="1"/>
  <c r="I4614" i="1"/>
  <c r="I4646" i="1"/>
  <c r="I4678" i="1"/>
  <c r="I4690" i="1"/>
  <c r="I4702" i="1"/>
  <c r="I5614" i="1"/>
  <c r="I4486" i="1"/>
  <c r="I4542" i="1"/>
  <c r="I4574" i="1"/>
  <c r="I4606" i="1"/>
  <c r="I4638" i="1"/>
  <c r="I4670" i="1"/>
  <c r="I4706" i="1"/>
  <c r="I4718" i="1"/>
  <c r="I5454" i="1"/>
  <c r="I5470" i="1"/>
  <c r="I5534" i="1"/>
  <c r="I5598" i="1"/>
  <c r="I4470" i="1"/>
  <c r="I4534" i="1"/>
  <c r="I4566" i="1"/>
  <c r="I4598" i="1"/>
  <c r="I4630" i="1"/>
  <c r="I4662" i="1"/>
  <c r="I4722" i="1"/>
  <c r="I5494" i="1"/>
  <c r="I5558" i="1"/>
  <c r="I5622" i="1"/>
  <c r="I5670" i="1"/>
  <c r="I5702" i="1"/>
  <c r="I5734" i="1"/>
  <c r="I5766" i="1"/>
  <c r="I5798" i="1"/>
  <c r="I4462" i="1"/>
  <c r="I4526" i="1"/>
  <c r="I4546" i="1"/>
  <c r="I4578" i="1"/>
  <c r="I4610" i="1"/>
  <c r="I4642" i="1"/>
  <c r="I4674" i="1"/>
  <c r="I4698" i="1"/>
  <c r="I4710" i="1"/>
  <c r="I4738" i="1"/>
  <c r="I4754" i="1"/>
  <c r="I4770" i="1"/>
  <c r="I4786" i="1"/>
  <c r="I4802" i="1"/>
  <c r="I4818" i="1"/>
  <c r="I4834" i="1"/>
  <c r="I4850" i="1"/>
  <c r="I4866" i="1"/>
  <c r="I4882" i="1"/>
  <c r="I4898" i="1"/>
  <c r="I4914" i="1"/>
  <c r="I4930" i="1"/>
  <c r="I4946" i="1"/>
  <c r="I4962" i="1"/>
  <c r="I4978" i="1"/>
  <c r="I4994" i="1"/>
  <c r="I5010" i="1"/>
  <c r="I5026" i="1"/>
  <c r="I5042" i="1"/>
  <c r="I5058" i="1"/>
  <c r="I5074" i="1"/>
  <c r="I5090" i="1"/>
  <c r="I5106" i="1"/>
  <c r="I5122" i="1"/>
  <c r="I5138" i="1"/>
  <c r="I5154" i="1"/>
  <c r="I5170" i="1"/>
  <c r="I5186" i="1"/>
  <c r="I5202" i="1"/>
  <c r="I5218" i="1"/>
  <c r="I5234" i="1"/>
  <c r="I5250" i="1"/>
  <c r="I5266" i="1"/>
  <c r="I5282" i="1"/>
  <c r="I5298" i="1"/>
  <c r="I5314" i="1"/>
  <c r="I5330" i="1"/>
  <c r="I5346" i="1"/>
  <c r="I5362" i="1"/>
  <c r="I5378" i="1"/>
  <c r="I5394" i="1"/>
  <c r="I5410" i="1"/>
  <c r="I5426" i="1"/>
  <c r="I5442" i="1"/>
  <c r="I5458" i="1"/>
  <c r="I5518" i="1"/>
  <c r="I5582" i="1"/>
  <c r="I5646" i="1"/>
  <c r="I5923" i="1"/>
  <c r="I5955" i="1"/>
  <c r="I5987" i="1"/>
  <c r="I5997" i="1"/>
  <c r="I6003" i="1"/>
  <c r="I6013" i="1"/>
  <c r="I6019" i="1"/>
  <c r="I6029" i="1"/>
  <c r="I6052" i="1"/>
  <c r="I6069" i="1"/>
  <c r="I5947" i="1"/>
  <c r="I5979" i="1"/>
  <c r="I5988" i="1"/>
  <c r="I6004" i="1"/>
  <c r="I6020" i="1"/>
  <c r="I6036" i="1"/>
  <c r="I6053" i="1"/>
  <c r="I5939" i="1"/>
  <c r="I5971" i="1"/>
  <c r="I5989" i="1"/>
  <c r="I5995" i="1"/>
  <c r="I6005" i="1"/>
  <c r="I6021" i="1"/>
  <c r="I6037" i="1"/>
  <c r="I6067" i="1"/>
  <c r="I5931" i="1"/>
  <c r="I5963" i="1"/>
  <c r="I5996" i="1"/>
  <c r="I6012" i="1"/>
  <c r="I6028" i="1"/>
  <c r="I6051" i="1"/>
  <c r="I6068" i="1"/>
  <c r="I7317" i="1"/>
  <c r="I7333" i="1"/>
  <c r="I7349" i="1"/>
  <c r="I7365" i="1"/>
  <c r="I7381" i="1"/>
  <c r="I7397" i="1"/>
  <c r="I7413" i="1"/>
  <c r="I7477" i="1"/>
  <c r="I7541" i="1"/>
  <c r="I7605" i="1"/>
  <c r="I7669" i="1"/>
  <c r="I7733" i="1"/>
  <c r="I7797" i="1"/>
  <c r="I7861" i="1"/>
  <c r="I7821" i="1"/>
  <c r="I7885" i="1"/>
  <c r="I7949" i="1"/>
  <c r="I8013" i="1"/>
  <c r="I7297" i="1"/>
  <c r="I7321" i="1"/>
  <c r="I7337" i="1"/>
  <c r="I7353" i="1"/>
  <c r="I7369" i="1"/>
  <c r="I7385" i="1"/>
  <c r="I7401" i="1"/>
  <c r="I7461" i="1"/>
  <c r="I7525" i="1"/>
  <c r="I7589" i="1"/>
  <c r="I7653" i="1"/>
  <c r="I7717" i="1"/>
  <c r="I7421" i="1"/>
  <c r="I7485" i="1"/>
  <c r="I7549" i="1"/>
  <c r="I7613" i="1"/>
  <c r="I7677" i="1"/>
  <c r="I7741" i="1"/>
  <c r="I7805" i="1"/>
  <c r="I7869" i="1"/>
  <c r="I7933" i="1"/>
  <c r="I7997" i="1"/>
  <c r="I8045" i="1"/>
  <c r="I7313" i="1"/>
  <c r="I7329" i="1"/>
  <c r="I7345" i="1"/>
  <c r="I7361" i="1"/>
  <c r="I7377" i="1"/>
  <c r="I7393" i="1"/>
  <c r="I7409" i="1"/>
  <c r="I7429" i="1"/>
  <c r="I7493" i="1"/>
  <c r="I7557" i="1"/>
  <c r="I7621" i="1"/>
  <c r="I7685" i="1"/>
  <c r="I7749" i="1"/>
  <c r="I7813" i="1"/>
  <c r="I7877" i="1"/>
  <c r="I7941" i="1"/>
  <c r="I7965" i="1"/>
  <c r="I8029" i="1"/>
  <c r="I8269" i="1"/>
  <c r="I8325" i="1"/>
  <c r="I8261" i="1"/>
  <c r="I8343" i="1"/>
  <c r="I8375" i="1"/>
  <c r="I8407" i="1"/>
  <c r="I8439" i="1"/>
  <c r="I8487" i="1"/>
  <c r="I8551" i="1"/>
  <c r="I8309" i="1"/>
  <c r="I8335" i="1"/>
  <c r="I8367" i="1"/>
  <c r="I8399" i="1"/>
  <c r="I8431" i="1"/>
  <c r="I8503" i="1"/>
  <c r="I8567" i="1"/>
  <c r="I8301" i="1"/>
  <c r="I8341" i="1"/>
  <c r="I8373" i="1"/>
  <c r="I8423" i="1"/>
  <c r="I8455" i="1"/>
  <c r="I8519" i="1"/>
  <c r="I8583" i="1"/>
  <c r="I8277" i="1"/>
  <c r="I8319" i="1"/>
  <c r="I8351" i="1"/>
  <c r="I8383" i="1"/>
  <c r="I8415" i="1"/>
  <c r="I8447" i="1"/>
  <c r="I8471" i="1"/>
  <c r="I8535" i="1"/>
  <c r="I8599" i="1"/>
</calcChain>
</file>

<file path=xl/sharedStrings.xml><?xml version="1.0" encoding="utf-8"?>
<sst xmlns="http://schemas.openxmlformats.org/spreadsheetml/2006/main" count="1417" uniqueCount="685">
  <si>
    <t>Gene Symbol</t>
  </si>
  <si>
    <t>1K</t>
  </si>
  <si>
    <t>4K</t>
  </si>
  <si>
    <t>17K</t>
  </si>
  <si>
    <t>200Kp</t>
  </si>
  <si>
    <t>200Ks</t>
  </si>
  <si>
    <t>Sum</t>
  </si>
  <si>
    <t>Cluster</t>
  </si>
  <si>
    <t>Usp32</t>
  </si>
  <si>
    <t>IB</t>
  </si>
  <si>
    <t>Pak6</t>
  </si>
  <si>
    <t>Cttnbp2nl</t>
  </si>
  <si>
    <t>Gmip</t>
  </si>
  <si>
    <t>Gigyf2</t>
  </si>
  <si>
    <t>Eps8l1</t>
  </si>
  <si>
    <t>Erc1</t>
  </si>
  <si>
    <t>Gsn</t>
  </si>
  <si>
    <t>Ankhd1</t>
  </si>
  <si>
    <t>IA1</t>
  </si>
  <si>
    <t>Kank1</t>
  </si>
  <si>
    <t>Camsap3</t>
  </si>
  <si>
    <t>Cobll1</t>
  </si>
  <si>
    <t>Fam13b</t>
  </si>
  <si>
    <t>Ppp1r37</t>
  </si>
  <si>
    <t>Kif1c</t>
  </si>
  <si>
    <t>Apc</t>
  </si>
  <si>
    <t>IA2a</t>
  </si>
  <si>
    <t>Ablim1</t>
  </si>
  <si>
    <t>Rnf123</t>
  </si>
  <si>
    <t>Lmtk2</t>
  </si>
  <si>
    <t>Ahnak</t>
  </si>
  <si>
    <t>Farp1</t>
  </si>
  <si>
    <t>Ppm1h</t>
  </si>
  <si>
    <t>Mark2</t>
  </si>
  <si>
    <t>Plekha7</t>
  </si>
  <si>
    <t>Ppp1r14a</t>
  </si>
  <si>
    <t>Ubxn6</t>
  </si>
  <si>
    <t>Dis3l2</t>
  </si>
  <si>
    <t>Septin9</t>
  </si>
  <si>
    <t>Sptbn2</t>
  </si>
  <si>
    <t>Kalrn</t>
  </si>
  <si>
    <t>Lasp1</t>
  </si>
  <si>
    <t>Rab11fip5</t>
  </si>
  <si>
    <t>IA2b</t>
  </si>
  <si>
    <t>Efnb1</t>
  </si>
  <si>
    <t>Nsd3</t>
  </si>
  <si>
    <t>Stam</t>
  </si>
  <si>
    <t>Ralgapb</t>
  </si>
  <si>
    <t>Prkch</t>
  </si>
  <si>
    <t>Map3k11</t>
  </si>
  <si>
    <t>RGD1561149</t>
  </si>
  <si>
    <t>Farp2</t>
  </si>
  <si>
    <t>Agap3</t>
  </si>
  <si>
    <t>Vcpip1</t>
  </si>
  <si>
    <t>IA2c</t>
  </si>
  <si>
    <t>Triobp</t>
  </si>
  <si>
    <t>Slco4a1</t>
  </si>
  <si>
    <t>Klrg2</t>
  </si>
  <si>
    <t>Sh2b1</t>
  </si>
  <si>
    <t>Map4k4</t>
  </si>
  <si>
    <t>Celsr1</t>
  </si>
  <si>
    <t>Ppl</t>
  </si>
  <si>
    <t>Map2</t>
  </si>
  <si>
    <t>Elk1</t>
  </si>
  <si>
    <t>Fam126b</t>
  </si>
  <si>
    <t>rCG37581</t>
  </si>
  <si>
    <t>Anapc1</t>
  </si>
  <si>
    <t>Pkn2</t>
  </si>
  <si>
    <t>Tnks1bp1</t>
  </si>
  <si>
    <t>Tjp3</t>
  </si>
  <si>
    <t>Dennd4c</t>
  </si>
  <si>
    <t>Ccs</t>
  </si>
  <si>
    <t>IIA1a</t>
  </si>
  <si>
    <t>Tbc1d12</t>
  </si>
  <si>
    <t>Lrrfip1</t>
  </si>
  <si>
    <t>RGD1561662</t>
  </si>
  <si>
    <t>Gys1</t>
  </si>
  <si>
    <t>Ctnnb1</t>
  </si>
  <si>
    <t>Rab11fip1</t>
  </si>
  <si>
    <t>Atp11c</t>
  </si>
  <si>
    <t>Myo9b</t>
  </si>
  <si>
    <t>Mtm1</t>
  </si>
  <si>
    <t>Stmn1</t>
  </si>
  <si>
    <t>Kifap3</t>
  </si>
  <si>
    <t>Aqp2</t>
  </si>
  <si>
    <t>Slc44a3</t>
  </si>
  <si>
    <t>Cgn</t>
  </si>
  <si>
    <t>Rps6ka3</t>
  </si>
  <si>
    <t>Lrba</t>
  </si>
  <si>
    <t>Arhgef1</t>
  </si>
  <si>
    <t>IIA1b</t>
  </si>
  <si>
    <t>Plekhg3</t>
  </si>
  <si>
    <t>Luzp1</t>
  </si>
  <si>
    <t>Cdk18</t>
  </si>
  <si>
    <t>Plxdc2</t>
  </si>
  <si>
    <t>Kif13b</t>
  </si>
  <si>
    <t>Pdlim5</t>
  </si>
  <si>
    <t>Fam83h</t>
  </si>
  <si>
    <t>Lrrfip2</t>
  </si>
  <si>
    <t>Pum1</t>
  </si>
  <si>
    <t>Tmsb4x</t>
  </si>
  <si>
    <t>IIB1a</t>
  </si>
  <si>
    <t>Ralgapa1</t>
  </si>
  <si>
    <t>Plec</t>
  </si>
  <si>
    <t>R3hdm2</t>
  </si>
  <si>
    <t>Dsp</t>
  </si>
  <si>
    <t>Camk2d</t>
  </si>
  <si>
    <t>IIB1b</t>
  </si>
  <si>
    <t>Camk2g</t>
  </si>
  <si>
    <t>Grip1</t>
  </si>
  <si>
    <t>Sptbn1</t>
  </si>
  <si>
    <t>Lmnb2</t>
  </si>
  <si>
    <t>Itsn2</t>
  </si>
  <si>
    <t>Pik3c2a</t>
  </si>
  <si>
    <t>Pxn</t>
  </si>
  <si>
    <t>Arhgap27</t>
  </si>
  <si>
    <t>Parva</t>
  </si>
  <si>
    <t>Slc38a1</t>
  </si>
  <si>
    <t>IIIA</t>
  </si>
  <si>
    <t>Uvrag</t>
  </si>
  <si>
    <t>Rap1gap</t>
  </si>
  <si>
    <t>Sh3bp5l</t>
  </si>
  <si>
    <t>Lad1</t>
  </si>
  <si>
    <t>Mfsd5</t>
  </si>
  <si>
    <t>Pi4ka</t>
  </si>
  <si>
    <t>IIIB1</t>
  </si>
  <si>
    <t>Utrn</t>
  </si>
  <si>
    <t>Zc3h12c</t>
  </si>
  <si>
    <t>Crtc3</t>
  </si>
  <si>
    <t>Arhgef16</t>
  </si>
  <si>
    <t>Tln1</t>
  </si>
  <si>
    <t>Eef2</t>
  </si>
  <si>
    <t>Hspb1</t>
  </si>
  <si>
    <t>Raph1</t>
  </si>
  <si>
    <t>F11r</t>
  </si>
  <si>
    <t>Sh3gl1</t>
  </si>
  <si>
    <t>Pkp3</t>
  </si>
  <si>
    <t>Trim28</t>
  </si>
  <si>
    <t>Tpd52l1</t>
  </si>
  <si>
    <t>Tex2</t>
  </si>
  <si>
    <t>Ap3d1</t>
  </si>
  <si>
    <t>IIIB2</t>
  </si>
  <si>
    <t>Prkd2</t>
  </si>
  <si>
    <t>Nipal3</t>
  </si>
  <si>
    <t>Pak2</t>
  </si>
  <si>
    <t>Dhrs13</t>
  </si>
  <si>
    <t>Septin7</t>
  </si>
  <si>
    <t>Proser2</t>
  </si>
  <si>
    <t>IVA</t>
  </si>
  <si>
    <t>Ajuba</t>
  </si>
  <si>
    <t>Srp14</t>
  </si>
  <si>
    <t>Slc7a6os</t>
  </si>
  <si>
    <t>Afdn</t>
  </si>
  <si>
    <t>IVB</t>
  </si>
  <si>
    <t>Rock2</t>
  </si>
  <si>
    <t>Il10rb</t>
  </si>
  <si>
    <t>Usp53</t>
  </si>
  <si>
    <t>Epb41l1</t>
  </si>
  <si>
    <t>Pard3</t>
  </si>
  <si>
    <t>Zfyve16</t>
  </si>
  <si>
    <t>Arvcf</t>
  </si>
  <si>
    <t>Leng1</t>
  </si>
  <si>
    <t>Kinases</t>
  </si>
  <si>
    <t>ADCK1</t>
  </si>
  <si>
    <t>ADCK2</t>
  </si>
  <si>
    <t>ADCK3</t>
  </si>
  <si>
    <t>ADCK4</t>
  </si>
  <si>
    <t>ADCK5</t>
  </si>
  <si>
    <t>ALPK1</t>
  </si>
  <si>
    <t>ALPK2</t>
  </si>
  <si>
    <t>ALPK3</t>
  </si>
  <si>
    <t>ATM</t>
  </si>
  <si>
    <t>ATR</t>
  </si>
  <si>
    <t>BCKDK</t>
  </si>
  <si>
    <t>CSNK2A3</t>
  </si>
  <si>
    <t>ERN1</t>
  </si>
  <si>
    <t>ERN2</t>
  </si>
  <si>
    <t>FASTK</t>
  </si>
  <si>
    <t>Gm4776</t>
  </si>
  <si>
    <t>Gm4922</t>
  </si>
  <si>
    <t>Gm7168</t>
  </si>
  <si>
    <t>PAN3</t>
  </si>
  <si>
    <t>PDPK2</t>
  </si>
  <si>
    <t>PIK3CA</t>
  </si>
  <si>
    <t>PLK5</t>
  </si>
  <si>
    <t>PRKACG</t>
  </si>
  <si>
    <t>PRKDC</t>
  </si>
  <si>
    <t>RIOK1</t>
  </si>
  <si>
    <t>RIOK2</t>
  </si>
  <si>
    <t>RIOK3</t>
  </si>
  <si>
    <t>SMG1</t>
  </si>
  <si>
    <t>Smok1</t>
  </si>
  <si>
    <t>Smok2a</t>
  </si>
  <si>
    <t>Smok2b</t>
  </si>
  <si>
    <t>Smok3a</t>
  </si>
  <si>
    <t>Smok4a</t>
  </si>
  <si>
    <t>Smoktcr</t>
  </si>
  <si>
    <t>TRPM6</t>
  </si>
  <si>
    <t>TRPM7</t>
  </si>
  <si>
    <t>STK11</t>
  </si>
  <si>
    <t>PBK</t>
  </si>
  <si>
    <t>CAMKK2</t>
  </si>
  <si>
    <t>AAK1</t>
  </si>
  <si>
    <t>BMP2K</t>
  </si>
  <si>
    <t>GAK</t>
  </si>
  <si>
    <t>MINK1</t>
  </si>
  <si>
    <t>MYO3A</t>
  </si>
  <si>
    <t>MYO3B</t>
  </si>
  <si>
    <t>NRK</t>
  </si>
  <si>
    <t>TNIK</t>
  </si>
  <si>
    <t>STK3</t>
  </si>
  <si>
    <t>CAMKK1</t>
  </si>
  <si>
    <t>EEF2K</t>
  </si>
  <si>
    <t>MAP4K1</t>
  </si>
  <si>
    <t>MAP4K2</t>
  </si>
  <si>
    <t>MAP4K4</t>
  </si>
  <si>
    <t>STK4</t>
  </si>
  <si>
    <t>STK10</t>
  </si>
  <si>
    <t>OXSR1</t>
  </si>
  <si>
    <t>STRADA</t>
  </si>
  <si>
    <t>STRADB</t>
  </si>
  <si>
    <t>NEK4</t>
  </si>
  <si>
    <t>MST4</t>
  </si>
  <si>
    <t>CDK12</t>
  </si>
  <si>
    <t>TAOK1</t>
  </si>
  <si>
    <t>TAOK3</t>
  </si>
  <si>
    <t>STK24</t>
  </si>
  <si>
    <t>NEK11</t>
  </si>
  <si>
    <t>STK25</t>
  </si>
  <si>
    <t>TTK</t>
  </si>
  <si>
    <t>TAOK2</t>
  </si>
  <si>
    <t>MAP4K3</t>
  </si>
  <si>
    <t>MAP4K5</t>
  </si>
  <si>
    <t>MAP3K15</t>
  </si>
  <si>
    <t>MAP3K19</t>
  </si>
  <si>
    <t>MAP3K2</t>
  </si>
  <si>
    <t>MAP3K3</t>
  </si>
  <si>
    <t>BUB1</t>
  </si>
  <si>
    <t>MAP2K2</t>
  </si>
  <si>
    <t>STK16</t>
  </si>
  <si>
    <t>ROCK2</t>
  </si>
  <si>
    <t>NEK1</t>
  </si>
  <si>
    <t>NEK3</t>
  </si>
  <si>
    <t>NEK5</t>
  </si>
  <si>
    <t>MAP3K10</t>
  </si>
  <si>
    <t>MLTK</t>
  </si>
  <si>
    <t>SLK</t>
  </si>
  <si>
    <t>TLK2</t>
  </si>
  <si>
    <t>MAP2K5</t>
  </si>
  <si>
    <t>MAP3K14</t>
  </si>
  <si>
    <t>ICK</t>
  </si>
  <si>
    <t>MAK</t>
  </si>
  <si>
    <t>TLK1</t>
  </si>
  <si>
    <t>DAPK2</t>
  </si>
  <si>
    <t>DAPK3</t>
  </si>
  <si>
    <t>IRAK4</t>
  </si>
  <si>
    <t>ROCK1</t>
  </si>
  <si>
    <t>EIF2AK3</t>
  </si>
  <si>
    <t>CDC42BPB</t>
  </si>
  <si>
    <t>CDC42BPG</t>
  </si>
  <si>
    <t>VRK2</t>
  </si>
  <si>
    <t>CHEK2</t>
  </si>
  <si>
    <t>DCLK2</t>
  </si>
  <si>
    <t>VRK1</t>
  </si>
  <si>
    <t>MAPK15</t>
  </si>
  <si>
    <t>MAPK4</t>
  </si>
  <si>
    <t>MAPK6</t>
  </si>
  <si>
    <t>ADRBK2</t>
  </si>
  <si>
    <t>BMPR1B</t>
  </si>
  <si>
    <t>RIPK2</t>
  </si>
  <si>
    <t>MOK</t>
  </si>
  <si>
    <t>GSG2</t>
  </si>
  <si>
    <t>MAPK14</t>
  </si>
  <si>
    <t>MAP3K1</t>
  </si>
  <si>
    <t>MAP3K6</t>
  </si>
  <si>
    <t>NLK</t>
  </si>
  <si>
    <t>MAP3K9</t>
  </si>
  <si>
    <t>MAPK3</t>
  </si>
  <si>
    <t>WNK1</t>
  </si>
  <si>
    <t>MAPK11</t>
  </si>
  <si>
    <t>NEK2</t>
  </si>
  <si>
    <t>MAP2K1</t>
  </si>
  <si>
    <t>CDK6</t>
  </si>
  <si>
    <t>ACVR2A</t>
  </si>
  <si>
    <t>ACVR1</t>
  </si>
  <si>
    <t>PLK3</t>
  </si>
  <si>
    <t>MAPK7</t>
  </si>
  <si>
    <t>MAPK12</t>
  </si>
  <si>
    <t>MAP3K11</t>
  </si>
  <si>
    <t>IRAK1</t>
  </si>
  <si>
    <t>IRAK2</t>
  </si>
  <si>
    <t>IRAK3</t>
  </si>
  <si>
    <t>NEK10</t>
  </si>
  <si>
    <t>NEK6</t>
  </si>
  <si>
    <t>MAPK13</t>
  </si>
  <si>
    <t>PLK2</t>
  </si>
  <si>
    <t>PLK1</t>
  </si>
  <si>
    <t>MAPK8</t>
  </si>
  <si>
    <t>TTBK1</t>
  </si>
  <si>
    <t>TTBK2</t>
  </si>
  <si>
    <t>VRK3</t>
  </si>
  <si>
    <t>HIPK1</t>
  </si>
  <si>
    <t>DCLK1</t>
  </si>
  <si>
    <t>DCLK3</t>
  </si>
  <si>
    <t>PSKH1</t>
  </si>
  <si>
    <t>PSKH2</t>
  </si>
  <si>
    <t>MAPK1</t>
  </si>
  <si>
    <t>MYLK2</t>
  </si>
  <si>
    <t>MYLK3</t>
  </si>
  <si>
    <t>MYLK4</t>
  </si>
  <si>
    <t>OBSCN</t>
  </si>
  <si>
    <t>SPEG</t>
  </si>
  <si>
    <t>TRIO</t>
  </si>
  <si>
    <t>TTN</t>
  </si>
  <si>
    <t>DYRK3</t>
  </si>
  <si>
    <t>ACVRL1</t>
  </si>
  <si>
    <t>RAF1</t>
  </si>
  <si>
    <t>BMPR1A</t>
  </si>
  <si>
    <t>BUB1B</t>
  </si>
  <si>
    <t>PIK3R4</t>
  </si>
  <si>
    <t>PKDCC</t>
  </si>
  <si>
    <t>POMK</t>
  </si>
  <si>
    <t>PXK</t>
  </si>
  <si>
    <t>STK31</t>
  </si>
  <si>
    <t>TP53RK</t>
  </si>
  <si>
    <t>CDKL1</t>
  </si>
  <si>
    <t>CDKL2</t>
  </si>
  <si>
    <t>CDKL3</t>
  </si>
  <si>
    <t>CDKL4</t>
  </si>
  <si>
    <t>CDKL5</t>
  </si>
  <si>
    <t>GSK3B</t>
  </si>
  <si>
    <t>GSK3A</t>
  </si>
  <si>
    <t>DMPK</t>
  </si>
  <si>
    <t>CDK1</t>
  </si>
  <si>
    <t>CSNK1D</t>
  </si>
  <si>
    <t>CAMK2B</t>
  </si>
  <si>
    <t>PNCK</t>
  </si>
  <si>
    <t>PRKCB</t>
  </si>
  <si>
    <t>CDC42BPA</t>
  </si>
  <si>
    <t>STK33</t>
  </si>
  <si>
    <t>DYRK2</t>
  </si>
  <si>
    <t>CAMK2D</t>
  </si>
  <si>
    <t>PLK4</t>
  </si>
  <si>
    <t>SGK3</t>
  </si>
  <si>
    <t>CSNK1E</t>
  </si>
  <si>
    <t>CDK15</t>
  </si>
  <si>
    <t>CDK17</t>
  </si>
  <si>
    <t>CDK18</t>
  </si>
  <si>
    <t>CDK5</t>
  </si>
  <si>
    <t>CAMK1D</t>
  </si>
  <si>
    <t>CHEK1</t>
  </si>
  <si>
    <t>EIF2AK1</t>
  </si>
  <si>
    <t>PDIK1L</t>
  </si>
  <si>
    <t>SCYL1</t>
  </si>
  <si>
    <t>SCYL2</t>
  </si>
  <si>
    <t>SCYL3</t>
  </si>
  <si>
    <t>STK35</t>
  </si>
  <si>
    <t>TBCK</t>
  </si>
  <si>
    <t>NEK8</t>
  </si>
  <si>
    <t>NEK9</t>
  </si>
  <si>
    <t>ADRBK1</t>
  </si>
  <si>
    <t>PDPK1</t>
  </si>
  <si>
    <t>SGK494</t>
  </si>
  <si>
    <t>GRK4</t>
  </si>
  <si>
    <t>GRK5</t>
  </si>
  <si>
    <t>GRK6</t>
  </si>
  <si>
    <t>DSTYK</t>
  </si>
  <si>
    <t>GUCY2C</t>
  </si>
  <si>
    <t>GUCY2D</t>
  </si>
  <si>
    <t>Gucy2e</t>
  </si>
  <si>
    <t>GUCY2F</t>
  </si>
  <si>
    <t>Gucy2g</t>
  </si>
  <si>
    <t>MLKL</t>
  </si>
  <si>
    <t>NPR1</t>
  </si>
  <si>
    <t>NPR2</t>
  </si>
  <si>
    <t>TEX14</t>
  </si>
  <si>
    <t>PRKCQ</t>
  </si>
  <si>
    <t>CAMK2A</t>
  </si>
  <si>
    <t>PRKCI</t>
  </si>
  <si>
    <t>MAPK10</t>
  </si>
  <si>
    <t>SGK1</t>
  </si>
  <si>
    <t>CDK3</t>
  </si>
  <si>
    <t>AKT3</t>
  </si>
  <si>
    <t>TGFBR1</t>
  </si>
  <si>
    <t>TGFBR2</t>
  </si>
  <si>
    <t>CDK2</t>
  </si>
  <si>
    <t>HIPK3</t>
  </si>
  <si>
    <t>NEK7</t>
  </si>
  <si>
    <t>MAPK9</t>
  </si>
  <si>
    <t>AKT2</t>
  </si>
  <si>
    <t>NRBP1</t>
  </si>
  <si>
    <t>NRBP2</t>
  </si>
  <si>
    <t>WNK2</t>
  </si>
  <si>
    <t>RPS6KB1</t>
  </si>
  <si>
    <t>CDK13</t>
  </si>
  <si>
    <t>CDK20</t>
  </si>
  <si>
    <t>CDK9</t>
  </si>
  <si>
    <t>CAMK2G</t>
  </si>
  <si>
    <t>PRKCD</t>
  </si>
  <si>
    <t>ACVR1B</t>
  </si>
  <si>
    <t>ACVR1C</t>
  </si>
  <si>
    <t>WNK3</t>
  </si>
  <si>
    <t>MAP3K5</t>
  </si>
  <si>
    <t>PRKCA</t>
  </si>
  <si>
    <t>MYLK</t>
  </si>
  <si>
    <t>AKT1</t>
  </si>
  <si>
    <t>DYRK4</t>
  </si>
  <si>
    <t>PRPF4B</t>
  </si>
  <si>
    <t>CDC7</t>
  </si>
  <si>
    <t>RNASEL</t>
  </si>
  <si>
    <t>SGK071</t>
  </si>
  <si>
    <t>UHMK1</t>
  </si>
  <si>
    <t>CDK8</t>
  </si>
  <si>
    <t>PIM1</t>
  </si>
  <si>
    <t>PHKG2</t>
  </si>
  <si>
    <t>SGK2</t>
  </si>
  <si>
    <t>PRKAA2</t>
  </si>
  <si>
    <t>CAMK4</t>
  </si>
  <si>
    <t>CAMKV</t>
  </si>
  <si>
    <t>PASK</t>
  </si>
  <si>
    <t>STK40</t>
  </si>
  <si>
    <t>TRIB1</t>
  </si>
  <si>
    <t>TRIB2</t>
  </si>
  <si>
    <t>TRIB3</t>
  </si>
  <si>
    <t>MAP3K13</t>
  </si>
  <si>
    <t>CSNK2A2</t>
  </si>
  <si>
    <t>PAK3</t>
  </si>
  <si>
    <t>CSNK2A1</t>
  </si>
  <si>
    <t>CLK1</t>
  </si>
  <si>
    <t>PAK2</t>
  </si>
  <si>
    <t>NUAK2</t>
  </si>
  <si>
    <t>BRSK2</t>
  </si>
  <si>
    <t>ACVR2B</t>
  </si>
  <si>
    <t>AMHR2</t>
  </si>
  <si>
    <t>HIPK2</t>
  </si>
  <si>
    <t>CSNK1G1</t>
  </si>
  <si>
    <t>BRSK1</t>
  </si>
  <si>
    <t>IKBKE</t>
  </si>
  <si>
    <t>NUAK1</t>
  </si>
  <si>
    <t>PRKAA1</t>
  </si>
  <si>
    <t>MAP3K8</t>
  </si>
  <si>
    <t>ROR1</t>
  </si>
  <si>
    <t>PRKCG</t>
  </si>
  <si>
    <t>PAK1</t>
  </si>
  <si>
    <t>PRKCZ</t>
  </si>
  <si>
    <t>PIM2</t>
  </si>
  <si>
    <t>PRKCE</t>
  </si>
  <si>
    <t>RPS6KA5</t>
  </si>
  <si>
    <t>RPS6KC1</t>
  </si>
  <si>
    <t>CASK</t>
  </si>
  <si>
    <t>PHKG1</t>
  </si>
  <si>
    <t>CHUK</t>
  </si>
  <si>
    <t>PEAK1</t>
  </si>
  <si>
    <t>PINK1</t>
  </si>
  <si>
    <t>SBK1</t>
  </si>
  <si>
    <t>SBK2</t>
  </si>
  <si>
    <t>SGK223</t>
  </si>
  <si>
    <t>CDK16</t>
  </si>
  <si>
    <t>CSNK1G2</t>
  </si>
  <si>
    <t>PIM3</t>
  </si>
  <si>
    <t>PIK3CG</t>
  </si>
  <si>
    <t>PRKCH</t>
  </si>
  <si>
    <t>GRK7</t>
  </si>
  <si>
    <t>IKBKB</t>
  </si>
  <si>
    <t>SGK110</t>
  </si>
  <si>
    <t>ANKK1</t>
  </si>
  <si>
    <t>LRRK1</t>
  </si>
  <si>
    <t>LRRK2</t>
  </si>
  <si>
    <t>RIPK1</t>
  </si>
  <si>
    <t>RIPK3</t>
  </si>
  <si>
    <t>RIPK4</t>
  </si>
  <si>
    <t>DYRK1A</t>
  </si>
  <si>
    <t>AURKB</t>
  </si>
  <si>
    <t>STK32B</t>
  </si>
  <si>
    <t>PRKG1</t>
  </si>
  <si>
    <t>MKNK1</t>
  </si>
  <si>
    <t>RPS6KA4</t>
  </si>
  <si>
    <t>RPS6KL1</t>
  </si>
  <si>
    <t>MAPKAPK3</t>
  </si>
  <si>
    <t>MAPKAPK5</t>
  </si>
  <si>
    <t>STK36</t>
  </si>
  <si>
    <t>ULK1</t>
  </si>
  <si>
    <t>ULK2</t>
  </si>
  <si>
    <t>ULK3</t>
  </si>
  <si>
    <t>ULK4</t>
  </si>
  <si>
    <t>MAPKAPK2</t>
  </si>
  <si>
    <t>PAK6</t>
  </si>
  <si>
    <t>PRKD3</t>
  </si>
  <si>
    <t>SIK2</t>
  </si>
  <si>
    <t>PRKG2</t>
  </si>
  <si>
    <t>MAP2K7</t>
  </si>
  <si>
    <t>PRKD1</t>
  </si>
  <si>
    <t>GRK1</t>
  </si>
  <si>
    <t>CDK4</t>
  </si>
  <si>
    <t>CSNK1A1</t>
  </si>
  <si>
    <t>CSNK1A1L</t>
  </si>
  <si>
    <t>PKN2</t>
  </si>
  <si>
    <t>SIK1</t>
  </si>
  <si>
    <t>SIK3</t>
  </si>
  <si>
    <t>RPS6KA2</t>
  </si>
  <si>
    <t>HIPK4</t>
  </si>
  <si>
    <t>CSNK1G3</t>
  </si>
  <si>
    <t>DAPK1</t>
  </si>
  <si>
    <t>KALRN</t>
  </si>
  <si>
    <t>STK17A</t>
  </si>
  <si>
    <t>CDK10</t>
  </si>
  <si>
    <t>CDK11A</t>
  </si>
  <si>
    <t>CDK19</t>
  </si>
  <si>
    <t>CDK7</t>
  </si>
  <si>
    <t>MARK3</t>
  </si>
  <si>
    <t>PRKACA</t>
  </si>
  <si>
    <t>PAK7</t>
  </si>
  <si>
    <t>AURKA</t>
  </si>
  <si>
    <t>STK32A</t>
  </si>
  <si>
    <t>MKNK2</t>
  </si>
  <si>
    <t>MOS</t>
  </si>
  <si>
    <t>MARK2</t>
  </si>
  <si>
    <t>HUNK</t>
  </si>
  <si>
    <t>NIM1</t>
  </si>
  <si>
    <t>SNRK</t>
  </si>
  <si>
    <t>MAST2</t>
  </si>
  <si>
    <t>PRKACB</t>
  </si>
  <si>
    <t>RPS6KA3</t>
  </si>
  <si>
    <t>RPS6KA1</t>
  </si>
  <si>
    <t>MAST1</t>
  </si>
  <si>
    <t>MAST3</t>
  </si>
  <si>
    <t>MAST4</t>
  </si>
  <si>
    <t>MASTL</t>
  </si>
  <si>
    <t>STK38</t>
  </si>
  <si>
    <t>TSSK1B</t>
  </si>
  <si>
    <t>TSSK3</t>
  </si>
  <si>
    <t>TSSK4</t>
  </si>
  <si>
    <t>Tssk5</t>
  </si>
  <si>
    <t>TSSK6</t>
  </si>
  <si>
    <t>MARK1</t>
  </si>
  <si>
    <t>CLK2</t>
  </si>
  <si>
    <t>EIF2AK4</t>
  </si>
  <si>
    <t>TSSK2</t>
  </si>
  <si>
    <t>CLK3</t>
  </si>
  <si>
    <t>RPS6KA6</t>
  </si>
  <si>
    <t>PAK4</t>
  </si>
  <si>
    <t>TBK1</t>
  </si>
  <si>
    <t>CDK14</t>
  </si>
  <si>
    <t>CIT</t>
  </si>
  <si>
    <t>SRPK1</t>
  </si>
  <si>
    <t>STK17B</t>
  </si>
  <si>
    <t>TESK2</t>
  </si>
  <si>
    <t>SRPK2</t>
  </si>
  <si>
    <t>PRKX</t>
  </si>
  <si>
    <t>PRKY</t>
  </si>
  <si>
    <t>PRKD2</t>
  </si>
  <si>
    <t>PKN1</t>
  </si>
  <si>
    <t>LATS2</t>
  </si>
  <si>
    <t>AURKC</t>
  </si>
  <si>
    <t>STK32C</t>
  </si>
  <si>
    <t>MTOR</t>
  </si>
  <si>
    <t>PDK2</t>
  </si>
  <si>
    <t>SRPK3</t>
  </si>
  <si>
    <t>STK38L</t>
  </si>
  <si>
    <t>MAP3K4</t>
  </si>
  <si>
    <t>MAP3K7</t>
  </si>
  <si>
    <t>LATS1</t>
  </si>
  <si>
    <t>MARK4</t>
  </si>
  <si>
    <t>MAP2K6</t>
  </si>
  <si>
    <t>WNK4</t>
  </si>
  <si>
    <t>CDK11B</t>
  </si>
  <si>
    <t>BRAF</t>
  </si>
  <si>
    <t>STK39</t>
  </si>
  <si>
    <t>PKN3</t>
  </si>
  <si>
    <t>DYRK1B</t>
  </si>
  <si>
    <t>MAP2K4</t>
  </si>
  <si>
    <t>BMPR2</t>
  </si>
  <si>
    <t>MELK</t>
  </si>
  <si>
    <t>EIF2AK2</t>
  </si>
  <si>
    <t>RPS6KB2</t>
  </si>
  <si>
    <t>CAMK1</t>
  </si>
  <si>
    <t>CAMK1G</t>
  </si>
  <si>
    <t>PDK4</t>
  </si>
  <si>
    <t>PDK1</t>
  </si>
  <si>
    <t>MAP2K3</t>
  </si>
  <si>
    <t>CLK4</t>
  </si>
  <si>
    <t>TESK1</t>
  </si>
  <si>
    <t>PKMYT1</t>
  </si>
  <si>
    <t>LIMK2</t>
  </si>
  <si>
    <t>ARAF</t>
  </si>
  <si>
    <t>ILK</t>
  </si>
  <si>
    <t>KSR1</t>
  </si>
  <si>
    <t>KSR2</t>
  </si>
  <si>
    <t>LIMK1</t>
  </si>
  <si>
    <t>MAP3K12</t>
  </si>
  <si>
    <t>MLK4</t>
  </si>
  <si>
    <t>PDK3</t>
  </si>
  <si>
    <t>MATK</t>
  </si>
  <si>
    <t>NTRK3</t>
  </si>
  <si>
    <t>KDR</t>
  </si>
  <si>
    <t>FLT4</t>
  </si>
  <si>
    <t>NTRK1</t>
  </si>
  <si>
    <t>ERBB2</t>
  </si>
  <si>
    <t>MUSK</t>
  </si>
  <si>
    <t>TNNI3K</t>
  </si>
  <si>
    <t>DDR1</t>
  </si>
  <si>
    <t>FGR</t>
  </si>
  <si>
    <t>IGF1R</t>
  </si>
  <si>
    <t>PTK2</t>
  </si>
  <si>
    <t>SRC</t>
  </si>
  <si>
    <t>INSR</t>
  </si>
  <si>
    <t>AATK</t>
  </si>
  <si>
    <t>JAK1</t>
  </si>
  <si>
    <t>LMTK3</t>
  </si>
  <si>
    <t>NTRK2</t>
  </si>
  <si>
    <t>ALK</t>
  </si>
  <si>
    <t>PTK7</t>
  </si>
  <si>
    <t>ROS1</t>
  </si>
  <si>
    <t>YES1</t>
  </si>
  <si>
    <t>ROR2</t>
  </si>
  <si>
    <t>WEE1</t>
  </si>
  <si>
    <t>WEE2</t>
  </si>
  <si>
    <t>ITK</t>
  </si>
  <si>
    <t>ABL1</t>
  </si>
  <si>
    <t>SRMS</t>
  </si>
  <si>
    <t>BTK</t>
  </si>
  <si>
    <t>PDGFRB</t>
  </si>
  <si>
    <t>FLT1</t>
  </si>
  <si>
    <t>HCK</t>
  </si>
  <si>
    <t>PTK6</t>
  </si>
  <si>
    <t>INSRR</t>
  </si>
  <si>
    <t>PDGFRA</t>
  </si>
  <si>
    <t>EPHA6</t>
  </si>
  <si>
    <t>MET</t>
  </si>
  <si>
    <t>FER</t>
  </si>
  <si>
    <t>CSK</t>
  </si>
  <si>
    <t>TNK1</t>
  </si>
  <si>
    <t>FRK</t>
  </si>
  <si>
    <t>BMX</t>
  </si>
  <si>
    <t>TEC</t>
  </si>
  <si>
    <t>ABL2</t>
  </si>
  <si>
    <t>LYN</t>
  </si>
  <si>
    <t>JAK3</t>
  </si>
  <si>
    <t>CSF1R</t>
  </si>
  <si>
    <t>TYK2</t>
  </si>
  <si>
    <t>TXK</t>
  </si>
  <si>
    <t>EPHA2</t>
  </si>
  <si>
    <t>PTK2B</t>
  </si>
  <si>
    <t>EPHA3</t>
  </si>
  <si>
    <t>EPHA8</t>
  </si>
  <si>
    <t>TNK2</t>
  </si>
  <si>
    <t>FES</t>
  </si>
  <si>
    <t>ERBB3</t>
  </si>
  <si>
    <t>ERBB4</t>
  </si>
  <si>
    <t>DDR2</t>
  </si>
  <si>
    <t>FGFR3</t>
  </si>
  <si>
    <t>FGFR2</t>
  </si>
  <si>
    <t>EPHB3</t>
  </si>
  <si>
    <t>MST1R</t>
  </si>
  <si>
    <t>RYK</t>
  </si>
  <si>
    <t>FYN</t>
  </si>
  <si>
    <t>EPHA5</t>
  </si>
  <si>
    <t>EPHA1</t>
  </si>
  <si>
    <t>EPHA10</t>
  </si>
  <si>
    <t>EPHB6</t>
  </si>
  <si>
    <t>ZAP70</t>
  </si>
  <si>
    <t>EGFR</t>
  </si>
  <si>
    <t>JAK2</t>
  </si>
  <si>
    <t>LMTK2</t>
  </si>
  <si>
    <t>STYK1</t>
  </si>
  <si>
    <t>EPHB4</t>
  </si>
  <si>
    <t>FGFR1</t>
  </si>
  <si>
    <t>EPHB2</t>
  </si>
  <si>
    <t>FLT3</t>
  </si>
  <si>
    <t>TEK</t>
  </si>
  <si>
    <t>TIE1</t>
  </si>
  <si>
    <t>RET</t>
  </si>
  <si>
    <t>EPHB1</t>
  </si>
  <si>
    <t>SYK</t>
  </si>
  <si>
    <t>KIT</t>
  </si>
  <si>
    <t>AXL</t>
  </si>
  <si>
    <t>BLK</t>
  </si>
  <si>
    <t>LCK</t>
  </si>
  <si>
    <t>EPHA4</t>
  </si>
  <si>
    <t>LTK</t>
  </si>
  <si>
    <t>EPHA7</t>
  </si>
  <si>
    <t>FGFR4</t>
  </si>
  <si>
    <t>MERTK</t>
  </si>
  <si>
    <t>TYRO3</t>
  </si>
  <si>
    <t xml:space="preserve">The ("raw_data") were sourced from:
Yang CR, Tongyoo P, Emamian M, Sandoval PC, Raghuram V, Knepper MA: Deep proteomic profiling of vasopressin-sensitive collecting duct cells. I. Virtual Western blots and molecular weight distributions. Am J Physiol Cell Physiol 2015, 309:C785-798.
A search within this dataset for phosphopeptide matches with phosphopeptides in the clusters ("cluster_distr") and the kinases ("kinase_distr") was performed. See "coloc_data.py" (https://github.com/krbyktl/time_course_bayes/blob/master/coloc_data.py) for application of dot product calculation, resulting in the output tab ("coloc dot ranking").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</si>
</sst>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u/>
      <sz val="11"/>
      <color rgb="FF061E9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Verdana"/>
      <family val="2"/>
    </font>
    <font>
      <u/>
      <sz val="11"/>
      <color theme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9">
    <xf numFmtId="0" fontId="0" fillId="0" borderId="0" xfId="0"/>
    <xf numFmtId="0" fontId="2" fillId="0" borderId="0" xfId="1"/>
    <xf numFmtId="1" fontId="0" fillId="0" borderId="0" xfId="0" applyNumberFormat="1"/>
    <xf numFmtId="1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164" fontId="4" fillId="2" borderId="0" xfId="1" applyNumberFormat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1" fillId="0" borderId="0" xfId="0" applyFont="1"/>
    <xf numFmtId="0" fontId="9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prot.org/uniprot/Q96QS6" TargetMode="External"/><Relationship Id="rId18" Type="http://schemas.openxmlformats.org/officeDocument/2006/relationships/hyperlink" Target="http://www.uniprot.org/uniprot/Q8N752" TargetMode="External"/><Relationship Id="rId26" Type="http://schemas.openxmlformats.org/officeDocument/2006/relationships/hyperlink" Target="http://www.uniprot.org/uniprot/A0AUV4" TargetMode="External"/><Relationship Id="rId39" Type="http://schemas.openxmlformats.org/officeDocument/2006/relationships/hyperlink" Target="http://www.uniprot.org/uniprot/Q8WTQ7" TargetMode="External"/><Relationship Id="rId21" Type="http://schemas.openxmlformats.org/officeDocument/2006/relationships/hyperlink" Target="http://www.uniprot.org/uniprot/Q8C1R0" TargetMode="External"/><Relationship Id="rId34" Type="http://schemas.openxmlformats.org/officeDocument/2006/relationships/hyperlink" Target="http://www.uniprot.org/uniprot/A2KF29" TargetMode="External"/><Relationship Id="rId42" Type="http://schemas.openxmlformats.org/officeDocument/2006/relationships/hyperlink" Target="http://www.uniprot.org/uniprot/Q9UQ88" TargetMode="External"/><Relationship Id="rId7" Type="http://schemas.openxmlformats.org/officeDocument/2006/relationships/hyperlink" Target="http://www.uniprot.org/uniprot/Q9QYZ4" TargetMode="External"/><Relationship Id="rId2" Type="http://schemas.openxmlformats.org/officeDocument/2006/relationships/hyperlink" Target="http://www.uniprot.org/uniprot/Q8C0V7" TargetMode="External"/><Relationship Id="rId16" Type="http://schemas.openxmlformats.org/officeDocument/2006/relationships/hyperlink" Target="http://www.uniprot.org/uniprot/Q6TL19" TargetMode="External"/><Relationship Id="rId20" Type="http://schemas.openxmlformats.org/officeDocument/2006/relationships/hyperlink" Target="http://www.uniprot.org/uniprot/Q9UQ88" TargetMode="External"/><Relationship Id="rId29" Type="http://schemas.openxmlformats.org/officeDocument/2006/relationships/hyperlink" Target="http://www.uniprot.org/uniprot/Q9QYZ4" TargetMode="External"/><Relationship Id="rId41" Type="http://schemas.openxmlformats.org/officeDocument/2006/relationships/hyperlink" Target="http://www.uniprot.org/uniprot/Q9UEE5" TargetMode="External"/><Relationship Id="rId1" Type="http://schemas.openxmlformats.org/officeDocument/2006/relationships/hyperlink" Target="http://www.uniprot.org/uniprot/Q8NEV1" TargetMode="External"/><Relationship Id="rId6" Type="http://schemas.openxmlformats.org/officeDocument/2006/relationships/hyperlink" Target="http://www.uniprot.org/uniprot/P22612" TargetMode="External"/><Relationship Id="rId11" Type="http://schemas.openxmlformats.org/officeDocument/2006/relationships/hyperlink" Target="http://www.uniprot.org/uniprot/A0JLX3" TargetMode="External"/><Relationship Id="rId24" Type="http://schemas.openxmlformats.org/officeDocument/2006/relationships/hyperlink" Target="http://www.uniprot.org/uniprot/Q8C0V7" TargetMode="External"/><Relationship Id="rId32" Type="http://schemas.openxmlformats.org/officeDocument/2006/relationships/hyperlink" Target="http://www.uniprot.org/uniprot/Q9QYZ5" TargetMode="External"/><Relationship Id="rId37" Type="http://schemas.openxmlformats.org/officeDocument/2006/relationships/hyperlink" Target="http://www.uniprot.org/uniprot/P52785" TargetMode="External"/><Relationship Id="rId40" Type="http://schemas.openxmlformats.org/officeDocument/2006/relationships/hyperlink" Target="http://www.uniprot.org/uniprot/Q8N752" TargetMode="External"/><Relationship Id="rId5" Type="http://schemas.openxmlformats.org/officeDocument/2006/relationships/hyperlink" Target="http://www.uniprot.org/uniprot/Q6A1A2" TargetMode="External"/><Relationship Id="rId15" Type="http://schemas.openxmlformats.org/officeDocument/2006/relationships/hyperlink" Target="http://www.uniprot.org/uniprot/P52785" TargetMode="External"/><Relationship Id="rId23" Type="http://schemas.openxmlformats.org/officeDocument/2006/relationships/hyperlink" Target="http://www.uniprot.org/uniprot/Q8NEV1" TargetMode="External"/><Relationship Id="rId28" Type="http://schemas.openxmlformats.org/officeDocument/2006/relationships/hyperlink" Target="http://www.uniprot.org/uniprot/P22612" TargetMode="External"/><Relationship Id="rId36" Type="http://schemas.openxmlformats.org/officeDocument/2006/relationships/hyperlink" Target="http://www.uniprot.org/uniprot/Q02846" TargetMode="External"/><Relationship Id="rId10" Type="http://schemas.openxmlformats.org/officeDocument/2006/relationships/hyperlink" Target="http://www.uniprot.org/uniprot/Q9QYZ5" TargetMode="External"/><Relationship Id="rId19" Type="http://schemas.openxmlformats.org/officeDocument/2006/relationships/hyperlink" Target="http://www.uniprot.org/uniprot/Q9UEE5" TargetMode="External"/><Relationship Id="rId31" Type="http://schemas.openxmlformats.org/officeDocument/2006/relationships/hyperlink" Target="http://www.uniprot.org/uniprot/Q9QYZ3" TargetMode="External"/><Relationship Id="rId44" Type="http://schemas.openxmlformats.org/officeDocument/2006/relationships/hyperlink" Target="http://www.uniprot.org/uniprot/O43930" TargetMode="External"/><Relationship Id="rId4" Type="http://schemas.openxmlformats.org/officeDocument/2006/relationships/hyperlink" Target="http://www.uniprot.org/uniprot/A0AUV4" TargetMode="External"/><Relationship Id="rId9" Type="http://schemas.openxmlformats.org/officeDocument/2006/relationships/hyperlink" Target="http://www.uniprot.org/uniprot/Q9QYZ3" TargetMode="External"/><Relationship Id="rId14" Type="http://schemas.openxmlformats.org/officeDocument/2006/relationships/hyperlink" Target="http://www.uniprot.org/uniprot/Q02846" TargetMode="External"/><Relationship Id="rId22" Type="http://schemas.openxmlformats.org/officeDocument/2006/relationships/hyperlink" Target="http://www.uniprot.org/uniprot/O43930" TargetMode="External"/><Relationship Id="rId27" Type="http://schemas.openxmlformats.org/officeDocument/2006/relationships/hyperlink" Target="http://www.uniprot.org/uniprot/Q6A1A2" TargetMode="External"/><Relationship Id="rId30" Type="http://schemas.openxmlformats.org/officeDocument/2006/relationships/hyperlink" Target="http://www.uniprot.org/uniprot/Q9QYZ6" TargetMode="External"/><Relationship Id="rId35" Type="http://schemas.openxmlformats.org/officeDocument/2006/relationships/hyperlink" Target="http://www.uniprot.org/uniprot/Q96QS6" TargetMode="External"/><Relationship Id="rId43" Type="http://schemas.openxmlformats.org/officeDocument/2006/relationships/hyperlink" Target="http://www.uniprot.org/uniprot/Q8C1R0" TargetMode="External"/><Relationship Id="rId8" Type="http://schemas.openxmlformats.org/officeDocument/2006/relationships/hyperlink" Target="http://www.uniprot.org/uniprot/Q9QYZ6" TargetMode="External"/><Relationship Id="rId3" Type="http://schemas.openxmlformats.org/officeDocument/2006/relationships/hyperlink" Target="http://www.uniprot.org/uniprot/Q8C0N0" TargetMode="External"/><Relationship Id="rId12" Type="http://schemas.openxmlformats.org/officeDocument/2006/relationships/hyperlink" Target="http://www.uniprot.org/uniprot/A2KF29" TargetMode="External"/><Relationship Id="rId17" Type="http://schemas.openxmlformats.org/officeDocument/2006/relationships/hyperlink" Target="http://www.uniprot.org/uniprot/Q8WTQ7" TargetMode="External"/><Relationship Id="rId25" Type="http://schemas.openxmlformats.org/officeDocument/2006/relationships/hyperlink" Target="http://www.uniprot.org/uniprot/Q8C0N0" TargetMode="External"/><Relationship Id="rId33" Type="http://schemas.openxmlformats.org/officeDocument/2006/relationships/hyperlink" Target="http://www.uniprot.org/uniprot/A0JLX3" TargetMode="External"/><Relationship Id="rId38" Type="http://schemas.openxmlformats.org/officeDocument/2006/relationships/hyperlink" Target="http://www.uniprot.org/uniprot/Q6TL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8C9-6A25-3C43-994D-DF6C19886847}">
  <dimension ref="A1:I11"/>
  <sheetViews>
    <sheetView tabSelected="1" workbookViewId="0">
      <selection activeCell="G22" sqref="G22"/>
    </sheetView>
  </sheetViews>
  <sheetFormatPr baseColWidth="10" defaultRowHeight="14" x14ac:dyDescent="0.15"/>
  <sheetData>
    <row r="1" spans="1:9" x14ac:dyDescent="0.15">
      <c r="A1" s="18" t="s">
        <v>684</v>
      </c>
      <c r="B1" s="18"/>
      <c r="C1" s="18"/>
      <c r="D1" s="18"/>
      <c r="E1" s="18"/>
      <c r="F1" s="18"/>
      <c r="G1" s="18"/>
      <c r="H1" s="18"/>
      <c r="I1" s="18"/>
    </row>
    <row r="2" spans="1:9" x14ac:dyDescent="0.15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15">
      <c r="A3" s="18"/>
      <c r="B3" s="18"/>
      <c r="C3" s="18"/>
      <c r="D3" s="18"/>
      <c r="E3" s="18"/>
      <c r="F3" s="18"/>
      <c r="G3" s="18"/>
      <c r="H3" s="18"/>
      <c r="I3" s="18"/>
    </row>
    <row r="4" spans="1:9" x14ac:dyDescent="0.15">
      <c r="A4" s="18"/>
      <c r="B4" s="18"/>
      <c r="C4" s="18"/>
      <c r="D4" s="18"/>
      <c r="E4" s="18"/>
      <c r="F4" s="18"/>
      <c r="G4" s="18"/>
      <c r="H4" s="18"/>
      <c r="I4" s="18"/>
    </row>
    <row r="5" spans="1:9" x14ac:dyDescent="0.15">
      <c r="A5" s="18"/>
      <c r="B5" s="18"/>
      <c r="C5" s="18"/>
      <c r="D5" s="18"/>
      <c r="E5" s="18"/>
      <c r="F5" s="18"/>
      <c r="G5" s="18"/>
      <c r="H5" s="18"/>
      <c r="I5" s="18"/>
    </row>
    <row r="6" spans="1:9" x14ac:dyDescent="0.15">
      <c r="A6" s="18"/>
      <c r="B6" s="18"/>
      <c r="C6" s="18"/>
      <c r="D6" s="18"/>
      <c r="E6" s="18"/>
      <c r="F6" s="18"/>
      <c r="G6" s="18"/>
      <c r="H6" s="18"/>
      <c r="I6" s="18"/>
    </row>
    <row r="7" spans="1:9" x14ac:dyDescent="0.15">
      <c r="A7" s="18"/>
      <c r="B7" s="18"/>
      <c r="C7" s="18"/>
      <c r="D7" s="18"/>
      <c r="E7" s="18"/>
      <c r="F7" s="18"/>
      <c r="G7" s="18"/>
      <c r="H7" s="18"/>
      <c r="I7" s="18"/>
    </row>
    <row r="8" spans="1:9" x14ac:dyDescent="0.15">
      <c r="A8" s="18"/>
      <c r="B8" s="18"/>
      <c r="C8" s="18"/>
      <c r="D8" s="18"/>
      <c r="E8" s="18"/>
      <c r="F8" s="18"/>
      <c r="G8" s="18"/>
      <c r="H8" s="18"/>
      <c r="I8" s="18"/>
    </row>
    <row r="9" spans="1:9" x14ac:dyDescent="0.15">
      <c r="A9" s="18"/>
      <c r="B9" s="18"/>
      <c r="C9" s="18"/>
      <c r="D9" s="18"/>
      <c r="E9" s="18"/>
      <c r="F9" s="18"/>
      <c r="G9" s="18"/>
      <c r="H9" s="18"/>
      <c r="I9" s="18"/>
    </row>
    <row r="10" spans="1:9" x14ac:dyDescent="0.1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15">
      <c r="A11" s="18"/>
      <c r="B11" s="18"/>
      <c r="C11" s="18"/>
      <c r="D11" s="18"/>
      <c r="E11" s="18"/>
      <c r="F11" s="18"/>
      <c r="G11" s="18"/>
      <c r="H11" s="18"/>
      <c r="I11" s="18"/>
    </row>
  </sheetData>
  <mergeCells count="1">
    <mergeCell ref="A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09"/>
  <sheetViews>
    <sheetView workbookViewId="0">
      <selection activeCell="R16" sqref="R16"/>
    </sheetView>
  </sheetViews>
  <sheetFormatPr baseColWidth="10" defaultColWidth="8.7109375" defaultRowHeight="15" x14ac:dyDescent="0.2"/>
  <cols>
    <col min="1" max="1" width="12.7109375" style="1" customWidth="1"/>
    <col min="2" max="2" width="1.28515625" style="1" customWidth="1"/>
    <col min="3" max="7" width="7.5703125" style="1" customWidth="1"/>
    <col min="10" max="14" width="7.5703125" style="1" customWidth="1"/>
  </cols>
  <sheetData>
    <row r="1" spans="1:20" x14ac:dyDescent="0.2">
      <c r="A1" s="8" t="s">
        <v>0</v>
      </c>
      <c r="B1" s="7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P1" s="12"/>
      <c r="Q1" s="12"/>
      <c r="R1" s="12"/>
      <c r="S1" s="12"/>
      <c r="T1" s="12"/>
    </row>
    <row r="2" spans="1:20" x14ac:dyDescent="0.2">
      <c r="A2" s="5" t="str">
        <f>HYPERLINK("http://www.ncbi.nlm.nih.gov/protein/124487289","A1cf")</f>
        <v>A1cf</v>
      </c>
      <c r="B2" s="4"/>
      <c r="C2" s="3">
        <v>0</v>
      </c>
      <c r="D2" s="3">
        <v>0</v>
      </c>
      <c r="E2" s="3">
        <v>2526</v>
      </c>
      <c r="F2" s="3">
        <v>1375</v>
      </c>
      <c r="G2" s="3">
        <v>0</v>
      </c>
      <c r="H2" s="2">
        <f t="shared" ref="H2:H65" si="0">SUM(C2:G2)</f>
        <v>3901</v>
      </c>
      <c r="I2" t="str">
        <f t="shared" ref="I2:I65" si="1">A2&amp;"_"&amp;H2</f>
        <v>A1cf_3901</v>
      </c>
      <c r="J2" s="3">
        <v>0</v>
      </c>
      <c r="K2" s="3">
        <v>0</v>
      </c>
      <c r="L2" s="3">
        <v>2526</v>
      </c>
      <c r="M2" s="3">
        <v>1375</v>
      </c>
      <c r="N2" s="3">
        <v>0</v>
      </c>
      <c r="P2" s="12"/>
      <c r="Q2" s="12"/>
      <c r="R2" s="12"/>
      <c r="S2" s="12"/>
      <c r="T2" s="12"/>
    </row>
    <row r="3" spans="1:20" x14ac:dyDescent="0.2">
      <c r="A3" s="5" t="str">
        <f>HYPERLINK("http://www.ncbi.nlm.nih.gov/protein/283483963","A4galt")</f>
        <v>A4galt</v>
      </c>
      <c r="B3" s="4"/>
      <c r="C3" s="3">
        <v>0</v>
      </c>
      <c r="D3" s="3">
        <v>0</v>
      </c>
      <c r="E3" s="3">
        <v>154</v>
      </c>
      <c r="F3" s="3">
        <v>0</v>
      </c>
      <c r="G3" s="3">
        <v>0</v>
      </c>
      <c r="H3" s="2">
        <f t="shared" si="0"/>
        <v>154</v>
      </c>
      <c r="I3" t="str">
        <f t="shared" si="1"/>
        <v>A4galt_154</v>
      </c>
      <c r="J3" s="3">
        <v>0</v>
      </c>
      <c r="K3" s="3">
        <v>0</v>
      </c>
      <c r="L3" s="3">
        <v>154</v>
      </c>
      <c r="M3" s="3">
        <v>0</v>
      </c>
      <c r="N3" s="3">
        <v>0</v>
      </c>
      <c r="P3" s="12"/>
      <c r="Q3" s="12"/>
      <c r="R3" s="12"/>
      <c r="S3" s="12"/>
      <c r="T3" s="12"/>
    </row>
    <row r="4" spans="1:20" x14ac:dyDescent="0.2">
      <c r="A4" s="5" t="str">
        <f>HYPERLINK("http://www.ncbi.nlm.nih.gov/protein/241982696","Aaas")</f>
        <v>Aaas</v>
      </c>
      <c r="B4" s="4"/>
      <c r="C4" s="3">
        <v>970</v>
      </c>
      <c r="D4" s="3">
        <v>1397</v>
      </c>
      <c r="E4" s="3">
        <v>225</v>
      </c>
      <c r="F4" s="3">
        <v>0</v>
      </c>
      <c r="G4" s="3">
        <v>0</v>
      </c>
      <c r="H4" s="2">
        <f t="shared" si="0"/>
        <v>2592</v>
      </c>
      <c r="I4" t="str">
        <f t="shared" si="1"/>
        <v>Aaas_2592</v>
      </c>
      <c r="J4" s="3">
        <v>970</v>
      </c>
      <c r="K4" s="3">
        <v>1397</v>
      </c>
      <c r="L4" s="3">
        <v>225</v>
      </c>
      <c r="M4" s="3">
        <v>0</v>
      </c>
      <c r="N4" s="3">
        <v>0</v>
      </c>
      <c r="P4" s="12"/>
      <c r="Q4" s="12"/>
      <c r="R4" s="12"/>
      <c r="S4" s="12"/>
      <c r="T4" s="12"/>
    </row>
    <row r="5" spans="1:20" x14ac:dyDescent="0.2">
      <c r="A5" s="5" t="str">
        <f>HYPERLINK("http://www.ncbi.nlm.nih.gov/protein/21313520","Aacs")</f>
        <v>Aacs</v>
      </c>
      <c r="B5" s="4"/>
      <c r="C5" s="3">
        <v>0</v>
      </c>
      <c r="D5" s="3">
        <v>2776</v>
      </c>
      <c r="E5" s="3">
        <v>4520</v>
      </c>
      <c r="F5" s="3">
        <v>819</v>
      </c>
      <c r="G5" s="3">
        <v>79368</v>
      </c>
      <c r="H5" s="2">
        <f t="shared" si="0"/>
        <v>87483</v>
      </c>
      <c r="I5" t="str">
        <f t="shared" si="1"/>
        <v>Aacs_87483</v>
      </c>
      <c r="J5" s="3">
        <v>0</v>
      </c>
      <c r="K5" s="3">
        <v>2776</v>
      </c>
      <c r="L5" s="3">
        <v>4520</v>
      </c>
      <c r="M5" s="3">
        <v>819</v>
      </c>
      <c r="N5" s="3">
        <v>79368</v>
      </c>
      <c r="P5" s="12"/>
      <c r="Q5" s="12"/>
      <c r="R5" s="12"/>
      <c r="S5" s="12"/>
      <c r="T5" s="12"/>
    </row>
    <row r="6" spans="1:20" x14ac:dyDescent="0.2">
      <c r="A6" s="5" t="str">
        <f>HYPERLINK("http://www.ncbi.nlm.nih.gov/protein/110625673","Aagab")</f>
        <v>Aagab</v>
      </c>
      <c r="B6" s="4"/>
      <c r="C6" s="3">
        <v>0</v>
      </c>
      <c r="D6" s="3">
        <v>15</v>
      </c>
      <c r="E6" s="3">
        <v>54</v>
      </c>
      <c r="F6" s="3">
        <v>57</v>
      </c>
      <c r="G6" s="3">
        <v>975</v>
      </c>
      <c r="H6" s="2">
        <f t="shared" si="0"/>
        <v>1101</v>
      </c>
      <c r="I6" t="str">
        <f t="shared" si="1"/>
        <v>Aagab_1101</v>
      </c>
      <c r="J6" s="3">
        <v>0</v>
      </c>
      <c r="K6" s="3">
        <v>15</v>
      </c>
      <c r="L6" s="3">
        <v>54</v>
      </c>
      <c r="M6" s="3">
        <v>57</v>
      </c>
      <c r="N6" s="3">
        <v>975</v>
      </c>
      <c r="P6" s="12"/>
      <c r="Q6" s="12"/>
      <c r="R6" s="12"/>
      <c r="S6" s="12"/>
      <c r="T6" s="12"/>
    </row>
    <row r="7" spans="1:20" x14ac:dyDescent="0.2">
      <c r="A7" s="5" t="str">
        <f>HYPERLINK("http://www.ncbi.nlm.nih.gov/protein/73695877","Aak1")</f>
        <v>Aak1</v>
      </c>
      <c r="B7" s="4"/>
      <c r="C7" s="3">
        <v>0</v>
      </c>
      <c r="D7" s="3">
        <v>90</v>
      </c>
      <c r="E7" s="3">
        <v>231</v>
      </c>
      <c r="F7" s="3">
        <v>1211</v>
      </c>
      <c r="G7" s="3">
        <v>5815</v>
      </c>
      <c r="H7" s="2">
        <f t="shared" si="0"/>
        <v>7347</v>
      </c>
      <c r="I7" t="str">
        <f t="shared" si="1"/>
        <v>Aak1_7347</v>
      </c>
      <c r="J7" s="3">
        <v>0</v>
      </c>
      <c r="K7" s="3">
        <v>90</v>
      </c>
      <c r="L7" s="3">
        <v>231</v>
      </c>
      <c r="M7" s="3">
        <v>1211</v>
      </c>
      <c r="N7" s="3">
        <v>5815</v>
      </c>
      <c r="P7" s="12"/>
      <c r="Q7" s="12"/>
      <c r="R7" s="12"/>
      <c r="S7" s="12"/>
      <c r="T7" s="12"/>
    </row>
    <row r="8" spans="1:20" x14ac:dyDescent="0.2">
      <c r="A8" s="5" t="str">
        <f>HYPERLINK("http://www.ncbi.nlm.nih.gov/protein/91992157","Aak1")</f>
        <v>Aak1</v>
      </c>
      <c r="B8" s="4"/>
      <c r="C8" s="3">
        <v>0</v>
      </c>
      <c r="D8" s="3">
        <v>90</v>
      </c>
      <c r="E8" s="3">
        <v>231</v>
      </c>
      <c r="F8" s="3">
        <v>1211</v>
      </c>
      <c r="G8" s="3">
        <v>5815</v>
      </c>
      <c r="H8" s="2">
        <f t="shared" si="0"/>
        <v>7347</v>
      </c>
      <c r="I8" t="str">
        <f t="shared" si="1"/>
        <v>Aak1_7347</v>
      </c>
      <c r="J8" s="3">
        <v>0</v>
      </c>
      <c r="K8" s="3">
        <v>90</v>
      </c>
      <c r="L8" s="3">
        <v>231</v>
      </c>
      <c r="M8" s="3">
        <v>1211</v>
      </c>
      <c r="N8" s="3">
        <v>5815</v>
      </c>
    </row>
    <row r="9" spans="1:20" x14ac:dyDescent="0.2">
      <c r="A9" s="5" t="str">
        <f>HYPERLINK("http://www.ncbi.nlm.nih.gov/protein/295789038","Aamdc")</f>
        <v>Aamdc</v>
      </c>
      <c r="B9" s="4"/>
      <c r="C9" s="3">
        <v>0</v>
      </c>
      <c r="D9" s="3">
        <v>0</v>
      </c>
      <c r="E9" s="3">
        <v>25</v>
      </c>
      <c r="F9" s="3">
        <v>0</v>
      </c>
      <c r="G9" s="3">
        <v>10131</v>
      </c>
      <c r="H9" s="2">
        <f t="shared" si="0"/>
        <v>10156</v>
      </c>
      <c r="I9" t="str">
        <f t="shared" si="1"/>
        <v>Aamdc_10156</v>
      </c>
      <c r="J9" s="3">
        <v>0</v>
      </c>
      <c r="K9" s="3">
        <v>0</v>
      </c>
      <c r="L9" s="3">
        <v>25</v>
      </c>
      <c r="M9" s="3">
        <v>0</v>
      </c>
      <c r="N9" s="3">
        <v>10131</v>
      </c>
    </row>
    <row r="10" spans="1:20" x14ac:dyDescent="0.2">
      <c r="A10" s="5" t="str">
        <f>HYPERLINK("http://www.ncbi.nlm.nih.gov/protein/295789042","Aamdc")</f>
        <v>Aamdc</v>
      </c>
      <c r="B10" s="4"/>
      <c r="C10" s="3">
        <v>0</v>
      </c>
      <c r="D10" s="3">
        <v>0</v>
      </c>
      <c r="E10" s="3">
        <v>25</v>
      </c>
      <c r="F10" s="3">
        <v>0</v>
      </c>
      <c r="G10" s="3">
        <v>6019</v>
      </c>
      <c r="H10" s="2">
        <f t="shared" si="0"/>
        <v>6044</v>
      </c>
      <c r="I10" t="str">
        <f t="shared" si="1"/>
        <v>Aamdc_6044</v>
      </c>
      <c r="J10" s="3">
        <v>0</v>
      </c>
      <c r="K10" s="3">
        <v>0</v>
      </c>
      <c r="L10" s="3">
        <v>25</v>
      </c>
      <c r="M10" s="3">
        <v>0</v>
      </c>
      <c r="N10" s="3">
        <v>6019</v>
      </c>
    </row>
    <row r="11" spans="1:20" x14ac:dyDescent="0.2">
      <c r="A11" s="5" t="str">
        <f>HYPERLINK("http://www.ncbi.nlm.nih.gov/protein/295789044","Aamdc")</f>
        <v>Aamdc</v>
      </c>
      <c r="B11" s="4"/>
      <c r="C11" s="3">
        <v>0</v>
      </c>
      <c r="D11" s="3">
        <v>0</v>
      </c>
      <c r="E11" s="3">
        <v>25</v>
      </c>
      <c r="F11" s="3">
        <v>0</v>
      </c>
      <c r="G11" s="3">
        <v>6019</v>
      </c>
      <c r="H11" s="2">
        <f t="shared" si="0"/>
        <v>6044</v>
      </c>
      <c r="I11" t="str">
        <f t="shared" si="1"/>
        <v>Aamdc_6044</v>
      </c>
      <c r="J11" s="3">
        <v>0</v>
      </c>
      <c r="K11" s="3">
        <v>0</v>
      </c>
      <c r="L11" s="3">
        <v>25</v>
      </c>
      <c r="M11" s="3">
        <v>0</v>
      </c>
      <c r="N11" s="3">
        <v>6019</v>
      </c>
    </row>
    <row r="12" spans="1:20" x14ac:dyDescent="0.2">
      <c r="A12" s="5" t="str">
        <f>HYPERLINK("http://www.ncbi.nlm.nih.gov/protein/40254393","Aamdc")</f>
        <v>Aamdc</v>
      </c>
      <c r="B12" s="4"/>
      <c r="C12" s="3">
        <v>0</v>
      </c>
      <c r="D12" s="3">
        <v>0</v>
      </c>
      <c r="E12" s="3">
        <v>25</v>
      </c>
      <c r="F12" s="3">
        <v>0</v>
      </c>
      <c r="G12" s="3">
        <v>10131</v>
      </c>
      <c r="H12" s="2">
        <f t="shared" si="0"/>
        <v>10156</v>
      </c>
      <c r="I12" t="str">
        <f t="shared" si="1"/>
        <v>Aamdc_10156</v>
      </c>
      <c r="J12" s="3">
        <v>0</v>
      </c>
      <c r="K12" s="3">
        <v>0</v>
      </c>
      <c r="L12" s="3">
        <v>25</v>
      </c>
      <c r="M12" s="3">
        <v>0</v>
      </c>
      <c r="N12" s="3">
        <v>10131</v>
      </c>
    </row>
    <row r="13" spans="1:20" x14ac:dyDescent="0.2">
      <c r="A13" s="5" t="str">
        <f>HYPERLINK("http://www.ncbi.nlm.nih.gov/protein/299473737","Aamp")</f>
        <v>Aamp</v>
      </c>
      <c r="B13" s="4"/>
      <c r="C13" s="3">
        <v>0</v>
      </c>
      <c r="D13" s="3">
        <v>211</v>
      </c>
      <c r="E13" s="3">
        <v>206</v>
      </c>
      <c r="F13" s="3">
        <v>25</v>
      </c>
      <c r="G13" s="3">
        <v>12434</v>
      </c>
      <c r="H13" s="2">
        <f t="shared" si="0"/>
        <v>12876</v>
      </c>
      <c r="I13" t="str">
        <f t="shared" si="1"/>
        <v>Aamp_12876</v>
      </c>
      <c r="J13" s="3">
        <v>0</v>
      </c>
      <c r="K13" s="3">
        <v>211</v>
      </c>
      <c r="L13" s="3">
        <v>206</v>
      </c>
      <c r="M13" s="3">
        <v>25</v>
      </c>
      <c r="N13" s="3">
        <v>12434</v>
      </c>
    </row>
    <row r="14" spans="1:20" x14ac:dyDescent="0.2">
      <c r="A14" s="5" t="str">
        <f>HYPERLINK("http://www.ncbi.nlm.nih.gov/protein/82524294","Aamp")</f>
        <v>Aamp</v>
      </c>
      <c r="B14" s="4"/>
      <c r="C14" s="3">
        <v>0</v>
      </c>
      <c r="D14" s="3">
        <v>211</v>
      </c>
      <c r="E14" s="3">
        <v>206</v>
      </c>
      <c r="F14" s="3">
        <v>25</v>
      </c>
      <c r="G14" s="3">
        <v>12434</v>
      </c>
      <c r="H14" s="2">
        <f t="shared" si="0"/>
        <v>12876</v>
      </c>
      <c r="I14" t="str">
        <f t="shared" si="1"/>
        <v>Aamp_12876</v>
      </c>
      <c r="J14" s="3">
        <v>0</v>
      </c>
      <c r="K14" s="3">
        <v>211</v>
      </c>
      <c r="L14" s="3">
        <v>206</v>
      </c>
      <c r="M14" s="3">
        <v>25</v>
      </c>
      <c r="N14" s="3">
        <v>12434</v>
      </c>
    </row>
    <row r="15" spans="1:20" x14ac:dyDescent="0.2">
      <c r="A15" s="5" t="str">
        <f>HYPERLINK("http://www.ncbi.nlm.nih.gov/protein/258679441","Aar2")</f>
        <v>Aar2</v>
      </c>
      <c r="B15" s="4"/>
      <c r="C15" s="3">
        <v>0</v>
      </c>
      <c r="D15" s="3">
        <v>0</v>
      </c>
      <c r="E15" s="3">
        <v>0</v>
      </c>
      <c r="F15" s="3">
        <v>3332</v>
      </c>
      <c r="G15" s="3">
        <v>0</v>
      </c>
      <c r="H15" s="2">
        <f t="shared" si="0"/>
        <v>3332</v>
      </c>
      <c r="I15" t="str">
        <f t="shared" si="1"/>
        <v>Aar2_3332</v>
      </c>
      <c r="J15" s="3">
        <v>0</v>
      </c>
      <c r="K15" s="3">
        <v>0</v>
      </c>
      <c r="L15" s="3">
        <v>0</v>
      </c>
      <c r="M15" s="3">
        <v>3332</v>
      </c>
      <c r="N15" s="3">
        <v>0</v>
      </c>
    </row>
    <row r="16" spans="1:20" x14ac:dyDescent="0.2">
      <c r="A16" s="5" t="str">
        <f>HYPERLINK("http://www.ncbi.nlm.nih.gov/protein/34610207","Aars")</f>
        <v>Aars</v>
      </c>
      <c r="B16" s="4"/>
      <c r="C16" s="3">
        <v>183</v>
      </c>
      <c r="D16" s="3">
        <v>1363</v>
      </c>
      <c r="E16" s="3">
        <v>17299</v>
      </c>
      <c r="F16" s="3">
        <v>11959</v>
      </c>
      <c r="G16" s="3">
        <v>316626</v>
      </c>
      <c r="H16" s="2">
        <f t="shared" si="0"/>
        <v>347430</v>
      </c>
      <c r="I16" t="str">
        <f t="shared" si="1"/>
        <v>Aars_347430</v>
      </c>
      <c r="J16" s="3">
        <v>183</v>
      </c>
      <c r="K16" s="3">
        <v>1363</v>
      </c>
      <c r="L16" s="3">
        <v>17299</v>
      </c>
      <c r="M16" s="3">
        <v>11959</v>
      </c>
      <c r="N16" s="3">
        <v>316626</v>
      </c>
    </row>
    <row r="17" spans="1:14" x14ac:dyDescent="0.2">
      <c r="A17" s="5" t="str">
        <f>HYPERLINK("http://www.ncbi.nlm.nih.gov/protein/52630311","Aars2")</f>
        <v>Aars2</v>
      </c>
      <c r="B17" s="4"/>
      <c r="C17" s="3">
        <v>0</v>
      </c>
      <c r="D17" s="3">
        <v>405</v>
      </c>
      <c r="E17" s="3">
        <v>0</v>
      </c>
      <c r="F17" s="3">
        <v>0</v>
      </c>
      <c r="G17" s="3">
        <v>0</v>
      </c>
      <c r="H17" s="2">
        <f t="shared" si="0"/>
        <v>405</v>
      </c>
      <c r="I17" t="str">
        <f t="shared" si="1"/>
        <v>Aars2_405</v>
      </c>
      <c r="J17" s="3">
        <v>0</v>
      </c>
      <c r="K17" s="3">
        <v>405</v>
      </c>
      <c r="L17" s="3">
        <v>0</v>
      </c>
      <c r="M17" s="3">
        <v>0</v>
      </c>
      <c r="N17" s="3">
        <v>0</v>
      </c>
    </row>
    <row r="18" spans="1:14" x14ac:dyDescent="0.2">
      <c r="A18" s="5" t="str">
        <f>HYPERLINK("http://www.ncbi.nlm.nih.gov/protein/21450213","Aarsd1")</f>
        <v>Aarsd1</v>
      </c>
      <c r="B18" s="4"/>
      <c r="C18" s="3">
        <v>0</v>
      </c>
      <c r="D18" s="3">
        <v>0</v>
      </c>
      <c r="E18" s="3">
        <v>1013</v>
      </c>
      <c r="F18" s="3">
        <v>16</v>
      </c>
      <c r="G18" s="3">
        <v>59780</v>
      </c>
      <c r="H18" s="2">
        <f t="shared" si="0"/>
        <v>60809</v>
      </c>
      <c r="I18" t="str">
        <f t="shared" si="1"/>
        <v>Aarsd1_60809</v>
      </c>
      <c r="J18" s="3">
        <v>0</v>
      </c>
      <c r="K18" s="3">
        <v>0</v>
      </c>
      <c r="L18" s="3">
        <v>1013</v>
      </c>
      <c r="M18" s="3">
        <v>16</v>
      </c>
      <c r="N18" s="3">
        <v>59780</v>
      </c>
    </row>
    <row r="19" spans="1:14" x14ac:dyDescent="0.2">
      <c r="A19" s="5" t="str">
        <f>HYPERLINK("http://www.ncbi.nlm.nih.gov/protein/227496837","Aasdhppt")</f>
        <v>Aasdhppt</v>
      </c>
      <c r="B19" s="4"/>
      <c r="C19" s="3">
        <v>0</v>
      </c>
      <c r="D19" s="3">
        <v>0</v>
      </c>
      <c r="E19" s="3">
        <v>0</v>
      </c>
      <c r="F19" s="3">
        <v>0</v>
      </c>
      <c r="G19" s="3">
        <v>214</v>
      </c>
      <c r="H19" s="2">
        <f t="shared" si="0"/>
        <v>214</v>
      </c>
      <c r="I19" t="str">
        <f t="shared" si="1"/>
        <v>Aasdhppt_214</v>
      </c>
      <c r="J19" s="3">
        <v>0</v>
      </c>
      <c r="K19" s="3">
        <v>0</v>
      </c>
      <c r="L19" s="3">
        <v>0</v>
      </c>
      <c r="M19" s="3">
        <v>0</v>
      </c>
      <c r="N19" s="3">
        <v>214</v>
      </c>
    </row>
    <row r="20" spans="1:14" x14ac:dyDescent="0.2">
      <c r="A20" s="5" t="str">
        <f>HYPERLINK("http://www.ncbi.nlm.nih.gov/protein/9790013","Aatf")</f>
        <v>Aatf</v>
      </c>
      <c r="B20" s="4"/>
      <c r="C20" s="3">
        <v>0</v>
      </c>
      <c r="D20" s="3">
        <v>0</v>
      </c>
      <c r="E20" s="3">
        <v>0</v>
      </c>
      <c r="F20" s="3">
        <v>573</v>
      </c>
      <c r="G20" s="3">
        <v>0</v>
      </c>
      <c r="H20" s="2">
        <f t="shared" si="0"/>
        <v>573</v>
      </c>
      <c r="I20" t="str">
        <f t="shared" si="1"/>
        <v>Aatf_573</v>
      </c>
      <c r="J20" s="3">
        <v>0</v>
      </c>
      <c r="K20" s="3">
        <v>0</v>
      </c>
      <c r="L20" s="3">
        <v>0</v>
      </c>
      <c r="M20" s="3">
        <v>573</v>
      </c>
      <c r="N20" s="3">
        <v>0</v>
      </c>
    </row>
    <row r="21" spans="1:14" x14ac:dyDescent="0.2">
      <c r="A21" s="5" t="str">
        <f>HYPERLINK("http://www.ncbi.nlm.nih.gov/protein/283483966","Abat")</f>
        <v>Abat</v>
      </c>
      <c r="B21" s="4"/>
      <c r="C21" s="3">
        <v>0</v>
      </c>
      <c r="D21" s="3">
        <v>328</v>
      </c>
      <c r="E21" s="3">
        <v>549</v>
      </c>
      <c r="F21" s="3">
        <v>0</v>
      </c>
      <c r="G21" s="3">
        <v>0</v>
      </c>
      <c r="H21" s="2">
        <f t="shared" si="0"/>
        <v>877</v>
      </c>
      <c r="I21" t="str">
        <f t="shared" si="1"/>
        <v>Abat_877</v>
      </c>
      <c r="J21" s="3">
        <v>0</v>
      </c>
      <c r="K21" s="3">
        <v>328</v>
      </c>
      <c r="L21" s="3">
        <v>549</v>
      </c>
      <c r="M21" s="3">
        <v>0</v>
      </c>
      <c r="N21" s="3">
        <v>0</v>
      </c>
    </row>
    <row r="22" spans="1:14" x14ac:dyDescent="0.2">
      <c r="A22" s="5" t="str">
        <f>HYPERLINK("http://www.ncbi.nlm.nih.gov/protein/37202121","Abat")</f>
        <v>Abat</v>
      </c>
      <c r="B22" s="4"/>
      <c r="C22" s="3">
        <v>0</v>
      </c>
      <c r="D22" s="3">
        <v>328</v>
      </c>
      <c r="E22" s="3">
        <v>549</v>
      </c>
      <c r="F22" s="3">
        <v>0</v>
      </c>
      <c r="G22" s="3">
        <v>0</v>
      </c>
      <c r="H22" s="2">
        <f t="shared" si="0"/>
        <v>877</v>
      </c>
      <c r="I22" t="str">
        <f t="shared" si="1"/>
        <v>Abat_877</v>
      </c>
      <c r="J22" s="3">
        <v>0</v>
      </c>
      <c r="K22" s="3">
        <v>328</v>
      </c>
      <c r="L22" s="3">
        <v>549</v>
      </c>
      <c r="M22" s="3">
        <v>0</v>
      </c>
      <c r="N22" s="3">
        <v>0</v>
      </c>
    </row>
    <row r="23" spans="1:14" x14ac:dyDescent="0.2">
      <c r="A23" s="5" t="str">
        <f>HYPERLINK("http://www.ncbi.nlm.nih.gov/protein/116292744","Abca13")</f>
        <v>Abca13</v>
      </c>
      <c r="B23" s="4"/>
      <c r="C23" s="3">
        <v>0</v>
      </c>
      <c r="D23" s="3">
        <v>148</v>
      </c>
      <c r="E23" s="3">
        <v>0</v>
      </c>
      <c r="F23" s="3">
        <v>1244</v>
      </c>
      <c r="G23" s="3">
        <v>0</v>
      </c>
      <c r="H23" s="2">
        <f t="shared" si="0"/>
        <v>1392</v>
      </c>
      <c r="I23" t="str">
        <f t="shared" si="1"/>
        <v>Abca13_1392</v>
      </c>
      <c r="J23" s="3">
        <v>0</v>
      </c>
      <c r="K23" s="3">
        <v>148</v>
      </c>
      <c r="L23" s="3">
        <v>0</v>
      </c>
      <c r="M23" s="3">
        <v>1244</v>
      </c>
      <c r="N23" s="3">
        <v>0</v>
      </c>
    </row>
    <row r="24" spans="1:14" x14ac:dyDescent="0.2">
      <c r="A24" s="5" t="str">
        <f>HYPERLINK("http://www.ncbi.nlm.nih.gov/protein/110225379","Abca2")</f>
        <v>Abca2</v>
      </c>
      <c r="B24" s="4"/>
      <c r="C24" s="3">
        <v>0</v>
      </c>
      <c r="D24" s="3">
        <v>0</v>
      </c>
      <c r="E24" s="3">
        <v>124</v>
      </c>
      <c r="F24" s="3">
        <v>0</v>
      </c>
      <c r="G24" s="3">
        <v>0</v>
      </c>
      <c r="H24" s="2">
        <f t="shared" si="0"/>
        <v>124</v>
      </c>
      <c r="I24" t="str">
        <f t="shared" si="1"/>
        <v>Abca2_124</v>
      </c>
      <c r="J24" s="3">
        <v>0</v>
      </c>
      <c r="K24" s="3">
        <v>0</v>
      </c>
      <c r="L24" s="3">
        <v>124</v>
      </c>
      <c r="M24" s="3">
        <v>0</v>
      </c>
      <c r="N24" s="3">
        <v>0</v>
      </c>
    </row>
    <row r="25" spans="1:14" x14ac:dyDescent="0.2">
      <c r="A25" s="5" t="str">
        <f>HYPERLINK("http://www.ncbi.nlm.nih.gov/protein/88759350","Abca3")</f>
        <v>Abca3</v>
      </c>
      <c r="B25" s="4"/>
      <c r="C25" s="3">
        <v>0</v>
      </c>
      <c r="D25" s="3">
        <v>0</v>
      </c>
      <c r="E25" s="3">
        <v>0</v>
      </c>
      <c r="F25" s="3">
        <v>0</v>
      </c>
      <c r="G25" s="3">
        <v>3106</v>
      </c>
      <c r="H25" s="2">
        <f t="shared" si="0"/>
        <v>3106</v>
      </c>
      <c r="I25" t="str">
        <f t="shared" si="1"/>
        <v>Abca3_3106</v>
      </c>
      <c r="J25" s="3">
        <v>0</v>
      </c>
      <c r="K25" s="3">
        <v>0</v>
      </c>
      <c r="L25" s="3">
        <v>0</v>
      </c>
      <c r="M25" s="3">
        <v>0</v>
      </c>
      <c r="N25" s="3">
        <v>3106</v>
      </c>
    </row>
    <row r="26" spans="1:14" x14ac:dyDescent="0.2">
      <c r="A26" s="5" t="str">
        <f>HYPERLINK("http://www.ncbi.nlm.nih.gov/protein/6671495","Abca4")</f>
        <v>Abca4</v>
      </c>
      <c r="B26" s="4"/>
      <c r="C26" s="3">
        <v>0</v>
      </c>
      <c r="D26" s="3">
        <v>0</v>
      </c>
      <c r="E26" s="3">
        <v>275</v>
      </c>
      <c r="F26" s="3">
        <v>0</v>
      </c>
      <c r="G26" s="3">
        <v>0</v>
      </c>
      <c r="H26" s="2">
        <f t="shared" si="0"/>
        <v>275</v>
      </c>
      <c r="I26" t="str">
        <f t="shared" si="1"/>
        <v>Abca4_275</v>
      </c>
      <c r="J26" s="3">
        <v>0</v>
      </c>
      <c r="K26" s="3">
        <v>0</v>
      </c>
      <c r="L26" s="3">
        <v>275</v>
      </c>
      <c r="M26" s="3">
        <v>0</v>
      </c>
      <c r="N26" s="3">
        <v>0</v>
      </c>
    </row>
    <row r="27" spans="1:14" x14ac:dyDescent="0.2">
      <c r="A27" s="5" t="str">
        <f>HYPERLINK("http://www.ncbi.nlm.nih.gov/protein/146134400","Abca5")</f>
        <v>Abca5</v>
      </c>
      <c r="B27" s="4"/>
      <c r="C27" s="3">
        <v>0</v>
      </c>
      <c r="D27" s="3">
        <v>0</v>
      </c>
      <c r="E27" s="3">
        <v>711</v>
      </c>
      <c r="F27" s="3">
        <v>0</v>
      </c>
      <c r="G27" s="3">
        <v>0</v>
      </c>
      <c r="H27" s="2">
        <f t="shared" si="0"/>
        <v>711</v>
      </c>
      <c r="I27" t="str">
        <f t="shared" si="1"/>
        <v>Abca5_711</v>
      </c>
      <c r="J27" s="3">
        <v>0</v>
      </c>
      <c r="K27" s="3">
        <v>0</v>
      </c>
      <c r="L27" s="3">
        <v>711</v>
      </c>
      <c r="M27" s="3">
        <v>0</v>
      </c>
      <c r="N27" s="3">
        <v>0</v>
      </c>
    </row>
    <row r="28" spans="1:14" x14ac:dyDescent="0.2">
      <c r="A28" s="5" t="str">
        <f>HYPERLINK("http://www.ncbi.nlm.nih.gov/protein/15451840","Abca7")</f>
        <v>Abca7</v>
      </c>
      <c r="B28" s="4"/>
      <c r="C28" s="3">
        <v>0</v>
      </c>
      <c r="D28" s="3">
        <v>6</v>
      </c>
      <c r="E28" s="3">
        <v>7</v>
      </c>
      <c r="F28" s="3">
        <v>0</v>
      </c>
      <c r="G28" s="3">
        <v>0</v>
      </c>
      <c r="H28" s="2">
        <f t="shared" si="0"/>
        <v>13</v>
      </c>
      <c r="I28" t="str">
        <f t="shared" si="1"/>
        <v>Abca7_13</v>
      </c>
      <c r="J28" s="3">
        <v>0</v>
      </c>
      <c r="K28" s="3">
        <v>6</v>
      </c>
      <c r="L28" s="3">
        <v>7</v>
      </c>
      <c r="M28" s="3">
        <v>0</v>
      </c>
      <c r="N28" s="3">
        <v>0</v>
      </c>
    </row>
    <row r="29" spans="1:14" x14ac:dyDescent="0.2">
      <c r="A29" s="5" t="str">
        <f>HYPERLINK("http://www.ncbi.nlm.nih.gov/protein/153792543","Abca9")</f>
        <v>Abca9</v>
      </c>
      <c r="B29" s="4"/>
      <c r="C29" s="3">
        <v>0</v>
      </c>
      <c r="D29" s="3">
        <v>825</v>
      </c>
      <c r="E29" s="3">
        <v>0</v>
      </c>
      <c r="F29" s="3">
        <v>0</v>
      </c>
      <c r="G29" s="3">
        <v>0</v>
      </c>
      <c r="H29" s="2">
        <f t="shared" si="0"/>
        <v>825</v>
      </c>
      <c r="I29" t="str">
        <f t="shared" si="1"/>
        <v>Abca9_825</v>
      </c>
      <c r="J29" s="3">
        <v>0</v>
      </c>
      <c r="K29" s="3">
        <v>825</v>
      </c>
      <c r="L29" s="3">
        <v>0</v>
      </c>
      <c r="M29" s="3">
        <v>0</v>
      </c>
      <c r="N29" s="3">
        <v>0</v>
      </c>
    </row>
    <row r="30" spans="1:14" x14ac:dyDescent="0.2">
      <c r="A30" s="5" t="str">
        <f>HYPERLINK("http://www.ncbi.nlm.nih.gov/protein/9506367","Abcb10")</f>
        <v>Abcb10</v>
      </c>
      <c r="B30" s="4"/>
      <c r="C30" s="3">
        <v>0</v>
      </c>
      <c r="D30" s="3">
        <v>466</v>
      </c>
      <c r="E30" s="3">
        <v>0</v>
      </c>
      <c r="F30" s="3">
        <v>0</v>
      </c>
      <c r="G30" s="3">
        <v>0</v>
      </c>
      <c r="H30" s="2">
        <f t="shared" si="0"/>
        <v>466</v>
      </c>
      <c r="I30" t="str">
        <f t="shared" si="1"/>
        <v>Abcb10_466</v>
      </c>
      <c r="J30" s="3">
        <v>0</v>
      </c>
      <c r="K30" s="3">
        <v>466</v>
      </c>
      <c r="L30" s="3">
        <v>0</v>
      </c>
      <c r="M30" s="3">
        <v>0</v>
      </c>
      <c r="N30" s="3">
        <v>0</v>
      </c>
    </row>
    <row r="31" spans="1:14" x14ac:dyDescent="0.2">
      <c r="A31" s="5" t="str">
        <f>HYPERLINK("http://www.ncbi.nlm.nih.gov/protein/17647117","Abcb6")</f>
        <v>Abcb6</v>
      </c>
      <c r="B31" s="4"/>
      <c r="C31" s="3">
        <v>0</v>
      </c>
      <c r="D31" s="3">
        <v>737</v>
      </c>
      <c r="E31" s="3">
        <v>61</v>
      </c>
      <c r="F31" s="3">
        <v>0</v>
      </c>
      <c r="G31" s="3">
        <v>0</v>
      </c>
      <c r="H31" s="2">
        <f t="shared" si="0"/>
        <v>798</v>
      </c>
      <c r="I31" t="str">
        <f t="shared" si="1"/>
        <v>Abcb6_798</v>
      </c>
      <c r="J31" s="3">
        <v>0</v>
      </c>
      <c r="K31" s="3">
        <v>737</v>
      </c>
      <c r="L31" s="3">
        <v>61</v>
      </c>
      <c r="M31" s="3">
        <v>0</v>
      </c>
      <c r="N31" s="3">
        <v>0</v>
      </c>
    </row>
    <row r="32" spans="1:14" x14ac:dyDescent="0.2">
      <c r="A32" s="5" t="str">
        <f>HYPERLINK("http://www.ncbi.nlm.nih.gov/protein/169234938","Abcb7")</f>
        <v>Abcb7</v>
      </c>
      <c r="B32" s="4"/>
      <c r="C32" s="3">
        <v>0</v>
      </c>
      <c r="D32" s="3">
        <v>357</v>
      </c>
      <c r="E32" s="3">
        <v>0</v>
      </c>
      <c r="F32" s="3">
        <v>0</v>
      </c>
      <c r="G32" s="3">
        <v>0</v>
      </c>
      <c r="H32" s="2">
        <f t="shared" si="0"/>
        <v>357</v>
      </c>
      <c r="I32" t="str">
        <f t="shared" si="1"/>
        <v>Abcb7_357</v>
      </c>
      <c r="J32" s="3">
        <v>0</v>
      </c>
      <c r="K32" s="3">
        <v>357</v>
      </c>
      <c r="L32" s="3">
        <v>0</v>
      </c>
      <c r="M32" s="3">
        <v>0</v>
      </c>
      <c r="N32" s="3">
        <v>0</v>
      </c>
    </row>
    <row r="33" spans="1:14" x14ac:dyDescent="0.2">
      <c r="A33" s="5" t="str">
        <f>HYPERLINK("http://www.ncbi.nlm.nih.gov/protein/27753995","Abcb8")</f>
        <v>Abcb8</v>
      </c>
      <c r="B33" s="4"/>
      <c r="C33" s="3">
        <v>0</v>
      </c>
      <c r="D33" s="3">
        <v>438</v>
      </c>
      <c r="E33" s="3">
        <v>0</v>
      </c>
      <c r="F33" s="3">
        <v>0</v>
      </c>
      <c r="G33" s="3">
        <v>0</v>
      </c>
      <c r="H33" s="2">
        <f t="shared" si="0"/>
        <v>438</v>
      </c>
      <c r="I33" t="str">
        <f t="shared" si="1"/>
        <v>Abcb8_438</v>
      </c>
      <c r="J33" s="3">
        <v>0</v>
      </c>
      <c r="K33" s="3">
        <v>438</v>
      </c>
      <c r="L33" s="3">
        <v>0</v>
      </c>
      <c r="M33" s="3">
        <v>0</v>
      </c>
      <c r="N33" s="3">
        <v>0</v>
      </c>
    </row>
    <row r="34" spans="1:14" x14ac:dyDescent="0.2">
      <c r="A34" s="5" t="str">
        <f>HYPERLINK("http://www.ncbi.nlm.nih.gov/protein/6678848","Abcc1")</f>
        <v>Abcc1</v>
      </c>
      <c r="B34" s="4"/>
      <c r="C34" s="3">
        <v>805</v>
      </c>
      <c r="D34" s="3">
        <v>4920</v>
      </c>
      <c r="E34" s="3">
        <v>4087</v>
      </c>
      <c r="F34" s="3">
        <v>0</v>
      </c>
      <c r="G34" s="3">
        <v>0</v>
      </c>
      <c r="H34" s="2">
        <f t="shared" si="0"/>
        <v>9812</v>
      </c>
      <c r="I34" t="str">
        <f t="shared" si="1"/>
        <v>Abcc1_9812</v>
      </c>
      <c r="J34" s="3">
        <v>805</v>
      </c>
      <c r="K34" s="3">
        <v>4920</v>
      </c>
      <c r="L34" s="3">
        <v>4087</v>
      </c>
      <c r="M34" s="3">
        <v>0</v>
      </c>
      <c r="N34" s="3">
        <v>0</v>
      </c>
    </row>
    <row r="35" spans="1:14" x14ac:dyDescent="0.2">
      <c r="A35" s="5" t="str">
        <f>HYPERLINK("http://www.ncbi.nlm.nih.gov/protein/116063566","Abcc2")</f>
        <v>Abcc2</v>
      </c>
      <c r="B35" s="4"/>
      <c r="C35" s="3">
        <v>1501</v>
      </c>
      <c r="D35" s="3">
        <v>0</v>
      </c>
      <c r="E35" s="3">
        <v>0</v>
      </c>
      <c r="F35" s="3">
        <v>0</v>
      </c>
      <c r="G35" s="3">
        <v>0</v>
      </c>
      <c r="H35" s="2">
        <f t="shared" si="0"/>
        <v>1501</v>
      </c>
      <c r="I35" t="str">
        <f t="shared" si="1"/>
        <v>Abcc2_1501</v>
      </c>
      <c r="J35" s="3">
        <v>1501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5" t="str">
        <f>HYPERLINK("http://www.ncbi.nlm.nih.gov/protein/90403595","Abcc3")</f>
        <v>Abcc3</v>
      </c>
      <c r="B36" s="4"/>
      <c r="C36" s="3">
        <v>0</v>
      </c>
      <c r="D36" s="3">
        <v>470</v>
      </c>
      <c r="E36" s="3">
        <v>40</v>
      </c>
      <c r="F36" s="3">
        <v>0</v>
      </c>
      <c r="G36" s="3">
        <v>0</v>
      </c>
      <c r="H36" s="2">
        <f t="shared" si="0"/>
        <v>510</v>
      </c>
      <c r="I36" t="str">
        <f t="shared" si="1"/>
        <v>Abcc3_510</v>
      </c>
      <c r="J36" s="3">
        <v>0</v>
      </c>
      <c r="K36" s="3">
        <v>470</v>
      </c>
      <c r="L36" s="3">
        <v>40</v>
      </c>
      <c r="M36" s="3">
        <v>0</v>
      </c>
      <c r="N36" s="3">
        <v>0</v>
      </c>
    </row>
    <row r="37" spans="1:14" x14ac:dyDescent="0.2">
      <c r="A37" s="5" t="str">
        <f>HYPERLINK("http://www.ncbi.nlm.nih.gov/protein/255683320","Abcc4")</f>
        <v>Abcc4</v>
      </c>
      <c r="B37" s="4"/>
      <c r="C37" s="3">
        <v>751</v>
      </c>
      <c r="D37" s="3">
        <v>3073</v>
      </c>
      <c r="E37" s="3">
        <v>3907</v>
      </c>
      <c r="F37" s="3">
        <v>90</v>
      </c>
      <c r="G37" s="3">
        <v>0</v>
      </c>
      <c r="H37" s="2">
        <f t="shared" si="0"/>
        <v>7821</v>
      </c>
      <c r="I37" t="str">
        <f t="shared" si="1"/>
        <v>Abcc4_7821</v>
      </c>
      <c r="J37" s="3">
        <v>751</v>
      </c>
      <c r="K37" s="3">
        <v>3073</v>
      </c>
      <c r="L37" s="3">
        <v>3907</v>
      </c>
      <c r="M37" s="3">
        <v>90</v>
      </c>
      <c r="N37" s="3">
        <v>0</v>
      </c>
    </row>
    <row r="38" spans="1:14" x14ac:dyDescent="0.2">
      <c r="A38" s="5" t="str">
        <f>HYPERLINK("http://www.ncbi.nlm.nih.gov/protein/255683324","Abcc4")</f>
        <v>Abcc4</v>
      </c>
      <c r="B38" s="4"/>
      <c r="C38" s="3">
        <v>751</v>
      </c>
      <c r="D38" s="3">
        <v>3073</v>
      </c>
      <c r="E38" s="3">
        <v>3907</v>
      </c>
      <c r="F38" s="3">
        <v>90</v>
      </c>
      <c r="G38" s="3">
        <v>0</v>
      </c>
      <c r="H38" s="2">
        <f t="shared" si="0"/>
        <v>7821</v>
      </c>
      <c r="I38" t="str">
        <f t="shared" si="1"/>
        <v>Abcc4_7821</v>
      </c>
      <c r="J38" s="3">
        <v>751</v>
      </c>
      <c r="K38" s="3">
        <v>3073</v>
      </c>
      <c r="L38" s="3">
        <v>3907</v>
      </c>
      <c r="M38" s="3">
        <v>90</v>
      </c>
      <c r="N38" s="3">
        <v>0</v>
      </c>
    </row>
    <row r="39" spans="1:14" x14ac:dyDescent="0.2">
      <c r="A39" s="5" t="str">
        <f>HYPERLINK("http://www.ncbi.nlm.nih.gov/protein/255683328","Abcc4")</f>
        <v>Abcc4</v>
      </c>
      <c r="B39" s="4"/>
      <c r="C39" s="3">
        <v>751</v>
      </c>
      <c r="D39" s="3">
        <v>3073</v>
      </c>
      <c r="E39" s="3">
        <v>3907</v>
      </c>
      <c r="F39" s="3">
        <v>90</v>
      </c>
      <c r="G39" s="3">
        <v>0</v>
      </c>
      <c r="H39" s="2">
        <f t="shared" si="0"/>
        <v>7821</v>
      </c>
      <c r="I39" t="str">
        <f t="shared" si="1"/>
        <v>Abcc4_7821</v>
      </c>
      <c r="J39" s="3">
        <v>751</v>
      </c>
      <c r="K39" s="3">
        <v>3073</v>
      </c>
      <c r="L39" s="3">
        <v>3907</v>
      </c>
      <c r="M39" s="3">
        <v>90</v>
      </c>
      <c r="N39" s="3">
        <v>0</v>
      </c>
    </row>
    <row r="40" spans="1:14" x14ac:dyDescent="0.2">
      <c r="A40" s="5" t="str">
        <f>HYPERLINK("http://www.ncbi.nlm.nih.gov/protein/6671497","Abcd1")</f>
        <v>Abcd1</v>
      </c>
      <c r="B40" s="4"/>
      <c r="C40" s="3">
        <v>0</v>
      </c>
      <c r="D40" s="3">
        <v>50</v>
      </c>
      <c r="E40" s="3">
        <v>582</v>
      </c>
      <c r="F40" s="3">
        <v>0</v>
      </c>
      <c r="G40" s="3">
        <v>0</v>
      </c>
      <c r="H40" s="2">
        <f t="shared" si="0"/>
        <v>632</v>
      </c>
      <c r="I40" t="str">
        <f t="shared" si="1"/>
        <v>Abcd1_632</v>
      </c>
      <c r="J40" s="3">
        <v>0</v>
      </c>
      <c r="K40" s="3">
        <v>50</v>
      </c>
      <c r="L40" s="3">
        <v>582</v>
      </c>
      <c r="M40" s="3">
        <v>0</v>
      </c>
      <c r="N40" s="3">
        <v>0</v>
      </c>
    </row>
    <row r="41" spans="1:14" x14ac:dyDescent="0.2">
      <c r="A41" s="5" t="str">
        <f>HYPERLINK("http://www.ncbi.nlm.nih.gov/protein/60218877","Abcd3")</f>
        <v>Abcd3</v>
      </c>
      <c r="B41" s="4"/>
      <c r="C41" s="3">
        <v>137972</v>
      </c>
      <c r="D41" s="3">
        <v>13356</v>
      </c>
      <c r="E41" s="3">
        <v>28472</v>
      </c>
      <c r="F41" s="3">
        <v>0</v>
      </c>
      <c r="G41" s="3">
        <v>0</v>
      </c>
      <c r="H41" s="2">
        <f t="shared" si="0"/>
        <v>179800</v>
      </c>
      <c r="I41" t="str">
        <f t="shared" si="1"/>
        <v>Abcd3_179800</v>
      </c>
      <c r="J41" s="3">
        <v>137972</v>
      </c>
      <c r="K41" s="3">
        <v>13356</v>
      </c>
      <c r="L41" s="3">
        <v>28472</v>
      </c>
      <c r="M41" s="3">
        <v>0</v>
      </c>
      <c r="N41" s="3">
        <v>0</v>
      </c>
    </row>
    <row r="42" spans="1:14" x14ac:dyDescent="0.2">
      <c r="A42" s="5" t="str">
        <f>HYPERLINK("http://www.ncbi.nlm.nih.gov/protein/226052788","Abcd4")</f>
        <v>Abcd4</v>
      </c>
      <c r="B42" s="4"/>
      <c r="C42" s="3">
        <v>0</v>
      </c>
      <c r="D42" s="3">
        <v>58</v>
      </c>
      <c r="E42" s="3">
        <v>148</v>
      </c>
      <c r="F42" s="3">
        <v>0</v>
      </c>
      <c r="G42" s="3">
        <v>0</v>
      </c>
      <c r="H42" s="2">
        <f t="shared" si="0"/>
        <v>206</v>
      </c>
      <c r="I42" t="str">
        <f t="shared" si="1"/>
        <v>Abcd4_206</v>
      </c>
      <c r="J42" s="3">
        <v>0</v>
      </c>
      <c r="K42" s="3">
        <v>58</v>
      </c>
      <c r="L42" s="3">
        <v>148</v>
      </c>
      <c r="M42" s="3">
        <v>0</v>
      </c>
      <c r="N42" s="3">
        <v>0</v>
      </c>
    </row>
    <row r="43" spans="1:14" x14ac:dyDescent="0.2">
      <c r="A43" s="5" t="str">
        <f>HYPERLINK("http://www.ncbi.nlm.nih.gov/protein/114205431","Abce1")</f>
        <v>Abce1</v>
      </c>
      <c r="B43" s="4"/>
      <c r="C43" s="3">
        <v>0</v>
      </c>
      <c r="D43" s="3">
        <v>3513</v>
      </c>
      <c r="E43" s="3">
        <v>47314</v>
      </c>
      <c r="F43" s="3">
        <v>151204</v>
      </c>
      <c r="G43" s="3">
        <v>3245</v>
      </c>
      <c r="H43" s="2">
        <f t="shared" si="0"/>
        <v>205276</v>
      </c>
      <c r="I43" t="str">
        <f t="shared" si="1"/>
        <v>Abce1_205276</v>
      </c>
      <c r="J43" s="3">
        <v>0</v>
      </c>
      <c r="K43" s="3">
        <v>3513</v>
      </c>
      <c r="L43" s="3">
        <v>47314</v>
      </c>
      <c r="M43" s="3">
        <v>151204</v>
      </c>
      <c r="N43" s="3">
        <v>3245</v>
      </c>
    </row>
    <row r="44" spans="1:14" x14ac:dyDescent="0.2">
      <c r="A44" s="5" t="str">
        <f>HYPERLINK("http://www.ncbi.nlm.nih.gov/protein/39930335","Abcf1")</f>
        <v>Abcf1</v>
      </c>
      <c r="B44" s="4"/>
      <c r="C44" s="3">
        <v>1886</v>
      </c>
      <c r="D44" s="3">
        <v>674</v>
      </c>
      <c r="E44" s="3">
        <v>61489</v>
      </c>
      <c r="F44" s="3">
        <v>56660</v>
      </c>
      <c r="G44" s="3">
        <v>0</v>
      </c>
      <c r="H44" s="2">
        <f t="shared" si="0"/>
        <v>120709</v>
      </c>
      <c r="I44" t="str">
        <f t="shared" si="1"/>
        <v>Abcf1_120709</v>
      </c>
      <c r="J44" s="3">
        <v>1886</v>
      </c>
      <c r="K44" s="3">
        <v>674</v>
      </c>
      <c r="L44" s="3">
        <v>61489</v>
      </c>
      <c r="M44" s="3">
        <v>56660</v>
      </c>
      <c r="N44" s="3">
        <v>0</v>
      </c>
    </row>
    <row r="45" spans="1:14" x14ac:dyDescent="0.2">
      <c r="A45" s="5" t="str">
        <f>HYPERLINK("http://www.ncbi.nlm.nih.gov/protein/23956078","Abcf2")</f>
        <v>Abcf2</v>
      </c>
      <c r="B45" s="4"/>
      <c r="C45" s="3">
        <v>0</v>
      </c>
      <c r="D45" s="3">
        <v>6215</v>
      </c>
      <c r="E45" s="3">
        <v>37683</v>
      </c>
      <c r="F45" s="3">
        <v>144115</v>
      </c>
      <c r="G45" s="3">
        <v>0</v>
      </c>
      <c r="H45" s="2">
        <f t="shared" si="0"/>
        <v>188013</v>
      </c>
      <c r="I45" t="str">
        <f t="shared" si="1"/>
        <v>Abcf2_188013</v>
      </c>
      <c r="J45" s="3">
        <v>0</v>
      </c>
      <c r="K45" s="3">
        <v>6215</v>
      </c>
      <c r="L45" s="3">
        <v>37683</v>
      </c>
      <c r="M45" s="3">
        <v>144115</v>
      </c>
      <c r="N45" s="3">
        <v>0</v>
      </c>
    </row>
    <row r="46" spans="1:14" x14ac:dyDescent="0.2">
      <c r="A46" s="5" t="str">
        <f>HYPERLINK("http://www.ncbi.nlm.nih.gov/protein/299473734","Abcf2")</f>
        <v>Abcf2</v>
      </c>
      <c r="B46" s="4"/>
      <c r="C46" s="3">
        <v>0</v>
      </c>
      <c r="D46" s="3">
        <v>6215</v>
      </c>
      <c r="E46" s="3">
        <v>33633</v>
      </c>
      <c r="F46" s="3">
        <v>130764</v>
      </c>
      <c r="G46" s="3">
        <v>0</v>
      </c>
      <c r="H46" s="2">
        <f t="shared" si="0"/>
        <v>170612</v>
      </c>
      <c r="I46" t="str">
        <f t="shared" si="1"/>
        <v>Abcf2_170612</v>
      </c>
      <c r="J46" s="3">
        <v>0</v>
      </c>
      <c r="K46" s="3">
        <v>6215</v>
      </c>
      <c r="L46" s="3">
        <v>33633</v>
      </c>
      <c r="M46" s="3">
        <v>130764</v>
      </c>
      <c r="N46" s="3">
        <v>0</v>
      </c>
    </row>
    <row r="47" spans="1:14" x14ac:dyDescent="0.2">
      <c r="A47" s="5" t="str">
        <f>HYPERLINK("http://www.ncbi.nlm.nih.gov/protein/29789050","Abcf3")</f>
        <v>Abcf3</v>
      </c>
      <c r="B47" s="4"/>
      <c r="C47" s="3">
        <v>0</v>
      </c>
      <c r="D47" s="3">
        <v>0</v>
      </c>
      <c r="E47" s="3">
        <v>104</v>
      </c>
      <c r="F47" s="3">
        <v>3585</v>
      </c>
      <c r="G47" s="3">
        <v>9189</v>
      </c>
      <c r="H47" s="2">
        <f t="shared" si="0"/>
        <v>12878</v>
      </c>
      <c r="I47" t="str">
        <f t="shared" si="1"/>
        <v>Abcf3_12878</v>
      </c>
      <c r="J47" s="3">
        <v>0</v>
      </c>
      <c r="K47" s="3">
        <v>0</v>
      </c>
      <c r="L47" s="3">
        <v>104</v>
      </c>
      <c r="M47" s="3">
        <v>3585</v>
      </c>
      <c r="N47" s="3">
        <v>9189</v>
      </c>
    </row>
    <row r="48" spans="1:14" x14ac:dyDescent="0.2">
      <c r="A48" s="5" t="str">
        <f>HYPERLINK("http://www.ncbi.nlm.nih.gov/protein/6752944","Abcg2")</f>
        <v>Abcg2</v>
      </c>
      <c r="B48" s="4"/>
      <c r="C48" s="3">
        <v>0</v>
      </c>
      <c r="D48" s="3">
        <v>0</v>
      </c>
      <c r="E48" s="3">
        <v>600</v>
      </c>
      <c r="F48" s="3">
        <v>3233</v>
      </c>
      <c r="G48" s="3">
        <v>0</v>
      </c>
      <c r="H48" s="2">
        <f t="shared" si="0"/>
        <v>3833</v>
      </c>
      <c r="I48" t="str">
        <f t="shared" si="1"/>
        <v>Abcg2_3833</v>
      </c>
      <c r="J48" s="3">
        <v>0</v>
      </c>
      <c r="K48" s="3">
        <v>0</v>
      </c>
      <c r="L48" s="3">
        <v>600</v>
      </c>
      <c r="M48" s="3">
        <v>3233</v>
      </c>
      <c r="N48" s="3">
        <v>0</v>
      </c>
    </row>
    <row r="49" spans="1:14" x14ac:dyDescent="0.2">
      <c r="A49" s="5" t="str">
        <f>HYPERLINK("http://www.ncbi.nlm.nih.gov/protein/269784760","Abhd10")</f>
        <v>Abhd10</v>
      </c>
      <c r="B49" s="4"/>
      <c r="C49" s="3">
        <v>0</v>
      </c>
      <c r="D49" s="3">
        <v>1330</v>
      </c>
      <c r="E49" s="3">
        <v>0</v>
      </c>
      <c r="F49" s="3">
        <v>0</v>
      </c>
      <c r="G49" s="3">
        <v>0</v>
      </c>
      <c r="H49" s="2">
        <f t="shared" si="0"/>
        <v>1330</v>
      </c>
      <c r="I49" t="str">
        <f t="shared" si="1"/>
        <v>Abhd10_1330</v>
      </c>
      <c r="J49" s="3">
        <v>0</v>
      </c>
      <c r="K49" s="3">
        <v>1330</v>
      </c>
      <c r="L49" s="3">
        <v>0</v>
      </c>
      <c r="M49" s="3">
        <v>0</v>
      </c>
      <c r="N49" s="3">
        <v>0</v>
      </c>
    </row>
    <row r="50" spans="1:14" x14ac:dyDescent="0.2">
      <c r="A50" s="5" t="str">
        <f>HYPERLINK("http://www.ncbi.nlm.nih.gov/protein/440918693","Abhd10")</f>
        <v>Abhd10</v>
      </c>
      <c r="B50" s="4"/>
      <c r="C50" s="3">
        <v>0</v>
      </c>
      <c r="D50" s="3">
        <v>1330</v>
      </c>
      <c r="E50" s="3">
        <v>0</v>
      </c>
      <c r="F50" s="3">
        <v>0</v>
      </c>
      <c r="G50" s="3">
        <v>0</v>
      </c>
      <c r="H50" s="2">
        <f t="shared" si="0"/>
        <v>1330</v>
      </c>
      <c r="I50" t="str">
        <f t="shared" si="1"/>
        <v>Abhd10_1330</v>
      </c>
      <c r="J50" s="3">
        <v>0</v>
      </c>
      <c r="K50" s="3">
        <v>1330</v>
      </c>
      <c r="L50" s="3">
        <v>0</v>
      </c>
      <c r="M50" s="3">
        <v>0</v>
      </c>
      <c r="N50" s="3">
        <v>0</v>
      </c>
    </row>
    <row r="51" spans="1:14" x14ac:dyDescent="0.2">
      <c r="A51" s="5" t="str">
        <f>HYPERLINK("http://www.ncbi.nlm.nih.gov/protein/159110817","Abhd12")</f>
        <v>Abhd12</v>
      </c>
      <c r="B51" s="4"/>
      <c r="C51" s="3">
        <v>20375</v>
      </c>
      <c r="D51" s="3">
        <v>3219</v>
      </c>
      <c r="E51" s="3">
        <v>651</v>
      </c>
      <c r="F51" s="3">
        <v>0</v>
      </c>
      <c r="G51" s="3">
        <v>0</v>
      </c>
      <c r="H51" s="2">
        <f t="shared" si="0"/>
        <v>24245</v>
      </c>
      <c r="I51" t="str">
        <f t="shared" si="1"/>
        <v>Abhd12_24245</v>
      </c>
      <c r="J51" s="3">
        <v>20375</v>
      </c>
      <c r="K51" s="3">
        <v>3219</v>
      </c>
      <c r="L51" s="3">
        <v>651</v>
      </c>
      <c r="M51" s="3">
        <v>0</v>
      </c>
      <c r="N51" s="3">
        <v>0</v>
      </c>
    </row>
    <row r="52" spans="1:14" x14ac:dyDescent="0.2">
      <c r="A52" s="5" t="str">
        <f>HYPERLINK("http://www.ncbi.nlm.nih.gov/protein/124487441","Abhd13")</f>
        <v>Abhd13</v>
      </c>
      <c r="B52" s="4"/>
      <c r="C52" s="3">
        <v>0</v>
      </c>
      <c r="D52" s="3">
        <v>186</v>
      </c>
      <c r="E52" s="3">
        <v>51</v>
      </c>
      <c r="F52" s="3">
        <v>0</v>
      </c>
      <c r="G52" s="3">
        <v>0</v>
      </c>
      <c r="H52" s="2">
        <f t="shared" si="0"/>
        <v>237</v>
      </c>
      <c r="I52" t="str">
        <f t="shared" si="1"/>
        <v>Abhd13_237</v>
      </c>
      <c r="J52" s="3">
        <v>0</v>
      </c>
      <c r="K52" s="3">
        <v>186</v>
      </c>
      <c r="L52" s="3">
        <v>51</v>
      </c>
      <c r="M52" s="3">
        <v>0</v>
      </c>
      <c r="N52" s="3">
        <v>0</v>
      </c>
    </row>
    <row r="53" spans="1:14" x14ac:dyDescent="0.2">
      <c r="A53" s="5" t="str">
        <f>HYPERLINK("http://www.ncbi.nlm.nih.gov/protein/171460960","Abhd14b")</f>
        <v>Abhd14b</v>
      </c>
      <c r="B53" s="4"/>
      <c r="C53" s="3">
        <v>6151</v>
      </c>
      <c r="D53" s="3">
        <v>14569</v>
      </c>
      <c r="E53" s="3">
        <v>13837</v>
      </c>
      <c r="F53" s="3">
        <v>3495</v>
      </c>
      <c r="G53" s="3">
        <v>200300</v>
      </c>
      <c r="H53" s="2">
        <f t="shared" si="0"/>
        <v>238352</v>
      </c>
      <c r="I53" t="str">
        <f t="shared" si="1"/>
        <v>Abhd14b_238352</v>
      </c>
      <c r="J53" s="3">
        <v>6151</v>
      </c>
      <c r="K53" s="3">
        <v>14569</v>
      </c>
      <c r="L53" s="3">
        <v>13837</v>
      </c>
      <c r="M53" s="3">
        <v>3495</v>
      </c>
      <c r="N53" s="3">
        <v>200300</v>
      </c>
    </row>
    <row r="54" spans="1:14" x14ac:dyDescent="0.2">
      <c r="A54" s="5" t="str">
        <f>HYPERLINK("http://www.ncbi.nlm.nih.gov/protein/30519896","Abhd16a")</f>
        <v>Abhd16a</v>
      </c>
      <c r="B54" s="4"/>
      <c r="C54" s="3">
        <v>0</v>
      </c>
      <c r="D54" s="3">
        <v>1273</v>
      </c>
      <c r="E54" s="3">
        <v>2112</v>
      </c>
      <c r="F54" s="3">
        <v>0</v>
      </c>
      <c r="G54" s="3">
        <v>0</v>
      </c>
      <c r="H54" s="2">
        <f t="shared" si="0"/>
        <v>3385</v>
      </c>
      <c r="I54" t="str">
        <f t="shared" si="1"/>
        <v>Abhd16a_3385</v>
      </c>
      <c r="J54" s="3">
        <v>0</v>
      </c>
      <c r="K54" s="3">
        <v>1273</v>
      </c>
      <c r="L54" s="3">
        <v>2112</v>
      </c>
      <c r="M54" s="3">
        <v>0</v>
      </c>
      <c r="N54" s="3">
        <v>0</v>
      </c>
    </row>
    <row r="55" spans="1:14" x14ac:dyDescent="0.2">
      <c r="A55" s="5" t="str">
        <f>HYPERLINK("http://www.ncbi.nlm.nih.gov/protein/38142456","Abhd17b")</f>
        <v>Abhd17b</v>
      </c>
      <c r="B55" s="4"/>
      <c r="C55" s="3">
        <v>0</v>
      </c>
      <c r="D55" s="3">
        <v>0</v>
      </c>
      <c r="E55" s="3">
        <v>66</v>
      </c>
      <c r="F55" s="3">
        <v>0</v>
      </c>
      <c r="G55" s="3">
        <v>0</v>
      </c>
      <c r="H55" s="2">
        <f t="shared" si="0"/>
        <v>66</v>
      </c>
      <c r="I55" t="str">
        <f t="shared" si="1"/>
        <v>Abhd17b_66</v>
      </c>
      <c r="J55" s="3">
        <v>0</v>
      </c>
      <c r="K55" s="3">
        <v>0</v>
      </c>
      <c r="L55" s="3">
        <v>66</v>
      </c>
      <c r="M55" s="3">
        <v>0</v>
      </c>
      <c r="N55" s="3">
        <v>0</v>
      </c>
    </row>
    <row r="56" spans="1:14" x14ac:dyDescent="0.2">
      <c r="A56" s="5" t="str">
        <f>HYPERLINK("http://www.ncbi.nlm.nih.gov/protein/326937491","Abhd4")</f>
        <v>Abhd4</v>
      </c>
      <c r="B56" s="4"/>
      <c r="C56" s="3">
        <v>0</v>
      </c>
      <c r="D56" s="3">
        <v>0</v>
      </c>
      <c r="E56" s="3">
        <v>186</v>
      </c>
      <c r="F56" s="3">
        <v>9119</v>
      </c>
      <c r="G56" s="3">
        <v>0</v>
      </c>
      <c r="H56" s="2">
        <f t="shared" si="0"/>
        <v>9305</v>
      </c>
      <c r="I56" t="str">
        <f t="shared" si="1"/>
        <v>Abhd4_9305</v>
      </c>
      <c r="J56" s="3">
        <v>0</v>
      </c>
      <c r="K56" s="3">
        <v>0</v>
      </c>
      <c r="L56" s="3">
        <v>186</v>
      </c>
      <c r="M56" s="3">
        <v>9119</v>
      </c>
      <c r="N56" s="3">
        <v>0</v>
      </c>
    </row>
    <row r="57" spans="1:14" x14ac:dyDescent="0.2">
      <c r="A57" s="5" t="str">
        <f>HYPERLINK("http://www.ncbi.nlm.nih.gov/protein/326937494","Abhd4")</f>
        <v>Abhd4</v>
      </c>
      <c r="B57" s="4"/>
      <c r="C57" s="3">
        <v>0</v>
      </c>
      <c r="D57" s="3">
        <v>0</v>
      </c>
      <c r="E57" s="3">
        <v>186</v>
      </c>
      <c r="F57" s="3">
        <v>9119</v>
      </c>
      <c r="G57" s="3">
        <v>0</v>
      </c>
      <c r="H57" s="2">
        <f t="shared" si="0"/>
        <v>9305</v>
      </c>
      <c r="I57" t="str">
        <f t="shared" si="1"/>
        <v>Abhd4_9305</v>
      </c>
      <c r="J57" s="3">
        <v>0</v>
      </c>
      <c r="K57" s="3">
        <v>0</v>
      </c>
      <c r="L57" s="3">
        <v>186</v>
      </c>
      <c r="M57" s="3">
        <v>9119</v>
      </c>
      <c r="N57" s="3">
        <v>0</v>
      </c>
    </row>
    <row r="58" spans="1:14" x14ac:dyDescent="0.2">
      <c r="A58" s="5" t="str">
        <f>HYPERLINK("http://www.ncbi.nlm.nih.gov/protein/13385690","Abhd5")</f>
        <v>Abhd5</v>
      </c>
      <c r="B58" s="4"/>
      <c r="C58" s="3">
        <v>0</v>
      </c>
      <c r="D58" s="3">
        <v>1432</v>
      </c>
      <c r="E58" s="3">
        <v>439</v>
      </c>
      <c r="F58" s="3">
        <v>1506</v>
      </c>
      <c r="G58" s="3">
        <v>0</v>
      </c>
      <c r="H58" s="2">
        <f t="shared" si="0"/>
        <v>3377</v>
      </c>
      <c r="I58" t="str">
        <f t="shared" si="1"/>
        <v>Abhd5_3377</v>
      </c>
      <c r="J58" s="3">
        <v>0</v>
      </c>
      <c r="K58" s="3">
        <v>1432</v>
      </c>
      <c r="L58" s="3">
        <v>439</v>
      </c>
      <c r="M58" s="3">
        <v>1506</v>
      </c>
      <c r="N58" s="3">
        <v>0</v>
      </c>
    </row>
    <row r="59" spans="1:14" x14ac:dyDescent="0.2">
      <c r="A59" s="5" t="str">
        <f>HYPERLINK("http://www.ncbi.nlm.nih.gov/protein/31560264","Abhd6")</f>
        <v>Abhd6</v>
      </c>
      <c r="B59" s="4"/>
      <c r="C59" s="3">
        <v>1831</v>
      </c>
      <c r="D59" s="3">
        <v>5622</v>
      </c>
      <c r="E59" s="3">
        <v>686</v>
      </c>
      <c r="F59" s="3">
        <v>0</v>
      </c>
      <c r="G59" s="3">
        <v>0</v>
      </c>
      <c r="H59" s="2">
        <f t="shared" si="0"/>
        <v>8139</v>
      </c>
      <c r="I59" t="str">
        <f t="shared" si="1"/>
        <v>Abhd6_8139</v>
      </c>
      <c r="J59" s="3">
        <v>1831</v>
      </c>
      <c r="K59" s="3">
        <v>5622</v>
      </c>
      <c r="L59" s="3">
        <v>686</v>
      </c>
      <c r="M59" s="3">
        <v>0</v>
      </c>
      <c r="N59" s="3">
        <v>0</v>
      </c>
    </row>
    <row r="60" spans="1:14" x14ac:dyDescent="0.2">
      <c r="A60" s="5" t="str">
        <f>HYPERLINK("http://www.ncbi.nlm.nih.gov/protein/116089341","Abi1")</f>
        <v>Abi1</v>
      </c>
      <c r="B60" s="4"/>
      <c r="C60" s="3">
        <v>0</v>
      </c>
      <c r="D60" s="3">
        <v>3290</v>
      </c>
      <c r="E60" s="3">
        <v>4223</v>
      </c>
      <c r="F60" s="3">
        <v>2955</v>
      </c>
      <c r="G60" s="3">
        <v>814</v>
      </c>
      <c r="H60" s="2">
        <f t="shared" si="0"/>
        <v>11282</v>
      </c>
      <c r="I60" t="str">
        <f t="shared" si="1"/>
        <v>Abi1_11282</v>
      </c>
      <c r="J60" s="3">
        <v>0</v>
      </c>
      <c r="K60" s="3">
        <v>3290</v>
      </c>
      <c r="L60" s="3">
        <v>4223</v>
      </c>
      <c r="M60" s="3">
        <v>2955</v>
      </c>
      <c r="N60" s="3">
        <v>814</v>
      </c>
    </row>
    <row r="61" spans="1:14" x14ac:dyDescent="0.2">
      <c r="A61" s="5" t="str">
        <f>HYPERLINK("http://www.ncbi.nlm.nih.gov/protein/116089343","Abi1")</f>
        <v>Abi1</v>
      </c>
      <c r="B61" s="4"/>
      <c r="C61" s="3">
        <v>0</v>
      </c>
      <c r="D61" s="3">
        <v>3290</v>
      </c>
      <c r="E61" s="3">
        <v>4223</v>
      </c>
      <c r="F61" s="3">
        <v>2955</v>
      </c>
      <c r="G61" s="3">
        <v>814</v>
      </c>
      <c r="H61" s="2">
        <f t="shared" si="0"/>
        <v>11282</v>
      </c>
      <c r="I61" t="str">
        <f t="shared" si="1"/>
        <v>Abi1_11282</v>
      </c>
      <c r="J61" s="3">
        <v>0</v>
      </c>
      <c r="K61" s="3">
        <v>3290</v>
      </c>
      <c r="L61" s="3">
        <v>4223</v>
      </c>
      <c r="M61" s="3">
        <v>2955</v>
      </c>
      <c r="N61" s="3">
        <v>814</v>
      </c>
    </row>
    <row r="62" spans="1:14" x14ac:dyDescent="0.2">
      <c r="A62" s="5" t="str">
        <f>HYPERLINK("http://www.ncbi.nlm.nih.gov/protein/116089345","Abi1")</f>
        <v>Abi1</v>
      </c>
      <c r="B62" s="4"/>
      <c r="C62" s="3">
        <v>0</v>
      </c>
      <c r="D62" s="3">
        <v>3290</v>
      </c>
      <c r="E62" s="3">
        <v>4223</v>
      </c>
      <c r="F62" s="3">
        <v>2955</v>
      </c>
      <c r="G62" s="3">
        <v>814</v>
      </c>
      <c r="H62" s="2">
        <f t="shared" si="0"/>
        <v>11282</v>
      </c>
      <c r="I62" t="str">
        <f t="shared" si="1"/>
        <v>Abi1_11282</v>
      </c>
      <c r="J62" s="3">
        <v>0</v>
      </c>
      <c r="K62" s="3">
        <v>3290</v>
      </c>
      <c r="L62" s="3">
        <v>4223</v>
      </c>
      <c r="M62" s="3">
        <v>2955</v>
      </c>
      <c r="N62" s="3">
        <v>814</v>
      </c>
    </row>
    <row r="63" spans="1:14" x14ac:dyDescent="0.2">
      <c r="A63" s="5" t="str">
        <f>HYPERLINK("http://www.ncbi.nlm.nih.gov/protein/116089347","Abi1")</f>
        <v>Abi1</v>
      </c>
      <c r="B63" s="4"/>
      <c r="C63" s="3">
        <v>0</v>
      </c>
      <c r="D63" s="3">
        <v>3290</v>
      </c>
      <c r="E63" s="3">
        <v>4223</v>
      </c>
      <c r="F63" s="3">
        <v>2955</v>
      </c>
      <c r="G63" s="3">
        <v>814</v>
      </c>
      <c r="H63" s="2">
        <f t="shared" si="0"/>
        <v>11282</v>
      </c>
      <c r="I63" t="str">
        <f t="shared" si="1"/>
        <v>Abi1_11282</v>
      </c>
      <c r="J63" s="3">
        <v>0</v>
      </c>
      <c r="K63" s="3">
        <v>3290</v>
      </c>
      <c r="L63" s="3">
        <v>4223</v>
      </c>
      <c r="M63" s="3">
        <v>2955</v>
      </c>
      <c r="N63" s="3">
        <v>814</v>
      </c>
    </row>
    <row r="64" spans="1:14" x14ac:dyDescent="0.2">
      <c r="A64" s="5" t="str">
        <f>HYPERLINK("http://www.ncbi.nlm.nih.gov/protein/116089351","Abi1")</f>
        <v>Abi1</v>
      </c>
      <c r="B64" s="4"/>
      <c r="C64" s="3">
        <v>0</v>
      </c>
      <c r="D64" s="3">
        <v>3290</v>
      </c>
      <c r="E64" s="3">
        <v>4223</v>
      </c>
      <c r="F64" s="3">
        <v>2955</v>
      </c>
      <c r="G64" s="3">
        <v>814</v>
      </c>
      <c r="H64" s="2">
        <f t="shared" si="0"/>
        <v>11282</v>
      </c>
      <c r="I64" t="str">
        <f t="shared" si="1"/>
        <v>Abi1_11282</v>
      </c>
      <c r="J64" s="3">
        <v>0</v>
      </c>
      <c r="K64" s="3">
        <v>3290</v>
      </c>
      <c r="L64" s="3">
        <v>4223</v>
      </c>
      <c r="M64" s="3">
        <v>2955</v>
      </c>
      <c r="N64" s="3">
        <v>814</v>
      </c>
    </row>
    <row r="65" spans="1:14" x14ac:dyDescent="0.2">
      <c r="A65" s="5" t="str">
        <f>HYPERLINK("http://www.ncbi.nlm.nih.gov/protein/162951865","Abl1")</f>
        <v>Abl1</v>
      </c>
      <c r="B65" s="4"/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2">
        <f t="shared" si="0"/>
        <v>1</v>
      </c>
      <c r="I65" t="str">
        <f t="shared" si="1"/>
        <v>Abl1_1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</row>
    <row r="66" spans="1:14" x14ac:dyDescent="0.2">
      <c r="A66" s="5" t="str">
        <f>HYPERLINK("http://www.ncbi.nlm.nih.gov/protein/162951870","Abl1")</f>
        <v>Abl1</v>
      </c>
      <c r="B66" s="4"/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2">
        <f t="shared" ref="H66:H129" si="2">SUM(C66:G66)</f>
        <v>1</v>
      </c>
      <c r="I66" t="str">
        <f t="shared" ref="I66:I129" si="3">A66&amp;"_"&amp;H66</f>
        <v>Abl1_1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</row>
    <row r="67" spans="1:14" x14ac:dyDescent="0.2">
      <c r="A67" s="5" t="str">
        <f>HYPERLINK("http://www.ncbi.nlm.nih.gov/protein/157057145","Ablim1")</f>
        <v>Ablim1</v>
      </c>
      <c r="B67" s="4"/>
      <c r="C67" s="3">
        <v>0</v>
      </c>
      <c r="D67" s="3">
        <v>0</v>
      </c>
      <c r="E67" s="3">
        <v>0</v>
      </c>
      <c r="F67" s="3">
        <v>0</v>
      </c>
      <c r="G67" s="3">
        <v>1981</v>
      </c>
      <c r="H67" s="2">
        <f t="shared" si="2"/>
        <v>1981</v>
      </c>
      <c r="I67" t="str">
        <f t="shared" si="3"/>
        <v>Ablim1_1981</v>
      </c>
      <c r="J67" s="3">
        <v>0</v>
      </c>
      <c r="K67" s="3">
        <v>0</v>
      </c>
      <c r="L67" s="3">
        <v>0</v>
      </c>
      <c r="M67" s="3">
        <v>0</v>
      </c>
      <c r="N67" s="3">
        <v>1981</v>
      </c>
    </row>
    <row r="68" spans="1:14" x14ac:dyDescent="0.2">
      <c r="A68" s="5" t="str">
        <f>HYPERLINK("http://www.ncbi.nlm.nih.gov/protein/157057174","Ablim1")</f>
        <v>Ablim1</v>
      </c>
      <c r="B68" s="4"/>
      <c r="C68" s="3">
        <v>0</v>
      </c>
      <c r="D68" s="3">
        <v>0</v>
      </c>
      <c r="E68" s="3">
        <v>0</v>
      </c>
      <c r="F68" s="3">
        <v>0</v>
      </c>
      <c r="G68" s="3">
        <v>1981</v>
      </c>
      <c r="H68" s="2">
        <f t="shared" si="2"/>
        <v>1981</v>
      </c>
      <c r="I68" t="str">
        <f t="shared" si="3"/>
        <v>Ablim1_1981</v>
      </c>
      <c r="J68" s="3">
        <v>0</v>
      </c>
      <c r="K68" s="3">
        <v>0</v>
      </c>
      <c r="L68" s="3">
        <v>0</v>
      </c>
      <c r="M68" s="3">
        <v>0</v>
      </c>
      <c r="N68" s="3">
        <v>1981</v>
      </c>
    </row>
    <row r="69" spans="1:14" x14ac:dyDescent="0.2">
      <c r="A69" s="5" t="str">
        <f>HYPERLINK("http://www.ncbi.nlm.nih.gov/protein/157057554","Ablim1")</f>
        <v>Ablim1</v>
      </c>
      <c r="B69" s="4"/>
      <c r="C69" s="3">
        <v>0</v>
      </c>
      <c r="D69" s="3">
        <v>0</v>
      </c>
      <c r="E69" s="3">
        <v>0</v>
      </c>
      <c r="F69" s="3">
        <v>0</v>
      </c>
      <c r="G69" s="3">
        <v>1981</v>
      </c>
      <c r="H69" s="2">
        <f t="shared" si="2"/>
        <v>1981</v>
      </c>
      <c r="I69" t="str">
        <f t="shared" si="3"/>
        <v>Ablim1_1981</v>
      </c>
      <c r="J69" s="3">
        <v>0</v>
      </c>
      <c r="K69" s="3">
        <v>0</v>
      </c>
      <c r="L69" s="3">
        <v>0</v>
      </c>
      <c r="M69" s="3">
        <v>0</v>
      </c>
      <c r="N69" s="3">
        <v>1981</v>
      </c>
    </row>
    <row r="70" spans="1:14" x14ac:dyDescent="0.2">
      <c r="A70" s="5" t="str">
        <f>HYPERLINK("http://www.ncbi.nlm.nih.gov/protein/37574113","Abr")</f>
        <v>Abr</v>
      </c>
      <c r="B70" s="4"/>
      <c r="C70" s="3">
        <v>0</v>
      </c>
      <c r="D70" s="3">
        <v>23</v>
      </c>
      <c r="E70" s="3">
        <v>18</v>
      </c>
      <c r="F70" s="3">
        <v>0</v>
      </c>
      <c r="G70" s="3">
        <v>0</v>
      </c>
      <c r="H70" s="2">
        <f t="shared" si="2"/>
        <v>41</v>
      </c>
      <c r="I70" t="str">
        <f t="shared" si="3"/>
        <v>Abr_41</v>
      </c>
      <c r="J70" s="3">
        <v>0</v>
      </c>
      <c r="K70" s="3">
        <v>23</v>
      </c>
      <c r="L70" s="3">
        <v>18</v>
      </c>
      <c r="M70" s="3">
        <v>0</v>
      </c>
      <c r="N70" s="3">
        <v>0</v>
      </c>
    </row>
    <row r="71" spans="1:14" x14ac:dyDescent="0.2">
      <c r="A71" s="5" t="str">
        <f>HYPERLINK("http://www.ncbi.nlm.nih.gov/protein/38683820","Abr")</f>
        <v>Abr</v>
      </c>
      <c r="B71" s="4"/>
      <c r="C71" s="3">
        <v>0</v>
      </c>
      <c r="D71" s="3">
        <v>23</v>
      </c>
      <c r="E71" s="3">
        <v>18</v>
      </c>
      <c r="F71" s="3">
        <v>0</v>
      </c>
      <c r="G71" s="3">
        <v>0</v>
      </c>
      <c r="H71" s="2">
        <f t="shared" si="2"/>
        <v>41</v>
      </c>
      <c r="I71" t="str">
        <f t="shared" si="3"/>
        <v>Abr_41</v>
      </c>
      <c r="J71" s="3">
        <v>0</v>
      </c>
      <c r="K71" s="3">
        <v>23</v>
      </c>
      <c r="L71" s="3">
        <v>18</v>
      </c>
      <c r="M71" s="3">
        <v>0</v>
      </c>
      <c r="N71" s="3">
        <v>0</v>
      </c>
    </row>
    <row r="72" spans="1:14" x14ac:dyDescent="0.2">
      <c r="A72" s="5" t="str">
        <f>HYPERLINK("http://www.ncbi.nlm.nih.gov/protein/38683822","Abr")</f>
        <v>Abr</v>
      </c>
      <c r="B72" s="4"/>
      <c r="C72" s="3">
        <v>0</v>
      </c>
      <c r="D72" s="3">
        <v>23</v>
      </c>
      <c r="E72" s="3">
        <v>18</v>
      </c>
      <c r="F72" s="3">
        <v>0</v>
      </c>
      <c r="G72" s="3">
        <v>0</v>
      </c>
      <c r="H72" s="2">
        <f t="shared" si="2"/>
        <v>41</v>
      </c>
      <c r="I72" t="str">
        <f t="shared" si="3"/>
        <v>Abr_41</v>
      </c>
      <c r="J72" s="3">
        <v>0</v>
      </c>
      <c r="K72" s="3">
        <v>23</v>
      </c>
      <c r="L72" s="3">
        <v>18</v>
      </c>
      <c r="M72" s="3">
        <v>0</v>
      </c>
      <c r="N72" s="3">
        <v>0</v>
      </c>
    </row>
    <row r="73" spans="1:14" x14ac:dyDescent="0.2">
      <c r="A73" s="5" t="str">
        <f>HYPERLINK("http://www.ncbi.nlm.nih.gov/protein/153791468","Abracl")</f>
        <v>Abracl</v>
      </c>
      <c r="B73" s="4"/>
      <c r="C73" s="3">
        <v>3442</v>
      </c>
      <c r="D73" s="3">
        <v>1939</v>
      </c>
      <c r="E73" s="3">
        <v>1803</v>
      </c>
      <c r="F73" s="3">
        <v>1653</v>
      </c>
      <c r="G73" s="3">
        <v>664</v>
      </c>
      <c r="H73" s="2">
        <f t="shared" si="2"/>
        <v>9501</v>
      </c>
      <c r="I73" t="str">
        <f t="shared" si="3"/>
        <v>Abracl_9501</v>
      </c>
      <c r="J73" s="3">
        <v>3442</v>
      </c>
      <c r="K73" s="3">
        <v>1939</v>
      </c>
      <c r="L73" s="3">
        <v>1803</v>
      </c>
      <c r="M73" s="3">
        <v>1653</v>
      </c>
      <c r="N73" s="3">
        <v>664</v>
      </c>
    </row>
    <row r="74" spans="1:14" x14ac:dyDescent="0.2">
      <c r="A74" s="5" t="str">
        <f>HYPERLINK("http://www.ncbi.nlm.nih.gov/protein/49402267","Abtb2")</f>
        <v>Abtb2</v>
      </c>
      <c r="B74" s="4"/>
      <c r="C74" s="3">
        <v>0</v>
      </c>
      <c r="D74" s="3">
        <v>165</v>
      </c>
      <c r="E74" s="3">
        <v>0</v>
      </c>
      <c r="F74" s="3">
        <v>0</v>
      </c>
      <c r="G74" s="3">
        <v>0</v>
      </c>
      <c r="H74" s="2">
        <f t="shared" si="2"/>
        <v>165</v>
      </c>
      <c r="I74" t="str">
        <f t="shared" si="3"/>
        <v>Abtb2_165</v>
      </c>
      <c r="J74" s="3">
        <v>0</v>
      </c>
      <c r="K74" s="3">
        <v>165</v>
      </c>
      <c r="L74" s="3">
        <v>0</v>
      </c>
      <c r="M74" s="3">
        <v>0</v>
      </c>
      <c r="N74" s="3">
        <v>0</v>
      </c>
    </row>
    <row r="75" spans="1:14" x14ac:dyDescent="0.2">
      <c r="A75" s="5" t="str">
        <f>HYPERLINK("http://www.ncbi.nlm.nih.gov/protein/18700004","Acaa1a")</f>
        <v>Acaa1a</v>
      </c>
      <c r="B75" s="4"/>
      <c r="C75" s="3">
        <v>75567</v>
      </c>
      <c r="D75" s="3">
        <v>8488</v>
      </c>
      <c r="E75" s="3">
        <v>33302</v>
      </c>
      <c r="F75" s="3">
        <v>0</v>
      </c>
      <c r="G75" s="3">
        <v>0</v>
      </c>
      <c r="H75" s="2">
        <f t="shared" si="2"/>
        <v>117357</v>
      </c>
      <c r="I75" t="str">
        <f t="shared" si="3"/>
        <v>Acaa1a_117357</v>
      </c>
      <c r="J75" s="3">
        <v>75567</v>
      </c>
      <c r="K75" s="3">
        <v>8488</v>
      </c>
      <c r="L75" s="3">
        <v>33302</v>
      </c>
      <c r="M75" s="3">
        <v>0</v>
      </c>
      <c r="N75" s="3">
        <v>0</v>
      </c>
    </row>
    <row r="76" spans="1:14" x14ac:dyDescent="0.2">
      <c r="A76" s="5" t="str">
        <f>HYPERLINK("http://www.ncbi.nlm.nih.gov/protein/22122797","Acaa1b")</f>
        <v>Acaa1b</v>
      </c>
      <c r="B76" s="4"/>
      <c r="C76" s="3">
        <v>38699</v>
      </c>
      <c r="D76" s="3">
        <v>4027</v>
      </c>
      <c r="E76" s="3">
        <v>13973</v>
      </c>
      <c r="F76" s="3">
        <v>0</v>
      </c>
      <c r="G76" s="3">
        <v>0</v>
      </c>
      <c r="H76" s="2">
        <f t="shared" si="2"/>
        <v>56699</v>
      </c>
      <c r="I76" t="str">
        <f t="shared" si="3"/>
        <v>Acaa1b_56699</v>
      </c>
      <c r="J76" s="3">
        <v>38699</v>
      </c>
      <c r="K76" s="3">
        <v>4027</v>
      </c>
      <c r="L76" s="3">
        <v>13973</v>
      </c>
      <c r="M76" s="3">
        <v>0</v>
      </c>
      <c r="N76" s="3">
        <v>0</v>
      </c>
    </row>
    <row r="77" spans="1:14" x14ac:dyDescent="0.2">
      <c r="A77" s="5" t="str">
        <f>HYPERLINK("http://www.ncbi.nlm.nih.gov/protein/29126205","Acaa2")</f>
        <v>Acaa2</v>
      </c>
      <c r="B77" s="4"/>
      <c r="C77" s="3">
        <v>694915</v>
      </c>
      <c r="D77" s="3">
        <v>124712</v>
      </c>
      <c r="E77" s="3">
        <v>10371</v>
      </c>
      <c r="F77" s="3">
        <v>29484</v>
      </c>
      <c r="G77" s="3">
        <v>54929</v>
      </c>
      <c r="H77" s="2">
        <f t="shared" si="2"/>
        <v>914411</v>
      </c>
      <c r="I77" t="str">
        <f t="shared" si="3"/>
        <v>Acaa2_914411</v>
      </c>
      <c r="J77" s="3">
        <v>694915</v>
      </c>
      <c r="K77" s="3">
        <v>124712</v>
      </c>
      <c r="L77" s="3">
        <v>10371</v>
      </c>
      <c r="M77" s="3">
        <v>29484</v>
      </c>
      <c r="N77" s="3">
        <v>54929</v>
      </c>
    </row>
    <row r="78" spans="1:14" x14ac:dyDescent="0.2">
      <c r="A78" s="5" t="str">
        <f>HYPERLINK("http://www.ncbi.nlm.nih.gov/protein/125656173","Acaca")</f>
        <v>Acaca</v>
      </c>
      <c r="B78" s="4"/>
      <c r="C78" s="3">
        <v>0</v>
      </c>
      <c r="D78" s="3">
        <v>1010</v>
      </c>
      <c r="E78" s="3">
        <v>1810</v>
      </c>
      <c r="F78" s="3">
        <v>28224</v>
      </c>
      <c r="G78" s="3">
        <v>18602</v>
      </c>
      <c r="H78" s="2">
        <f t="shared" si="2"/>
        <v>49646</v>
      </c>
      <c r="I78" t="str">
        <f t="shared" si="3"/>
        <v>Acaca_49646</v>
      </c>
      <c r="J78" s="3">
        <v>0</v>
      </c>
      <c r="K78" s="3">
        <v>1010</v>
      </c>
      <c r="L78" s="3">
        <v>1810</v>
      </c>
      <c r="M78" s="3">
        <v>28224</v>
      </c>
      <c r="N78" s="3">
        <v>18602</v>
      </c>
    </row>
    <row r="79" spans="1:14" x14ac:dyDescent="0.2">
      <c r="A79" s="5" t="str">
        <f>HYPERLINK("http://www.ncbi.nlm.nih.gov/protein/157042798","Acacb")</f>
        <v>Acacb</v>
      </c>
      <c r="B79" s="4"/>
      <c r="C79" s="3">
        <v>0</v>
      </c>
      <c r="D79" s="3">
        <v>0</v>
      </c>
      <c r="E79" s="3">
        <v>865</v>
      </c>
      <c r="F79" s="3">
        <v>4551</v>
      </c>
      <c r="G79" s="3">
        <v>8343</v>
      </c>
      <c r="H79" s="2">
        <f t="shared" si="2"/>
        <v>13759</v>
      </c>
      <c r="I79" t="str">
        <f t="shared" si="3"/>
        <v>Acacb_13759</v>
      </c>
      <c r="J79" s="3">
        <v>0</v>
      </c>
      <c r="K79" s="3">
        <v>0</v>
      </c>
      <c r="L79" s="3">
        <v>865</v>
      </c>
      <c r="M79" s="3">
        <v>4551</v>
      </c>
      <c r="N79" s="3">
        <v>8343</v>
      </c>
    </row>
    <row r="80" spans="1:14" x14ac:dyDescent="0.2">
      <c r="A80" s="5" t="str">
        <f>HYPERLINK("http://www.ncbi.nlm.nih.gov/protein/156255157","Acad10")</f>
        <v>Acad10</v>
      </c>
      <c r="B80" s="4"/>
      <c r="C80" s="3">
        <v>622</v>
      </c>
      <c r="D80" s="3">
        <v>3881</v>
      </c>
      <c r="E80" s="3">
        <v>0</v>
      </c>
      <c r="F80" s="3">
        <v>0</v>
      </c>
      <c r="G80" s="3">
        <v>0</v>
      </c>
      <c r="H80" s="2">
        <f t="shared" si="2"/>
        <v>4503</v>
      </c>
      <c r="I80" t="str">
        <f t="shared" si="3"/>
        <v>Acad10_4503</v>
      </c>
      <c r="J80" s="3">
        <v>622</v>
      </c>
      <c r="K80" s="3">
        <v>3881</v>
      </c>
      <c r="L80" s="3">
        <v>0</v>
      </c>
      <c r="M80" s="3">
        <v>0</v>
      </c>
      <c r="N80" s="3">
        <v>0</v>
      </c>
    </row>
    <row r="81" spans="1:14" x14ac:dyDescent="0.2">
      <c r="A81" s="5" t="str">
        <f>HYPERLINK("http://www.ncbi.nlm.nih.gov/protein/74271799","Acad11")</f>
        <v>Acad11</v>
      </c>
      <c r="B81" s="4"/>
      <c r="C81" s="3">
        <v>9611</v>
      </c>
      <c r="D81" s="3">
        <v>430</v>
      </c>
      <c r="E81" s="3">
        <v>11278</v>
      </c>
      <c r="F81" s="3">
        <v>0</v>
      </c>
      <c r="G81" s="3">
        <v>0</v>
      </c>
      <c r="H81" s="2">
        <f t="shared" si="2"/>
        <v>21319</v>
      </c>
      <c r="I81" t="str">
        <f t="shared" si="3"/>
        <v>Acad11_21319</v>
      </c>
      <c r="J81" s="3">
        <v>9611</v>
      </c>
      <c r="K81" s="3">
        <v>430</v>
      </c>
      <c r="L81" s="3">
        <v>11278</v>
      </c>
      <c r="M81" s="3">
        <v>0</v>
      </c>
      <c r="N81" s="3">
        <v>0</v>
      </c>
    </row>
    <row r="82" spans="1:14" x14ac:dyDescent="0.2">
      <c r="A82" s="5" t="str">
        <f>HYPERLINK("http://www.ncbi.nlm.nih.gov/protein/257467675","Acad12")</f>
        <v>Acad12</v>
      </c>
      <c r="B82" s="4"/>
      <c r="C82" s="3">
        <v>0</v>
      </c>
      <c r="D82" s="3">
        <v>3881</v>
      </c>
      <c r="E82" s="3">
        <v>0</v>
      </c>
      <c r="F82" s="3">
        <v>0</v>
      </c>
      <c r="G82" s="3">
        <v>0</v>
      </c>
      <c r="H82" s="2">
        <f t="shared" si="2"/>
        <v>3881</v>
      </c>
      <c r="I82" t="str">
        <f t="shared" si="3"/>
        <v>Acad12_3881</v>
      </c>
      <c r="J82" s="3">
        <v>0</v>
      </c>
      <c r="K82" s="3">
        <v>3881</v>
      </c>
      <c r="L82" s="3">
        <v>0</v>
      </c>
      <c r="M82" s="3">
        <v>0</v>
      </c>
      <c r="N82" s="3">
        <v>0</v>
      </c>
    </row>
    <row r="83" spans="1:14" x14ac:dyDescent="0.2">
      <c r="A83" s="5" t="str">
        <f>HYPERLINK("http://www.ncbi.nlm.nih.gov/protein/118403322","Acad8")</f>
        <v>Acad8</v>
      </c>
      <c r="B83" s="4"/>
      <c r="C83" s="3">
        <v>5126</v>
      </c>
      <c r="D83" s="3">
        <v>205</v>
      </c>
      <c r="E83" s="3">
        <v>0</v>
      </c>
      <c r="F83" s="3">
        <v>0</v>
      </c>
      <c r="G83" s="3">
        <v>0</v>
      </c>
      <c r="H83" s="2">
        <f t="shared" si="2"/>
        <v>5331</v>
      </c>
      <c r="I83" t="str">
        <f t="shared" si="3"/>
        <v>Acad8_5331</v>
      </c>
      <c r="J83" s="3">
        <v>5126</v>
      </c>
      <c r="K83" s="3">
        <v>205</v>
      </c>
      <c r="L83" s="3">
        <v>0</v>
      </c>
      <c r="M83" s="3">
        <v>0</v>
      </c>
      <c r="N83" s="3">
        <v>0</v>
      </c>
    </row>
    <row r="84" spans="1:14" x14ac:dyDescent="0.2">
      <c r="A84" s="5" t="str">
        <f>HYPERLINK("http://www.ncbi.nlm.nih.gov/protein/100817933","Acad9")</f>
        <v>Acad9</v>
      </c>
      <c r="B84" s="4"/>
      <c r="C84" s="3">
        <v>44648</v>
      </c>
      <c r="D84" s="3">
        <v>16015</v>
      </c>
      <c r="E84" s="3">
        <v>622</v>
      </c>
      <c r="F84" s="3">
        <v>0</v>
      </c>
      <c r="G84" s="3">
        <v>0</v>
      </c>
      <c r="H84" s="2">
        <f t="shared" si="2"/>
        <v>61285</v>
      </c>
      <c r="I84" t="str">
        <f t="shared" si="3"/>
        <v>Acad9_61285</v>
      </c>
      <c r="J84" s="3">
        <v>44648</v>
      </c>
      <c r="K84" s="3">
        <v>16015</v>
      </c>
      <c r="L84" s="3">
        <v>622</v>
      </c>
      <c r="M84" s="3">
        <v>0</v>
      </c>
      <c r="N84" s="3">
        <v>0</v>
      </c>
    </row>
    <row r="85" spans="1:14" x14ac:dyDescent="0.2">
      <c r="A85" s="5" t="str">
        <f>HYPERLINK("http://www.ncbi.nlm.nih.gov/protein/31982520","Acadl")</f>
        <v>Acadl</v>
      </c>
      <c r="B85" s="4"/>
      <c r="C85" s="3">
        <v>326927</v>
      </c>
      <c r="D85" s="3">
        <v>79582</v>
      </c>
      <c r="E85" s="3">
        <v>2254</v>
      </c>
      <c r="F85" s="3">
        <v>4731</v>
      </c>
      <c r="G85" s="3">
        <v>10999</v>
      </c>
      <c r="H85" s="2">
        <f t="shared" si="2"/>
        <v>424493</v>
      </c>
      <c r="I85" t="str">
        <f t="shared" si="3"/>
        <v>Acadl_424493</v>
      </c>
      <c r="J85" s="3">
        <v>326927</v>
      </c>
      <c r="K85" s="3">
        <v>79582</v>
      </c>
      <c r="L85" s="3">
        <v>2254</v>
      </c>
      <c r="M85" s="3">
        <v>4731</v>
      </c>
      <c r="N85" s="3">
        <v>10999</v>
      </c>
    </row>
    <row r="86" spans="1:14" x14ac:dyDescent="0.2">
      <c r="A86" s="5" t="str">
        <f>HYPERLINK("http://www.ncbi.nlm.nih.gov/protein/6680618","Acadm")</f>
        <v>Acadm</v>
      </c>
      <c r="B86" s="4"/>
      <c r="C86" s="3">
        <v>172736</v>
      </c>
      <c r="D86" s="3">
        <v>54161</v>
      </c>
      <c r="E86" s="3">
        <v>471</v>
      </c>
      <c r="F86" s="3">
        <v>1997</v>
      </c>
      <c r="G86" s="3">
        <v>8996</v>
      </c>
      <c r="H86" s="2">
        <f t="shared" si="2"/>
        <v>238361</v>
      </c>
      <c r="I86" t="str">
        <f t="shared" si="3"/>
        <v>Acadm_238361</v>
      </c>
      <c r="J86" s="3">
        <v>172736</v>
      </c>
      <c r="K86" s="3">
        <v>54161</v>
      </c>
      <c r="L86" s="3">
        <v>471</v>
      </c>
      <c r="M86" s="3">
        <v>1997</v>
      </c>
      <c r="N86" s="3">
        <v>8996</v>
      </c>
    </row>
    <row r="87" spans="1:14" x14ac:dyDescent="0.2">
      <c r="A87" s="5" t="str">
        <f>HYPERLINK("http://www.ncbi.nlm.nih.gov/protein/31982522","Acads")</f>
        <v>Acads</v>
      </c>
      <c r="B87" s="4"/>
      <c r="C87" s="3">
        <v>50891</v>
      </c>
      <c r="D87" s="3">
        <v>1198</v>
      </c>
      <c r="E87" s="3">
        <v>0</v>
      </c>
      <c r="F87" s="3">
        <v>4207</v>
      </c>
      <c r="G87" s="3">
        <v>6768</v>
      </c>
      <c r="H87" s="2">
        <f t="shared" si="2"/>
        <v>63064</v>
      </c>
      <c r="I87" t="str">
        <f t="shared" si="3"/>
        <v>Acads_63064</v>
      </c>
      <c r="J87" s="3">
        <v>50891</v>
      </c>
      <c r="K87" s="3">
        <v>1198</v>
      </c>
      <c r="L87" s="3">
        <v>0</v>
      </c>
      <c r="M87" s="3">
        <v>4207</v>
      </c>
      <c r="N87" s="3">
        <v>6768</v>
      </c>
    </row>
    <row r="88" spans="1:14" x14ac:dyDescent="0.2">
      <c r="A88" s="5" t="str">
        <f>HYPERLINK("http://www.ncbi.nlm.nih.gov/protein/17647119","Acadsb")</f>
        <v>Acadsb</v>
      </c>
      <c r="B88" s="4"/>
      <c r="C88" s="3">
        <v>824</v>
      </c>
      <c r="D88" s="3">
        <v>246</v>
      </c>
      <c r="E88" s="3">
        <v>0</v>
      </c>
      <c r="F88" s="3">
        <v>0</v>
      </c>
      <c r="G88" s="3">
        <v>0</v>
      </c>
      <c r="H88" s="2">
        <f t="shared" si="2"/>
        <v>1070</v>
      </c>
      <c r="I88" t="str">
        <f t="shared" si="3"/>
        <v>Acadsb_1070</v>
      </c>
      <c r="J88" s="3">
        <v>824</v>
      </c>
      <c r="K88" s="3">
        <v>246</v>
      </c>
      <c r="L88" s="3">
        <v>0</v>
      </c>
      <c r="M88" s="3">
        <v>0</v>
      </c>
      <c r="N88" s="3">
        <v>0</v>
      </c>
    </row>
    <row r="89" spans="1:14" x14ac:dyDescent="0.2">
      <c r="A89" s="5" t="str">
        <f>HYPERLINK("http://www.ncbi.nlm.nih.gov/protein/23956084","Acadvl")</f>
        <v>Acadvl</v>
      </c>
      <c r="B89" s="4"/>
      <c r="C89" s="3">
        <v>89004</v>
      </c>
      <c r="D89" s="3">
        <v>43583</v>
      </c>
      <c r="E89" s="3">
        <v>3616</v>
      </c>
      <c r="F89" s="3">
        <v>1555</v>
      </c>
      <c r="G89" s="3">
        <v>0</v>
      </c>
      <c r="H89" s="2">
        <f t="shared" si="2"/>
        <v>137758</v>
      </c>
      <c r="I89" t="str">
        <f t="shared" si="3"/>
        <v>Acadvl_137758</v>
      </c>
      <c r="J89" s="3">
        <v>89004</v>
      </c>
      <c r="K89" s="3">
        <v>43583</v>
      </c>
      <c r="L89" s="3">
        <v>3616</v>
      </c>
      <c r="M89" s="3">
        <v>1555</v>
      </c>
      <c r="N89" s="3">
        <v>0</v>
      </c>
    </row>
    <row r="90" spans="1:14" x14ac:dyDescent="0.2">
      <c r="A90" s="5" t="str">
        <f>HYPERLINK("http://www.ncbi.nlm.nih.gov/protein/62079289","Acap2")</f>
        <v>Acap2</v>
      </c>
      <c r="B90" s="4"/>
      <c r="C90" s="3">
        <v>0</v>
      </c>
      <c r="D90" s="3">
        <v>372</v>
      </c>
      <c r="E90" s="3">
        <v>819</v>
      </c>
      <c r="F90" s="3">
        <v>2136</v>
      </c>
      <c r="G90" s="3">
        <v>14972</v>
      </c>
      <c r="H90" s="2">
        <f t="shared" si="2"/>
        <v>18299</v>
      </c>
      <c r="I90" t="str">
        <f t="shared" si="3"/>
        <v>Acap2_18299</v>
      </c>
      <c r="J90" s="3">
        <v>0</v>
      </c>
      <c r="K90" s="3">
        <v>372</v>
      </c>
      <c r="L90" s="3">
        <v>819</v>
      </c>
      <c r="M90" s="3">
        <v>2136</v>
      </c>
      <c r="N90" s="3">
        <v>14972</v>
      </c>
    </row>
    <row r="91" spans="1:14" x14ac:dyDescent="0.2">
      <c r="A91" s="5" t="str">
        <f>HYPERLINK("http://www.ncbi.nlm.nih.gov/protein/21450129","Acat1")</f>
        <v>Acat1</v>
      </c>
      <c r="B91" s="4"/>
      <c r="C91" s="3">
        <v>80546</v>
      </c>
      <c r="D91" s="3">
        <v>36172</v>
      </c>
      <c r="E91" s="3">
        <v>896</v>
      </c>
      <c r="F91" s="3">
        <v>2636</v>
      </c>
      <c r="G91" s="3">
        <v>1810</v>
      </c>
      <c r="H91" s="2">
        <f t="shared" si="2"/>
        <v>122060</v>
      </c>
      <c r="I91" t="str">
        <f t="shared" si="3"/>
        <v>Acat1_122060</v>
      </c>
      <c r="J91" s="3">
        <v>80546</v>
      </c>
      <c r="K91" s="3">
        <v>36172</v>
      </c>
      <c r="L91" s="3">
        <v>896</v>
      </c>
      <c r="M91" s="3">
        <v>2636</v>
      </c>
      <c r="N91" s="3">
        <v>1810</v>
      </c>
    </row>
    <row r="92" spans="1:14" x14ac:dyDescent="0.2">
      <c r="A92" s="5" t="str">
        <f>HYPERLINK("http://www.ncbi.nlm.nih.gov/protein/148747461","Acat2")</f>
        <v>Acat2</v>
      </c>
      <c r="B92" s="4"/>
      <c r="C92" s="3">
        <v>0</v>
      </c>
      <c r="D92" s="3">
        <v>42</v>
      </c>
      <c r="E92" s="3">
        <v>1204</v>
      </c>
      <c r="F92" s="3">
        <v>43989</v>
      </c>
      <c r="G92" s="3">
        <v>30179</v>
      </c>
      <c r="H92" s="2">
        <f t="shared" si="2"/>
        <v>75414</v>
      </c>
      <c r="I92" t="str">
        <f t="shared" si="3"/>
        <v>Acat2_75414</v>
      </c>
      <c r="J92" s="3">
        <v>0</v>
      </c>
      <c r="K92" s="3">
        <v>42</v>
      </c>
      <c r="L92" s="3">
        <v>1204</v>
      </c>
      <c r="M92" s="3">
        <v>43989</v>
      </c>
      <c r="N92" s="3">
        <v>30179</v>
      </c>
    </row>
    <row r="93" spans="1:14" x14ac:dyDescent="0.2">
      <c r="A93" s="5" t="str">
        <f>HYPERLINK("http://www.ncbi.nlm.nih.gov/protein/110625948","Acat3")</f>
        <v>Acat3</v>
      </c>
      <c r="B93" s="4"/>
      <c r="C93" s="3">
        <v>0</v>
      </c>
      <c r="D93" s="3">
        <v>0</v>
      </c>
      <c r="E93" s="3">
        <v>795</v>
      </c>
      <c r="F93" s="3">
        <v>22109</v>
      </c>
      <c r="G93" s="3">
        <v>19898</v>
      </c>
      <c r="H93" s="2">
        <f t="shared" si="2"/>
        <v>42802</v>
      </c>
      <c r="I93" t="str">
        <f t="shared" si="3"/>
        <v>Acat3_42802</v>
      </c>
      <c r="J93" s="3">
        <v>0</v>
      </c>
      <c r="K93" s="3">
        <v>0</v>
      </c>
      <c r="L93" s="3">
        <v>795</v>
      </c>
      <c r="M93" s="3">
        <v>22109</v>
      </c>
      <c r="N93" s="3">
        <v>19898</v>
      </c>
    </row>
    <row r="94" spans="1:14" x14ac:dyDescent="0.2">
      <c r="A94" s="5" t="str">
        <f>HYPERLINK("http://www.ncbi.nlm.nih.gov/protein/229608928","Acbd3")</f>
        <v>Acbd3</v>
      </c>
      <c r="B94" s="4"/>
      <c r="C94" s="3">
        <v>2837</v>
      </c>
      <c r="D94" s="3">
        <v>10394</v>
      </c>
      <c r="E94" s="3">
        <v>1803</v>
      </c>
      <c r="F94" s="3">
        <v>2079</v>
      </c>
      <c r="G94" s="3">
        <v>675</v>
      </c>
      <c r="H94" s="2">
        <f t="shared" si="2"/>
        <v>17788</v>
      </c>
      <c r="I94" t="str">
        <f t="shared" si="3"/>
        <v>Acbd3_17788</v>
      </c>
      <c r="J94" s="3">
        <v>2837</v>
      </c>
      <c r="K94" s="3">
        <v>10394</v>
      </c>
      <c r="L94" s="3">
        <v>1803</v>
      </c>
      <c r="M94" s="3">
        <v>2079</v>
      </c>
      <c r="N94" s="3">
        <v>675</v>
      </c>
    </row>
    <row r="95" spans="1:14" x14ac:dyDescent="0.2">
      <c r="A95" s="5" t="str">
        <f>HYPERLINK("http://www.ncbi.nlm.nih.gov/protein/156255161","Acbd5")</f>
        <v>Acbd5</v>
      </c>
      <c r="B95" s="4"/>
      <c r="C95" s="3">
        <v>1391</v>
      </c>
      <c r="D95" s="3">
        <v>2622</v>
      </c>
      <c r="E95" s="3">
        <v>1196</v>
      </c>
      <c r="F95" s="3">
        <v>0</v>
      </c>
      <c r="G95" s="3">
        <v>11</v>
      </c>
      <c r="H95" s="2">
        <f t="shared" si="2"/>
        <v>5220</v>
      </c>
      <c r="I95" t="str">
        <f t="shared" si="3"/>
        <v>Acbd5_5220</v>
      </c>
      <c r="J95" s="3">
        <v>1391</v>
      </c>
      <c r="K95" s="3">
        <v>2622</v>
      </c>
      <c r="L95" s="3">
        <v>1196</v>
      </c>
      <c r="M95" s="3">
        <v>0</v>
      </c>
      <c r="N95" s="3">
        <v>11</v>
      </c>
    </row>
    <row r="96" spans="1:14" x14ac:dyDescent="0.2">
      <c r="A96" s="5" t="str">
        <f>HYPERLINK("http://www.ncbi.nlm.nih.gov/protein/156255163","Acbd5")</f>
        <v>Acbd5</v>
      </c>
      <c r="B96" s="4"/>
      <c r="C96" s="3">
        <v>1391</v>
      </c>
      <c r="D96" s="3">
        <v>2622</v>
      </c>
      <c r="E96" s="3">
        <v>1196</v>
      </c>
      <c r="F96" s="3">
        <v>0</v>
      </c>
      <c r="G96" s="3">
        <v>11</v>
      </c>
      <c r="H96" s="2">
        <f t="shared" si="2"/>
        <v>5220</v>
      </c>
      <c r="I96" t="str">
        <f t="shared" si="3"/>
        <v>Acbd5_5220</v>
      </c>
      <c r="J96" s="3">
        <v>1391</v>
      </c>
      <c r="K96" s="3">
        <v>2622</v>
      </c>
      <c r="L96" s="3">
        <v>1196</v>
      </c>
      <c r="M96" s="3">
        <v>0</v>
      </c>
      <c r="N96" s="3">
        <v>11</v>
      </c>
    </row>
    <row r="97" spans="1:14" x14ac:dyDescent="0.2">
      <c r="A97" s="5" t="str">
        <f>HYPERLINK("http://www.ncbi.nlm.nih.gov/protein/156255165","Acbd5")</f>
        <v>Acbd5</v>
      </c>
      <c r="B97" s="4"/>
      <c r="C97" s="3">
        <v>1391</v>
      </c>
      <c r="D97" s="3">
        <v>2622</v>
      </c>
      <c r="E97" s="3">
        <v>1196</v>
      </c>
      <c r="F97" s="3">
        <v>0</v>
      </c>
      <c r="G97" s="3">
        <v>11</v>
      </c>
      <c r="H97" s="2">
        <f t="shared" si="2"/>
        <v>5220</v>
      </c>
      <c r="I97" t="str">
        <f t="shared" si="3"/>
        <v>Acbd5_5220</v>
      </c>
      <c r="J97" s="3">
        <v>1391</v>
      </c>
      <c r="K97" s="3">
        <v>2622</v>
      </c>
      <c r="L97" s="3">
        <v>1196</v>
      </c>
      <c r="M97" s="3">
        <v>0</v>
      </c>
      <c r="N97" s="3">
        <v>11</v>
      </c>
    </row>
    <row r="98" spans="1:14" x14ac:dyDescent="0.2">
      <c r="A98" s="5" t="str">
        <f>HYPERLINK("http://www.ncbi.nlm.nih.gov/protein/27229192","Acbd5")</f>
        <v>Acbd5</v>
      </c>
      <c r="B98" s="4"/>
      <c r="C98" s="3">
        <v>1391</v>
      </c>
      <c r="D98" s="3">
        <v>2622</v>
      </c>
      <c r="E98" s="3">
        <v>1196</v>
      </c>
      <c r="F98" s="3">
        <v>0</v>
      </c>
      <c r="G98" s="3">
        <v>11</v>
      </c>
      <c r="H98" s="2">
        <f t="shared" si="2"/>
        <v>5220</v>
      </c>
      <c r="I98" t="str">
        <f t="shared" si="3"/>
        <v>Acbd5_5220</v>
      </c>
      <c r="J98" s="3">
        <v>1391</v>
      </c>
      <c r="K98" s="3">
        <v>2622</v>
      </c>
      <c r="L98" s="3">
        <v>1196</v>
      </c>
      <c r="M98" s="3">
        <v>0</v>
      </c>
      <c r="N98" s="3">
        <v>11</v>
      </c>
    </row>
    <row r="99" spans="1:14" x14ac:dyDescent="0.2">
      <c r="A99" s="5" t="str">
        <f>HYPERLINK("http://www.ncbi.nlm.nih.gov/protein/224809391","Acbd6")</f>
        <v>Acbd6</v>
      </c>
      <c r="B99" s="4"/>
      <c r="C99" s="3">
        <v>0</v>
      </c>
      <c r="D99" s="3">
        <v>0</v>
      </c>
      <c r="E99" s="3">
        <v>0</v>
      </c>
      <c r="F99" s="3">
        <v>0</v>
      </c>
      <c r="G99" s="3">
        <v>129</v>
      </c>
      <c r="H99" s="2">
        <f t="shared" si="2"/>
        <v>129</v>
      </c>
      <c r="I99" t="str">
        <f t="shared" si="3"/>
        <v>Acbd6_129</v>
      </c>
      <c r="J99" s="3">
        <v>0</v>
      </c>
      <c r="K99" s="3">
        <v>0</v>
      </c>
      <c r="L99" s="3">
        <v>0</v>
      </c>
      <c r="M99" s="3">
        <v>0</v>
      </c>
      <c r="N99" s="3">
        <v>129</v>
      </c>
    </row>
    <row r="100" spans="1:14" x14ac:dyDescent="0.2">
      <c r="A100" s="5" t="str">
        <f>HYPERLINK("http://www.ncbi.nlm.nih.gov/protein/224809393","Acbd6")</f>
        <v>Acbd6</v>
      </c>
      <c r="B100" s="4"/>
      <c r="C100" s="3">
        <v>0</v>
      </c>
      <c r="D100" s="3">
        <v>0</v>
      </c>
      <c r="E100" s="3">
        <v>0</v>
      </c>
      <c r="F100" s="3">
        <v>0</v>
      </c>
      <c r="G100" s="3">
        <v>129</v>
      </c>
      <c r="H100" s="2">
        <f t="shared" si="2"/>
        <v>129</v>
      </c>
      <c r="I100" t="str">
        <f t="shared" si="3"/>
        <v>Acbd6_129</v>
      </c>
      <c r="J100" s="3">
        <v>0</v>
      </c>
      <c r="K100" s="3">
        <v>0</v>
      </c>
      <c r="L100" s="3">
        <v>0</v>
      </c>
      <c r="M100" s="3">
        <v>0</v>
      </c>
      <c r="N100" s="3">
        <v>129</v>
      </c>
    </row>
    <row r="101" spans="1:14" x14ac:dyDescent="0.2">
      <c r="A101" s="5" t="str">
        <f>HYPERLINK("http://www.ncbi.nlm.nih.gov/protein/224809389","Acbd6")</f>
        <v>Acbd6</v>
      </c>
      <c r="B101" s="4"/>
      <c r="C101" s="3">
        <v>0</v>
      </c>
      <c r="D101" s="3">
        <v>0</v>
      </c>
      <c r="E101" s="3">
        <v>34</v>
      </c>
      <c r="F101" s="3">
        <v>0</v>
      </c>
      <c r="G101" s="3">
        <v>3074</v>
      </c>
      <c r="H101" s="2">
        <f t="shared" si="2"/>
        <v>3108</v>
      </c>
      <c r="I101" t="str">
        <f t="shared" si="3"/>
        <v>Acbd6_3108</v>
      </c>
      <c r="J101" s="3">
        <v>0</v>
      </c>
      <c r="K101" s="3">
        <v>0</v>
      </c>
      <c r="L101" s="3">
        <v>34</v>
      </c>
      <c r="M101" s="3">
        <v>0</v>
      </c>
      <c r="N101" s="3">
        <v>3074</v>
      </c>
    </row>
    <row r="102" spans="1:14" x14ac:dyDescent="0.2">
      <c r="A102" s="5" t="str">
        <f>HYPERLINK("http://www.ncbi.nlm.nih.gov/protein/60593059","Acd")</f>
        <v>Acd</v>
      </c>
      <c r="B102" s="4"/>
      <c r="C102" s="3">
        <v>0</v>
      </c>
      <c r="D102" s="3">
        <v>0</v>
      </c>
      <c r="E102" s="3">
        <v>0</v>
      </c>
      <c r="F102" s="3">
        <v>475</v>
      </c>
      <c r="G102" s="3">
        <v>203</v>
      </c>
      <c r="H102" s="2">
        <f t="shared" si="2"/>
        <v>678</v>
      </c>
      <c r="I102" t="str">
        <f t="shared" si="3"/>
        <v>Acd_678</v>
      </c>
      <c r="J102" s="3">
        <v>0</v>
      </c>
      <c r="K102" s="3">
        <v>0</v>
      </c>
      <c r="L102" s="3">
        <v>0</v>
      </c>
      <c r="M102" s="3">
        <v>475</v>
      </c>
      <c r="N102" s="3">
        <v>203</v>
      </c>
    </row>
    <row r="103" spans="1:14" x14ac:dyDescent="0.2">
      <c r="A103" s="5" t="str">
        <f>HYPERLINK("http://www.ncbi.nlm.nih.gov/protein/194394192","Acin1")</f>
        <v>Acin1</v>
      </c>
      <c r="B103" s="4"/>
      <c r="C103" s="3">
        <v>26287</v>
      </c>
      <c r="D103" s="3">
        <v>0</v>
      </c>
      <c r="E103" s="3">
        <v>45</v>
      </c>
      <c r="F103" s="3">
        <v>0</v>
      </c>
      <c r="G103" s="3">
        <v>0</v>
      </c>
      <c r="H103" s="2">
        <f t="shared" si="2"/>
        <v>26332</v>
      </c>
      <c r="I103" t="str">
        <f t="shared" si="3"/>
        <v>Acin1_26332</v>
      </c>
      <c r="J103" s="3">
        <v>26287</v>
      </c>
      <c r="K103" s="3">
        <v>0</v>
      </c>
      <c r="L103" s="3">
        <v>45</v>
      </c>
      <c r="M103" s="3">
        <v>0</v>
      </c>
      <c r="N103" s="3">
        <v>0</v>
      </c>
    </row>
    <row r="104" spans="1:14" x14ac:dyDescent="0.2">
      <c r="A104" s="5" t="str">
        <f>HYPERLINK("http://www.ncbi.nlm.nih.gov/protein/194394195","Acin1")</f>
        <v>Acin1</v>
      </c>
      <c r="B104" s="4"/>
      <c r="C104" s="3">
        <v>26287</v>
      </c>
      <c r="D104" s="3">
        <v>0</v>
      </c>
      <c r="E104" s="3">
        <v>45</v>
      </c>
      <c r="F104" s="3">
        <v>0</v>
      </c>
      <c r="G104" s="3">
        <v>0</v>
      </c>
      <c r="H104" s="2">
        <f t="shared" si="2"/>
        <v>26332</v>
      </c>
      <c r="I104" t="str">
        <f t="shared" si="3"/>
        <v>Acin1_26332</v>
      </c>
      <c r="J104" s="3">
        <v>26287</v>
      </c>
      <c r="K104" s="3">
        <v>0</v>
      </c>
      <c r="L104" s="3">
        <v>45</v>
      </c>
      <c r="M104" s="3">
        <v>0</v>
      </c>
      <c r="N104" s="3">
        <v>0</v>
      </c>
    </row>
    <row r="105" spans="1:14" x14ac:dyDescent="0.2">
      <c r="A105" s="5" t="str">
        <f>HYPERLINK("http://www.ncbi.nlm.nih.gov/protein/336176080","Acin1")</f>
        <v>Acin1</v>
      </c>
      <c r="B105" s="4"/>
      <c r="C105" s="3">
        <v>26287</v>
      </c>
      <c r="D105" s="3">
        <v>0</v>
      </c>
      <c r="E105" s="3">
        <v>45</v>
      </c>
      <c r="F105" s="3">
        <v>0</v>
      </c>
      <c r="G105" s="3">
        <v>0</v>
      </c>
      <c r="H105" s="2">
        <f t="shared" si="2"/>
        <v>26332</v>
      </c>
      <c r="I105" t="str">
        <f t="shared" si="3"/>
        <v>Acin1_26332</v>
      </c>
      <c r="J105" s="3">
        <v>26287</v>
      </c>
      <c r="K105" s="3">
        <v>0</v>
      </c>
      <c r="L105" s="3">
        <v>45</v>
      </c>
      <c r="M105" s="3">
        <v>0</v>
      </c>
      <c r="N105" s="3">
        <v>0</v>
      </c>
    </row>
    <row r="106" spans="1:14" x14ac:dyDescent="0.2">
      <c r="A106" s="5" t="str">
        <f>HYPERLINK("http://www.ncbi.nlm.nih.gov/protein/336176082","Acin1")</f>
        <v>Acin1</v>
      </c>
      <c r="B106" s="4"/>
      <c r="C106" s="3">
        <v>26287</v>
      </c>
      <c r="D106" s="3">
        <v>0</v>
      </c>
      <c r="E106" s="3">
        <v>45</v>
      </c>
      <c r="F106" s="3">
        <v>0</v>
      </c>
      <c r="G106" s="3">
        <v>0</v>
      </c>
      <c r="H106" s="2">
        <f t="shared" si="2"/>
        <v>26332</v>
      </c>
      <c r="I106" t="str">
        <f t="shared" si="3"/>
        <v>Acin1_26332</v>
      </c>
      <c r="J106" s="3">
        <v>26287</v>
      </c>
      <c r="K106" s="3">
        <v>0</v>
      </c>
      <c r="L106" s="3">
        <v>45</v>
      </c>
      <c r="M106" s="3">
        <v>0</v>
      </c>
      <c r="N106" s="3">
        <v>0</v>
      </c>
    </row>
    <row r="107" spans="1:14" x14ac:dyDescent="0.2">
      <c r="A107" s="5" t="str">
        <f>HYPERLINK("http://www.ncbi.nlm.nih.gov/protein/146231985","Acin1")</f>
        <v>Acin1</v>
      </c>
      <c r="B107" s="4"/>
      <c r="C107" s="3">
        <v>26287</v>
      </c>
      <c r="D107" s="3">
        <v>307</v>
      </c>
      <c r="E107" s="3">
        <v>45</v>
      </c>
      <c r="F107" s="3">
        <v>8</v>
      </c>
      <c r="G107" s="3">
        <v>4284</v>
      </c>
      <c r="H107" s="2">
        <f t="shared" si="2"/>
        <v>30931</v>
      </c>
      <c r="I107" t="str">
        <f t="shared" si="3"/>
        <v>Acin1_30931</v>
      </c>
      <c r="J107" s="3">
        <v>26287</v>
      </c>
      <c r="K107" s="3">
        <v>307</v>
      </c>
      <c r="L107" s="3">
        <v>45</v>
      </c>
      <c r="M107" s="3">
        <v>8</v>
      </c>
      <c r="N107" s="3">
        <v>4284</v>
      </c>
    </row>
    <row r="108" spans="1:14" x14ac:dyDescent="0.2">
      <c r="A108" s="5" t="str">
        <f>HYPERLINK("http://www.ncbi.nlm.nih.gov/protein/194394197","Acin1")</f>
        <v>Acin1</v>
      </c>
      <c r="B108" s="4"/>
      <c r="C108" s="3">
        <v>26287</v>
      </c>
      <c r="D108" s="3">
        <v>307</v>
      </c>
      <c r="E108" s="3">
        <v>45</v>
      </c>
      <c r="F108" s="3">
        <v>8</v>
      </c>
      <c r="G108" s="3">
        <v>4284</v>
      </c>
      <c r="H108" s="2">
        <f t="shared" si="2"/>
        <v>30931</v>
      </c>
      <c r="I108" t="str">
        <f t="shared" si="3"/>
        <v>Acin1_30931</v>
      </c>
      <c r="J108" s="3">
        <v>26287</v>
      </c>
      <c r="K108" s="3">
        <v>307</v>
      </c>
      <c r="L108" s="3">
        <v>45</v>
      </c>
      <c r="M108" s="3">
        <v>8</v>
      </c>
      <c r="N108" s="3">
        <v>4284</v>
      </c>
    </row>
    <row r="109" spans="1:14" x14ac:dyDescent="0.2">
      <c r="A109" s="5" t="str">
        <f>HYPERLINK("http://www.ncbi.nlm.nih.gov/protein/29293809","Acly")</f>
        <v>Acly</v>
      </c>
      <c r="B109" s="4"/>
      <c r="C109" s="3">
        <v>0</v>
      </c>
      <c r="D109" s="3">
        <v>843</v>
      </c>
      <c r="E109" s="3">
        <v>24622</v>
      </c>
      <c r="F109" s="3">
        <v>526495</v>
      </c>
      <c r="G109" s="3">
        <v>227877</v>
      </c>
      <c r="H109" s="2">
        <f t="shared" si="2"/>
        <v>779837</v>
      </c>
      <c r="I109" t="str">
        <f t="shared" si="3"/>
        <v>Acly_779837</v>
      </c>
      <c r="J109" s="3">
        <v>0</v>
      </c>
      <c r="K109" s="3">
        <v>843</v>
      </c>
      <c r="L109" s="3">
        <v>24622</v>
      </c>
      <c r="M109" s="3">
        <v>526495</v>
      </c>
      <c r="N109" s="3">
        <v>227877</v>
      </c>
    </row>
    <row r="110" spans="1:14" x14ac:dyDescent="0.2">
      <c r="A110" s="5" t="str">
        <f>HYPERLINK("http://www.ncbi.nlm.nih.gov/protein/313151222","Acly")</f>
        <v>Acly</v>
      </c>
      <c r="B110" s="4"/>
      <c r="C110" s="3">
        <v>0</v>
      </c>
      <c r="D110" s="3">
        <v>843</v>
      </c>
      <c r="E110" s="3">
        <v>24622</v>
      </c>
      <c r="F110" s="3">
        <v>542998</v>
      </c>
      <c r="G110" s="3">
        <v>227877</v>
      </c>
      <c r="H110" s="2">
        <f t="shared" si="2"/>
        <v>796340</v>
      </c>
      <c r="I110" t="str">
        <f t="shared" si="3"/>
        <v>Acly_796340</v>
      </c>
      <c r="J110" s="3">
        <v>0</v>
      </c>
      <c r="K110" s="3">
        <v>843</v>
      </c>
      <c r="L110" s="3">
        <v>24622</v>
      </c>
      <c r="M110" s="3">
        <v>542998</v>
      </c>
      <c r="N110" s="3">
        <v>227877</v>
      </c>
    </row>
    <row r="111" spans="1:14" x14ac:dyDescent="0.2">
      <c r="A111" s="5" t="str">
        <f>HYPERLINK("http://www.ncbi.nlm.nih.gov/protein/110347487","Aco1")</f>
        <v>Aco1</v>
      </c>
      <c r="B111" s="4"/>
      <c r="C111" s="3">
        <v>0</v>
      </c>
      <c r="D111" s="3">
        <v>2067</v>
      </c>
      <c r="E111" s="3">
        <v>5002</v>
      </c>
      <c r="F111" s="3">
        <v>8079</v>
      </c>
      <c r="G111" s="3">
        <v>78297</v>
      </c>
      <c r="H111" s="2">
        <f t="shared" si="2"/>
        <v>93445</v>
      </c>
      <c r="I111" t="str">
        <f t="shared" si="3"/>
        <v>Aco1_93445</v>
      </c>
      <c r="J111" s="3">
        <v>0</v>
      </c>
      <c r="K111" s="3">
        <v>2067</v>
      </c>
      <c r="L111" s="3">
        <v>5002</v>
      </c>
      <c r="M111" s="3">
        <v>8079</v>
      </c>
      <c r="N111" s="3">
        <v>78297</v>
      </c>
    </row>
    <row r="112" spans="1:14" x14ac:dyDescent="0.2">
      <c r="A112" s="5" t="str">
        <f>HYPERLINK("http://www.ncbi.nlm.nih.gov/protein/18079339","Aco2")</f>
        <v>Aco2</v>
      </c>
      <c r="B112" s="4"/>
      <c r="C112" s="3">
        <v>1252388</v>
      </c>
      <c r="D112" s="3">
        <v>119059</v>
      </c>
      <c r="E112" s="3">
        <v>14815</v>
      </c>
      <c r="F112" s="3">
        <v>1195</v>
      </c>
      <c r="G112" s="3">
        <v>42153</v>
      </c>
      <c r="H112" s="2">
        <f t="shared" si="2"/>
        <v>1429610</v>
      </c>
      <c r="I112" t="str">
        <f t="shared" si="3"/>
        <v>Aco2_1429610</v>
      </c>
      <c r="J112" s="3">
        <v>1252388</v>
      </c>
      <c r="K112" s="3">
        <v>119059</v>
      </c>
      <c r="L112" s="3">
        <v>14815</v>
      </c>
      <c r="M112" s="3">
        <v>1195</v>
      </c>
      <c r="N112" s="3">
        <v>42153</v>
      </c>
    </row>
    <row r="113" spans="1:14" x14ac:dyDescent="0.2">
      <c r="A113" s="5" t="str">
        <f>HYPERLINK("http://www.ncbi.nlm.nih.gov/protein/6753550","Acot1")</f>
        <v>Acot1</v>
      </c>
      <c r="B113" s="4"/>
      <c r="C113" s="3">
        <v>152031</v>
      </c>
      <c r="D113" s="3">
        <v>16974</v>
      </c>
      <c r="E113" s="3">
        <v>565</v>
      </c>
      <c r="F113" s="3">
        <v>0</v>
      </c>
      <c r="G113" s="3">
        <v>6340</v>
      </c>
      <c r="H113" s="2">
        <f t="shared" si="2"/>
        <v>175910</v>
      </c>
      <c r="I113" t="str">
        <f t="shared" si="3"/>
        <v>Acot1_175910</v>
      </c>
      <c r="J113" s="3">
        <v>152031</v>
      </c>
      <c r="K113" s="3">
        <v>16974</v>
      </c>
      <c r="L113" s="3">
        <v>565</v>
      </c>
      <c r="M113" s="3">
        <v>0</v>
      </c>
      <c r="N113" s="3">
        <v>6340</v>
      </c>
    </row>
    <row r="114" spans="1:14" x14ac:dyDescent="0.2">
      <c r="A114" s="5" t="str">
        <f>HYPERLINK("http://www.ncbi.nlm.nih.gov/protein/154426268","Acot10")</f>
        <v>Acot10</v>
      </c>
      <c r="B114" s="4"/>
      <c r="C114" s="3">
        <v>0</v>
      </c>
      <c r="D114" s="3">
        <v>3707</v>
      </c>
      <c r="E114" s="3">
        <v>0</v>
      </c>
      <c r="F114" s="3">
        <v>0</v>
      </c>
      <c r="G114" s="3">
        <v>0</v>
      </c>
      <c r="H114" s="2">
        <f t="shared" si="2"/>
        <v>3707</v>
      </c>
      <c r="I114" t="str">
        <f t="shared" si="3"/>
        <v>Acot10_3707</v>
      </c>
      <c r="J114" s="3">
        <v>0</v>
      </c>
      <c r="K114" s="3">
        <v>3707</v>
      </c>
      <c r="L114" s="3">
        <v>0</v>
      </c>
      <c r="M114" s="3">
        <v>0</v>
      </c>
      <c r="N114" s="3">
        <v>0</v>
      </c>
    </row>
    <row r="115" spans="1:14" x14ac:dyDescent="0.2">
      <c r="A115" s="5" t="str">
        <f>HYPERLINK("http://www.ncbi.nlm.nih.gov/protein/18482377","Acot12")</f>
        <v>Acot12</v>
      </c>
      <c r="B115" s="4"/>
      <c r="C115" s="3">
        <v>0</v>
      </c>
      <c r="D115" s="3">
        <v>163</v>
      </c>
      <c r="E115" s="3">
        <v>0</v>
      </c>
      <c r="F115" s="3">
        <v>0</v>
      </c>
      <c r="G115" s="3">
        <v>0</v>
      </c>
      <c r="H115" s="2">
        <f t="shared" si="2"/>
        <v>163</v>
      </c>
      <c r="I115" t="str">
        <f t="shared" si="3"/>
        <v>Acot12_163</v>
      </c>
      <c r="J115" s="3">
        <v>0</v>
      </c>
      <c r="K115" s="3">
        <v>163</v>
      </c>
      <c r="L115" s="3">
        <v>0</v>
      </c>
      <c r="M115" s="3">
        <v>0</v>
      </c>
      <c r="N115" s="3">
        <v>0</v>
      </c>
    </row>
    <row r="116" spans="1:14" x14ac:dyDescent="0.2">
      <c r="A116" s="5" t="str">
        <f>HYPERLINK("http://www.ncbi.nlm.nih.gov/protein/13385260","Acot13")</f>
        <v>Acot13</v>
      </c>
      <c r="B116" s="4"/>
      <c r="C116" s="3">
        <v>7414</v>
      </c>
      <c r="D116" s="3">
        <v>4476</v>
      </c>
      <c r="E116" s="3">
        <v>401</v>
      </c>
      <c r="F116" s="3">
        <v>0</v>
      </c>
      <c r="G116" s="3">
        <v>1842</v>
      </c>
      <c r="H116" s="2">
        <f t="shared" si="2"/>
        <v>14133</v>
      </c>
      <c r="I116" t="str">
        <f t="shared" si="3"/>
        <v>Acot13_14133</v>
      </c>
      <c r="J116" s="3">
        <v>7414</v>
      </c>
      <c r="K116" s="3">
        <v>4476</v>
      </c>
      <c r="L116" s="3">
        <v>401</v>
      </c>
      <c r="M116" s="3">
        <v>0</v>
      </c>
      <c r="N116" s="3">
        <v>1842</v>
      </c>
    </row>
    <row r="117" spans="1:14" x14ac:dyDescent="0.2">
      <c r="A117" s="5" t="str">
        <f>HYPERLINK("http://www.ncbi.nlm.nih.gov/protein/238624114","Acot2")</f>
        <v>Acot2</v>
      </c>
      <c r="B117" s="4"/>
      <c r="C117" s="3">
        <v>223626</v>
      </c>
      <c r="D117" s="3">
        <v>21495</v>
      </c>
      <c r="E117" s="3">
        <v>565</v>
      </c>
      <c r="F117" s="3">
        <v>0</v>
      </c>
      <c r="G117" s="3">
        <v>6340</v>
      </c>
      <c r="H117" s="2">
        <f t="shared" si="2"/>
        <v>252026</v>
      </c>
      <c r="I117" t="str">
        <f t="shared" si="3"/>
        <v>Acot2_252026</v>
      </c>
      <c r="J117" s="3">
        <v>223626</v>
      </c>
      <c r="K117" s="3">
        <v>21495</v>
      </c>
      <c r="L117" s="3">
        <v>565</v>
      </c>
      <c r="M117" s="3">
        <v>0</v>
      </c>
      <c r="N117" s="3">
        <v>6340</v>
      </c>
    </row>
    <row r="118" spans="1:14" x14ac:dyDescent="0.2">
      <c r="A118" s="5" t="str">
        <f>HYPERLINK("http://www.ncbi.nlm.nih.gov/protein/19527406","Acot3")</f>
        <v>Acot3</v>
      </c>
      <c r="B118" s="4"/>
      <c r="C118" s="3">
        <v>0</v>
      </c>
      <c r="D118" s="3">
        <v>0</v>
      </c>
      <c r="E118" s="3">
        <v>0</v>
      </c>
      <c r="F118" s="3">
        <v>0</v>
      </c>
      <c r="G118" s="3">
        <v>2774</v>
      </c>
      <c r="H118" s="2">
        <f t="shared" si="2"/>
        <v>2774</v>
      </c>
      <c r="I118" t="str">
        <f t="shared" si="3"/>
        <v>Acot3_2774</v>
      </c>
      <c r="J118" s="3">
        <v>0</v>
      </c>
      <c r="K118" s="3">
        <v>0</v>
      </c>
      <c r="L118" s="3">
        <v>0</v>
      </c>
      <c r="M118" s="3">
        <v>0</v>
      </c>
      <c r="N118" s="3">
        <v>2774</v>
      </c>
    </row>
    <row r="119" spans="1:14" x14ac:dyDescent="0.2">
      <c r="A119" s="5" t="str">
        <f>HYPERLINK("http://www.ncbi.nlm.nih.gov/protein/269308227","Acot4")</f>
        <v>Acot4</v>
      </c>
      <c r="B119" s="4"/>
      <c r="C119" s="3">
        <v>52081</v>
      </c>
      <c r="D119" s="3">
        <v>7958</v>
      </c>
      <c r="E119" s="3">
        <v>0</v>
      </c>
      <c r="F119" s="3">
        <v>0</v>
      </c>
      <c r="G119" s="3">
        <v>4605</v>
      </c>
      <c r="H119" s="2">
        <f t="shared" si="2"/>
        <v>64644</v>
      </c>
      <c r="I119" t="str">
        <f t="shared" si="3"/>
        <v>Acot4_64644</v>
      </c>
      <c r="J119" s="3">
        <v>52081</v>
      </c>
      <c r="K119" s="3">
        <v>7958</v>
      </c>
      <c r="L119" s="3">
        <v>0</v>
      </c>
      <c r="M119" s="3">
        <v>0</v>
      </c>
      <c r="N119" s="3">
        <v>4605</v>
      </c>
    </row>
    <row r="120" spans="1:14" x14ac:dyDescent="0.2">
      <c r="A120" s="5" t="str">
        <f>HYPERLINK("http://www.ncbi.nlm.nih.gov/protein/238550185","Acot5")</f>
        <v>Acot5</v>
      </c>
      <c r="B120" s="4"/>
      <c r="C120" s="3">
        <v>0</v>
      </c>
      <c r="D120" s="3">
        <v>0</v>
      </c>
      <c r="E120" s="3">
        <v>0</v>
      </c>
      <c r="F120" s="3">
        <v>0</v>
      </c>
      <c r="G120" s="3">
        <v>2774</v>
      </c>
      <c r="H120" s="2">
        <f t="shared" si="2"/>
        <v>2774</v>
      </c>
      <c r="I120" t="str">
        <f t="shared" si="3"/>
        <v>Acot5_2774</v>
      </c>
      <c r="J120" s="3">
        <v>0</v>
      </c>
      <c r="K120" s="3">
        <v>0</v>
      </c>
      <c r="L120" s="3">
        <v>0</v>
      </c>
      <c r="M120" s="3">
        <v>0</v>
      </c>
      <c r="N120" s="3">
        <v>2774</v>
      </c>
    </row>
    <row r="121" spans="1:14" x14ac:dyDescent="0.2">
      <c r="A121" s="5" t="str">
        <f>HYPERLINK("http://www.ncbi.nlm.nih.gov/protein/110626167","Acot6")</f>
        <v>Acot6</v>
      </c>
      <c r="B121" s="4"/>
      <c r="C121" s="3">
        <v>52081</v>
      </c>
      <c r="D121" s="3">
        <v>7958</v>
      </c>
      <c r="E121" s="3">
        <v>0</v>
      </c>
      <c r="F121" s="3">
        <v>0</v>
      </c>
      <c r="G121" s="3">
        <v>4605</v>
      </c>
      <c r="H121" s="2">
        <f t="shared" si="2"/>
        <v>64644</v>
      </c>
      <c r="I121" t="str">
        <f t="shared" si="3"/>
        <v>Acot6_64644</v>
      </c>
      <c r="J121" s="3">
        <v>52081</v>
      </c>
      <c r="K121" s="3">
        <v>7958</v>
      </c>
      <c r="L121" s="3">
        <v>0</v>
      </c>
      <c r="M121" s="3">
        <v>0</v>
      </c>
      <c r="N121" s="3">
        <v>4605</v>
      </c>
    </row>
    <row r="122" spans="1:14" x14ac:dyDescent="0.2">
      <c r="A122" s="5" t="str">
        <f>HYPERLINK("http://www.ncbi.nlm.nih.gov/protein/225690614","Acot7")</f>
        <v>Acot7</v>
      </c>
      <c r="B122" s="4"/>
      <c r="C122" s="3">
        <v>0</v>
      </c>
      <c r="D122" s="3">
        <v>119</v>
      </c>
      <c r="E122" s="3">
        <v>565</v>
      </c>
      <c r="F122" s="3">
        <v>377</v>
      </c>
      <c r="G122" s="3">
        <v>21987</v>
      </c>
      <c r="H122" s="2">
        <f t="shared" si="2"/>
        <v>23048</v>
      </c>
      <c r="I122" t="str">
        <f t="shared" si="3"/>
        <v>Acot7_23048</v>
      </c>
      <c r="J122" s="3">
        <v>0</v>
      </c>
      <c r="K122" s="3">
        <v>119</v>
      </c>
      <c r="L122" s="3">
        <v>565</v>
      </c>
      <c r="M122" s="3">
        <v>377</v>
      </c>
      <c r="N122" s="3">
        <v>21987</v>
      </c>
    </row>
    <row r="123" spans="1:14" x14ac:dyDescent="0.2">
      <c r="A123" s="5" t="str">
        <f>HYPERLINK("http://www.ncbi.nlm.nih.gov/protein/225690616","Acot7")</f>
        <v>Acot7</v>
      </c>
      <c r="B123" s="4"/>
      <c r="C123" s="3">
        <v>0</v>
      </c>
      <c r="D123" s="3">
        <v>119</v>
      </c>
      <c r="E123" s="3">
        <v>565</v>
      </c>
      <c r="F123" s="3">
        <v>377</v>
      </c>
      <c r="G123" s="3">
        <v>21987</v>
      </c>
      <c r="H123" s="2">
        <f t="shared" si="2"/>
        <v>23048</v>
      </c>
      <c r="I123" t="str">
        <f t="shared" si="3"/>
        <v>Acot7_23048</v>
      </c>
      <c r="J123" s="3">
        <v>0</v>
      </c>
      <c r="K123" s="3">
        <v>119</v>
      </c>
      <c r="L123" s="3">
        <v>565</v>
      </c>
      <c r="M123" s="3">
        <v>377</v>
      </c>
      <c r="N123" s="3">
        <v>21987</v>
      </c>
    </row>
    <row r="124" spans="1:14" x14ac:dyDescent="0.2">
      <c r="A124" s="5" t="str">
        <f>HYPERLINK("http://www.ncbi.nlm.nih.gov/protein/225690618","Acot7")</f>
        <v>Acot7</v>
      </c>
      <c r="B124" s="4"/>
      <c r="C124" s="3">
        <v>0</v>
      </c>
      <c r="D124" s="3">
        <v>79</v>
      </c>
      <c r="E124" s="3">
        <v>565</v>
      </c>
      <c r="F124" s="3">
        <v>377</v>
      </c>
      <c r="G124" s="3">
        <v>21987</v>
      </c>
      <c r="H124" s="2">
        <f t="shared" si="2"/>
        <v>23008</v>
      </c>
      <c r="I124" t="str">
        <f t="shared" si="3"/>
        <v>Acot7_23008</v>
      </c>
      <c r="J124" s="3">
        <v>0</v>
      </c>
      <c r="K124" s="3">
        <v>79</v>
      </c>
      <c r="L124" s="3">
        <v>565</v>
      </c>
      <c r="M124" s="3">
        <v>377</v>
      </c>
      <c r="N124" s="3">
        <v>21987</v>
      </c>
    </row>
    <row r="125" spans="1:14" x14ac:dyDescent="0.2">
      <c r="A125" s="5" t="str">
        <f>HYPERLINK("http://www.ncbi.nlm.nih.gov/protein/254587964","Acot8")</f>
        <v>Acot8</v>
      </c>
      <c r="B125" s="4"/>
      <c r="C125" s="3">
        <v>476</v>
      </c>
      <c r="D125" s="3">
        <v>7770</v>
      </c>
      <c r="E125" s="3">
        <v>3080</v>
      </c>
      <c r="F125" s="3">
        <v>0</v>
      </c>
      <c r="G125" s="3">
        <v>0</v>
      </c>
      <c r="H125" s="2">
        <f t="shared" si="2"/>
        <v>11326</v>
      </c>
      <c r="I125" t="str">
        <f t="shared" si="3"/>
        <v>Acot8_11326</v>
      </c>
      <c r="J125" s="3">
        <v>476</v>
      </c>
      <c r="K125" s="3">
        <v>7770</v>
      </c>
      <c r="L125" s="3">
        <v>3080</v>
      </c>
      <c r="M125" s="3">
        <v>0</v>
      </c>
      <c r="N125" s="3">
        <v>0</v>
      </c>
    </row>
    <row r="126" spans="1:14" x14ac:dyDescent="0.2">
      <c r="A126" s="5" t="str">
        <f>HYPERLINK("http://www.ncbi.nlm.nih.gov/protein/31980998","Acot9")</f>
        <v>Acot9</v>
      </c>
      <c r="B126" s="4"/>
      <c r="C126" s="3">
        <v>7872</v>
      </c>
      <c r="D126" s="3">
        <v>4718</v>
      </c>
      <c r="E126" s="3">
        <v>0</v>
      </c>
      <c r="F126" s="3">
        <v>0</v>
      </c>
      <c r="G126" s="3">
        <v>0</v>
      </c>
      <c r="H126" s="2">
        <f t="shared" si="2"/>
        <v>12590</v>
      </c>
      <c r="I126" t="str">
        <f t="shared" si="3"/>
        <v>Acot9_12590</v>
      </c>
      <c r="J126" s="3">
        <v>7872</v>
      </c>
      <c r="K126" s="3">
        <v>4718</v>
      </c>
      <c r="L126" s="3">
        <v>0</v>
      </c>
      <c r="M126" s="3">
        <v>0</v>
      </c>
      <c r="N126" s="3">
        <v>0</v>
      </c>
    </row>
    <row r="127" spans="1:14" x14ac:dyDescent="0.2">
      <c r="A127" s="5" t="str">
        <f>HYPERLINK("http://www.ncbi.nlm.nih.gov/protein/429484484","Acox1")</f>
        <v>Acox1</v>
      </c>
      <c r="B127" s="4"/>
      <c r="C127" s="3">
        <v>16457</v>
      </c>
      <c r="D127" s="3">
        <v>26417</v>
      </c>
      <c r="E127" s="3">
        <v>26297</v>
      </c>
      <c r="F127" s="3">
        <v>0</v>
      </c>
      <c r="G127" s="3">
        <v>535</v>
      </c>
      <c r="H127" s="2">
        <f t="shared" si="2"/>
        <v>69706</v>
      </c>
      <c r="I127" t="str">
        <f t="shared" si="3"/>
        <v>Acox1_69706</v>
      </c>
      <c r="J127" s="3">
        <v>16457</v>
      </c>
      <c r="K127" s="3">
        <v>26417</v>
      </c>
      <c r="L127" s="3">
        <v>26297</v>
      </c>
      <c r="M127" s="3">
        <v>0</v>
      </c>
      <c r="N127" s="3">
        <v>535</v>
      </c>
    </row>
    <row r="128" spans="1:14" x14ac:dyDescent="0.2">
      <c r="A128" s="5" t="str">
        <f>HYPERLINK("http://www.ncbi.nlm.nih.gov/protein/66793429","Acox1")</f>
        <v>Acox1</v>
      </c>
      <c r="B128" s="4"/>
      <c r="C128" s="3">
        <v>16457</v>
      </c>
      <c r="D128" s="3">
        <v>26417</v>
      </c>
      <c r="E128" s="3">
        <v>26297</v>
      </c>
      <c r="F128" s="3">
        <v>0</v>
      </c>
      <c r="G128" s="3">
        <v>535</v>
      </c>
      <c r="H128" s="2">
        <f t="shared" si="2"/>
        <v>69706</v>
      </c>
      <c r="I128" t="str">
        <f t="shared" si="3"/>
        <v>Acox1_69706</v>
      </c>
      <c r="J128" s="3">
        <v>16457</v>
      </c>
      <c r="K128" s="3">
        <v>26417</v>
      </c>
      <c r="L128" s="3">
        <v>26297</v>
      </c>
      <c r="M128" s="3">
        <v>0</v>
      </c>
      <c r="N128" s="3">
        <v>535</v>
      </c>
    </row>
    <row r="129" spans="1:14" x14ac:dyDescent="0.2">
      <c r="A129" s="5" t="str">
        <f>HYPERLINK("http://www.ncbi.nlm.nih.gov/protein/34328334","Acox3")</f>
        <v>Acox3</v>
      </c>
      <c r="B129" s="4"/>
      <c r="C129" s="3">
        <v>0</v>
      </c>
      <c r="D129" s="3">
        <v>2127</v>
      </c>
      <c r="E129" s="3">
        <v>449</v>
      </c>
      <c r="F129" s="3">
        <v>0</v>
      </c>
      <c r="G129" s="3">
        <v>0</v>
      </c>
      <c r="H129" s="2">
        <f t="shared" si="2"/>
        <v>2576</v>
      </c>
      <c r="I129" t="str">
        <f t="shared" si="3"/>
        <v>Acox3_2576</v>
      </c>
      <c r="J129" s="3">
        <v>0</v>
      </c>
      <c r="K129" s="3">
        <v>2127</v>
      </c>
      <c r="L129" s="3">
        <v>449</v>
      </c>
      <c r="M129" s="3">
        <v>0</v>
      </c>
      <c r="N129" s="3">
        <v>0</v>
      </c>
    </row>
    <row r="130" spans="1:14" x14ac:dyDescent="0.2">
      <c r="A130" s="5" t="str">
        <f>HYPERLINK("http://www.ncbi.nlm.nih.gov/protein/159032062","Acp1")</f>
        <v>Acp1</v>
      </c>
      <c r="B130" s="4"/>
      <c r="C130" s="3">
        <v>13675</v>
      </c>
      <c r="D130" s="3">
        <v>8598</v>
      </c>
      <c r="E130" s="3">
        <v>12841</v>
      </c>
      <c r="F130" s="3">
        <v>22813</v>
      </c>
      <c r="G130" s="3">
        <v>15465</v>
      </c>
      <c r="H130" s="2">
        <f t="shared" ref="H130:H193" si="4">SUM(C130:G130)</f>
        <v>73392</v>
      </c>
      <c r="I130" t="str">
        <f t="shared" ref="I130:I193" si="5">A130&amp;"_"&amp;H130</f>
        <v>Acp1_73392</v>
      </c>
      <c r="J130" s="3">
        <v>13675</v>
      </c>
      <c r="K130" s="3">
        <v>8598</v>
      </c>
      <c r="L130" s="3">
        <v>12841</v>
      </c>
      <c r="M130" s="3">
        <v>22813</v>
      </c>
      <c r="N130" s="3">
        <v>15465</v>
      </c>
    </row>
    <row r="131" spans="1:14" x14ac:dyDescent="0.2">
      <c r="A131" s="5" t="str">
        <f>HYPERLINK("http://www.ncbi.nlm.nih.gov/protein/29150253","Acp2")</f>
        <v>Acp2</v>
      </c>
      <c r="B131" s="4"/>
      <c r="C131" s="3">
        <v>11295</v>
      </c>
      <c r="D131" s="3">
        <v>5912</v>
      </c>
      <c r="E131" s="3">
        <v>3731</v>
      </c>
      <c r="F131" s="3">
        <v>647</v>
      </c>
      <c r="G131" s="3">
        <v>0</v>
      </c>
      <c r="H131" s="2">
        <f t="shared" si="4"/>
        <v>21585</v>
      </c>
      <c r="I131" t="str">
        <f t="shared" si="5"/>
        <v>Acp2_21585</v>
      </c>
      <c r="J131" s="3">
        <v>11295</v>
      </c>
      <c r="K131" s="3">
        <v>5912</v>
      </c>
      <c r="L131" s="3">
        <v>3731</v>
      </c>
      <c r="M131" s="3">
        <v>647</v>
      </c>
      <c r="N131" s="3">
        <v>0</v>
      </c>
    </row>
    <row r="132" spans="1:14" x14ac:dyDescent="0.2">
      <c r="A132" s="5" t="str">
        <f>HYPERLINK("http://www.ncbi.nlm.nih.gov/protein/66773165","Acp6")</f>
        <v>Acp6</v>
      </c>
      <c r="B132" s="4"/>
      <c r="C132" s="3">
        <v>0</v>
      </c>
      <c r="D132" s="3">
        <v>7782</v>
      </c>
      <c r="E132" s="3">
        <v>0</v>
      </c>
      <c r="F132" s="3">
        <v>0</v>
      </c>
      <c r="G132" s="3">
        <v>793</v>
      </c>
      <c r="H132" s="2">
        <f t="shared" si="4"/>
        <v>8575</v>
      </c>
      <c r="I132" t="str">
        <f t="shared" si="5"/>
        <v>Acp6_8575</v>
      </c>
      <c r="J132" s="3">
        <v>0</v>
      </c>
      <c r="K132" s="3">
        <v>7782</v>
      </c>
      <c r="L132" s="3">
        <v>0</v>
      </c>
      <c r="M132" s="3">
        <v>0</v>
      </c>
      <c r="N132" s="3">
        <v>793</v>
      </c>
    </row>
    <row r="133" spans="1:14" x14ac:dyDescent="0.2">
      <c r="A133" s="5" t="str">
        <f>HYPERLINK("http://www.ncbi.nlm.nih.gov/protein/24418933","Acsf2")</f>
        <v>Acsf2</v>
      </c>
      <c r="B133" s="4"/>
      <c r="C133" s="3">
        <v>18690</v>
      </c>
      <c r="D133" s="3">
        <v>14483</v>
      </c>
      <c r="E133" s="3">
        <v>275</v>
      </c>
      <c r="F133" s="3">
        <v>0</v>
      </c>
      <c r="G133" s="3">
        <v>0</v>
      </c>
      <c r="H133" s="2">
        <f t="shared" si="4"/>
        <v>33448</v>
      </c>
      <c r="I133" t="str">
        <f t="shared" si="5"/>
        <v>Acsf2_33448</v>
      </c>
      <c r="J133" s="3">
        <v>18690</v>
      </c>
      <c r="K133" s="3">
        <v>14483</v>
      </c>
      <c r="L133" s="3">
        <v>275</v>
      </c>
      <c r="M133" s="3">
        <v>0</v>
      </c>
      <c r="N133" s="3">
        <v>0</v>
      </c>
    </row>
    <row r="134" spans="1:14" x14ac:dyDescent="0.2">
      <c r="A134" s="5" t="str">
        <f>HYPERLINK("http://www.ncbi.nlm.nih.gov/protein/113199775","Acsf3")</f>
        <v>Acsf3</v>
      </c>
      <c r="B134" s="4"/>
      <c r="C134" s="3">
        <v>1501</v>
      </c>
      <c r="D134" s="3">
        <v>1067</v>
      </c>
      <c r="E134" s="3">
        <v>0</v>
      </c>
      <c r="F134" s="3">
        <v>0</v>
      </c>
      <c r="G134" s="3">
        <v>0</v>
      </c>
      <c r="H134" s="2">
        <f t="shared" si="4"/>
        <v>2568</v>
      </c>
      <c r="I134" t="str">
        <f t="shared" si="5"/>
        <v>Acsf3_2568</v>
      </c>
      <c r="J134" s="3">
        <v>1501</v>
      </c>
      <c r="K134" s="3">
        <v>1067</v>
      </c>
      <c r="L134" s="3">
        <v>0</v>
      </c>
      <c r="M134" s="3">
        <v>0</v>
      </c>
      <c r="N134" s="3">
        <v>0</v>
      </c>
    </row>
    <row r="135" spans="1:14" x14ac:dyDescent="0.2">
      <c r="A135" s="5" t="str">
        <f>HYPERLINK("http://www.ncbi.nlm.nih.gov/protein/31560705","Acsl1")</f>
        <v>Acsl1</v>
      </c>
      <c r="B135" s="4"/>
      <c r="C135" s="3">
        <v>0</v>
      </c>
      <c r="D135" s="3">
        <v>7256</v>
      </c>
      <c r="E135" s="3">
        <v>2731</v>
      </c>
      <c r="F135" s="3">
        <v>0</v>
      </c>
      <c r="G135" s="3">
        <v>0</v>
      </c>
      <c r="H135" s="2">
        <f t="shared" si="4"/>
        <v>9987</v>
      </c>
      <c r="I135" t="str">
        <f t="shared" si="5"/>
        <v>Acsl1_9987</v>
      </c>
      <c r="J135" s="3">
        <v>0</v>
      </c>
      <c r="K135" s="3">
        <v>7256</v>
      </c>
      <c r="L135" s="3">
        <v>2731</v>
      </c>
      <c r="M135" s="3">
        <v>0</v>
      </c>
      <c r="N135" s="3">
        <v>0</v>
      </c>
    </row>
    <row r="136" spans="1:14" x14ac:dyDescent="0.2">
      <c r="A136" s="5" t="str">
        <f>HYPERLINK("http://www.ncbi.nlm.nih.gov/protein/209977076","Acsl3")</f>
        <v>Acsl3</v>
      </c>
      <c r="B136" s="4"/>
      <c r="C136" s="3">
        <v>5840</v>
      </c>
      <c r="D136" s="3">
        <v>2749</v>
      </c>
      <c r="E136" s="3">
        <v>10207</v>
      </c>
      <c r="F136" s="3">
        <v>0</v>
      </c>
      <c r="G136" s="3">
        <v>0</v>
      </c>
      <c r="H136" s="2">
        <f t="shared" si="4"/>
        <v>18796</v>
      </c>
      <c r="I136" t="str">
        <f t="shared" si="5"/>
        <v>Acsl3_18796</v>
      </c>
      <c r="J136" s="3">
        <v>5840</v>
      </c>
      <c r="K136" s="3">
        <v>2749</v>
      </c>
      <c r="L136" s="3">
        <v>10207</v>
      </c>
      <c r="M136" s="3">
        <v>0</v>
      </c>
      <c r="N136" s="3">
        <v>0</v>
      </c>
    </row>
    <row r="137" spans="1:14" x14ac:dyDescent="0.2">
      <c r="A137" s="5" t="str">
        <f>HYPERLINK("http://www.ncbi.nlm.nih.gov/protein/75992920","Acsl3")</f>
        <v>Acsl3</v>
      </c>
      <c r="B137" s="4"/>
      <c r="C137" s="3">
        <v>5840</v>
      </c>
      <c r="D137" s="3">
        <v>3067</v>
      </c>
      <c r="E137" s="3">
        <v>11096</v>
      </c>
      <c r="F137" s="3">
        <v>0</v>
      </c>
      <c r="G137" s="3">
        <v>0</v>
      </c>
      <c r="H137" s="2">
        <f t="shared" si="4"/>
        <v>20003</v>
      </c>
      <c r="I137" t="str">
        <f t="shared" si="5"/>
        <v>Acsl3_20003</v>
      </c>
      <c r="J137" s="3">
        <v>5840</v>
      </c>
      <c r="K137" s="3">
        <v>3067</v>
      </c>
      <c r="L137" s="3">
        <v>11096</v>
      </c>
      <c r="M137" s="3">
        <v>0</v>
      </c>
      <c r="N137" s="3">
        <v>0</v>
      </c>
    </row>
    <row r="138" spans="1:14" x14ac:dyDescent="0.2">
      <c r="A138" s="5" t="str">
        <f>HYPERLINK("http://www.ncbi.nlm.nih.gov/protein/46518528","Acsl4")</f>
        <v>Acsl4</v>
      </c>
      <c r="B138" s="4"/>
      <c r="C138" s="3">
        <v>4760</v>
      </c>
      <c r="D138" s="3">
        <v>4471</v>
      </c>
      <c r="E138" s="3">
        <v>7605</v>
      </c>
      <c r="F138" s="3">
        <v>4338</v>
      </c>
      <c r="G138" s="3">
        <v>268</v>
      </c>
      <c r="H138" s="2">
        <f t="shared" si="4"/>
        <v>21442</v>
      </c>
      <c r="I138" t="str">
        <f t="shared" si="5"/>
        <v>Acsl4_21442</v>
      </c>
      <c r="J138" s="3">
        <v>4760</v>
      </c>
      <c r="K138" s="3">
        <v>4471</v>
      </c>
      <c r="L138" s="3">
        <v>7605</v>
      </c>
      <c r="M138" s="3">
        <v>4338</v>
      </c>
      <c r="N138" s="3">
        <v>268</v>
      </c>
    </row>
    <row r="139" spans="1:14" x14ac:dyDescent="0.2">
      <c r="A139" s="5" t="str">
        <f>HYPERLINK("http://www.ncbi.nlm.nih.gov/protein/75992925","Acsl4")</f>
        <v>Acsl4</v>
      </c>
      <c r="B139" s="4"/>
      <c r="C139" s="3">
        <v>4760</v>
      </c>
      <c r="D139" s="3">
        <v>4471</v>
      </c>
      <c r="E139" s="3">
        <v>7605</v>
      </c>
      <c r="F139" s="3">
        <v>4338</v>
      </c>
      <c r="G139" s="3">
        <v>268</v>
      </c>
      <c r="H139" s="2">
        <f t="shared" si="4"/>
        <v>21442</v>
      </c>
      <c r="I139" t="str">
        <f t="shared" si="5"/>
        <v>Acsl4_21442</v>
      </c>
      <c r="J139" s="3">
        <v>4760</v>
      </c>
      <c r="K139" s="3">
        <v>4471</v>
      </c>
      <c r="L139" s="3">
        <v>7605</v>
      </c>
      <c r="M139" s="3">
        <v>4338</v>
      </c>
      <c r="N139" s="3">
        <v>268</v>
      </c>
    </row>
    <row r="140" spans="1:14" x14ac:dyDescent="0.2">
      <c r="A140" s="5" t="str">
        <f>HYPERLINK("http://www.ncbi.nlm.nih.gov/protein/58218988","Acsl5")</f>
        <v>Acsl5</v>
      </c>
      <c r="B140" s="4"/>
      <c r="C140" s="3">
        <v>3863</v>
      </c>
      <c r="D140" s="3">
        <v>15212</v>
      </c>
      <c r="E140" s="3">
        <v>5553</v>
      </c>
      <c r="F140" s="3">
        <v>0</v>
      </c>
      <c r="G140" s="3">
        <v>0</v>
      </c>
      <c r="H140" s="2">
        <f t="shared" si="4"/>
        <v>24628</v>
      </c>
      <c r="I140" t="str">
        <f t="shared" si="5"/>
        <v>Acsl5_24628</v>
      </c>
      <c r="J140" s="3">
        <v>3863</v>
      </c>
      <c r="K140" s="3">
        <v>15212</v>
      </c>
      <c r="L140" s="3">
        <v>5553</v>
      </c>
      <c r="M140" s="3">
        <v>0</v>
      </c>
      <c r="N140" s="3">
        <v>0</v>
      </c>
    </row>
    <row r="141" spans="1:14" x14ac:dyDescent="0.2">
      <c r="A141" s="5" t="str">
        <f>HYPERLINK("http://www.ncbi.nlm.nih.gov/protein/31980996","Acss2")</f>
        <v>Acss2</v>
      </c>
      <c r="B141" s="4"/>
      <c r="C141" s="3">
        <v>0</v>
      </c>
      <c r="D141" s="3">
        <v>0</v>
      </c>
      <c r="E141" s="3">
        <v>0</v>
      </c>
      <c r="F141" s="3">
        <v>0</v>
      </c>
      <c r="G141" s="3">
        <v>2024</v>
      </c>
      <c r="H141" s="2">
        <f t="shared" si="4"/>
        <v>2024</v>
      </c>
      <c r="I141" t="str">
        <f t="shared" si="5"/>
        <v>Acss2_2024</v>
      </c>
      <c r="J141" s="3">
        <v>0</v>
      </c>
      <c r="K141" s="3">
        <v>0</v>
      </c>
      <c r="L141" s="3">
        <v>0</v>
      </c>
      <c r="M141" s="3">
        <v>0</v>
      </c>
      <c r="N141" s="3">
        <v>2024</v>
      </c>
    </row>
    <row r="142" spans="1:14" x14ac:dyDescent="0.2">
      <c r="A142" s="5" t="str">
        <f>HYPERLINK("http://www.ncbi.nlm.nih.gov/protein/33563240","Acta1")</f>
        <v>Acta1</v>
      </c>
      <c r="B142" s="4"/>
      <c r="C142" s="3">
        <v>5646106</v>
      </c>
      <c r="D142" s="3">
        <v>506364</v>
      </c>
      <c r="E142" s="3">
        <v>954028</v>
      </c>
      <c r="F142" s="3">
        <v>1091070</v>
      </c>
      <c r="G142" s="3">
        <v>3808375</v>
      </c>
      <c r="H142" s="2">
        <f t="shared" si="4"/>
        <v>12005943</v>
      </c>
      <c r="I142" t="str">
        <f t="shared" si="5"/>
        <v>Acta1_12005943</v>
      </c>
      <c r="J142" s="3">
        <v>5646106</v>
      </c>
      <c r="K142" s="3">
        <v>506364</v>
      </c>
      <c r="L142" s="3">
        <v>954028</v>
      </c>
      <c r="M142" s="3">
        <v>1091070</v>
      </c>
      <c r="N142" s="3">
        <v>3808375</v>
      </c>
    </row>
    <row r="143" spans="1:14" x14ac:dyDescent="0.2">
      <c r="A143" s="5" t="str">
        <f>HYPERLINK("http://www.ncbi.nlm.nih.gov/protein/6671507","Acta2")</f>
        <v>Acta2</v>
      </c>
      <c r="B143" s="4"/>
      <c r="C143" s="3">
        <v>4870901</v>
      </c>
      <c r="D143" s="3">
        <v>471728</v>
      </c>
      <c r="E143" s="3">
        <v>862002</v>
      </c>
      <c r="F143" s="3">
        <v>1034770</v>
      </c>
      <c r="G143" s="3">
        <v>3713317</v>
      </c>
      <c r="H143" s="2">
        <f t="shared" si="4"/>
        <v>10952718</v>
      </c>
      <c r="I143" t="str">
        <f t="shared" si="5"/>
        <v>Acta2_10952718</v>
      </c>
      <c r="J143" s="3">
        <v>4870901</v>
      </c>
      <c r="K143" s="3">
        <v>471728</v>
      </c>
      <c r="L143" s="3">
        <v>862002</v>
      </c>
      <c r="M143" s="3">
        <v>1034770</v>
      </c>
      <c r="N143" s="3">
        <v>3713317</v>
      </c>
    </row>
    <row r="144" spans="1:14" x14ac:dyDescent="0.2">
      <c r="A144" s="5" t="str">
        <f>HYPERLINK("http://www.ncbi.nlm.nih.gov/protein/6671509","Actb")</f>
        <v>Actb</v>
      </c>
      <c r="B144" s="4"/>
      <c r="C144" s="3">
        <v>9565955</v>
      </c>
      <c r="D144" s="3">
        <v>664316</v>
      </c>
      <c r="E144" s="3">
        <v>1289302</v>
      </c>
      <c r="F144" s="3">
        <v>2003867</v>
      </c>
      <c r="G144" s="3">
        <v>6630832</v>
      </c>
      <c r="H144" s="2">
        <f t="shared" si="4"/>
        <v>20154272</v>
      </c>
      <c r="I144" t="str">
        <f t="shared" si="5"/>
        <v>Actb_20154272</v>
      </c>
      <c r="J144" s="3">
        <v>9565955</v>
      </c>
      <c r="K144" s="3">
        <v>664316</v>
      </c>
      <c r="L144" s="3">
        <v>1289302</v>
      </c>
      <c r="M144" s="3">
        <v>2003867</v>
      </c>
      <c r="N144" s="3">
        <v>6630832</v>
      </c>
    </row>
    <row r="145" spans="1:14" x14ac:dyDescent="0.2">
      <c r="A145" s="5" t="str">
        <f>HYPERLINK("http://www.ncbi.nlm.nih.gov/protein/30425250","Actbl2")</f>
        <v>Actbl2</v>
      </c>
      <c r="B145" s="4"/>
      <c r="C145" s="3">
        <v>2546275</v>
      </c>
      <c r="D145" s="3">
        <v>280349</v>
      </c>
      <c r="E145" s="3">
        <v>352546</v>
      </c>
      <c r="F145" s="3">
        <v>605396</v>
      </c>
      <c r="G145" s="3">
        <v>2762795</v>
      </c>
      <c r="H145" s="2">
        <f t="shared" si="4"/>
        <v>6547361</v>
      </c>
      <c r="I145" t="str">
        <f t="shared" si="5"/>
        <v>Actbl2_6547361</v>
      </c>
      <c r="J145" s="3">
        <v>2546275</v>
      </c>
      <c r="K145" s="3">
        <v>280349</v>
      </c>
      <c r="L145" s="3">
        <v>352546</v>
      </c>
      <c r="M145" s="3">
        <v>605396</v>
      </c>
      <c r="N145" s="3">
        <v>2762795</v>
      </c>
    </row>
    <row r="146" spans="1:14" x14ac:dyDescent="0.2">
      <c r="A146" s="5" t="str">
        <f>HYPERLINK("http://www.ncbi.nlm.nih.gov/protein/14192922","Actc1")</f>
        <v>Actc1</v>
      </c>
      <c r="B146" s="4"/>
      <c r="C146" s="3">
        <v>5646106</v>
      </c>
      <c r="D146" s="3">
        <v>506364</v>
      </c>
      <c r="E146" s="3">
        <v>954028</v>
      </c>
      <c r="F146" s="3">
        <v>1091046</v>
      </c>
      <c r="G146" s="3">
        <v>3738645</v>
      </c>
      <c r="H146" s="2">
        <f t="shared" si="4"/>
        <v>11936189</v>
      </c>
      <c r="I146" t="str">
        <f t="shared" si="5"/>
        <v>Actc1_11936189</v>
      </c>
      <c r="J146" s="3">
        <v>5646106</v>
      </c>
      <c r="K146" s="3">
        <v>506364</v>
      </c>
      <c r="L146" s="3">
        <v>954028</v>
      </c>
      <c r="M146" s="3">
        <v>1091046</v>
      </c>
      <c r="N146" s="3">
        <v>3738645</v>
      </c>
    </row>
    <row r="147" spans="1:14" x14ac:dyDescent="0.2">
      <c r="A147" s="5" t="str">
        <f>HYPERLINK("http://www.ncbi.nlm.nih.gov/protein/6752954","Actg1")</f>
        <v>Actg1</v>
      </c>
      <c r="B147" s="4"/>
      <c r="C147" s="3">
        <v>9565955</v>
      </c>
      <c r="D147" s="3">
        <v>555398</v>
      </c>
      <c r="E147" s="3">
        <v>1289302</v>
      </c>
      <c r="F147" s="3">
        <v>2003867</v>
      </c>
      <c r="G147" s="3">
        <v>6506548</v>
      </c>
      <c r="H147" s="2">
        <f t="shared" si="4"/>
        <v>19921070</v>
      </c>
      <c r="I147" t="str">
        <f t="shared" si="5"/>
        <v>Actg1_19921070</v>
      </c>
      <c r="J147" s="3">
        <v>9565955</v>
      </c>
      <c r="K147" s="3">
        <v>555398</v>
      </c>
      <c r="L147" s="3">
        <v>1289302</v>
      </c>
      <c r="M147" s="3">
        <v>2003867</v>
      </c>
      <c r="N147" s="3">
        <v>6506548</v>
      </c>
    </row>
    <row r="148" spans="1:14" x14ac:dyDescent="0.2">
      <c r="A148" s="5" t="str">
        <f>HYPERLINK("http://www.ncbi.nlm.nih.gov/protein/157823889","Actg2")</f>
        <v>Actg2</v>
      </c>
      <c r="B148" s="4"/>
      <c r="C148" s="3">
        <v>4870901</v>
      </c>
      <c r="D148" s="3">
        <v>471726</v>
      </c>
      <c r="E148" s="3">
        <v>862002</v>
      </c>
      <c r="F148" s="3">
        <v>1034770</v>
      </c>
      <c r="G148" s="3">
        <v>2987962</v>
      </c>
      <c r="H148" s="2">
        <f t="shared" si="4"/>
        <v>10227361</v>
      </c>
      <c r="I148" t="str">
        <f t="shared" si="5"/>
        <v>Actg2_10227361</v>
      </c>
      <c r="J148" s="3">
        <v>4870901</v>
      </c>
      <c r="K148" s="3">
        <v>471726</v>
      </c>
      <c r="L148" s="3">
        <v>862002</v>
      </c>
      <c r="M148" s="3">
        <v>1034770</v>
      </c>
      <c r="N148" s="3">
        <v>2987962</v>
      </c>
    </row>
    <row r="149" spans="1:14" x14ac:dyDescent="0.2">
      <c r="A149" s="5" t="str">
        <f>HYPERLINK("http://www.ncbi.nlm.nih.gov/protein/189181668","Actl6a")</f>
        <v>Actl6a</v>
      </c>
      <c r="B149" s="4"/>
      <c r="C149" s="3">
        <v>37930</v>
      </c>
      <c r="D149" s="3">
        <v>810</v>
      </c>
      <c r="E149" s="3">
        <v>1569</v>
      </c>
      <c r="F149" s="3">
        <v>0</v>
      </c>
      <c r="G149" s="3">
        <v>39797</v>
      </c>
      <c r="H149" s="2">
        <f t="shared" si="4"/>
        <v>80106</v>
      </c>
      <c r="I149" t="str">
        <f t="shared" si="5"/>
        <v>Actl6a_80106</v>
      </c>
      <c r="J149" s="3">
        <v>37930</v>
      </c>
      <c r="K149" s="3">
        <v>810</v>
      </c>
      <c r="L149" s="3">
        <v>1569</v>
      </c>
      <c r="M149" s="3">
        <v>0</v>
      </c>
      <c r="N149" s="3">
        <v>39797</v>
      </c>
    </row>
    <row r="150" spans="1:14" x14ac:dyDescent="0.2">
      <c r="A150" s="5" t="str">
        <f>HYPERLINK("http://www.ncbi.nlm.nih.gov/protein/13937393","Actl6b")</f>
        <v>Actl6b</v>
      </c>
      <c r="B150" s="4"/>
      <c r="C150" s="3">
        <v>2636</v>
      </c>
      <c r="D150" s="3">
        <v>0</v>
      </c>
      <c r="E150" s="3">
        <v>35</v>
      </c>
      <c r="F150" s="3">
        <v>0</v>
      </c>
      <c r="G150" s="3">
        <v>18281</v>
      </c>
      <c r="H150" s="2">
        <f t="shared" si="4"/>
        <v>20952</v>
      </c>
      <c r="I150" t="str">
        <f t="shared" si="5"/>
        <v>Actl6b_20952</v>
      </c>
      <c r="J150" s="3">
        <v>2636</v>
      </c>
      <c r="K150" s="3">
        <v>0</v>
      </c>
      <c r="L150" s="3">
        <v>35</v>
      </c>
      <c r="M150" s="3">
        <v>0</v>
      </c>
      <c r="N150" s="3">
        <v>18281</v>
      </c>
    </row>
    <row r="151" spans="1:14" x14ac:dyDescent="0.2">
      <c r="A151" s="5" t="str">
        <f>HYPERLINK("http://www.ncbi.nlm.nih.gov/protein/61097906","Actn1")</f>
        <v>Actn1</v>
      </c>
      <c r="B151" s="4"/>
      <c r="C151" s="3">
        <v>1007252</v>
      </c>
      <c r="D151" s="3">
        <v>108697</v>
      </c>
      <c r="E151" s="3">
        <v>152370</v>
      </c>
      <c r="F151" s="3">
        <v>203681</v>
      </c>
      <c r="G151" s="3">
        <v>967497</v>
      </c>
      <c r="H151" s="2">
        <f t="shared" si="4"/>
        <v>2439497</v>
      </c>
      <c r="I151" t="str">
        <f t="shared" si="5"/>
        <v>Actn1_2439497</v>
      </c>
      <c r="J151" s="3">
        <v>1007252</v>
      </c>
      <c r="K151" s="3">
        <v>108697</v>
      </c>
      <c r="L151" s="3">
        <v>152370</v>
      </c>
      <c r="M151" s="3">
        <v>203681</v>
      </c>
      <c r="N151" s="3">
        <v>967497</v>
      </c>
    </row>
    <row r="152" spans="1:14" x14ac:dyDescent="0.2">
      <c r="A152" s="5" t="str">
        <f>HYPERLINK("http://www.ncbi.nlm.nih.gov/protein/157951643","Actn2")</f>
        <v>Actn2</v>
      </c>
      <c r="B152" s="4"/>
      <c r="C152" s="3">
        <v>322827</v>
      </c>
      <c r="D152" s="3">
        <v>28664</v>
      </c>
      <c r="E152" s="3">
        <v>39177</v>
      </c>
      <c r="F152" s="3">
        <v>61645</v>
      </c>
      <c r="G152" s="3">
        <v>145092</v>
      </c>
      <c r="H152" s="2">
        <f t="shared" si="4"/>
        <v>597405</v>
      </c>
      <c r="I152" t="str">
        <f t="shared" si="5"/>
        <v>Actn2_597405</v>
      </c>
      <c r="J152" s="3">
        <v>322827</v>
      </c>
      <c r="K152" s="3">
        <v>28664</v>
      </c>
      <c r="L152" s="3">
        <v>39177</v>
      </c>
      <c r="M152" s="3">
        <v>61645</v>
      </c>
      <c r="N152" s="3">
        <v>145092</v>
      </c>
    </row>
    <row r="153" spans="1:14" x14ac:dyDescent="0.2">
      <c r="A153" s="5" t="str">
        <f>HYPERLINK("http://www.ncbi.nlm.nih.gov/protein/7304855","Actn3")</f>
        <v>Actn3</v>
      </c>
      <c r="B153" s="4"/>
      <c r="C153" s="3">
        <v>167390</v>
      </c>
      <c r="D153" s="3">
        <v>27211</v>
      </c>
      <c r="E153" s="3">
        <v>40316</v>
      </c>
      <c r="F153" s="3">
        <v>41263</v>
      </c>
      <c r="G153" s="3">
        <v>248268</v>
      </c>
      <c r="H153" s="2">
        <f t="shared" si="4"/>
        <v>524448</v>
      </c>
      <c r="I153" t="str">
        <f t="shared" si="5"/>
        <v>Actn3_524448</v>
      </c>
      <c r="J153" s="3">
        <v>167390</v>
      </c>
      <c r="K153" s="3">
        <v>27211</v>
      </c>
      <c r="L153" s="3">
        <v>40316</v>
      </c>
      <c r="M153" s="3">
        <v>41263</v>
      </c>
      <c r="N153" s="3">
        <v>248268</v>
      </c>
    </row>
    <row r="154" spans="1:14" x14ac:dyDescent="0.2">
      <c r="A154" s="5" t="str">
        <f>HYPERLINK("http://www.ncbi.nlm.nih.gov/protein/11230802","Actn4")</f>
        <v>Actn4</v>
      </c>
      <c r="B154" s="4"/>
      <c r="C154" s="3">
        <v>894615</v>
      </c>
      <c r="D154" s="3">
        <v>88678</v>
      </c>
      <c r="E154" s="3">
        <v>144741</v>
      </c>
      <c r="F154" s="3">
        <v>119436</v>
      </c>
      <c r="G154" s="3">
        <v>651770</v>
      </c>
      <c r="H154" s="2">
        <f t="shared" si="4"/>
        <v>1899240</v>
      </c>
      <c r="I154" t="str">
        <f t="shared" si="5"/>
        <v>Actn4_1899240</v>
      </c>
      <c r="J154" s="3">
        <v>894615</v>
      </c>
      <c r="K154" s="3">
        <v>88678</v>
      </c>
      <c r="L154" s="3">
        <v>144741</v>
      </c>
      <c r="M154" s="3">
        <v>119436</v>
      </c>
      <c r="N154" s="3">
        <v>651770</v>
      </c>
    </row>
    <row r="155" spans="1:14" x14ac:dyDescent="0.2">
      <c r="A155" s="5" t="str">
        <f>HYPERLINK("http://www.ncbi.nlm.nih.gov/protein/226246593","Actr10")</f>
        <v>Actr10</v>
      </c>
      <c r="B155" s="4"/>
      <c r="C155" s="3">
        <v>0</v>
      </c>
      <c r="D155" s="3">
        <v>0</v>
      </c>
      <c r="E155" s="3">
        <v>958</v>
      </c>
      <c r="F155" s="3">
        <v>27692</v>
      </c>
      <c r="G155" s="3">
        <v>0</v>
      </c>
      <c r="H155" s="2">
        <f t="shared" si="4"/>
        <v>28650</v>
      </c>
      <c r="I155" t="str">
        <f t="shared" si="5"/>
        <v>Actr10_28650</v>
      </c>
      <c r="J155" s="3">
        <v>0</v>
      </c>
      <c r="K155" s="3">
        <v>0</v>
      </c>
      <c r="L155" s="3">
        <v>958</v>
      </c>
      <c r="M155" s="3">
        <v>27692</v>
      </c>
      <c r="N155" s="3">
        <v>0</v>
      </c>
    </row>
    <row r="156" spans="1:14" x14ac:dyDescent="0.2">
      <c r="A156" s="5" t="str">
        <f>HYPERLINK("http://www.ncbi.nlm.nih.gov/protein/8392847","Actr1a")</f>
        <v>Actr1a</v>
      </c>
      <c r="B156" s="4"/>
      <c r="C156" s="3">
        <v>61636</v>
      </c>
      <c r="D156" s="3">
        <v>8722</v>
      </c>
      <c r="E156" s="3">
        <v>20479</v>
      </c>
      <c r="F156" s="3">
        <v>255144</v>
      </c>
      <c r="G156" s="3">
        <v>14876</v>
      </c>
      <c r="H156" s="2">
        <f t="shared" si="4"/>
        <v>360857</v>
      </c>
      <c r="I156" t="str">
        <f t="shared" si="5"/>
        <v>Actr1a_360857</v>
      </c>
      <c r="J156" s="3">
        <v>61636</v>
      </c>
      <c r="K156" s="3">
        <v>8722</v>
      </c>
      <c r="L156" s="3">
        <v>20479</v>
      </c>
      <c r="M156" s="3">
        <v>255144</v>
      </c>
      <c r="N156" s="3">
        <v>14876</v>
      </c>
    </row>
    <row r="157" spans="1:14" x14ac:dyDescent="0.2">
      <c r="A157" s="5" t="str">
        <f>HYPERLINK("http://www.ncbi.nlm.nih.gov/protein/22122615","Actr1b")</f>
        <v>Actr1b</v>
      </c>
      <c r="B157" s="4"/>
      <c r="C157" s="3">
        <v>10544</v>
      </c>
      <c r="D157" s="3">
        <v>9310</v>
      </c>
      <c r="E157" s="3">
        <v>18335</v>
      </c>
      <c r="F157" s="3">
        <v>285914</v>
      </c>
      <c r="G157" s="3">
        <v>13762</v>
      </c>
      <c r="H157" s="2">
        <f t="shared" si="4"/>
        <v>337865</v>
      </c>
      <c r="I157" t="str">
        <f t="shared" si="5"/>
        <v>Actr1b_337865</v>
      </c>
      <c r="J157" s="3">
        <v>10544</v>
      </c>
      <c r="K157" s="3">
        <v>9310</v>
      </c>
      <c r="L157" s="3">
        <v>18335</v>
      </c>
      <c r="M157" s="3">
        <v>285914</v>
      </c>
      <c r="N157" s="3">
        <v>13762</v>
      </c>
    </row>
    <row r="158" spans="1:14" x14ac:dyDescent="0.2">
      <c r="A158" s="5" t="str">
        <f>HYPERLINK("http://www.ncbi.nlm.nih.gov/protein/22122825","Actr2")</f>
        <v>Actr2</v>
      </c>
      <c r="B158" s="4"/>
      <c r="C158" s="3">
        <v>65774</v>
      </c>
      <c r="D158" s="3">
        <v>6789</v>
      </c>
      <c r="E158" s="3">
        <v>59281</v>
      </c>
      <c r="F158" s="3">
        <v>223982</v>
      </c>
      <c r="G158" s="3">
        <v>354763</v>
      </c>
      <c r="H158" s="2">
        <f t="shared" si="4"/>
        <v>710589</v>
      </c>
      <c r="I158" t="str">
        <f t="shared" si="5"/>
        <v>Actr2_710589</v>
      </c>
      <c r="J158" s="3">
        <v>65774</v>
      </c>
      <c r="K158" s="3">
        <v>6789</v>
      </c>
      <c r="L158" s="3">
        <v>59281</v>
      </c>
      <c r="M158" s="3">
        <v>223982</v>
      </c>
      <c r="N158" s="3">
        <v>354763</v>
      </c>
    </row>
    <row r="159" spans="1:14" x14ac:dyDescent="0.2">
      <c r="A159" s="5" t="str">
        <f>HYPERLINK("http://www.ncbi.nlm.nih.gov/protein/329664963","Actr3")</f>
        <v>Actr3</v>
      </c>
      <c r="B159" s="4"/>
      <c r="C159" s="3">
        <v>84995</v>
      </c>
      <c r="D159" s="3">
        <v>29428</v>
      </c>
      <c r="E159" s="3">
        <v>38197</v>
      </c>
      <c r="F159" s="3">
        <v>162475</v>
      </c>
      <c r="G159" s="3">
        <v>129660</v>
      </c>
      <c r="H159" s="2">
        <f t="shared" si="4"/>
        <v>444755</v>
      </c>
      <c r="I159" t="str">
        <f t="shared" si="5"/>
        <v>Actr3_444755</v>
      </c>
      <c r="J159" s="3">
        <v>84995</v>
      </c>
      <c r="K159" s="3">
        <v>29428</v>
      </c>
      <c r="L159" s="3">
        <v>38197</v>
      </c>
      <c r="M159" s="3">
        <v>162475</v>
      </c>
      <c r="N159" s="3">
        <v>129660</v>
      </c>
    </row>
    <row r="160" spans="1:14" x14ac:dyDescent="0.2">
      <c r="A160" s="5" t="str">
        <f>HYPERLINK("http://www.ncbi.nlm.nih.gov/protein/52345394","Actr3b")</f>
        <v>Actr3b</v>
      </c>
      <c r="B160" s="4"/>
      <c r="C160" s="3">
        <v>17574</v>
      </c>
      <c r="D160" s="3">
        <v>4933</v>
      </c>
      <c r="E160" s="3">
        <v>2034</v>
      </c>
      <c r="F160" s="3">
        <v>22257</v>
      </c>
      <c r="G160" s="3">
        <v>9917</v>
      </c>
      <c r="H160" s="2">
        <f t="shared" si="4"/>
        <v>56715</v>
      </c>
      <c r="I160" t="str">
        <f t="shared" si="5"/>
        <v>Actr3b_56715</v>
      </c>
      <c r="J160" s="3">
        <v>17574</v>
      </c>
      <c r="K160" s="3">
        <v>4933</v>
      </c>
      <c r="L160" s="3">
        <v>2034</v>
      </c>
      <c r="M160" s="3">
        <v>22257</v>
      </c>
      <c r="N160" s="3">
        <v>9917</v>
      </c>
    </row>
    <row r="161" spans="1:14" x14ac:dyDescent="0.2">
      <c r="A161" s="5" t="str">
        <f>HYPERLINK("http://www.ncbi.nlm.nih.gov/protein/13384746","Acy1")</f>
        <v>Acy1</v>
      </c>
      <c r="B161" s="4"/>
      <c r="C161" s="3">
        <v>0</v>
      </c>
      <c r="D161" s="3">
        <v>0</v>
      </c>
      <c r="E161" s="3">
        <v>85</v>
      </c>
      <c r="F161" s="3">
        <v>0</v>
      </c>
      <c r="G161" s="3">
        <v>15411</v>
      </c>
      <c r="H161" s="2">
        <f t="shared" si="4"/>
        <v>15496</v>
      </c>
      <c r="I161" t="str">
        <f t="shared" si="5"/>
        <v>Acy1_15496</v>
      </c>
      <c r="J161" s="3">
        <v>0</v>
      </c>
      <c r="K161" s="3">
        <v>0</v>
      </c>
      <c r="L161" s="3">
        <v>85</v>
      </c>
      <c r="M161" s="3">
        <v>0</v>
      </c>
      <c r="N161" s="3">
        <v>15411</v>
      </c>
    </row>
    <row r="162" spans="1:14" x14ac:dyDescent="0.2">
      <c r="A162" s="5" t="str">
        <f>HYPERLINK("http://www.ncbi.nlm.nih.gov/protein/31982632","Acy3")</f>
        <v>Acy3</v>
      </c>
      <c r="B162" s="4"/>
      <c r="C162" s="3">
        <v>0</v>
      </c>
      <c r="D162" s="3">
        <v>0</v>
      </c>
      <c r="E162" s="3">
        <v>0</v>
      </c>
      <c r="F162" s="3">
        <v>0</v>
      </c>
      <c r="G162" s="3">
        <v>26613</v>
      </c>
      <c r="H162" s="2">
        <f t="shared" si="4"/>
        <v>26613</v>
      </c>
      <c r="I162" t="str">
        <f t="shared" si="5"/>
        <v>Acy3_26613</v>
      </c>
      <c r="J162" s="3">
        <v>0</v>
      </c>
      <c r="K162" s="3">
        <v>0</v>
      </c>
      <c r="L162" s="3">
        <v>0</v>
      </c>
      <c r="M162" s="3">
        <v>0</v>
      </c>
      <c r="N162" s="3">
        <v>26613</v>
      </c>
    </row>
    <row r="163" spans="1:14" x14ac:dyDescent="0.2">
      <c r="A163" s="5" t="str">
        <f>HYPERLINK("http://www.ncbi.nlm.nih.gov/protein/13384810","Acyp1")</f>
        <v>Acyp1</v>
      </c>
      <c r="B163" s="4"/>
      <c r="C163" s="3">
        <v>4668</v>
      </c>
      <c r="D163" s="3">
        <v>1864</v>
      </c>
      <c r="E163" s="3">
        <v>3099</v>
      </c>
      <c r="F163" s="3">
        <v>1220</v>
      </c>
      <c r="G163" s="3">
        <v>36766</v>
      </c>
      <c r="H163" s="2">
        <f t="shared" si="4"/>
        <v>47617</v>
      </c>
      <c r="I163" t="str">
        <f t="shared" si="5"/>
        <v>Acyp1_47617</v>
      </c>
      <c r="J163" s="3">
        <v>4668</v>
      </c>
      <c r="K163" s="3">
        <v>1864</v>
      </c>
      <c r="L163" s="3">
        <v>3099</v>
      </c>
      <c r="M163" s="3">
        <v>1220</v>
      </c>
      <c r="N163" s="3">
        <v>36766</v>
      </c>
    </row>
    <row r="164" spans="1:14" x14ac:dyDescent="0.2">
      <c r="A164" s="5" t="str">
        <f>HYPERLINK("http://www.ncbi.nlm.nih.gov/protein/150378458","Adam10")</f>
        <v>Adam10</v>
      </c>
      <c r="B164" s="4"/>
      <c r="C164" s="3">
        <v>0</v>
      </c>
      <c r="D164" s="3">
        <v>6073</v>
      </c>
      <c r="E164" s="3">
        <v>18763</v>
      </c>
      <c r="F164" s="3">
        <v>0</v>
      </c>
      <c r="G164" s="3">
        <v>0</v>
      </c>
      <c r="H164" s="2">
        <f t="shared" si="4"/>
        <v>24836</v>
      </c>
      <c r="I164" t="str">
        <f t="shared" si="5"/>
        <v>Adam10_24836</v>
      </c>
      <c r="J164" s="3">
        <v>0</v>
      </c>
      <c r="K164" s="3">
        <v>6073</v>
      </c>
      <c r="L164" s="3">
        <v>18763</v>
      </c>
      <c r="M164" s="3">
        <v>0</v>
      </c>
      <c r="N164" s="3">
        <v>0</v>
      </c>
    </row>
    <row r="165" spans="1:14" x14ac:dyDescent="0.2">
      <c r="A165" s="5" t="str">
        <f>HYPERLINK("http://www.ncbi.nlm.nih.gov/protein/471270257","Adam17")</f>
        <v>Adam17</v>
      </c>
      <c r="B165" s="4"/>
      <c r="C165" s="3">
        <v>0</v>
      </c>
      <c r="D165" s="3">
        <v>0</v>
      </c>
      <c r="E165" s="3">
        <v>167</v>
      </c>
      <c r="F165" s="3">
        <v>0</v>
      </c>
      <c r="G165" s="3">
        <v>0</v>
      </c>
      <c r="H165" s="2">
        <f t="shared" si="4"/>
        <v>167</v>
      </c>
      <c r="I165" t="str">
        <f t="shared" si="5"/>
        <v>Adam17_167</v>
      </c>
      <c r="J165" s="3">
        <v>0</v>
      </c>
      <c r="K165" s="3">
        <v>0</v>
      </c>
      <c r="L165" s="3">
        <v>167</v>
      </c>
      <c r="M165" s="3">
        <v>0</v>
      </c>
      <c r="N165" s="3">
        <v>0</v>
      </c>
    </row>
    <row r="166" spans="1:14" x14ac:dyDescent="0.2">
      <c r="A166" s="5" t="str">
        <f>HYPERLINK("http://www.ncbi.nlm.nih.gov/protein/110347485","Adam17")</f>
        <v>Adam17</v>
      </c>
      <c r="B166" s="4"/>
      <c r="C166" s="3">
        <v>0</v>
      </c>
      <c r="D166" s="3">
        <v>27</v>
      </c>
      <c r="E166" s="3">
        <v>916</v>
      </c>
      <c r="F166" s="3">
        <v>0</v>
      </c>
      <c r="G166" s="3">
        <v>0</v>
      </c>
      <c r="H166" s="2">
        <f t="shared" si="4"/>
        <v>943</v>
      </c>
      <c r="I166" t="str">
        <f t="shared" si="5"/>
        <v>Adam17_943</v>
      </c>
      <c r="J166" s="3">
        <v>0</v>
      </c>
      <c r="K166" s="3">
        <v>27</v>
      </c>
      <c r="L166" s="3">
        <v>916</v>
      </c>
      <c r="M166" s="3">
        <v>0</v>
      </c>
      <c r="N166" s="3">
        <v>0</v>
      </c>
    </row>
    <row r="167" spans="1:14" x14ac:dyDescent="0.2">
      <c r="A167" s="5" t="str">
        <f>HYPERLINK("http://www.ncbi.nlm.nih.gov/protein/160358787","Adam9")</f>
        <v>Adam9</v>
      </c>
      <c r="B167" s="4"/>
      <c r="C167" s="3">
        <v>0</v>
      </c>
      <c r="D167" s="3">
        <v>251</v>
      </c>
      <c r="E167" s="3">
        <v>5670</v>
      </c>
      <c r="F167" s="3">
        <v>827</v>
      </c>
      <c r="G167" s="3">
        <v>0</v>
      </c>
      <c r="H167" s="2">
        <f t="shared" si="4"/>
        <v>6748</v>
      </c>
      <c r="I167" t="str">
        <f t="shared" si="5"/>
        <v>Adam9_6748</v>
      </c>
      <c r="J167" s="3">
        <v>0</v>
      </c>
      <c r="K167" s="3">
        <v>251</v>
      </c>
      <c r="L167" s="3">
        <v>5670</v>
      </c>
      <c r="M167" s="3">
        <v>827</v>
      </c>
      <c r="N167" s="3">
        <v>0</v>
      </c>
    </row>
    <row r="168" spans="1:14" x14ac:dyDescent="0.2">
      <c r="A168" s="5" t="str">
        <f>HYPERLINK("http://www.ncbi.nlm.nih.gov/protein/401782598","Adam9")</f>
        <v>Adam9</v>
      </c>
      <c r="B168" s="4"/>
      <c r="C168" s="3">
        <v>0</v>
      </c>
      <c r="D168" s="3">
        <v>251</v>
      </c>
      <c r="E168" s="3">
        <v>5670</v>
      </c>
      <c r="F168" s="3">
        <v>827</v>
      </c>
      <c r="G168" s="3">
        <v>0</v>
      </c>
      <c r="H168" s="2">
        <f t="shared" si="4"/>
        <v>6748</v>
      </c>
      <c r="I168" t="str">
        <f t="shared" si="5"/>
        <v>Adam9_6748</v>
      </c>
      <c r="J168" s="3">
        <v>0</v>
      </c>
      <c r="K168" s="3">
        <v>251</v>
      </c>
      <c r="L168" s="3">
        <v>5670</v>
      </c>
      <c r="M168" s="3">
        <v>827</v>
      </c>
      <c r="N168" s="3">
        <v>0</v>
      </c>
    </row>
    <row r="169" spans="1:14" x14ac:dyDescent="0.2">
      <c r="A169" s="5" t="str">
        <f>HYPERLINK("http://www.ncbi.nlm.nih.gov/protein/148529020","Adamts17")</f>
        <v>Adamts17</v>
      </c>
      <c r="B169" s="4"/>
      <c r="C169" s="3">
        <v>29894</v>
      </c>
      <c r="D169" s="3">
        <v>4296</v>
      </c>
      <c r="E169" s="3">
        <v>18251</v>
      </c>
      <c r="F169" s="3">
        <v>4355</v>
      </c>
      <c r="G169" s="3">
        <v>82046</v>
      </c>
      <c r="H169" s="2">
        <f t="shared" si="4"/>
        <v>138842</v>
      </c>
      <c r="I169" t="str">
        <f t="shared" si="5"/>
        <v>Adamts17_138842</v>
      </c>
      <c r="J169" s="3">
        <v>29894</v>
      </c>
      <c r="K169" s="3">
        <v>4296</v>
      </c>
      <c r="L169" s="3">
        <v>18251</v>
      </c>
      <c r="M169" s="3">
        <v>4355</v>
      </c>
      <c r="N169" s="3">
        <v>82046</v>
      </c>
    </row>
    <row r="170" spans="1:14" x14ac:dyDescent="0.2">
      <c r="A170" s="5" t="str">
        <f>HYPERLINK("http://www.ncbi.nlm.nih.gov/protein/165905595","Adamtsl5")</f>
        <v>Adamtsl5</v>
      </c>
      <c r="B170" s="4"/>
      <c r="C170" s="3">
        <v>0</v>
      </c>
      <c r="D170" s="3">
        <v>0</v>
      </c>
      <c r="E170" s="3">
        <v>0</v>
      </c>
      <c r="F170" s="3">
        <v>655</v>
      </c>
      <c r="G170" s="3">
        <v>0</v>
      </c>
      <c r="H170" s="2">
        <f t="shared" si="4"/>
        <v>655</v>
      </c>
      <c r="I170" t="str">
        <f t="shared" si="5"/>
        <v>Adamtsl5_655</v>
      </c>
      <c r="J170" s="3">
        <v>0</v>
      </c>
      <c r="K170" s="3">
        <v>0</v>
      </c>
      <c r="L170" s="3">
        <v>0</v>
      </c>
      <c r="M170" s="3">
        <v>655</v>
      </c>
      <c r="N170" s="3">
        <v>0</v>
      </c>
    </row>
    <row r="171" spans="1:14" x14ac:dyDescent="0.2">
      <c r="A171" s="5" t="str">
        <f>HYPERLINK("http://www.ncbi.nlm.nih.gov/protein/148368976","Adap1")</f>
        <v>Adap1</v>
      </c>
      <c r="B171" s="4"/>
      <c r="C171" s="3">
        <v>0</v>
      </c>
      <c r="D171" s="3">
        <v>0</v>
      </c>
      <c r="E171" s="3">
        <v>0</v>
      </c>
      <c r="F171" s="3">
        <v>0</v>
      </c>
      <c r="G171" s="3">
        <v>4187</v>
      </c>
      <c r="H171" s="2">
        <f t="shared" si="4"/>
        <v>4187</v>
      </c>
      <c r="I171" t="str">
        <f t="shared" si="5"/>
        <v>Adap1_4187</v>
      </c>
      <c r="J171" s="3">
        <v>0</v>
      </c>
      <c r="K171" s="3">
        <v>0</v>
      </c>
      <c r="L171" s="3">
        <v>0</v>
      </c>
      <c r="M171" s="3">
        <v>0</v>
      </c>
      <c r="N171" s="3">
        <v>4187</v>
      </c>
    </row>
    <row r="172" spans="1:14" x14ac:dyDescent="0.2">
      <c r="A172" s="5" t="str">
        <f>HYPERLINK("http://www.ncbi.nlm.nih.gov/protein/26006859","Adap2")</f>
        <v>Adap2</v>
      </c>
      <c r="B172" s="4"/>
      <c r="C172" s="3">
        <v>0</v>
      </c>
      <c r="D172" s="3">
        <v>0</v>
      </c>
      <c r="E172" s="3">
        <v>0</v>
      </c>
      <c r="F172" s="3">
        <v>0</v>
      </c>
      <c r="G172" s="3">
        <v>225</v>
      </c>
      <c r="H172" s="2">
        <f t="shared" si="4"/>
        <v>225</v>
      </c>
      <c r="I172" t="str">
        <f t="shared" si="5"/>
        <v>Adap2_225</v>
      </c>
      <c r="J172" s="3">
        <v>0</v>
      </c>
      <c r="K172" s="3">
        <v>0</v>
      </c>
      <c r="L172" s="3">
        <v>0</v>
      </c>
      <c r="M172" s="3">
        <v>0</v>
      </c>
      <c r="N172" s="3">
        <v>225</v>
      </c>
    </row>
    <row r="173" spans="1:14" x14ac:dyDescent="0.2">
      <c r="A173" s="5" t="str">
        <f>HYPERLINK("http://www.ncbi.nlm.nih.gov/protein/226371677","Adar")</f>
        <v>Adar</v>
      </c>
      <c r="B173" s="4"/>
      <c r="C173" s="3">
        <v>0</v>
      </c>
      <c r="D173" s="3">
        <v>0</v>
      </c>
      <c r="E173" s="3">
        <v>1005</v>
      </c>
      <c r="F173" s="3">
        <v>0</v>
      </c>
      <c r="G173" s="3">
        <v>0</v>
      </c>
      <c r="H173" s="2">
        <f t="shared" si="4"/>
        <v>1005</v>
      </c>
      <c r="I173" t="str">
        <f t="shared" si="5"/>
        <v>Adar_1005</v>
      </c>
      <c r="J173" s="3">
        <v>0</v>
      </c>
      <c r="K173" s="3">
        <v>0</v>
      </c>
      <c r="L173" s="3">
        <v>1005</v>
      </c>
      <c r="M173" s="3">
        <v>0</v>
      </c>
      <c r="N173" s="3">
        <v>0</v>
      </c>
    </row>
    <row r="174" spans="1:14" x14ac:dyDescent="0.2">
      <c r="A174" s="5" t="str">
        <f>HYPERLINK("http://www.ncbi.nlm.nih.gov/protein/226371679","Adar")</f>
        <v>Adar</v>
      </c>
      <c r="B174" s="4"/>
      <c r="C174" s="3">
        <v>0</v>
      </c>
      <c r="D174" s="3">
        <v>0</v>
      </c>
      <c r="E174" s="3">
        <v>1005</v>
      </c>
      <c r="F174" s="3">
        <v>0</v>
      </c>
      <c r="G174" s="3">
        <v>0</v>
      </c>
      <c r="H174" s="2">
        <f t="shared" si="4"/>
        <v>1005</v>
      </c>
      <c r="I174" t="str">
        <f t="shared" si="5"/>
        <v>Adar_1005</v>
      </c>
      <c r="J174" s="3">
        <v>0</v>
      </c>
      <c r="K174" s="3">
        <v>0</v>
      </c>
      <c r="L174" s="3">
        <v>1005</v>
      </c>
      <c r="M174" s="3">
        <v>0</v>
      </c>
      <c r="N174" s="3">
        <v>0</v>
      </c>
    </row>
    <row r="175" spans="1:14" x14ac:dyDescent="0.2">
      <c r="A175" s="5" t="str">
        <f>HYPERLINK("http://www.ncbi.nlm.nih.gov/protein/226371684","Adar")</f>
        <v>Adar</v>
      </c>
      <c r="B175" s="4"/>
      <c r="C175" s="3">
        <v>0</v>
      </c>
      <c r="D175" s="3">
        <v>0</v>
      </c>
      <c r="E175" s="3">
        <v>979</v>
      </c>
      <c r="F175" s="3">
        <v>0</v>
      </c>
      <c r="G175" s="3">
        <v>0</v>
      </c>
      <c r="H175" s="2">
        <f t="shared" si="4"/>
        <v>979</v>
      </c>
      <c r="I175" t="str">
        <f t="shared" si="5"/>
        <v>Adar_979</v>
      </c>
      <c r="J175" s="3">
        <v>0</v>
      </c>
      <c r="K175" s="3">
        <v>0</v>
      </c>
      <c r="L175" s="3">
        <v>979</v>
      </c>
      <c r="M175" s="3">
        <v>0</v>
      </c>
      <c r="N175" s="3">
        <v>0</v>
      </c>
    </row>
    <row r="176" spans="1:14" x14ac:dyDescent="0.2">
      <c r="A176" s="5" t="str">
        <f>HYPERLINK("http://www.ncbi.nlm.nih.gov/protein/7304859","Adat1")</f>
        <v>Adat1</v>
      </c>
      <c r="B176" s="4"/>
      <c r="C176" s="3">
        <v>0</v>
      </c>
      <c r="D176" s="3">
        <v>0</v>
      </c>
      <c r="E176" s="3">
        <v>0</v>
      </c>
      <c r="F176" s="3">
        <v>0</v>
      </c>
      <c r="G176" s="3">
        <v>1660</v>
      </c>
      <c r="H176" s="2">
        <f t="shared" si="4"/>
        <v>1660</v>
      </c>
      <c r="I176" t="str">
        <f t="shared" si="5"/>
        <v>Adat1_1660</v>
      </c>
      <c r="J176" s="3">
        <v>0</v>
      </c>
      <c r="K176" s="3">
        <v>0</v>
      </c>
      <c r="L176" s="3">
        <v>0</v>
      </c>
      <c r="M176" s="3">
        <v>0</v>
      </c>
      <c r="N176" s="3">
        <v>1660</v>
      </c>
    </row>
    <row r="177" spans="1:14" x14ac:dyDescent="0.2">
      <c r="A177" s="5" t="str">
        <f>HYPERLINK("http://www.ncbi.nlm.nih.gov/protein/61098160","Adat2")</f>
        <v>Adat2</v>
      </c>
      <c r="B177" s="4"/>
      <c r="C177" s="3">
        <v>0</v>
      </c>
      <c r="D177" s="3">
        <v>0</v>
      </c>
      <c r="E177" s="3">
        <v>0</v>
      </c>
      <c r="F177" s="3">
        <v>0</v>
      </c>
      <c r="G177" s="3">
        <v>8857</v>
      </c>
      <c r="H177" s="2">
        <f t="shared" si="4"/>
        <v>8857</v>
      </c>
      <c r="I177" t="str">
        <f t="shared" si="5"/>
        <v>Adat2_8857</v>
      </c>
      <c r="J177" s="3">
        <v>0</v>
      </c>
      <c r="K177" s="3">
        <v>0</v>
      </c>
      <c r="L177" s="3">
        <v>0</v>
      </c>
      <c r="M177" s="3">
        <v>0</v>
      </c>
      <c r="N177" s="3">
        <v>8857</v>
      </c>
    </row>
    <row r="178" spans="1:14" x14ac:dyDescent="0.2">
      <c r="A178" s="5" t="str">
        <f>HYPERLINK("http://www.ncbi.nlm.nih.gov/protein/154759286","Adat3")</f>
        <v>Adat3</v>
      </c>
      <c r="B178" s="4"/>
      <c r="C178" s="3">
        <v>0</v>
      </c>
      <c r="D178" s="3">
        <v>0</v>
      </c>
      <c r="E178" s="3">
        <v>0</v>
      </c>
      <c r="F178" s="3">
        <v>0</v>
      </c>
      <c r="G178" s="3">
        <v>3020</v>
      </c>
      <c r="H178" s="2">
        <f t="shared" si="4"/>
        <v>3020</v>
      </c>
      <c r="I178" t="str">
        <f t="shared" si="5"/>
        <v>Adat3_3020</v>
      </c>
      <c r="J178" s="3">
        <v>0</v>
      </c>
      <c r="K178" s="3">
        <v>0</v>
      </c>
      <c r="L178" s="3">
        <v>0</v>
      </c>
      <c r="M178" s="3">
        <v>0</v>
      </c>
      <c r="N178" s="3">
        <v>3020</v>
      </c>
    </row>
    <row r="179" spans="1:14" x14ac:dyDescent="0.2">
      <c r="A179" s="5" t="str">
        <f>HYPERLINK("http://www.ncbi.nlm.nih.gov/protein/21312430","Adck1")</f>
        <v>Adck1</v>
      </c>
      <c r="B179" s="4"/>
      <c r="C179" s="3">
        <v>0</v>
      </c>
      <c r="D179" s="3">
        <v>1121</v>
      </c>
      <c r="E179" s="3">
        <v>0</v>
      </c>
      <c r="F179" s="3">
        <v>0</v>
      </c>
      <c r="G179" s="3">
        <v>0</v>
      </c>
      <c r="H179" s="2">
        <f t="shared" si="4"/>
        <v>1121</v>
      </c>
      <c r="I179" t="str">
        <f t="shared" si="5"/>
        <v>Adck1_1121</v>
      </c>
      <c r="J179" s="3">
        <v>0</v>
      </c>
      <c r="K179" s="3">
        <v>1121</v>
      </c>
      <c r="L179" s="3">
        <v>0</v>
      </c>
      <c r="M179" s="3">
        <v>0</v>
      </c>
      <c r="N179" s="3">
        <v>0</v>
      </c>
    </row>
    <row r="180" spans="1:14" x14ac:dyDescent="0.2">
      <c r="A180" s="5" t="str">
        <f>HYPERLINK("http://www.ncbi.nlm.nih.gov/protein/169234776","Adck5")</f>
        <v>Adck5</v>
      </c>
      <c r="B180" s="4"/>
      <c r="C180" s="3">
        <v>0</v>
      </c>
      <c r="D180" s="3">
        <v>273</v>
      </c>
      <c r="E180" s="3">
        <v>0</v>
      </c>
      <c r="F180" s="3">
        <v>0</v>
      </c>
      <c r="G180" s="3">
        <v>0</v>
      </c>
      <c r="H180" s="2">
        <f t="shared" si="4"/>
        <v>273</v>
      </c>
      <c r="I180" t="str">
        <f t="shared" si="5"/>
        <v>Adck5_273</v>
      </c>
      <c r="J180" s="3">
        <v>0</v>
      </c>
      <c r="K180" s="3">
        <v>273</v>
      </c>
      <c r="L180" s="3">
        <v>0</v>
      </c>
      <c r="M180" s="3">
        <v>0</v>
      </c>
      <c r="N180" s="3">
        <v>0</v>
      </c>
    </row>
    <row r="181" spans="1:14" x14ac:dyDescent="0.2">
      <c r="A181" s="5" t="str">
        <f>HYPERLINK("http://www.ncbi.nlm.nih.gov/protein/148747309","Adcy5")</f>
        <v>Adcy5</v>
      </c>
      <c r="B181" s="4"/>
      <c r="C181" s="3">
        <v>0</v>
      </c>
      <c r="D181" s="3">
        <v>0</v>
      </c>
      <c r="E181" s="3">
        <v>50</v>
      </c>
      <c r="F181" s="3">
        <v>0</v>
      </c>
      <c r="G181" s="3">
        <v>0</v>
      </c>
      <c r="H181" s="2">
        <f t="shared" si="4"/>
        <v>50</v>
      </c>
      <c r="I181" t="str">
        <f t="shared" si="5"/>
        <v>Adcy5_50</v>
      </c>
      <c r="J181" s="3">
        <v>0</v>
      </c>
      <c r="K181" s="3">
        <v>0</v>
      </c>
      <c r="L181" s="3">
        <v>50</v>
      </c>
      <c r="M181" s="3">
        <v>0</v>
      </c>
      <c r="N181" s="3">
        <v>0</v>
      </c>
    </row>
    <row r="182" spans="1:14" x14ac:dyDescent="0.2">
      <c r="A182" s="5" t="str">
        <f>HYPERLINK("http://www.ncbi.nlm.nih.gov/protein/86604721","Adcy6")</f>
        <v>Adcy6</v>
      </c>
      <c r="B182" s="4"/>
      <c r="C182" s="3">
        <v>0</v>
      </c>
      <c r="D182" s="3">
        <v>202</v>
      </c>
      <c r="E182" s="3">
        <v>50</v>
      </c>
      <c r="F182" s="3">
        <v>0</v>
      </c>
      <c r="G182" s="3">
        <v>0</v>
      </c>
      <c r="H182" s="2">
        <f t="shared" si="4"/>
        <v>252</v>
      </c>
      <c r="I182" t="str">
        <f t="shared" si="5"/>
        <v>Adcy6_252</v>
      </c>
      <c r="J182" s="3">
        <v>0</v>
      </c>
      <c r="K182" s="3">
        <v>202</v>
      </c>
      <c r="L182" s="3">
        <v>50</v>
      </c>
      <c r="M182" s="3">
        <v>0</v>
      </c>
      <c r="N182" s="3">
        <v>0</v>
      </c>
    </row>
    <row r="183" spans="1:14" x14ac:dyDescent="0.2">
      <c r="A183" s="5" t="str">
        <f>HYPERLINK("http://www.ncbi.nlm.nih.gov/protein/156255171","Add1")</f>
        <v>Add1</v>
      </c>
      <c r="B183" s="4"/>
      <c r="C183" s="3">
        <v>3570</v>
      </c>
      <c r="D183" s="3">
        <v>253</v>
      </c>
      <c r="E183" s="3">
        <v>780</v>
      </c>
      <c r="F183" s="3">
        <v>0</v>
      </c>
      <c r="G183" s="3">
        <v>1028</v>
      </c>
      <c r="H183" s="2">
        <f t="shared" si="4"/>
        <v>5631</v>
      </c>
      <c r="I183" t="str">
        <f t="shared" si="5"/>
        <v>Add1_5631</v>
      </c>
      <c r="J183" s="3">
        <v>3570</v>
      </c>
      <c r="K183" s="3">
        <v>253</v>
      </c>
      <c r="L183" s="3">
        <v>780</v>
      </c>
      <c r="M183" s="3">
        <v>0</v>
      </c>
      <c r="N183" s="3">
        <v>1028</v>
      </c>
    </row>
    <row r="184" spans="1:14" x14ac:dyDescent="0.2">
      <c r="A184" s="5" t="str">
        <f>HYPERLINK("http://www.ncbi.nlm.nih.gov/protein/156255173","Add1")</f>
        <v>Add1</v>
      </c>
      <c r="B184" s="4"/>
      <c r="C184" s="3">
        <v>3570</v>
      </c>
      <c r="D184" s="3">
        <v>253</v>
      </c>
      <c r="E184" s="3">
        <v>780</v>
      </c>
      <c r="F184" s="3">
        <v>0</v>
      </c>
      <c r="G184" s="3">
        <v>214</v>
      </c>
      <c r="H184" s="2">
        <f t="shared" si="4"/>
        <v>4817</v>
      </c>
      <c r="I184" t="str">
        <f t="shared" si="5"/>
        <v>Add1_4817</v>
      </c>
      <c r="J184" s="3">
        <v>3570</v>
      </c>
      <c r="K184" s="3">
        <v>253</v>
      </c>
      <c r="L184" s="3">
        <v>780</v>
      </c>
      <c r="M184" s="3">
        <v>0</v>
      </c>
      <c r="N184" s="3">
        <v>214</v>
      </c>
    </row>
    <row r="185" spans="1:14" x14ac:dyDescent="0.2">
      <c r="A185" s="5" t="str">
        <f>HYPERLINK("http://www.ncbi.nlm.nih.gov/protein/7304861","Add1")</f>
        <v>Add1</v>
      </c>
      <c r="B185" s="4"/>
      <c r="C185" s="3">
        <v>3570</v>
      </c>
      <c r="D185" s="3">
        <v>253</v>
      </c>
      <c r="E185" s="3">
        <v>780</v>
      </c>
      <c r="F185" s="3">
        <v>0</v>
      </c>
      <c r="G185" s="3">
        <v>214</v>
      </c>
      <c r="H185" s="2">
        <f t="shared" si="4"/>
        <v>4817</v>
      </c>
      <c r="I185" t="str">
        <f t="shared" si="5"/>
        <v>Add1_4817</v>
      </c>
      <c r="J185" s="3">
        <v>3570</v>
      </c>
      <c r="K185" s="3">
        <v>253</v>
      </c>
      <c r="L185" s="3">
        <v>780</v>
      </c>
      <c r="M185" s="3">
        <v>0</v>
      </c>
      <c r="N185" s="3">
        <v>214</v>
      </c>
    </row>
    <row r="186" spans="1:14" x14ac:dyDescent="0.2">
      <c r="A186" s="5" t="str">
        <f>HYPERLINK("http://www.ncbi.nlm.nih.gov/protein/427918090","Add2")</f>
        <v>Add2</v>
      </c>
      <c r="B186" s="4"/>
      <c r="C186" s="3">
        <v>0</v>
      </c>
      <c r="D186" s="3">
        <v>0</v>
      </c>
      <c r="E186" s="3">
        <v>852</v>
      </c>
      <c r="F186" s="3">
        <v>0</v>
      </c>
      <c r="G186" s="3">
        <v>0</v>
      </c>
      <c r="H186" s="2">
        <f t="shared" si="4"/>
        <v>852</v>
      </c>
      <c r="I186" t="str">
        <f t="shared" si="5"/>
        <v>Add2_852</v>
      </c>
      <c r="J186" s="3">
        <v>0</v>
      </c>
      <c r="K186" s="3">
        <v>0</v>
      </c>
      <c r="L186" s="3">
        <v>852</v>
      </c>
      <c r="M186" s="3">
        <v>0</v>
      </c>
      <c r="N186" s="3">
        <v>0</v>
      </c>
    </row>
    <row r="187" spans="1:14" x14ac:dyDescent="0.2">
      <c r="A187" s="5" t="str">
        <f>HYPERLINK("http://www.ncbi.nlm.nih.gov/protein/427918097","Add2")</f>
        <v>Add2</v>
      </c>
      <c r="B187" s="4"/>
      <c r="C187" s="3">
        <v>0</v>
      </c>
      <c r="D187" s="3">
        <v>0</v>
      </c>
      <c r="E187" s="3">
        <v>852</v>
      </c>
      <c r="F187" s="3">
        <v>0</v>
      </c>
      <c r="G187" s="3">
        <v>0</v>
      </c>
      <c r="H187" s="2">
        <f t="shared" si="4"/>
        <v>852</v>
      </c>
      <c r="I187" t="str">
        <f t="shared" si="5"/>
        <v>Add2_852</v>
      </c>
      <c r="J187" s="3">
        <v>0</v>
      </c>
      <c r="K187" s="3">
        <v>0</v>
      </c>
      <c r="L187" s="3">
        <v>852</v>
      </c>
      <c r="M187" s="3">
        <v>0</v>
      </c>
      <c r="N187" s="3">
        <v>0</v>
      </c>
    </row>
    <row r="188" spans="1:14" x14ac:dyDescent="0.2">
      <c r="A188" s="5" t="str">
        <f>HYPERLINK("http://www.ncbi.nlm.nih.gov/protein/6724311","Adh1")</f>
        <v>Adh1</v>
      </c>
      <c r="B188" s="4"/>
      <c r="C188" s="3">
        <v>0</v>
      </c>
      <c r="D188" s="3">
        <v>6</v>
      </c>
      <c r="E188" s="3">
        <v>900</v>
      </c>
      <c r="F188" s="3">
        <v>3160</v>
      </c>
      <c r="G188" s="3">
        <v>10784</v>
      </c>
      <c r="H188" s="2">
        <f t="shared" si="4"/>
        <v>14850</v>
      </c>
      <c r="I188" t="str">
        <f t="shared" si="5"/>
        <v>Adh1_14850</v>
      </c>
      <c r="J188" s="3">
        <v>0</v>
      </c>
      <c r="K188" s="3">
        <v>6</v>
      </c>
      <c r="L188" s="3">
        <v>900</v>
      </c>
      <c r="M188" s="3">
        <v>3160</v>
      </c>
      <c r="N188" s="3">
        <v>10784</v>
      </c>
    </row>
    <row r="189" spans="1:14" x14ac:dyDescent="0.2">
      <c r="A189" s="5" t="str">
        <f>HYPERLINK("http://www.ncbi.nlm.nih.gov/protein/31982511","Adh5")</f>
        <v>Adh5</v>
      </c>
      <c r="B189" s="4"/>
      <c r="C189" s="3">
        <v>3716</v>
      </c>
      <c r="D189" s="3">
        <v>177</v>
      </c>
      <c r="E189" s="3">
        <v>8831</v>
      </c>
      <c r="F189" s="3">
        <v>17460</v>
      </c>
      <c r="G189" s="3">
        <v>370849</v>
      </c>
      <c r="H189" s="2">
        <f t="shared" si="4"/>
        <v>401033</v>
      </c>
      <c r="I189" t="str">
        <f t="shared" si="5"/>
        <v>Adh5_401033</v>
      </c>
      <c r="J189" s="3">
        <v>3716</v>
      </c>
      <c r="K189" s="3">
        <v>177</v>
      </c>
      <c r="L189" s="3">
        <v>8831</v>
      </c>
      <c r="M189" s="3">
        <v>17460</v>
      </c>
      <c r="N189" s="3">
        <v>370849</v>
      </c>
    </row>
    <row r="190" spans="1:14" x14ac:dyDescent="0.2">
      <c r="A190" s="5" t="str">
        <f>HYPERLINK("http://www.ncbi.nlm.nih.gov/protein/31560625","Adh7")</f>
        <v>Adh7</v>
      </c>
      <c r="B190" s="4"/>
      <c r="C190" s="3">
        <v>0</v>
      </c>
      <c r="D190" s="3">
        <v>96</v>
      </c>
      <c r="E190" s="3">
        <v>1396</v>
      </c>
      <c r="F190" s="3">
        <v>368</v>
      </c>
      <c r="G190" s="3">
        <v>168653</v>
      </c>
      <c r="H190" s="2">
        <f t="shared" si="4"/>
        <v>170513</v>
      </c>
      <c r="I190" t="str">
        <f t="shared" si="5"/>
        <v>Adh7_170513</v>
      </c>
      <c r="J190" s="3">
        <v>0</v>
      </c>
      <c r="K190" s="3">
        <v>96</v>
      </c>
      <c r="L190" s="3">
        <v>1396</v>
      </c>
      <c r="M190" s="3">
        <v>368</v>
      </c>
      <c r="N190" s="3">
        <v>168653</v>
      </c>
    </row>
    <row r="191" spans="1:14" x14ac:dyDescent="0.2">
      <c r="A191" s="5" t="str">
        <f>HYPERLINK("http://www.ncbi.nlm.nih.gov/protein/19527270","Adi1")</f>
        <v>Adi1</v>
      </c>
      <c r="B191" s="4"/>
      <c r="C191" s="3">
        <v>0</v>
      </c>
      <c r="D191" s="3">
        <v>236</v>
      </c>
      <c r="E191" s="3">
        <v>31</v>
      </c>
      <c r="F191" s="3">
        <v>0</v>
      </c>
      <c r="G191" s="3">
        <v>18003</v>
      </c>
      <c r="H191" s="2">
        <f t="shared" si="4"/>
        <v>18270</v>
      </c>
      <c r="I191" t="str">
        <f t="shared" si="5"/>
        <v>Adi1_18270</v>
      </c>
      <c r="J191" s="3">
        <v>0</v>
      </c>
      <c r="K191" s="3">
        <v>236</v>
      </c>
      <c r="L191" s="3">
        <v>31</v>
      </c>
      <c r="M191" s="3">
        <v>0</v>
      </c>
      <c r="N191" s="3">
        <v>18003</v>
      </c>
    </row>
    <row r="192" spans="1:14" x14ac:dyDescent="0.2">
      <c r="A192" s="5" t="str">
        <f>HYPERLINK("http://www.ncbi.nlm.nih.gov/protein/38259186","Adipor1")</f>
        <v>Adipor1</v>
      </c>
      <c r="B192" s="4"/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2">
        <f t="shared" si="4"/>
        <v>0</v>
      </c>
      <c r="I192" t="str">
        <f t="shared" si="5"/>
        <v>Adipor1_0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2">
      <c r="A193" s="5" t="str">
        <f>HYPERLINK("http://www.ncbi.nlm.nih.gov/protein/19527306","Adk")</f>
        <v>Adk</v>
      </c>
      <c r="B193" s="4"/>
      <c r="C193" s="3">
        <v>0</v>
      </c>
      <c r="D193" s="3">
        <v>6256</v>
      </c>
      <c r="E193" s="3">
        <v>2416</v>
      </c>
      <c r="F193" s="3">
        <v>16</v>
      </c>
      <c r="G193" s="3">
        <v>112600</v>
      </c>
      <c r="H193" s="2">
        <f t="shared" si="4"/>
        <v>121288</v>
      </c>
      <c r="I193" t="str">
        <f t="shared" si="5"/>
        <v>Adk_121288</v>
      </c>
      <c r="J193" s="3">
        <v>0</v>
      </c>
      <c r="K193" s="3">
        <v>6256</v>
      </c>
      <c r="L193" s="3">
        <v>2416</v>
      </c>
      <c r="M193" s="3">
        <v>16</v>
      </c>
      <c r="N193" s="3">
        <v>112600</v>
      </c>
    </row>
    <row r="194" spans="1:14" x14ac:dyDescent="0.2">
      <c r="A194" s="5" t="str">
        <f>HYPERLINK("http://www.ncbi.nlm.nih.gov/protein/339895909","Adk")</f>
        <v>Adk</v>
      </c>
      <c r="B194" s="4"/>
      <c r="C194" s="3">
        <v>0</v>
      </c>
      <c r="D194" s="3">
        <v>6256</v>
      </c>
      <c r="E194" s="3">
        <v>2416</v>
      </c>
      <c r="F194" s="3">
        <v>16</v>
      </c>
      <c r="G194" s="3">
        <v>112600</v>
      </c>
      <c r="H194" s="2">
        <f t="shared" ref="H194:H257" si="6">SUM(C194:G194)</f>
        <v>121288</v>
      </c>
      <c r="I194" t="str">
        <f t="shared" ref="I194:I257" si="7">A194&amp;"_"&amp;H194</f>
        <v>Adk_121288</v>
      </c>
      <c r="J194" s="3">
        <v>0</v>
      </c>
      <c r="K194" s="3">
        <v>6256</v>
      </c>
      <c r="L194" s="3">
        <v>2416</v>
      </c>
      <c r="M194" s="3">
        <v>16</v>
      </c>
      <c r="N194" s="3">
        <v>112600</v>
      </c>
    </row>
    <row r="195" spans="1:14" x14ac:dyDescent="0.2">
      <c r="A195" s="5" t="str">
        <f>HYPERLINK("http://www.ncbi.nlm.nih.gov/protein/90093349","Adnp")</f>
        <v>Adnp</v>
      </c>
      <c r="B195" s="4"/>
      <c r="C195" s="3">
        <v>1007</v>
      </c>
      <c r="D195" s="3">
        <v>0</v>
      </c>
      <c r="E195" s="3">
        <v>0</v>
      </c>
      <c r="F195" s="3">
        <v>0</v>
      </c>
      <c r="G195" s="3">
        <v>0</v>
      </c>
      <c r="H195" s="2">
        <f t="shared" si="6"/>
        <v>1007</v>
      </c>
      <c r="I195" t="str">
        <f t="shared" si="7"/>
        <v>Adnp_1007</v>
      </c>
      <c r="J195" s="3">
        <v>1007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">
      <c r="A196" s="5" t="str">
        <f>HYPERLINK("http://www.ncbi.nlm.nih.gov/protein/225703118","Ado")</f>
        <v>Ado</v>
      </c>
      <c r="B196" s="4"/>
      <c r="C196" s="3">
        <v>0</v>
      </c>
      <c r="D196" s="3">
        <v>0</v>
      </c>
      <c r="E196" s="3">
        <v>217</v>
      </c>
      <c r="F196" s="3">
        <v>0</v>
      </c>
      <c r="G196" s="3">
        <v>3320</v>
      </c>
      <c r="H196" s="2">
        <f t="shared" si="6"/>
        <v>3537</v>
      </c>
      <c r="I196" t="str">
        <f t="shared" si="7"/>
        <v>Ado_3537</v>
      </c>
      <c r="J196" s="3">
        <v>0</v>
      </c>
      <c r="K196" s="3">
        <v>0</v>
      </c>
      <c r="L196" s="3">
        <v>217</v>
      </c>
      <c r="M196" s="3">
        <v>0</v>
      </c>
      <c r="N196" s="3">
        <v>3320</v>
      </c>
    </row>
    <row r="197" spans="1:14" x14ac:dyDescent="0.2">
      <c r="A197" s="5" t="str">
        <f>HYPERLINK("http://www.ncbi.nlm.nih.gov/protein/21312406","Adpgk")</f>
        <v>Adpgk</v>
      </c>
      <c r="B197" s="4"/>
      <c r="C197" s="3">
        <v>0</v>
      </c>
      <c r="D197" s="3">
        <v>1328</v>
      </c>
      <c r="E197" s="3">
        <v>155</v>
      </c>
      <c r="F197" s="3">
        <v>0</v>
      </c>
      <c r="G197" s="3">
        <v>0</v>
      </c>
      <c r="H197" s="2">
        <f t="shared" si="6"/>
        <v>1483</v>
      </c>
      <c r="I197" t="str">
        <f t="shared" si="7"/>
        <v>Adpgk_1483</v>
      </c>
      <c r="J197" s="3">
        <v>0</v>
      </c>
      <c r="K197" s="3">
        <v>1328</v>
      </c>
      <c r="L197" s="3">
        <v>155</v>
      </c>
      <c r="M197" s="3">
        <v>0</v>
      </c>
      <c r="N197" s="3">
        <v>0</v>
      </c>
    </row>
    <row r="198" spans="1:14" x14ac:dyDescent="0.2">
      <c r="A198" s="5" t="str">
        <f>HYPERLINK("http://www.ncbi.nlm.nih.gov/protein/6680658","Adprh")</f>
        <v>Adprh</v>
      </c>
      <c r="B198" s="4"/>
      <c r="C198" s="3">
        <v>0</v>
      </c>
      <c r="D198" s="3">
        <v>0</v>
      </c>
      <c r="E198" s="3">
        <v>29</v>
      </c>
      <c r="F198" s="3">
        <v>0</v>
      </c>
      <c r="G198" s="3">
        <v>3470</v>
      </c>
      <c r="H198" s="2">
        <f t="shared" si="6"/>
        <v>3499</v>
      </c>
      <c r="I198" t="str">
        <f t="shared" si="7"/>
        <v>Adprh_3499</v>
      </c>
      <c r="J198" s="3">
        <v>0</v>
      </c>
      <c r="K198" s="3">
        <v>0</v>
      </c>
      <c r="L198" s="3">
        <v>29</v>
      </c>
      <c r="M198" s="3">
        <v>0</v>
      </c>
      <c r="N198" s="3">
        <v>3470</v>
      </c>
    </row>
    <row r="199" spans="1:14" x14ac:dyDescent="0.2">
      <c r="A199" s="5" t="str">
        <f>HYPERLINK("http://www.ncbi.nlm.nih.gov/protein/28916671","Adprhl2")</f>
        <v>Adprhl2</v>
      </c>
      <c r="B199" s="4"/>
      <c r="C199" s="3">
        <v>0</v>
      </c>
      <c r="D199" s="3">
        <v>33</v>
      </c>
      <c r="E199" s="3">
        <v>822</v>
      </c>
      <c r="F199" s="3">
        <v>0</v>
      </c>
      <c r="G199" s="3">
        <v>52359</v>
      </c>
      <c r="H199" s="2">
        <f t="shared" si="6"/>
        <v>53214</v>
      </c>
      <c r="I199" t="str">
        <f t="shared" si="7"/>
        <v>Adprhl2_53214</v>
      </c>
      <c r="J199" s="3">
        <v>0</v>
      </c>
      <c r="K199" s="3">
        <v>33</v>
      </c>
      <c r="L199" s="3">
        <v>822</v>
      </c>
      <c r="M199" s="3">
        <v>0</v>
      </c>
      <c r="N199" s="3">
        <v>52359</v>
      </c>
    </row>
    <row r="200" spans="1:14" x14ac:dyDescent="0.2">
      <c r="A200" s="5" t="str">
        <f>HYPERLINK("http://www.ncbi.nlm.nih.gov/protein/33859769","Adrbk1")</f>
        <v>Adrbk1</v>
      </c>
      <c r="B200" s="4"/>
      <c r="C200" s="3">
        <v>0</v>
      </c>
      <c r="D200" s="3">
        <v>230</v>
      </c>
      <c r="E200" s="3">
        <v>492</v>
      </c>
      <c r="F200" s="3">
        <v>41</v>
      </c>
      <c r="G200" s="3">
        <v>7325</v>
      </c>
      <c r="H200" s="2">
        <f t="shared" si="6"/>
        <v>8088</v>
      </c>
      <c r="I200" t="str">
        <f t="shared" si="7"/>
        <v>Adrbk1_8088</v>
      </c>
      <c r="J200" s="3">
        <v>0</v>
      </c>
      <c r="K200" s="3">
        <v>230</v>
      </c>
      <c r="L200" s="3">
        <v>492</v>
      </c>
      <c r="M200" s="3">
        <v>41</v>
      </c>
      <c r="N200" s="3">
        <v>7325</v>
      </c>
    </row>
    <row r="201" spans="1:14" x14ac:dyDescent="0.2">
      <c r="A201" s="5" t="str">
        <f>HYPERLINK("http://www.ncbi.nlm.nih.gov/protein/78711830","Adrbk2")</f>
        <v>Adrbk2</v>
      </c>
      <c r="B201" s="4"/>
      <c r="C201" s="3">
        <v>0</v>
      </c>
      <c r="D201" s="3">
        <v>230</v>
      </c>
      <c r="E201" s="3">
        <v>335</v>
      </c>
      <c r="F201" s="3">
        <v>0</v>
      </c>
      <c r="G201" s="3">
        <v>2677</v>
      </c>
      <c r="H201" s="2">
        <f t="shared" si="6"/>
        <v>3242</v>
      </c>
      <c r="I201" t="str">
        <f t="shared" si="7"/>
        <v>Adrbk2_3242</v>
      </c>
      <c r="J201" s="3">
        <v>0</v>
      </c>
      <c r="K201" s="3">
        <v>230</v>
      </c>
      <c r="L201" s="3">
        <v>335</v>
      </c>
      <c r="M201" s="3">
        <v>0</v>
      </c>
      <c r="N201" s="3">
        <v>2677</v>
      </c>
    </row>
    <row r="202" spans="1:14" x14ac:dyDescent="0.2">
      <c r="A202" s="5" t="str">
        <f>HYPERLINK("http://www.ncbi.nlm.nih.gov/protein/31981027","Adrm1")</f>
        <v>Adrm1</v>
      </c>
      <c r="B202" s="4"/>
      <c r="C202" s="3">
        <v>4595</v>
      </c>
      <c r="D202" s="3">
        <v>359</v>
      </c>
      <c r="E202" s="3">
        <v>941</v>
      </c>
      <c r="F202" s="3">
        <v>7015</v>
      </c>
      <c r="G202" s="3">
        <v>0</v>
      </c>
      <c r="H202" s="2">
        <f t="shared" si="6"/>
        <v>12910</v>
      </c>
      <c r="I202" t="str">
        <f t="shared" si="7"/>
        <v>Adrm1_12910</v>
      </c>
      <c r="J202" s="3">
        <v>4595</v>
      </c>
      <c r="K202" s="3">
        <v>359</v>
      </c>
      <c r="L202" s="3">
        <v>941</v>
      </c>
      <c r="M202" s="3">
        <v>7015</v>
      </c>
      <c r="N202" s="3">
        <v>0</v>
      </c>
    </row>
    <row r="203" spans="1:14" x14ac:dyDescent="0.2">
      <c r="A203" s="5" t="str">
        <f>HYPERLINK("http://www.ncbi.nlm.nih.gov/protein/29788764","Adsl")</f>
        <v>Adsl</v>
      </c>
      <c r="B203" s="4"/>
      <c r="C203" s="3">
        <v>0</v>
      </c>
      <c r="D203" s="3">
        <v>4367</v>
      </c>
      <c r="E203" s="3">
        <v>11453</v>
      </c>
      <c r="F203" s="3">
        <v>65689</v>
      </c>
      <c r="G203" s="3">
        <v>77258</v>
      </c>
      <c r="H203" s="2">
        <f t="shared" si="6"/>
        <v>158767</v>
      </c>
      <c r="I203" t="str">
        <f t="shared" si="7"/>
        <v>Adsl_158767</v>
      </c>
      <c r="J203" s="3">
        <v>0</v>
      </c>
      <c r="K203" s="3">
        <v>4367</v>
      </c>
      <c r="L203" s="3">
        <v>11453</v>
      </c>
      <c r="M203" s="3">
        <v>65689</v>
      </c>
      <c r="N203" s="3">
        <v>77258</v>
      </c>
    </row>
    <row r="204" spans="1:14" x14ac:dyDescent="0.2">
      <c r="A204" s="5" t="str">
        <f>HYPERLINK("http://www.ncbi.nlm.nih.gov/protein/31560737","Adss")</f>
        <v>Adss</v>
      </c>
      <c r="B204" s="4"/>
      <c r="C204" s="3">
        <v>0</v>
      </c>
      <c r="D204" s="3">
        <v>2417</v>
      </c>
      <c r="E204" s="3">
        <v>3582</v>
      </c>
      <c r="F204" s="3">
        <v>778</v>
      </c>
      <c r="G204" s="3">
        <v>207122</v>
      </c>
      <c r="H204" s="2">
        <f t="shared" si="6"/>
        <v>213899</v>
      </c>
      <c r="I204" t="str">
        <f t="shared" si="7"/>
        <v>Adss_213899</v>
      </c>
      <c r="J204" s="3">
        <v>0</v>
      </c>
      <c r="K204" s="3">
        <v>2417</v>
      </c>
      <c r="L204" s="3">
        <v>3582</v>
      </c>
      <c r="M204" s="3">
        <v>778</v>
      </c>
      <c r="N204" s="3">
        <v>207122</v>
      </c>
    </row>
    <row r="205" spans="1:14" x14ac:dyDescent="0.2">
      <c r="A205" s="5" t="str">
        <f>HYPERLINK("http://www.ncbi.nlm.nih.gov/protein/6671519","Adssl1")</f>
        <v>Adssl1</v>
      </c>
      <c r="B205" s="4"/>
      <c r="C205" s="3">
        <v>513</v>
      </c>
      <c r="D205" s="3">
        <v>194</v>
      </c>
      <c r="E205" s="3">
        <v>830</v>
      </c>
      <c r="F205" s="3">
        <v>13735</v>
      </c>
      <c r="G205" s="3">
        <v>48461</v>
      </c>
      <c r="H205" s="2">
        <f t="shared" si="6"/>
        <v>63733</v>
      </c>
      <c r="I205" t="str">
        <f t="shared" si="7"/>
        <v>Adssl1_63733</v>
      </c>
      <c r="J205" s="3">
        <v>513</v>
      </c>
      <c r="K205" s="3">
        <v>194</v>
      </c>
      <c r="L205" s="3">
        <v>830</v>
      </c>
      <c r="M205" s="3">
        <v>13735</v>
      </c>
      <c r="N205" s="3">
        <v>48461</v>
      </c>
    </row>
    <row r="206" spans="1:14" x14ac:dyDescent="0.2">
      <c r="A206" s="5" t="str">
        <f>HYPERLINK("http://www.ncbi.nlm.nih.gov/protein/33859696","Afap1")</f>
        <v>Afap1</v>
      </c>
      <c r="B206" s="4"/>
      <c r="C206" s="3">
        <v>0</v>
      </c>
      <c r="D206" s="3">
        <v>0</v>
      </c>
      <c r="E206" s="3">
        <v>184</v>
      </c>
      <c r="F206" s="3">
        <v>0</v>
      </c>
      <c r="G206" s="3">
        <v>0</v>
      </c>
      <c r="H206" s="2">
        <f t="shared" si="6"/>
        <v>184</v>
      </c>
      <c r="I206" t="str">
        <f t="shared" si="7"/>
        <v>Afap1_184</v>
      </c>
      <c r="J206" s="3">
        <v>0</v>
      </c>
      <c r="K206" s="3">
        <v>0</v>
      </c>
      <c r="L206" s="3">
        <v>184</v>
      </c>
      <c r="M206" s="3">
        <v>0</v>
      </c>
      <c r="N206" s="3">
        <v>0</v>
      </c>
    </row>
    <row r="207" spans="1:14" x14ac:dyDescent="0.2">
      <c r="A207" s="5" t="str">
        <f>HYPERLINK("http://www.ncbi.nlm.nih.gov/protein/22122607","Afap1l2")</f>
        <v>Afap1l2</v>
      </c>
      <c r="B207" s="4"/>
      <c r="C207" s="3">
        <v>0</v>
      </c>
      <c r="D207" s="3">
        <v>0</v>
      </c>
      <c r="E207" s="3">
        <v>0</v>
      </c>
      <c r="F207" s="3">
        <v>115</v>
      </c>
      <c r="G207" s="3">
        <v>0</v>
      </c>
      <c r="H207" s="2">
        <f t="shared" si="6"/>
        <v>115</v>
      </c>
      <c r="I207" t="str">
        <f t="shared" si="7"/>
        <v>Afap1l2_115</v>
      </c>
      <c r="J207" s="3">
        <v>0</v>
      </c>
      <c r="K207" s="3">
        <v>0</v>
      </c>
      <c r="L207" s="3">
        <v>0</v>
      </c>
      <c r="M207" s="3">
        <v>115</v>
      </c>
      <c r="N207" s="3">
        <v>0</v>
      </c>
    </row>
    <row r="208" spans="1:14" x14ac:dyDescent="0.2">
      <c r="A208" s="5" t="str">
        <f>HYPERLINK("http://www.ncbi.nlm.nih.gov/protein/295317357","Afap1l2")</f>
        <v>Afap1l2</v>
      </c>
      <c r="B208" s="4"/>
      <c r="C208" s="3">
        <v>0</v>
      </c>
      <c r="D208" s="3">
        <v>0</v>
      </c>
      <c r="E208" s="3">
        <v>0</v>
      </c>
      <c r="F208" s="3">
        <v>115</v>
      </c>
      <c r="G208" s="3">
        <v>0</v>
      </c>
      <c r="H208" s="2">
        <f t="shared" si="6"/>
        <v>115</v>
      </c>
      <c r="I208" t="str">
        <f t="shared" si="7"/>
        <v>Afap1l2_115</v>
      </c>
      <c r="J208" s="3">
        <v>0</v>
      </c>
      <c r="K208" s="3">
        <v>0</v>
      </c>
      <c r="L208" s="3">
        <v>0</v>
      </c>
      <c r="M208" s="3">
        <v>115</v>
      </c>
      <c r="N208" s="3">
        <v>0</v>
      </c>
    </row>
    <row r="209" spans="1:14" x14ac:dyDescent="0.2">
      <c r="A209" s="5" t="str">
        <f>HYPERLINK("http://www.ncbi.nlm.nih.gov/protein/295317359","Afap1l2")</f>
        <v>Afap1l2</v>
      </c>
      <c r="B209" s="4"/>
      <c r="C209" s="3">
        <v>0</v>
      </c>
      <c r="D209" s="3">
        <v>0</v>
      </c>
      <c r="E209" s="3">
        <v>0</v>
      </c>
      <c r="F209" s="3">
        <v>115</v>
      </c>
      <c r="G209" s="3">
        <v>0</v>
      </c>
      <c r="H209" s="2">
        <f t="shared" si="6"/>
        <v>115</v>
      </c>
      <c r="I209" t="str">
        <f t="shared" si="7"/>
        <v>Afap1l2_115</v>
      </c>
      <c r="J209" s="3">
        <v>0</v>
      </c>
      <c r="K209" s="3">
        <v>0</v>
      </c>
      <c r="L209" s="3">
        <v>0</v>
      </c>
      <c r="M209" s="3">
        <v>115</v>
      </c>
      <c r="N209" s="3">
        <v>0</v>
      </c>
    </row>
    <row r="210" spans="1:14" x14ac:dyDescent="0.2">
      <c r="A210" s="5" t="str">
        <f>HYPERLINK("http://www.ncbi.nlm.nih.gov/protein/17298672","Aff4")</f>
        <v>Aff4</v>
      </c>
      <c r="B210" s="4"/>
      <c r="C210" s="3">
        <v>0</v>
      </c>
      <c r="D210" s="3">
        <v>58</v>
      </c>
      <c r="E210" s="3">
        <v>0</v>
      </c>
      <c r="F210" s="3">
        <v>0</v>
      </c>
      <c r="G210" s="3">
        <v>0</v>
      </c>
      <c r="H210" s="2">
        <f t="shared" si="6"/>
        <v>58</v>
      </c>
      <c r="I210" t="str">
        <f t="shared" si="7"/>
        <v>Aff4_58</v>
      </c>
      <c r="J210" s="3">
        <v>0</v>
      </c>
      <c r="K210" s="3">
        <v>58</v>
      </c>
      <c r="L210" s="3">
        <v>0</v>
      </c>
      <c r="M210" s="3">
        <v>0</v>
      </c>
      <c r="N210" s="3">
        <v>0</v>
      </c>
    </row>
    <row r="211" spans="1:14" x14ac:dyDescent="0.2">
      <c r="A211" s="5" t="str">
        <f>HYPERLINK("http://www.ncbi.nlm.nih.gov/protein/66792806","Afg3l1")</f>
        <v>Afg3l1</v>
      </c>
      <c r="B211" s="4"/>
      <c r="C211" s="3">
        <v>0</v>
      </c>
      <c r="D211" s="3">
        <v>1689</v>
      </c>
      <c r="E211" s="3">
        <v>0</v>
      </c>
      <c r="F211" s="3">
        <v>0</v>
      </c>
      <c r="G211" s="3">
        <v>0</v>
      </c>
      <c r="H211" s="2">
        <f t="shared" si="6"/>
        <v>1689</v>
      </c>
      <c r="I211" t="str">
        <f t="shared" si="7"/>
        <v>Afg3l1_1689</v>
      </c>
      <c r="J211" s="3">
        <v>0</v>
      </c>
      <c r="K211" s="3">
        <v>1689</v>
      </c>
      <c r="L211" s="3">
        <v>0</v>
      </c>
      <c r="M211" s="3">
        <v>0</v>
      </c>
      <c r="N211" s="3">
        <v>0</v>
      </c>
    </row>
    <row r="212" spans="1:14" x14ac:dyDescent="0.2">
      <c r="A212" s="5" t="str">
        <f>HYPERLINK("http://www.ncbi.nlm.nih.gov/protein/110625761","Afg3l2")</f>
        <v>Afg3l2</v>
      </c>
      <c r="B212" s="4"/>
      <c r="C212" s="3">
        <v>0</v>
      </c>
      <c r="D212" s="3">
        <v>1436</v>
      </c>
      <c r="E212" s="3">
        <v>271</v>
      </c>
      <c r="F212" s="3">
        <v>0</v>
      </c>
      <c r="G212" s="3">
        <v>0</v>
      </c>
      <c r="H212" s="2">
        <f t="shared" si="6"/>
        <v>1707</v>
      </c>
      <c r="I212" t="str">
        <f t="shared" si="7"/>
        <v>Afg3l2_1707</v>
      </c>
      <c r="J212" s="3">
        <v>0</v>
      </c>
      <c r="K212" s="3">
        <v>1436</v>
      </c>
      <c r="L212" s="3">
        <v>271</v>
      </c>
      <c r="M212" s="3">
        <v>0</v>
      </c>
      <c r="N212" s="3">
        <v>0</v>
      </c>
    </row>
    <row r="213" spans="1:14" x14ac:dyDescent="0.2">
      <c r="A213" s="5" t="str">
        <f>HYPERLINK("http://www.ncbi.nlm.nih.gov/protein/21746157","Afmid")</f>
        <v>Afmid</v>
      </c>
      <c r="B213" s="4"/>
      <c r="C213" s="3">
        <v>0</v>
      </c>
      <c r="D213" s="3">
        <v>0</v>
      </c>
      <c r="E213" s="3">
        <v>0</v>
      </c>
      <c r="F213" s="3">
        <v>0</v>
      </c>
      <c r="G213" s="3">
        <v>32</v>
      </c>
      <c r="H213" s="2">
        <f t="shared" si="6"/>
        <v>32</v>
      </c>
      <c r="I213" t="str">
        <f t="shared" si="7"/>
        <v>Afmid_32</v>
      </c>
      <c r="J213" s="3">
        <v>0</v>
      </c>
      <c r="K213" s="3">
        <v>0</v>
      </c>
      <c r="L213" s="3">
        <v>0</v>
      </c>
      <c r="M213" s="3">
        <v>0</v>
      </c>
      <c r="N213" s="3">
        <v>32</v>
      </c>
    </row>
    <row r="214" spans="1:14" x14ac:dyDescent="0.2">
      <c r="A214" s="5" t="str">
        <f>HYPERLINK("http://www.ncbi.nlm.nih.gov/protein/31088896","Aftph")</f>
        <v>Aftph</v>
      </c>
      <c r="B214" s="4"/>
      <c r="C214" s="3">
        <v>0</v>
      </c>
      <c r="D214" s="3">
        <v>0</v>
      </c>
      <c r="E214" s="3">
        <v>92</v>
      </c>
      <c r="F214" s="3">
        <v>0</v>
      </c>
      <c r="G214" s="3">
        <v>4584</v>
      </c>
      <c r="H214" s="2">
        <f t="shared" si="6"/>
        <v>4676</v>
      </c>
      <c r="I214" t="str">
        <f t="shared" si="7"/>
        <v>Aftph_4676</v>
      </c>
      <c r="J214" s="3">
        <v>0</v>
      </c>
      <c r="K214" s="3">
        <v>0</v>
      </c>
      <c r="L214" s="3">
        <v>92</v>
      </c>
      <c r="M214" s="3">
        <v>0</v>
      </c>
      <c r="N214" s="3">
        <v>4584</v>
      </c>
    </row>
    <row r="215" spans="1:14" x14ac:dyDescent="0.2">
      <c r="A215" s="5" t="str">
        <f>HYPERLINK("http://www.ncbi.nlm.nih.gov/protein/357394879","Aftph")</f>
        <v>Aftph</v>
      </c>
      <c r="B215" s="4"/>
      <c r="C215" s="3">
        <v>0</v>
      </c>
      <c r="D215" s="3">
        <v>0</v>
      </c>
      <c r="E215" s="3">
        <v>92</v>
      </c>
      <c r="F215" s="3">
        <v>0</v>
      </c>
      <c r="G215" s="3">
        <v>4584</v>
      </c>
      <c r="H215" s="2">
        <f t="shared" si="6"/>
        <v>4676</v>
      </c>
      <c r="I215" t="str">
        <f t="shared" si="7"/>
        <v>Aftph_4676</v>
      </c>
      <c r="J215" s="3">
        <v>0</v>
      </c>
      <c r="K215" s="3">
        <v>0</v>
      </c>
      <c r="L215" s="3">
        <v>92</v>
      </c>
      <c r="M215" s="3">
        <v>0</v>
      </c>
      <c r="N215" s="3">
        <v>4584</v>
      </c>
    </row>
    <row r="216" spans="1:14" x14ac:dyDescent="0.2">
      <c r="A216" s="5" t="str">
        <f>HYPERLINK("http://www.ncbi.nlm.nih.gov/protein/326439050","Aga")</f>
        <v>Aga</v>
      </c>
      <c r="B216" s="4"/>
      <c r="C216" s="3">
        <v>1519</v>
      </c>
      <c r="D216" s="3">
        <v>4062</v>
      </c>
      <c r="E216" s="3">
        <v>275</v>
      </c>
      <c r="F216" s="3">
        <v>0</v>
      </c>
      <c r="G216" s="3">
        <v>16493</v>
      </c>
      <c r="H216" s="2">
        <f t="shared" si="6"/>
        <v>22349</v>
      </c>
      <c r="I216" t="str">
        <f t="shared" si="7"/>
        <v>Aga_22349</v>
      </c>
      <c r="J216" s="3">
        <v>1519</v>
      </c>
      <c r="K216" s="3">
        <v>4062</v>
      </c>
      <c r="L216" s="3">
        <v>275</v>
      </c>
      <c r="M216" s="3">
        <v>0</v>
      </c>
      <c r="N216" s="3">
        <v>16493</v>
      </c>
    </row>
    <row r="217" spans="1:14" x14ac:dyDescent="0.2">
      <c r="A217" s="5" t="str">
        <f>HYPERLINK("http://www.ncbi.nlm.nih.gov/protein/54292135","Aga")</f>
        <v>Aga</v>
      </c>
      <c r="B217" s="4"/>
      <c r="C217" s="3">
        <v>1519</v>
      </c>
      <c r="D217" s="3">
        <v>4062</v>
      </c>
      <c r="E217" s="3">
        <v>275</v>
      </c>
      <c r="F217" s="3">
        <v>0</v>
      </c>
      <c r="G217" s="3">
        <v>16493</v>
      </c>
      <c r="H217" s="2">
        <f t="shared" si="6"/>
        <v>22349</v>
      </c>
      <c r="I217" t="str">
        <f t="shared" si="7"/>
        <v>Aga_22349</v>
      </c>
      <c r="J217" s="3">
        <v>1519</v>
      </c>
      <c r="K217" s="3">
        <v>4062</v>
      </c>
      <c r="L217" s="3">
        <v>275</v>
      </c>
      <c r="M217" s="3">
        <v>0</v>
      </c>
      <c r="N217" s="3">
        <v>16493</v>
      </c>
    </row>
    <row r="218" spans="1:14" x14ac:dyDescent="0.2">
      <c r="A218" s="5" t="str">
        <f>HYPERLINK("http://www.ncbi.nlm.nih.gov/protein/312839828","Agbl1")</f>
        <v>Agbl1</v>
      </c>
      <c r="B218" s="4"/>
      <c r="C218" s="3">
        <v>0</v>
      </c>
      <c r="D218" s="3">
        <v>1129</v>
      </c>
      <c r="E218" s="3">
        <v>4232</v>
      </c>
      <c r="F218" s="3">
        <v>0</v>
      </c>
      <c r="G218" s="3">
        <v>12519</v>
      </c>
      <c r="H218" s="2">
        <f t="shared" si="6"/>
        <v>17880</v>
      </c>
      <c r="I218" t="str">
        <f t="shared" si="7"/>
        <v>Agbl1_17880</v>
      </c>
      <c r="J218" s="3">
        <v>0</v>
      </c>
      <c r="K218" s="3">
        <v>1129</v>
      </c>
      <c r="L218" s="3">
        <v>4232</v>
      </c>
      <c r="M218" s="3">
        <v>0</v>
      </c>
      <c r="N218" s="3">
        <v>12519</v>
      </c>
    </row>
    <row r="219" spans="1:14" x14ac:dyDescent="0.2">
      <c r="A219" s="5" t="str">
        <f>HYPERLINK("http://www.ncbi.nlm.nih.gov/protein/33563260","Agfg1")</f>
        <v>Agfg1</v>
      </c>
      <c r="B219" s="4"/>
      <c r="C219" s="3">
        <v>0</v>
      </c>
      <c r="D219" s="3">
        <v>0</v>
      </c>
      <c r="E219" s="3">
        <v>0</v>
      </c>
      <c r="F219" s="3">
        <v>0</v>
      </c>
      <c r="G219" s="3">
        <v>1371</v>
      </c>
      <c r="H219" s="2">
        <f t="shared" si="6"/>
        <v>1371</v>
      </c>
      <c r="I219" t="str">
        <f t="shared" si="7"/>
        <v>Agfg1_1371</v>
      </c>
      <c r="J219" s="3">
        <v>0</v>
      </c>
      <c r="K219" s="3">
        <v>0</v>
      </c>
      <c r="L219" s="3">
        <v>0</v>
      </c>
      <c r="M219" s="3">
        <v>0</v>
      </c>
      <c r="N219" s="3">
        <v>1371</v>
      </c>
    </row>
    <row r="220" spans="1:14" x14ac:dyDescent="0.2">
      <c r="A220" s="5" t="str">
        <f>HYPERLINK("http://www.ncbi.nlm.nih.gov/protein/21704138","Agfg2")</f>
        <v>Agfg2</v>
      </c>
      <c r="B220" s="4"/>
      <c r="C220" s="3">
        <v>0</v>
      </c>
      <c r="D220" s="3">
        <v>56</v>
      </c>
      <c r="E220" s="3">
        <v>0</v>
      </c>
      <c r="F220" s="3">
        <v>0</v>
      </c>
      <c r="G220" s="3">
        <v>5633</v>
      </c>
      <c r="H220" s="2">
        <f t="shared" si="6"/>
        <v>5689</v>
      </c>
      <c r="I220" t="str">
        <f t="shared" si="7"/>
        <v>Agfg2_5689</v>
      </c>
      <c r="J220" s="3">
        <v>0</v>
      </c>
      <c r="K220" s="3">
        <v>56</v>
      </c>
      <c r="L220" s="3">
        <v>0</v>
      </c>
      <c r="M220" s="3">
        <v>0</v>
      </c>
      <c r="N220" s="3">
        <v>5633</v>
      </c>
    </row>
    <row r="221" spans="1:14" x14ac:dyDescent="0.2">
      <c r="A221" s="5" t="str">
        <f>HYPERLINK("http://www.ncbi.nlm.nih.gov/protein/30039690","Agfg2")</f>
        <v>Agfg2</v>
      </c>
      <c r="B221" s="4"/>
      <c r="C221" s="3">
        <v>0</v>
      </c>
      <c r="D221" s="3">
        <v>56</v>
      </c>
      <c r="E221" s="3">
        <v>0</v>
      </c>
      <c r="F221" s="3">
        <v>0</v>
      </c>
      <c r="G221" s="3">
        <v>5633</v>
      </c>
      <c r="H221" s="2">
        <f t="shared" si="6"/>
        <v>5689</v>
      </c>
      <c r="I221" t="str">
        <f t="shared" si="7"/>
        <v>Agfg2_5689</v>
      </c>
      <c r="J221" s="3">
        <v>0</v>
      </c>
      <c r="K221" s="3">
        <v>56</v>
      </c>
      <c r="L221" s="3">
        <v>0</v>
      </c>
      <c r="M221" s="3">
        <v>0</v>
      </c>
      <c r="N221" s="3">
        <v>5633</v>
      </c>
    </row>
    <row r="222" spans="1:14" x14ac:dyDescent="0.2">
      <c r="A222" s="5" t="str">
        <f>HYPERLINK("http://www.ncbi.nlm.nih.gov/protein/37537518","Agk")</f>
        <v>Agk</v>
      </c>
      <c r="B222" s="4"/>
      <c r="C222" s="3">
        <v>0</v>
      </c>
      <c r="D222" s="3">
        <v>1689</v>
      </c>
      <c r="E222" s="3">
        <v>0</v>
      </c>
      <c r="F222" s="3">
        <v>0</v>
      </c>
      <c r="G222" s="3">
        <v>0</v>
      </c>
      <c r="H222" s="2">
        <f t="shared" si="6"/>
        <v>1689</v>
      </c>
      <c r="I222" t="str">
        <f t="shared" si="7"/>
        <v>Agk_1689</v>
      </c>
      <c r="J222" s="3">
        <v>0</v>
      </c>
      <c r="K222" s="3">
        <v>1689</v>
      </c>
      <c r="L222" s="3">
        <v>0</v>
      </c>
      <c r="M222" s="3">
        <v>0</v>
      </c>
      <c r="N222" s="3">
        <v>0</v>
      </c>
    </row>
    <row r="223" spans="1:14" x14ac:dyDescent="0.2">
      <c r="A223" s="5" t="str">
        <f>HYPERLINK("http://www.ncbi.nlm.nih.gov/protein/124486747","Agl")</f>
        <v>Agl</v>
      </c>
      <c r="B223" s="4"/>
      <c r="C223" s="3">
        <v>0</v>
      </c>
      <c r="D223" s="3">
        <v>0</v>
      </c>
      <c r="E223" s="3">
        <v>0</v>
      </c>
      <c r="F223" s="3">
        <v>0</v>
      </c>
      <c r="G223" s="3">
        <v>2667</v>
      </c>
      <c r="H223" s="2">
        <f t="shared" si="6"/>
        <v>2667</v>
      </c>
      <c r="I223" t="str">
        <f t="shared" si="7"/>
        <v>Agl_2667</v>
      </c>
      <c r="J223" s="3">
        <v>0</v>
      </c>
      <c r="K223" s="3">
        <v>0</v>
      </c>
      <c r="L223" s="3">
        <v>0</v>
      </c>
      <c r="M223" s="3">
        <v>0</v>
      </c>
      <c r="N223" s="3">
        <v>2667</v>
      </c>
    </row>
    <row r="224" spans="1:14" x14ac:dyDescent="0.2">
      <c r="A224" s="5" t="str">
        <f>HYPERLINK("http://www.ncbi.nlm.nih.gov/protein/251823852","Ago1")</f>
        <v>Ago1</v>
      </c>
      <c r="B224" s="4"/>
      <c r="C224" s="3">
        <v>0</v>
      </c>
      <c r="D224" s="3">
        <v>1369</v>
      </c>
      <c r="E224" s="3">
        <v>22264</v>
      </c>
      <c r="F224" s="3">
        <v>2300</v>
      </c>
      <c r="G224" s="3">
        <v>0</v>
      </c>
      <c r="H224" s="2">
        <f t="shared" si="6"/>
        <v>25933</v>
      </c>
      <c r="I224" t="str">
        <f t="shared" si="7"/>
        <v>Ago1_25933</v>
      </c>
      <c r="J224" s="3">
        <v>0</v>
      </c>
      <c r="K224" s="3">
        <v>1369</v>
      </c>
      <c r="L224" s="3">
        <v>22264</v>
      </c>
      <c r="M224" s="3">
        <v>2300</v>
      </c>
      <c r="N224" s="3">
        <v>0</v>
      </c>
    </row>
    <row r="225" spans="1:14" x14ac:dyDescent="0.2">
      <c r="A225" s="5" t="str">
        <f>HYPERLINK("http://www.ncbi.nlm.nih.gov/protein/219842353","Ago2")</f>
        <v>Ago2</v>
      </c>
      <c r="B225" s="4"/>
      <c r="C225" s="3">
        <v>0</v>
      </c>
      <c r="D225" s="3">
        <v>4931</v>
      </c>
      <c r="E225" s="3">
        <v>56954</v>
      </c>
      <c r="F225" s="3">
        <v>30434</v>
      </c>
      <c r="G225" s="3">
        <v>0</v>
      </c>
      <c r="H225" s="2">
        <f t="shared" si="6"/>
        <v>92319</v>
      </c>
      <c r="I225" t="str">
        <f t="shared" si="7"/>
        <v>Ago2_92319</v>
      </c>
      <c r="J225" s="3">
        <v>0</v>
      </c>
      <c r="K225" s="3">
        <v>4931</v>
      </c>
      <c r="L225" s="3">
        <v>56954</v>
      </c>
      <c r="M225" s="3">
        <v>30434</v>
      </c>
      <c r="N225" s="3">
        <v>0</v>
      </c>
    </row>
    <row r="226" spans="1:14" x14ac:dyDescent="0.2">
      <c r="A226" s="5" t="str">
        <f>HYPERLINK("http://www.ncbi.nlm.nih.gov/protein/240120065","Ago3")</f>
        <v>Ago3</v>
      </c>
      <c r="B226" s="4"/>
      <c r="C226" s="3">
        <v>0</v>
      </c>
      <c r="D226" s="3">
        <v>1369</v>
      </c>
      <c r="E226" s="3">
        <v>18801</v>
      </c>
      <c r="F226" s="3">
        <v>2300</v>
      </c>
      <c r="G226" s="3">
        <v>0</v>
      </c>
      <c r="H226" s="2">
        <f t="shared" si="6"/>
        <v>22470</v>
      </c>
      <c r="I226" t="str">
        <f t="shared" si="7"/>
        <v>Ago3_22470</v>
      </c>
      <c r="J226" s="3">
        <v>0</v>
      </c>
      <c r="K226" s="3">
        <v>1369</v>
      </c>
      <c r="L226" s="3">
        <v>18801</v>
      </c>
      <c r="M226" s="3">
        <v>2300</v>
      </c>
      <c r="N226" s="3">
        <v>0</v>
      </c>
    </row>
    <row r="227" spans="1:14" x14ac:dyDescent="0.2">
      <c r="A227" s="5" t="str">
        <f>HYPERLINK("http://www.ncbi.nlm.nih.gov/protein/68448547","Ago4")</f>
        <v>Ago4</v>
      </c>
      <c r="B227" s="4"/>
      <c r="C227" s="3">
        <v>0</v>
      </c>
      <c r="D227" s="3">
        <v>956</v>
      </c>
      <c r="E227" s="3">
        <v>10330</v>
      </c>
      <c r="F227" s="3">
        <v>876</v>
      </c>
      <c r="G227" s="3">
        <v>0</v>
      </c>
      <c r="H227" s="2">
        <f t="shared" si="6"/>
        <v>12162</v>
      </c>
      <c r="I227" t="str">
        <f t="shared" si="7"/>
        <v>Ago4_12162</v>
      </c>
      <c r="J227" s="3">
        <v>0</v>
      </c>
      <c r="K227" s="3">
        <v>956</v>
      </c>
      <c r="L227" s="3">
        <v>10330</v>
      </c>
      <c r="M227" s="3">
        <v>876</v>
      </c>
      <c r="N227" s="3">
        <v>0</v>
      </c>
    </row>
    <row r="228" spans="1:14" x14ac:dyDescent="0.2">
      <c r="A228" s="5" t="str">
        <f>HYPERLINK("http://www.ncbi.nlm.nih.gov/protein/23956162","Agpat2")</f>
        <v>Agpat2</v>
      </c>
      <c r="B228" s="4"/>
      <c r="C228" s="3">
        <v>0</v>
      </c>
      <c r="D228" s="3">
        <v>1040</v>
      </c>
      <c r="E228" s="3">
        <v>549</v>
      </c>
      <c r="F228" s="3">
        <v>0</v>
      </c>
      <c r="G228" s="3">
        <v>0</v>
      </c>
      <c r="H228" s="2">
        <f t="shared" si="6"/>
        <v>1589</v>
      </c>
      <c r="I228" t="str">
        <f t="shared" si="7"/>
        <v>Agpat2_1589</v>
      </c>
      <c r="J228" s="3">
        <v>0</v>
      </c>
      <c r="K228" s="3">
        <v>1040</v>
      </c>
      <c r="L228" s="3">
        <v>549</v>
      </c>
      <c r="M228" s="3">
        <v>0</v>
      </c>
      <c r="N228" s="3">
        <v>0</v>
      </c>
    </row>
    <row r="229" spans="1:14" x14ac:dyDescent="0.2">
      <c r="A229" s="5" t="str">
        <f>HYPERLINK("http://www.ncbi.nlm.nih.gov/protein/27229278","Agpat3")</f>
        <v>Agpat3</v>
      </c>
      <c r="B229" s="4"/>
      <c r="C229" s="3">
        <v>5602</v>
      </c>
      <c r="D229" s="3">
        <v>6229</v>
      </c>
      <c r="E229" s="3">
        <v>2750</v>
      </c>
      <c r="F229" s="3">
        <v>270</v>
      </c>
      <c r="G229" s="3">
        <v>0</v>
      </c>
      <c r="H229" s="2">
        <f t="shared" si="6"/>
        <v>14851</v>
      </c>
      <c r="I229" t="str">
        <f t="shared" si="7"/>
        <v>Agpat3_14851</v>
      </c>
      <c r="J229" s="3">
        <v>5602</v>
      </c>
      <c r="K229" s="3">
        <v>6229</v>
      </c>
      <c r="L229" s="3">
        <v>2750</v>
      </c>
      <c r="M229" s="3">
        <v>270</v>
      </c>
      <c r="N229" s="3">
        <v>0</v>
      </c>
    </row>
    <row r="230" spans="1:14" x14ac:dyDescent="0.2">
      <c r="A230" s="5" t="str">
        <f>HYPERLINK("http://www.ncbi.nlm.nih.gov/protein/27229064","Agpat4")</f>
        <v>Agpat4</v>
      </c>
      <c r="B230" s="4"/>
      <c r="C230" s="3">
        <v>0</v>
      </c>
      <c r="D230" s="3">
        <v>0</v>
      </c>
      <c r="E230" s="3">
        <v>23</v>
      </c>
      <c r="F230" s="3">
        <v>0</v>
      </c>
      <c r="G230" s="3">
        <v>0</v>
      </c>
      <c r="H230" s="2">
        <f t="shared" si="6"/>
        <v>23</v>
      </c>
      <c r="I230" t="str">
        <f t="shared" si="7"/>
        <v>Agpat4_23</v>
      </c>
      <c r="J230" s="3">
        <v>0</v>
      </c>
      <c r="K230" s="3">
        <v>0</v>
      </c>
      <c r="L230" s="3">
        <v>23</v>
      </c>
      <c r="M230" s="3">
        <v>0</v>
      </c>
      <c r="N230" s="3">
        <v>0</v>
      </c>
    </row>
    <row r="231" spans="1:14" x14ac:dyDescent="0.2">
      <c r="A231" s="5" t="str">
        <f>HYPERLINK("http://www.ncbi.nlm.nih.gov/protein/27229077","Agpat5")</f>
        <v>Agpat5</v>
      </c>
      <c r="B231" s="4"/>
      <c r="C231" s="3">
        <v>0</v>
      </c>
      <c r="D231" s="3">
        <v>1680</v>
      </c>
      <c r="E231" s="3">
        <v>0</v>
      </c>
      <c r="F231" s="3">
        <v>0</v>
      </c>
      <c r="G231" s="3">
        <v>0</v>
      </c>
      <c r="H231" s="2">
        <f t="shared" si="6"/>
        <v>1680</v>
      </c>
      <c r="I231" t="str">
        <f t="shared" si="7"/>
        <v>Agpat5_1680</v>
      </c>
      <c r="J231" s="3">
        <v>0</v>
      </c>
      <c r="K231" s="3">
        <v>1680</v>
      </c>
      <c r="L231" s="3">
        <v>0</v>
      </c>
      <c r="M231" s="3">
        <v>0</v>
      </c>
      <c r="N231" s="3">
        <v>0</v>
      </c>
    </row>
    <row r="232" spans="1:14" x14ac:dyDescent="0.2">
      <c r="A232" s="5" t="str">
        <f>HYPERLINK("http://www.ncbi.nlm.nih.gov/protein/295444834","Agps")</f>
        <v>Agps</v>
      </c>
      <c r="B232" s="4"/>
      <c r="C232" s="3">
        <v>6059</v>
      </c>
      <c r="D232" s="3">
        <v>13137</v>
      </c>
      <c r="E232" s="3">
        <v>17027</v>
      </c>
      <c r="F232" s="3">
        <v>0</v>
      </c>
      <c r="G232" s="3">
        <v>0</v>
      </c>
      <c r="H232" s="2">
        <f t="shared" si="6"/>
        <v>36223</v>
      </c>
      <c r="I232" t="str">
        <f t="shared" si="7"/>
        <v>Agps_36223</v>
      </c>
      <c r="J232" s="3">
        <v>6059</v>
      </c>
      <c r="K232" s="3">
        <v>13137</v>
      </c>
      <c r="L232" s="3">
        <v>17027</v>
      </c>
      <c r="M232" s="3">
        <v>0</v>
      </c>
      <c r="N232" s="3">
        <v>0</v>
      </c>
    </row>
    <row r="233" spans="1:14" x14ac:dyDescent="0.2">
      <c r="A233" s="5" t="str">
        <f>HYPERLINK("http://www.ncbi.nlm.nih.gov/protein/344217723","Agrn")</f>
        <v>Agrn</v>
      </c>
      <c r="B233" s="4"/>
      <c r="C233" s="3">
        <v>0</v>
      </c>
      <c r="D233" s="3">
        <v>123</v>
      </c>
      <c r="E233" s="3">
        <v>16</v>
      </c>
      <c r="F233" s="3">
        <v>0</v>
      </c>
      <c r="G233" s="3">
        <v>0</v>
      </c>
      <c r="H233" s="2">
        <f t="shared" si="6"/>
        <v>139</v>
      </c>
      <c r="I233" t="str">
        <f t="shared" si="7"/>
        <v>Agrn_139</v>
      </c>
      <c r="J233" s="3">
        <v>0</v>
      </c>
      <c r="K233" s="3">
        <v>123</v>
      </c>
      <c r="L233" s="3">
        <v>16</v>
      </c>
      <c r="M233" s="3">
        <v>0</v>
      </c>
      <c r="N233" s="3">
        <v>0</v>
      </c>
    </row>
    <row r="234" spans="1:14" x14ac:dyDescent="0.2">
      <c r="A234" s="5" t="str">
        <f>HYPERLINK("http://www.ncbi.nlm.nih.gov/protein/262263372","Ahcy")</f>
        <v>Ahcy</v>
      </c>
      <c r="B234" s="4"/>
      <c r="C234" s="3">
        <v>34598</v>
      </c>
      <c r="D234" s="3">
        <v>33507</v>
      </c>
      <c r="E234" s="3">
        <v>59111</v>
      </c>
      <c r="F234" s="3">
        <v>341968</v>
      </c>
      <c r="G234" s="3">
        <v>567657</v>
      </c>
      <c r="H234" s="2">
        <f t="shared" si="6"/>
        <v>1036841</v>
      </c>
      <c r="I234" t="str">
        <f t="shared" si="7"/>
        <v>Ahcy_1036841</v>
      </c>
      <c r="J234" s="3">
        <v>34598</v>
      </c>
      <c r="K234" s="3">
        <v>33507</v>
      </c>
      <c r="L234" s="3">
        <v>59111</v>
      </c>
      <c r="M234" s="3">
        <v>341968</v>
      </c>
      <c r="N234" s="3">
        <v>567657</v>
      </c>
    </row>
    <row r="235" spans="1:14" x14ac:dyDescent="0.2">
      <c r="A235" s="5" t="str">
        <f>HYPERLINK("http://www.ncbi.nlm.nih.gov/protein/27734986","Ahcyl1")</f>
        <v>Ahcyl1</v>
      </c>
      <c r="B235" s="4"/>
      <c r="C235" s="3">
        <v>0</v>
      </c>
      <c r="D235" s="3">
        <v>1177</v>
      </c>
      <c r="E235" s="3">
        <v>17544</v>
      </c>
      <c r="F235" s="3">
        <v>9782</v>
      </c>
      <c r="G235" s="3">
        <v>20423</v>
      </c>
      <c r="H235" s="2">
        <f t="shared" si="6"/>
        <v>48926</v>
      </c>
      <c r="I235" t="str">
        <f t="shared" si="7"/>
        <v>Ahcyl1_48926</v>
      </c>
      <c r="J235" s="3">
        <v>0</v>
      </c>
      <c r="K235" s="3">
        <v>1177</v>
      </c>
      <c r="L235" s="3">
        <v>17544</v>
      </c>
      <c r="M235" s="3">
        <v>9782</v>
      </c>
      <c r="N235" s="3">
        <v>20423</v>
      </c>
    </row>
    <row r="236" spans="1:14" x14ac:dyDescent="0.2">
      <c r="A236" s="5" t="str">
        <f>HYPERLINK("http://www.ncbi.nlm.nih.gov/protein/283837832","Ahcyl2")</f>
        <v>Ahcyl2</v>
      </c>
      <c r="B236" s="4"/>
      <c r="C236" s="3">
        <v>0</v>
      </c>
      <c r="D236" s="3">
        <v>601</v>
      </c>
      <c r="E236" s="3">
        <v>12413</v>
      </c>
      <c r="F236" s="3">
        <v>9782</v>
      </c>
      <c r="G236" s="3">
        <v>8503</v>
      </c>
      <c r="H236" s="2">
        <f t="shared" si="6"/>
        <v>31299</v>
      </c>
      <c r="I236" t="str">
        <f t="shared" si="7"/>
        <v>Ahcyl2_31299</v>
      </c>
      <c r="J236" s="3">
        <v>0</v>
      </c>
      <c r="K236" s="3">
        <v>601</v>
      </c>
      <c r="L236" s="3">
        <v>12413</v>
      </c>
      <c r="M236" s="3">
        <v>9782</v>
      </c>
      <c r="N236" s="3">
        <v>8503</v>
      </c>
    </row>
    <row r="237" spans="1:14" x14ac:dyDescent="0.2">
      <c r="A237" s="5" t="str">
        <f>HYPERLINK("http://www.ncbi.nlm.nih.gov/protein/342307099","Ahcyl2")</f>
        <v>Ahcyl2</v>
      </c>
      <c r="B237" s="4"/>
      <c r="C237" s="3">
        <v>0</v>
      </c>
      <c r="D237" s="3">
        <v>601</v>
      </c>
      <c r="E237" s="3">
        <v>12413</v>
      </c>
      <c r="F237" s="3">
        <v>9782</v>
      </c>
      <c r="G237" s="3">
        <v>9863</v>
      </c>
      <c r="H237" s="2">
        <f t="shared" si="6"/>
        <v>32659</v>
      </c>
      <c r="I237" t="str">
        <f t="shared" si="7"/>
        <v>Ahcyl2_32659</v>
      </c>
      <c r="J237" s="3">
        <v>0</v>
      </c>
      <c r="K237" s="3">
        <v>601</v>
      </c>
      <c r="L237" s="3">
        <v>12413</v>
      </c>
      <c r="M237" s="3">
        <v>9782</v>
      </c>
      <c r="N237" s="3">
        <v>9863</v>
      </c>
    </row>
    <row r="238" spans="1:14" x14ac:dyDescent="0.2">
      <c r="A238" s="5" t="str">
        <f>HYPERLINK("http://www.ncbi.nlm.nih.gov/protein/342307101","Ahcyl2")</f>
        <v>Ahcyl2</v>
      </c>
      <c r="B238" s="4"/>
      <c r="C238" s="3">
        <v>0</v>
      </c>
      <c r="D238" s="3">
        <v>601</v>
      </c>
      <c r="E238" s="3">
        <v>12413</v>
      </c>
      <c r="F238" s="3">
        <v>9782</v>
      </c>
      <c r="G238" s="3">
        <v>9863</v>
      </c>
      <c r="H238" s="2">
        <f t="shared" si="6"/>
        <v>32659</v>
      </c>
      <c r="I238" t="str">
        <f t="shared" si="7"/>
        <v>Ahcyl2_32659</v>
      </c>
      <c r="J238" s="3">
        <v>0</v>
      </c>
      <c r="K238" s="3">
        <v>601</v>
      </c>
      <c r="L238" s="3">
        <v>12413</v>
      </c>
      <c r="M238" s="3">
        <v>9782</v>
      </c>
      <c r="N238" s="3">
        <v>9863</v>
      </c>
    </row>
    <row r="239" spans="1:14" x14ac:dyDescent="0.2">
      <c r="A239" s="5" t="str">
        <f>HYPERLINK("http://www.ncbi.nlm.nih.gov/protein/90403607","Ahnak")</f>
        <v>Ahnak</v>
      </c>
      <c r="B239" s="4"/>
      <c r="C239" s="3">
        <v>0</v>
      </c>
      <c r="D239" s="3">
        <v>0</v>
      </c>
      <c r="E239" s="3">
        <v>388</v>
      </c>
      <c r="F239" s="3">
        <v>0</v>
      </c>
      <c r="G239" s="3">
        <v>0</v>
      </c>
      <c r="H239" s="2">
        <f t="shared" si="6"/>
        <v>388</v>
      </c>
      <c r="I239" t="str">
        <f t="shared" si="7"/>
        <v>Ahnak_388</v>
      </c>
      <c r="J239" s="3">
        <v>0</v>
      </c>
      <c r="K239" s="3">
        <v>0</v>
      </c>
      <c r="L239" s="3">
        <v>388</v>
      </c>
      <c r="M239" s="3">
        <v>0</v>
      </c>
      <c r="N239" s="3">
        <v>0</v>
      </c>
    </row>
    <row r="240" spans="1:14" x14ac:dyDescent="0.2">
      <c r="A240" s="5" t="str">
        <f>HYPERLINK("http://www.ncbi.nlm.nih.gov/protein/61743961","Ahnak")</f>
        <v>Ahnak</v>
      </c>
      <c r="B240" s="4"/>
      <c r="C240" s="3">
        <v>283176</v>
      </c>
      <c r="D240" s="3">
        <v>100075</v>
      </c>
      <c r="E240" s="3">
        <v>312862</v>
      </c>
      <c r="F240" s="3">
        <v>36966</v>
      </c>
      <c r="G240" s="3">
        <v>546313</v>
      </c>
      <c r="H240" s="2">
        <f t="shared" si="6"/>
        <v>1279392</v>
      </c>
      <c r="I240" t="str">
        <f t="shared" si="7"/>
        <v>Ahnak_1279392</v>
      </c>
      <c r="J240" s="3">
        <v>283176</v>
      </c>
      <c r="K240" s="3">
        <v>100075</v>
      </c>
      <c r="L240" s="3">
        <v>312862</v>
      </c>
      <c r="M240" s="3">
        <v>36966</v>
      </c>
      <c r="N240" s="3">
        <v>546313</v>
      </c>
    </row>
    <row r="241" spans="1:14" x14ac:dyDescent="0.2">
      <c r="A241" s="5" t="str">
        <f>HYPERLINK("http://www.ncbi.nlm.nih.gov/protein/309262791","Ahnak2")</f>
        <v>Ahnak2</v>
      </c>
      <c r="B241" s="4"/>
      <c r="C241" s="3">
        <v>0</v>
      </c>
      <c r="D241" s="3">
        <v>0</v>
      </c>
      <c r="E241" s="3">
        <v>3</v>
      </c>
      <c r="F241" s="3">
        <v>0</v>
      </c>
      <c r="G241" s="3">
        <v>0</v>
      </c>
      <c r="H241" s="2">
        <f t="shared" si="6"/>
        <v>3</v>
      </c>
      <c r="I241" t="str">
        <f t="shared" si="7"/>
        <v>Ahnak2_3</v>
      </c>
      <c r="J241" s="3">
        <v>0</v>
      </c>
      <c r="K241" s="3">
        <v>0</v>
      </c>
      <c r="L241" s="3">
        <v>3</v>
      </c>
      <c r="M241" s="3">
        <v>0</v>
      </c>
      <c r="N241" s="3">
        <v>0</v>
      </c>
    </row>
    <row r="242" spans="1:14" x14ac:dyDescent="0.2">
      <c r="A242" s="5" t="str">
        <f>HYPERLINK("http://www.ncbi.nlm.nih.gov/protein/22122515","Ahsa1")</f>
        <v>Ahsa1</v>
      </c>
      <c r="B242" s="4"/>
      <c r="C242" s="3">
        <v>2966</v>
      </c>
      <c r="D242" s="3">
        <v>3131</v>
      </c>
      <c r="E242" s="3">
        <v>5438</v>
      </c>
      <c r="F242" s="3">
        <v>23484</v>
      </c>
      <c r="G242" s="3">
        <v>109365</v>
      </c>
      <c r="H242" s="2">
        <f t="shared" si="6"/>
        <v>144384</v>
      </c>
      <c r="I242" t="str">
        <f t="shared" si="7"/>
        <v>Ahsa1_144384</v>
      </c>
      <c r="J242" s="3">
        <v>2966</v>
      </c>
      <c r="K242" s="3">
        <v>3131</v>
      </c>
      <c r="L242" s="3">
        <v>5438</v>
      </c>
      <c r="M242" s="3">
        <v>23484</v>
      </c>
      <c r="N242" s="3">
        <v>109365</v>
      </c>
    </row>
    <row r="243" spans="1:14" x14ac:dyDescent="0.2">
      <c r="A243" s="5" t="str">
        <f>HYPERLINK("http://www.ncbi.nlm.nih.gov/protein/62530188","Ahsa2")</f>
        <v>Ahsa2</v>
      </c>
      <c r="B243" s="4"/>
      <c r="C243" s="3">
        <v>0</v>
      </c>
      <c r="D243" s="3">
        <v>0</v>
      </c>
      <c r="E243" s="3">
        <v>0</v>
      </c>
      <c r="F243" s="3">
        <v>0</v>
      </c>
      <c r="G243" s="3">
        <v>1307</v>
      </c>
      <c r="H243" s="2">
        <f t="shared" si="6"/>
        <v>1307</v>
      </c>
      <c r="I243" t="str">
        <f t="shared" si="7"/>
        <v>Ahsa2_1307</v>
      </c>
      <c r="J243" s="3">
        <v>0</v>
      </c>
      <c r="K243" s="3">
        <v>0</v>
      </c>
      <c r="L243" s="3">
        <v>0</v>
      </c>
      <c r="M243" s="3">
        <v>0</v>
      </c>
      <c r="N243" s="3">
        <v>1307</v>
      </c>
    </row>
    <row r="244" spans="1:14" x14ac:dyDescent="0.2">
      <c r="A244" s="5" t="str">
        <f>HYPERLINK("http://www.ncbi.nlm.nih.gov/protein/37718970","AI314180")</f>
        <v>AI314180</v>
      </c>
      <c r="B244" s="4"/>
      <c r="C244" s="3">
        <v>0</v>
      </c>
      <c r="D244" s="3">
        <v>841</v>
      </c>
      <c r="E244" s="3">
        <v>5634</v>
      </c>
      <c r="F244" s="3">
        <v>85294</v>
      </c>
      <c r="G244" s="3">
        <v>45066</v>
      </c>
      <c r="H244" s="2">
        <f t="shared" si="6"/>
        <v>136835</v>
      </c>
      <c r="I244" t="str">
        <f t="shared" si="7"/>
        <v>AI314180_136835</v>
      </c>
      <c r="J244" s="3">
        <v>0</v>
      </c>
      <c r="K244" s="3">
        <v>841</v>
      </c>
      <c r="L244" s="3">
        <v>5634</v>
      </c>
      <c r="M244" s="3">
        <v>85294</v>
      </c>
      <c r="N244" s="3">
        <v>45066</v>
      </c>
    </row>
    <row r="245" spans="1:14" x14ac:dyDescent="0.2">
      <c r="A245" s="5" t="str">
        <f>HYPERLINK("http://www.ncbi.nlm.nih.gov/protein/237858808","AI462493")</f>
        <v>AI462493</v>
      </c>
      <c r="B245" s="4"/>
      <c r="C245" s="3">
        <v>0</v>
      </c>
      <c r="D245" s="3">
        <v>977</v>
      </c>
      <c r="E245" s="3">
        <v>76</v>
      </c>
      <c r="F245" s="3">
        <v>0</v>
      </c>
      <c r="G245" s="3">
        <v>0</v>
      </c>
      <c r="H245" s="2">
        <f t="shared" si="6"/>
        <v>1053</v>
      </c>
      <c r="I245" t="str">
        <f t="shared" si="7"/>
        <v>AI462493_1053</v>
      </c>
      <c r="J245" s="3">
        <v>0</v>
      </c>
      <c r="K245" s="3">
        <v>977</v>
      </c>
      <c r="L245" s="3">
        <v>76</v>
      </c>
      <c r="M245" s="3">
        <v>0</v>
      </c>
      <c r="N245" s="3">
        <v>0</v>
      </c>
    </row>
    <row r="246" spans="1:14" x14ac:dyDescent="0.2">
      <c r="A246" s="5" t="str">
        <f>HYPERLINK("http://www.ncbi.nlm.nih.gov/protein/61557491","AI597468")</f>
        <v>AI597468</v>
      </c>
      <c r="B246" s="4"/>
      <c r="C246" s="3">
        <v>0</v>
      </c>
      <c r="D246" s="3">
        <v>1054</v>
      </c>
      <c r="E246" s="3">
        <v>1637</v>
      </c>
      <c r="F246" s="3">
        <v>5664</v>
      </c>
      <c r="G246" s="3">
        <v>0</v>
      </c>
      <c r="H246" s="2">
        <f t="shared" si="6"/>
        <v>8355</v>
      </c>
      <c r="I246" t="str">
        <f t="shared" si="7"/>
        <v>AI597468_8355</v>
      </c>
      <c r="J246" s="3">
        <v>0</v>
      </c>
      <c r="K246" s="3">
        <v>1054</v>
      </c>
      <c r="L246" s="3">
        <v>1637</v>
      </c>
      <c r="M246" s="3">
        <v>5664</v>
      </c>
      <c r="N246" s="3">
        <v>0</v>
      </c>
    </row>
    <row r="247" spans="1:14" x14ac:dyDescent="0.2">
      <c r="A247" s="5" t="str">
        <f>HYPERLINK("http://www.ncbi.nlm.nih.gov/protein/161484644","AI661453")</f>
        <v>AI661453</v>
      </c>
      <c r="B247" s="4"/>
      <c r="C247" s="3">
        <v>0</v>
      </c>
      <c r="D247" s="3">
        <v>0</v>
      </c>
      <c r="E247" s="3">
        <v>12147</v>
      </c>
      <c r="F247" s="3">
        <v>90</v>
      </c>
      <c r="G247" s="3">
        <v>0</v>
      </c>
      <c r="H247" s="2">
        <f t="shared" si="6"/>
        <v>12237</v>
      </c>
      <c r="I247" t="str">
        <f t="shared" si="7"/>
        <v>AI661453_12237</v>
      </c>
      <c r="J247" s="3">
        <v>0</v>
      </c>
      <c r="K247" s="3">
        <v>0</v>
      </c>
      <c r="L247" s="3">
        <v>12147</v>
      </c>
      <c r="M247" s="3">
        <v>90</v>
      </c>
      <c r="N247" s="3">
        <v>0</v>
      </c>
    </row>
    <row r="248" spans="1:14" x14ac:dyDescent="0.2">
      <c r="A248" s="5" t="str">
        <f>HYPERLINK("http://www.ncbi.nlm.nih.gov/protein/208431789","AI837181")</f>
        <v>AI837181</v>
      </c>
      <c r="B248" s="4"/>
      <c r="C248" s="3">
        <v>0</v>
      </c>
      <c r="D248" s="3">
        <v>1192</v>
      </c>
      <c r="E248" s="3">
        <v>686</v>
      </c>
      <c r="F248" s="3">
        <v>794</v>
      </c>
      <c r="G248" s="3">
        <v>11363</v>
      </c>
      <c r="H248" s="2">
        <f t="shared" si="6"/>
        <v>14035</v>
      </c>
      <c r="I248" t="str">
        <f t="shared" si="7"/>
        <v>AI837181_14035</v>
      </c>
      <c r="J248" s="3">
        <v>0</v>
      </c>
      <c r="K248" s="3">
        <v>1192</v>
      </c>
      <c r="L248" s="3">
        <v>686</v>
      </c>
      <c r="M248" s="3">
        <v>794</v>
      </c>
      <c r="N248" s="3">
        <v>11363</v>
      </c>
    </row>
    <row r="249" spans="1:14" x14ac:dyDescent="0.2">
      <c r="A249" s="5" t="str">
        <f>HYPERLINK("http://www.ncbi.nlm.nih.gov/protein/32189430","Aida")</f>
        <v>Aida</v>
      </c>
      <c r="B249" s="4"/>
      <c r="C249" s="3">
        <v>0</v>
      </c>
      <c r="D249" s="3">
        <v>0</v>
      </c>
      <c r="E249" s="3">
        <v>0</v>
      </c>
      <c r="F249" s="3">
        <v>0</v>
      </c>
      <c r="G249" s="3">
        <v>118</v>
      </c>
      <c r="H249" s="2">
        <f t="shared" si="6"/>
        <v>118</v>
      </c>
      <c r="I249" t="str">
        <f t="shared" si="7"/>
        <v>Aida_118</v>
      </c>
      <c r="J249" s="3">
        <v>0</v>
      </c>
      <c r="K249" s="3">
        <v>0</v>
      </c>
      <c r="L249" s="3">
        <v>0</v>
      </c>
      <c r="M249" s="3">
        <v>0</v>
      </c>
      <c r="N249" s="3">
        <v>118</v>
      </c>
    </row>
    <row r="250" spans="1:14" x14ac:dyDescent="0.2">
      <c r="A250" s="5" t="str">
        <f>HYPERLINK("http://www.ncbi.nlm.nih.gov/protein/21553105","Aif1l")</f>
        <v>Aif1l</v>
      </c>
      <c r="B250" s="4"/>
      <c r="C250" s="3">
        <v>220</v>
      </c>
      <c r="D250" s="3">
        <v>831</v>
      </c>
      <c r="E250" s="3">
        <v>4607</v>
      </c>
      <c r="F250" s="3">
        <v>1080</v>
      </c>
      <c r="G250" s="3">
        <v>13483</v>
      </c>
      <c r="H250" s="2">
        <f t="shared" si="6"/>
        <v>20221</v>
      </c>
      <c r="I250" t="str">
        <f t="shared" si="7"/>
        <v>Aif1l_20221</v>
      </c>
      <c r="J250" s="3">
        <v>220</v>
      </c>
      <c r="K250" s="3">
        <v>831</v>
      </c>
      <c r="L250" s="3">
        <v>4607</v>
      </c>
      <c r="M250" s="3">
        <v>1080</v>
      </c>
      <c r="N250" s="3">
        <v>13483</v>
      </c>
    </row>
    <row r="251" spans="1:14" x14ac:dyDescent="0.2">
      <c r="A251" s="5" t="str">
        <f>HYPERLINK("http://www.ncbi.nlm.nih.gov/protein/6755004","Aifm1")</f>
        <v>Aifm1</v>
      </c>
      <c r="B251" s="4"/>
      <c r="C251" s="3">
        <v>46754</v>
      </c>
      <c r="D251" s="3">
        <v>20441</v>
      </c>
      <c r="E251" s="3">
        <v>6382</v>
      </c>
      <c r="F251" s="3">
        <v>0</v>
      </c>
      <c r="G251" s="3">
        <v>0</v>
      </c>
      <c r="H251" s="2">
        <f t="shared" si="6"/>
        <v>73577</v>
      </c>
      <c r="I251" t="str">
        <f t="shared" si="7"/>
        <v>Aifm1_73577</v>
      </c>
      <c r="J251" s="3">
        <v>46754</v>
      </c>
      <c r="K251" s="3">
        <v>20441</v>
      </c>
      <c r="L251" s="3">
        <v>6382</v>
      </c>
      <c r="M251" s="3">
        <v>0</v>
      </c>
      <c r="N251" s="3">
        <v>0</v>
      </c>
    </row>
    <row r="252" spans="1:14" x14ac:dyDescent="0.2">
      <c r="A252" s="5" t="str">
        <f>HYPERLINK("http://www.ncbi.nlm.nih.gov/protein/262050654","Aifm2")</f>
        <v>Aifm2</v>
      </c>
      <c r="B252" s="4"/>
      <c r="C252" s="3">
        <v>0</v>
      </c>
      <c r="D252" s="3">
        <v>23</v>
      </c>
      <c r="E252" s="3">
        <v>3266</v>
      </c>
      <c r="F252" s="3">
        <v>1359</v>
      </c>
      <c r="G252" s="3">
        <v>0</v>
      </c>
      <c r="H252" s="2">
        <f t="shared" si="6"/>
        <v>4648</v>
      </c>
      <c r="I252" t="str">
        <f t="shared" si="7"/>
        <v>Aifm2_4648</v>
      </c>
      <c r="J252" s="3">
        <v>0</v>
      </c>
      <c r="K252" s="3">
        <v>23</v>
      </c>
      <c r="L252" s="3">
        <v>3266</v>
      </c>
      <c r="M252" s="3">
        <v>1359</v>
      </c>
      <c r="N252" s="3">
        <v>0</v>
      </c>
    </row>
    <row r="253" spans="1:14" x14ac:dyDescent="0.2">
      <c r="A253" s="5" t="str">
        <f>HYPERLINK("http://www.ncbi.nlm.nih.gov/protein/30017355","Aifm2")</f>
        <v>Aifm2</v>
      </c>
      <c r="B253" s="4"/>
      <c r="C253" s="3">
        <v>0</v>
      </c>
      <c r="D253" s="3">
        <v>54</v>
      </c>
      <c r="E253" s="3">
        <v>4908</v>
      </c>
      <c r="F253" s="3">
        <v>1359</v>
      </c>
      <c r="G253" s="3">
        <v>0</v>
      </c>
      <c r="H253" s="2">
        <f t="shared" si="6"/>
        <v>6321</v>
      </c>
      <c r="I253" t="str">
        <f t="shared" si="7"/>
        <v>Aifm2_6321</v>
      </c>
      <c r="J253" s="3">
        <v>0</v>
      </c>
      <c r="K253" s="3">
        <v>54</v>
      </c>
      <c r="L253" s="3">
        <v>4908</v>
      </c>
      <c r="M253" s="3">
        <v>1359</v>
      </c>
      <c r="N253" s="3">
        <v>0</v>
      </c>
    </row>
    <row r="254" spans="1:14" x14ac:dyDescent="0.2">
      <c r="A254" s="5" t="str">
        <f>HYPERLINK("http://www.ncbi.nlm.nih.gov/protein/163965368","Aim1")</f>
        <v>Aim1</v>
      </c>
      <c r="B254" s="4"/>
      <c r="C254" s="3">
        <v>0</v>
      </c>
      <c r="D254" s="3">
        <v>0</v>
      </c>
      <c r="E254" s="3">
        <v>9</v>
      </c>
      <c r="F254" s="3">
        <v>2136</v>
      </c>
      <c r="G254" s="3">
        <v>4905</v>
      </c>
      <c r="H254" s="2">
        <f t="shared" si="6"/>
        <v>7050</v>
      </c>
      <c r="I254" t="str">
        <f t="shared" si="7"/>
        <v>Aim1_7050</v>
      </c>
      <c r="J254" s="3">
        <v>0</v>
      </c>
      <c r="K254" s="3">
        <v>0</v>
      </c>
      <c r="L254" s="3">
        <v>9</v>
      </c>
      <c r="M254" s="3">
        <v>2136</v>
      </c>
      <c r="N254" s="3">
        <v>4905</v>
      </c>
    </row>
    <row r="255" spans="1:14" x14ac:dyDescent="0.2">
      <c r="A255" s="5" t="str">
        <f>HYPERLINK("http://www.ncbi.nlm.nih.gov/protein/126012517","Aimp1")</f>
        <v>Aimp1</v>
      </c>
      <c r="B255" s="4"/>
      <c r="C255" s="3">
        <v>0</v>
      </c>
      <c r="D255" s="3">
        <v>67</v>
      </c>
      <c r="E255" s="3">
        <v>4369</v>
      </c>
      <c r="F255" s="3">
        <v>310405</v>
      </c>
      <c r="G255" s="3">
        <v>13333</v>
      </c>
      <c r="H255" s="2">
        <f t="shared" si="6"/>
        <v>328174</v>
      </c>
      <c r="I255" t="str">
        <f t="shared" si="7"/>
        <v>Aimp1_328174</v>
      </c>
      <c r="J255" s="3">
        <v>0</v>
      </c>
      <c r="K255" s="3">
        <v>67</v>
      </c>
      <c r="L255" s="3">
        <v>4369</v>
      </c>
      <c r="M255" s="3">
        <v>310405</v>
      </c>
      <c r="N255" s="3">
        <v>13333</v>
      </c>
    </row>
    <row r="256" spans="1:14" x14ac:dyDescent="0.2">
      <c r="A256" s="5" t="str">
        <f>HYPERLINK("http://www.ncbi.nlm.nih.gov/protein/22122695","Aimp2")</f>
        <v>Aimp2</v>
      </c>
      <c r="B256" s="4"/>
      <c r="C256" s="3">
        <v>348</v>
      </c>
      <c r="D256" s="3">
        <v>2653</v>
      </c>
      <c r="E256" s="3">
        <v>1184</v>
      </c>
      <c r="F256" s="3">
        <v>120230</v>
      </c>
      <c r="G256" s="3">
        <v>2752</v>
      </c>
      <c r="H256" s="2">
        <f t="shared" si="6"/>
        <v>127167</v>
      </c>
      <c r="I256" t="str">
        <f t="shared" si="7"/>
        <v>Aimp2_127167</v>
      </c>
      <c r="J256" s="3">
        <v>348</v>
      </c>
      <c r="K256" s="3">
        <v>2653</v>
      </c>
      <c r="L256" s="3">
        <v>1184</v>
      </c>
      <c r="M256" s="3">
        <v>120230</v>
      </c>
      <c r="N256" s="3">
        <v>2752</v>
      </c>
    </row>
    <row r="257" spans="1:14" x14ac:dyDescent="0.2">
      <c r="A257" s="5" t="str">
        <f>HYPERLINK("http://www.ncbi.nlm.nih.gov/protein/288541337","Aimp2")</f>
        <v>Aimp2</v>
      </c>
      <c r="B257" s="4"/>
      <c r="C257" s="3">
        <v>348</v>
      </c>
      <c r="D257" s="3">
        <v>4528</v>
      </c>
      <c r="E257" s="3">
        <v>2453</v>
      </c>
      <c r="F257" s="3">
        <v>137370</v>
      </c>
      <c r="G257" s="3">
        <v>8643</v>
      </c>
      <c r="H257" s="2">
        <f t="shared" si="6"/>
        <v>153342</v>
      </c>
      <c r="I257" t="str">
        <f t="shared" si="7"/>
        <v>Aimp2_153342</v>
      </c>
      <c r="J257" s="3">
        <v>348</v>
      </c>
      <c r="K257" s="3">
        <v>4528</v>
      </c>
      <c r="L257" s="3">
        <v>2453</v>
      </c>
      <c r="M257" s="3">
        <v>137370</v>
      </c>
      <c r="N257" s="3">
        <v>8643</v>
      </c>
    </row>
    <row r="258" spans="1:14" x14ac:dyDescent="0.2">
      <c r="A258" s="5" t="str">
        <f>HYPERLINK("http://www.ncbi.nlm.nih.gov/protein/7709982","Aip")</f>
        <v>Aip</v>
      </c>
      <c r="B258" s="4"/>
      <c r="C258" s="3">
        <v>1098</v>
      </c>
      <c r="D258" s="3">
        <v>3835</v>
      </c>
      <c r="E258" s="3">
        <v>1759</v>
      </c>
      <c r="F258" s="3">
        <v>1449</v>
      </c>
      <c r="G258" s="3">
        <v>21515</v>
      </c>
      <c r="H258" s="2">
        <f t="shared" ref="H258:H321" si="8">SUM(C258:G258)</f>
        <v>29656</v>
      </c>
      <c r="I258" t="str">
        <f t="shared" ref="I258:I321" si="9">A258&amp;"_"&amp;H258</f>
        <v>Aip_29656</v>
      </c>
      <c r="J258" s="3">
        <v>1098</v>
      </c>
      <c r="K258" s="3">
        <v>3835</v>
      </c>
      <c r="L258" s="3">
        <v>1759</v>
      </c>
      <c r="M258" s="3">
        <v>1449</v>
      </c>
      <c r="N258" s="3">
        <v>21515</v>
      </c>
    </row>
    <row r="259" spans="1:14" x14ac:dyDescent="0.2">
      <c r="A259" s="5" t="str">
        <f>HYPERLINK("http://www.ncbi.nlm.nih.gov/protein/219283242","AK010878")</f>
        <v>AK010878</v>
      </c>
      <c r="B259" s="4"/>
      <c r="C259" s="3">
        <v>0</v>
      </c>
      <c r="D259" s="3">
        <v>0</v>
      </c>
      <c r="E259" s="3">
        <v>0</v>
      </c>
      <c r="F259" s="3">
        <v>319</v>
      </c>
      <c r="G259" s="3">
        <v>107</v>
      </c>
      <c r="H259" s="2">
        <f t="shared" si="8"/>
        <v>426</v>
      </c>
      <c r="I259" t="str">
        <f t="shared" si="9"/>
        <v>AK010878_426</v>
      </c>
      <c r="J259" s="3">
        <v>0</v>
      </c>
      <c r="K259" s="3">
        <v>0</v>
      </c>
      <c r="L259" s="3">
        <v>0</v>
      </c>
      <c r="M259" s="3">
        <v>319</v>
      </c>
      <c r="N259" s="3">
        <v>107</v>
      </c>
    </row>
    <row r="260" spans="1:14" x14ac:dyDescent="0.2">
      <c r="A260" s="5" t="str">
        <f>HYPERLINK("http://www.ncbi.nlm.nih.gov/protein/34328230","Ak2")</f>
        <v>Ak2</v>
      </c>
      <c r="B260" s="4"/>
      <c r="C260" s="3">
        <v>11771</v>
      </c>
      <c r="D260" s="3">
        <v>8755</v>
      </c>
      <c r="E260" s="3">
        <v>86</v>
      </c>
      <c r="F260" s="3">
        <v>0</v>
      </c>
      <c r="G260" s="3">
        <v>7904</v>
      </c>
      <c r="H260" s="2">
        <f t="shared" si="8"/>
        <v>28516</v>
      </c>
      <c r="I260" t="str">
        <f t="shared" si="9"/>
        <v>Ak2_28516</v>
      </c>
      <c r="J260" s="3">
        <v>11771</v>
      </c>
      <c r="K260" s="3">
        <v>8755</v>
      </c>
      <c r="L260" s="3">
        <v>86</v>
      </c>
      <c r="M260" s="3">
        <v>0</v>
      </c>
      <c r="N260" s="3">
        <v>7904</v>
      </c>
    </row>
    <row r="261" spans="1:14" x14ac:dyDescent="0.2">
      <c r="A261" s="5" t="str">
        <f>HYPERLINK("http://www.ncbi.nlm.nih.gov/protein/77020262","Ak2")</f>
        <v>Ak2</v>
      </c>
      <c r="B261" s="4"/>
      <c r="C261" s="3">
        <v>11771</v>
      </c>
      <c r="D261" s="3">
        <v>8755</v>
      </c>
      <c r="E261" s="3">
        <v>86</v>
      </c>
      <c r="F261" s="3">
        <v>0</v>
      </c>
      <c r="G261" s="3">
        <v>7904</v>
      </c>
      <c r="H261" s="2">
        <f t="shared" si="8"/>
        <v>28516</v>
      </c>
      <c r="I261" t="str">
        <f t="shared" si="9"/>
        <v>Ak2_28516</v>
      </c>
      <c r="J261" s="3">
        <v>11771</v>
      </c>
      <c r="K261" s="3">
        <v>8755</v>
      </c>
      <c r="L261" s="3">
        <v>86</v>
      </c>
      <c r="M261" s="3">
        <v>0</v>
      </c>
      <c r="N261" s="3">
        <v>7904</v>
      </c>
    </row>
    <row r="262" spans="1:14" x14ac:dyDescent="0.2">
      <c r="A262" s="5" t="str">
        <f>HYPERLINK("http://www.ncbi.nlm.nih.gov/protein/23956104","Ak3")</f>
        <v>Ak3</v>
      </c>
      <c r="B262" s="4"/>
      <c r="C262" s="3">
        <v>64785</v>
      </c>
      <c r="D262" s="3">
        <v>23084</v>
      </c>
      <c r="E262" s="3">
        <v>72</v>
      </c>
      <c r="F262" s="3">
        <v>0</v>
      </c>
      <c r="G262" s="3">
        <v>6586</v>
      </c>
      <c r="H262" s="2">
        <f t="shared" si="8"/>
        <v>94527</v>
      </c>
      <c r="I262" t="str">
        <f t="shared" si="9"/>
        <v>Ak3_94527</v>
      </c>
      <c r="J262" s="3">
        <v>64785</v>
      </c>
      <c r="K262" s="3">
        <v>23084</v>
      </c>
      <c r="L262" s="3">
        <v>72</v>
      </c>
      <c r="M262" s="3">
        <v>0</v>
      </c>
      <c r="N262" s="3">
        <v>6586</v>
      </c>
    </row>
    <row r="263" spans="1:14" x14ac:dyDescent="0.2">
      <c r="A263" s="5" t="str">
        <f>HYPERLINK("http://www.ncbi.nlm.nih.gov/protein/13626040","Akap12")</f>
        <v>Akap12</v>
      </c>
      <c r="B263" s="4"/>
      <c r="C263" s="3">
        <v>10142</v>
      </c>
      <c r="D263" s="3">
        <v>19631</v>
      </c>
      <c r="E263" s="3">
        <v>64698</v>
      </c>
      <c r="F263" s="3">
        <v>471169</v>
      </c>
      <c r="G263" s="3">
        <v>551100</v>
      </c>
      <c r="H263" s="2">
        <f t="shared" si="8"/>
        <v>1116740</v>
      </c>
      <c r="I263" t="str">
        <f t="shared" si="9"/>
        <v>Akap12_1116740</v>
      </c>
      <c r="J263" s="3">
        <v>10142</v>
      </c>
      <c r="K263" s="3">
        <v>19631</v>
      </c>
      <c r="L263" s="3">
        <v>64698</v>
      </c>
      <c r="M263" s="3">
        <v>471169</v>
      </c>
      <c r="N263" s="3">
        <v>551100</v>
      </c>
    </row>
    <row r="264" spans="1:14" x14ac:dyDescent="0.2">
      <c r="A264" s="5" t="str">
        <f>HYPERLINK("http://www.ncbi.nlm.nih.gov/protein/189181672","Akap13")</f>
        <v>Akap13</v>
      </c>
      <c r="B264" s="4"/>
      <c r="C264" s="3">
        <v>0</v>
      </c>
      <c r="D264" s="3">
        <v>0</v>
      </c>
      <c r="E264" s="3">
        <v>82</v>
      </c>
      <c r="F264" s="3">
        <v>0</v>
      </c>
      <c r="G264" s="3">
        <v>18956</v>
      </c>
      <c r="H264" s="2">
        <f t="shared" si="8"/>
        <v>19038</v>
      </c>
      <c r="I264" t="str">
        <f t="shared" si="9"/>
        <v>Akap13_19038</v>
      </c>
      <c r="J264" s="3">
        <v>0</v>
      </c>
      <c r="K264" s="3">
        <v>0</v>
      </c>
      <c r="L264" s="3">
        <v>82</v>
      </c>
      <c r="M264" s="3">
        <v>0</v>
      </c>
      <c r="N264" s="3">
        <v>18956</v>
      </c>
    </row>
    <row r="265" spans="1:14" x14ac:dyDescent="0.2">
      <c r="A265" s="5" t="str">
        <f>HYPERLINK("http://www.ncbi.nlm.nih.gov/protein/78711832","Akap2")</f>
        <v>Akap2</v>
      </c>
      <c r="B265" s="4"/>
      <c r="C265" s="3">
        <v>0</v>
      </c>
      <c r="D265" s="3">
        <v>0</v>
      </c>
      <c r="E265" s="3">
        <v>0</v>
      </c>
      <c r="F265" s="3">
        <v>0</v>
      </c>
      <c r="G265" s="3">
        <v>728</v>
      </c>
      <c r="H265" s="2">
        <f t="shared" si="8"/>
        <v>728</v>
      </c>
      <c r="I265" t="str">
        <f t="shared" si="9"/>
        <v>Akap2_728</v>
      </c>
      <c r="J265" s="3">
        <v>0</v>
      </c>
      <c r="K265" s="3">
        <v>0</v>
      </c>
      <c r="L265" s="3">
        <v>0</v>
      </c>
      <c r="M265" s="3">
        <v>0</v>
      </c>
      <c r="N265" s="3">
        <v>728</v>
      </c>
    </row>
    <row r="266" spans="1:14" x14ac:dyDescent="0.2">
      <c r="A266" s="5" t="str">
        <f>HYPERLINK("http://www.ncbi.nlm.nih.gov/protein/78711834","Akap2")</f>
        <v>Akap2</v>
      </c>
      <c r="B266" s="4"/>
      <c r="C266" s="3">
        <v>0</v>
      </c>
      <c r="D266" s="3">
        <v>0</v>
      </c>
      <c r="E266" s="3">
        <v>0</v>
      </c>
      <c r="F266" s="3">
        <v>0</v>
      </c>
      <c r="G266" s="3">
        <v>728</v>
      </c>
      <c r="H266" s="2">
        <f t="shared" si="8"/>
        <v>728</v>
      </c>
      <c r="I266" t="str">
        <f t="shared" si="9"/>
        <v>Akap2_728</v>
      </c>
      <c r="J266" s="3">
        <v>0</v>
      </c>
      <c r="K266" s="3">
        <v>0</v>
      </c>
      <c r="L266" s="3">
        <v>0</v>
      </c>
      <c r="M266" s="3">
        <v>0</v>
      </c>
      <c r="N266" s="3">
        <v>728</v>
      </c>
    </row>
    <row r="267" spans="1:14" x14ac:dyDescent="0.2">
      <c r="A267" s="5" t="str">
        <f>HYPERLINK("http://www.ncbi.nlm.nih.gov/protein/78711836","Akap2")</f>
        <v>Akap2</v>
      </c>
      <c r="B267" s="4"/>
      <c r="C267" s="3">
        <v>0</v>
      </c>
      <c r="D267" s="3">
        <v>0</v>
      </c>
      <c r="E267" s="3">
        <v>0</v>
      </c>
      <c r="F267" s="3">
        <v>0</v>
      </c>
      <c r="G267" s="3">
        <v>728</v>
      </c>
      <c r="H267" s="2">
        <f t="shared" si="8"/>
        <v>728</v>
      </c>
      <c r="I267" t="str">
        <f t="shared" si="9"/>
        <v>Akap2_728</v>
      </c>
      <c r="J267" s="3">
        <v>0</v>
      </c>
      <c r="K267" s="3">
        <v>0</v>
      </c>
      <c r="L267" s="3">
        <v>0</v>
      </c>
      <c r="M267" s="3">
        <v>0</v>
      </c>
      <c r="N267" s="3">
        <v>728</v>
      </c>
    </row>
    <row r="268" spans="1:14" x14ac:dyDescent="0.2">
      <c r="A268" s="5" t="str">
        <f>HYPERLINK("http://www.ncbi.nlm.nih.gov/protein/31560394","Akap8")</f>
        <v>Akap8</v>
      </c>
      <c r="B268" s="4"/>
      <c r="C268" s="3">
        <v>0</v>
      </c>
      <c r="D268" s="3">
        <v>0</v>
      </c>
      <c r="E268" s="3">
        <v>310</v>
      </c>
      <c r="F268" s="3">
        <v>10175</v>
      </c>
      <c r="G268" s="3">
        <v>19620</v>
      </c>
      <c r="H268" s="2">
        <f t="shared" si="8"/>
        <v>30105</v>
      </c>
      <c r="I268" t="str">
        <f t="shared" si="9"/>
        <v>Akap8_30105</v>
      </c>
      <c r="J268" s="3">
        <v>0</v>
      </c>
      <c r="K268" s="3">
        <v>0</v>
      </c>
      <c r="L268" s="3">
        <v>310</v>
      </c>
      <c r="M268" s="3">
        <v>10175</v>
      </c>
      <c r="N268" s="3">
        <v>19620</v>
      </c>
    </row>
    <row r="269" spans="1:14" x14ac:dyDescent="0.2">
      <c r="A269" s="5" t="str">
        <f>HYPERLINK("http://www.ncbi.nlm.nih.gov/protein/125661048","Akap9")</f>
        <v>Akap9</v>
      </c>
      <c r="B269" s="4"/>
      <c r="C269" s="3">
        <v>0</v>
      </c>
      <c r="D269" s="3">
        <v>165</v>
      </c>
      <c r="E269" s="3">
        <v>329</v>
      </c>
      <c r="F269" s="3">
        <v>3012</v>
      </c>
      <c r="G269" s="3">
        <v>16803</v>
      </c>
      <c r="H269" s="2">
        <f t="shared" si="8"/>
        <v>20309</v>
      </c>
      <c r="I269" t="str">
        <f t="shared" si="9"/>
        <v>Akap9_20309</v>
      </c>
      <c r="J269" s="3">
        <v>0</v>
      </c>
      <c r="K269" s="3">
        <v>165</v>
      </c>
      <c r="L269" s="3">
        <v>329</v>
      </c>
      <c r="M269" s="3">
        <v>3012</v>
      </c>
      <c r="N269" s="3">
        <v>16803</v>
      </c>
    </row>
    <row r="270" spans="1:14" x14ac:dyDescent="0.2">
      <c r="A270" s="5" t="str">
        <f>HYPERLINK("http://www.ncbi.nlm.nih.gov/protein/10946870","Akr1a1")</f>
        <v>Akr1a1</v>
      </c>
      <c r="B270" s="4"/>
      <c r="C270" s="3">
        <v>0</v>
      </c>
      <c r="D270" s="3">
        <v>6187</v>
      </c>
      <c r="E270" s="3">
        <v>6885</v>
      </c>
      <c r="F270" s="3">
        <v>5763</v>
      </c>
      <c r="G270" s="3">
        <v>160300</v>
      </c>
      <c r="H270" s="2">
        <f t="shared" si="8"/>
        <v>179135</v>
      </c>
      <c r="I270" t="str">
        <f t="shared" si="9"/>
        <v>Akr1a1_179135</v>
      </c>
      <c r="J270" s="3">
        <v>0</v>
      </c>
      <c r="K270" s="3">
        <v>6187</v>
      </c>
      <c r="L270" s="3">
        <v>6885</v>
      </c>
      <c r="M270" s="3">
        <v>5763</v>
      </c>
      <c r="N270" s="3">
        <v>160300</v>
      </c>
    </row>
    <row r="271" spans="1:14" x14ac:dyDescent="0.2">
      <c r="A271" s="5" t="str">
        <f>HYPERLINK("http://www.ncbi.nlm.nih.gov/protein/71067102","Akr1b10")</f>
        <v>Akr1b10</v>
      </c>
      <c r="B271" s="4"/>
      <c r="C271" s="3">
        <v>2783</v>
      </c>
      <c r="D271" s="3">
        <v>0</v>
      </c>
      <c r="E271" s="3">
        <v>413</v>
      </c>
      <c r="F271" s="3">
        <v>0</v>
      </c>
      <c r="G271" s="3">
        <v>11288</v>
      </c>
      <c r="H271" s="2">
        <f t="shared" si="8"/>
        <v>14484</v>
      </c>
      <c r="I271" t="str">
        <f t="shared" si="9"/>
        <v>Akr1b10_14484</v>
      </c>
      <c r="J271" s="3">
        <v>2783</v>
      </c>
      <c r="K271" s="3">
        <v>0</v>
      </c>
      <c r="L271" s="3">
        <v>413</v>
      </c>
      <c r="M271" s="3">
        <v>0</v>
      </c>
      <c r="N271" s="3">
        <v>11288</v>
      </c>
    </row>
    <row r="272" spans="1:14" x14ac:dyDescent="0.2">
      <c r="A272" s="5" t="str">
        <f>HYPERLINK("http://www.ncbi.nlm.nih.gov/protein/160707894","Akr1b3")</f>
        <v>Akr1b3</v>
      </c>
      <c r="B272" s="4"/>
      <c r="C272" s="3">
        <v>65005</v>
      </c>
      <c r="D272" s="3">
        <v>34156</v>
      </c>
      <c r="E272" s="3">
        <v>55223</v>
      </c>
      <c r="F272" s="3">
        <v>31203</v>
      </c>
      <c r="G272" s="3">
        <v>474549</v>
      </c>
      <c r="H272" s="2">
        <f t="shared" si="8"/>
        <v>660136</v>
      </c>
      <c r="I272" t="str">
        <f t="shared" si="9"/>
        <v>Akr1b3_660136</v>
      </c>
      <c r="J272" s="3">
        <v>65005</v>
      </c>
      <c r="K272" s="3">
        <v>34156</v>
      </c>
      <c r="L272" s="3">
        <v>55223</v>
      </c>
      <c r="M272" s="3">
        <v>31203</v>
      </c>
      <c r="N272" s="3">
        <v>474549</v>
      </c>
    </row>
    <row r="273" spans="1:14" x14ac:dyDescent="0.2">
      <c r="A273" s="5" t="str">
        <f>HYPERLINK("http://www.ncbi.nlm.nih.gov/protein/160415215","Akr1b7")</f>
        <v>Akr1b7</v>
      </c>
      <c r="B273" s="4"/>
      <c r="C273" s="3">
        <v>2783</v>
      </c>
      <c r="D273" s="3">
        <v>0</v>
      </c>
      <c r="E273" s="3">
        <v>243</v>
      </c>
      <c r="F273" s="3">
        <v>0</v>
      </c>
      <c r="G273" s="3">
        <v>9071</v>
      </c>
      <c r="H273" s="2">
        <f t="shared" si="8"/>
        <v>12097</v>
      </c>
      <c r="I273" t="str">
        <f t="shared" si="9"/>
        <v>Akr1b7_12097</v>
      </c>
      <c r="J273" s="3">
        <v>2783</v>
      </c>
      <c r="K273" s="3">
        <v>0</v>
      </c>
      <c r="L273" s="3">
        <v>243</v>
      </c>
      <c r="M273" s="3">
        <v>0</v>
      </c>
      <c r="N273" s="3">
        <v>9071</v>
      </c>
    </row>
    <row r="274" spans="1:14" x14ac:dyDescent="0.2">
      <c r="A274" s="5" t="str">
        <f>HYPERLINK("http://www.ncbi.nlm.nih.gov/protein/6679791","Akr1b8")</f>
        <v>Akr1b8</v>
      </c>
      <c r="B274" s="4"/>
      <c r="C274" s="3">
        <v>2783</v>
      </c>
      <c r="D274" s="3">
        <v>0</v>
      </c>
      <c r="E274" s="3">
        <v>42</v>
      </c>
      <c r="F274" s="3">
        <v>0</v>
      </c>
      <c r="G274" s="3">
        <v>13387</v>
      </c>
      <c r="H274" s="2">
        <f t="shared" si="8"/>
        <v>16212</v>
      </c>
      <c r="I274" t="str">
        <f t="shared" si="9"/>
        <v>Akr1b8_16212</v>
      </c>
      <c r="J274" s="3">
        <v>2783</v>
      </c>
      <c r="K274" s="3">
        <v>0</v>
      </c>
      <c r="L274" s="3">
        <v>42</v>
      </c>
      <c r="M274" s="3">
        <v>0</v>
      </c>
      <c r="N274" s="3">
        <v>13387</v>
      </c>
    </row>
    <row r="275" spans="1:14" x14ac:dyDescent="0.2">
      <c r="A275" s="5" t="str">
        <f>HYPERLINK("http://www.ncbi.nlm.nih.gov/protein/85719330","Akr1c12")</f>
        <v>Akr1c12</v>
      </c>
      <c r="B275" s="4"/>
      <c r="C275" s="3">
        <v>2783</v>
      </c>
      <c r="D275" s="3">
        <v>1108</v>
      </c>
      <c r="E275" s="3">
        <v>1838</v>
      </c>
      <c r="F275" s="3">
        <v>0</v>
      </c>
      <c r="G275" s="3">
        <v>9339</v>
      </c>
      <c r="H275" s="2">
        <f t="shared" si="8"/>
        <v>15068</v>
      </c>
      <c r="I275" t="str">
        <f t="shared" si="9"/>
        <v>Akr1c12_15068</v>
      </c>
      <c r="J275" s="3">
        <v>2783</v>
      </c>
      <c r="K275" s="3">
        <v>1108</v>
      </c>
      <c r="L275" s="3">
        <v>1838</v>
      </c>
      <c r="M275" s="3">
        <v>0</v>
      </c>
      <c r="N275" s="3">
        <v>9339</v>
      </c>
    </row>
    <row r="276" spans="1:14" x14ac:dyDescent="0.2">
      <c r="A276" s="5" t="str">
        <f>HYPERLINK("http://www.ncbi.nlm.nih.gov/protein/171846276","Akr1c13")</f>
        <v>Akr1c13</v>
      </c>
      <c r="B276" s="4"/>
      <c r="C276" s="3">
        <v>2783</v>
      </c>
      <c r="D276" s="3">
        <v>1858</v>
      </c>
      <c r="E276" s="3">
        <v>2360</v>
      </c>
      <c r="F276" s="3">
        <v>0</v>
      </c>
      <c r="G276" s="3">
        <v>13558</v>
      </c>
      <c r="H276" s="2">
        <f t="shared" si="8"/>
        <v>20559</v>
      </c>
      <c r="I276" t="str">
        <f t="shared" si="9"/>
        <v>Akr1c13_20559</v>
      </c>
      <c r="J276" s="3">
        <v>2783</v>
      </c>
      <c r="K276" s="3">
        <v>1858</v>
      </c>
      <c r="L276" s="3">
        <v>2360</v>
      </c>
      <c r="M276" s="3">
        <v>0</v>
      </c>
      <c r="N276" s="3">
        <v>13558</v>
      </c>
    </row>
    <row r="277" spans="1:14" x14ac:dyDescent="0.2">
      <c r="A277" s="5" t="str">
        <f>HYPERLINK("http://www.ncbi.nlm.nih.gov/protein/282398141","Akr1c19")</f>
        <v>Akr1c19</v>
      </c>
      <c r="B277" s="4"/>
      <c r="C277" s="3">
        <v>3808</v>
      </c>
      <c r="D277" s="3">
        <v>5035</v>
      </c>
      <c r="E277" s="3">
        <v>8318</v>
      </c>
      <c r="F277" s="3">
        <v>5214</v>
      </c>
      <c r="G277" s="3">
        <v>96418</v>
      </c>
      <c r="H277" s="2">
        <f t="shared" si="8"/>
        <v>118793</v>
      </c>
      <c r="I277" t="str">
        <f t="shared" si="9"/>
        <v>Akr1c19_118793</v>
      </c>
      <c r="J277" s="3">
        <v>3808</v>
      </c>
      <c r="K277" s="3">
        <v>5035</v>
      </c>
      <c r="L277" s="3">
        <v>8318</v>
      </c>
      <c r="M277" s="3">
        <v>5214</v>
      </c>
      <c r="N277" s="3">
        <v>96418</v>
      </c>
    </row>
    <row r="278" spans="1:14" x14ac:dyDescent="0.2">
      <c r="A278" s="5" t="str">
        <f>HYPERLINK("http://www.ncbi.nlm.nih.gov/protein/93277108","Akr1e1")</f>
        <v>Akr1e1</v>
      </c>
      <c r="B278" s="4"/>
      <c r="C278" s="3">
        <v>0</v>
      </c>
      <c r="D278" s="3">
        <v>3490</v>
      </c>
      <c r="E278" s="3">
        <v>1573</v>
      </c>
      <c r="F278" s="3">
        <v>5059</v>
      </c>
      <c r="G278" s="3">
        <v>163888</v>
      </c>
      <c r="H278" s="2">
        <f t="shared" si="8"/>
        <v>174010</v>
      </c>
      <c r="I278" t="str">
        <f t="shared" si="9"/>
        <v>Akr1e1_174010</v>
      </c>
      <c r="J278" s="3">
        <v>0</v>
      </c>
      <c r="K278" s="3">
        <v>3490</v>
      </c>
      <c r="L278" s="3">
        <v>1573</v>
      </c>
      <c r="M278" s="3">
        <v>5059</v>
      </c>
      <c r="N278" s="3">
        <v>163888</v>
      </c>
    </row>
    <row r="279" spans="1:14" x14ac:dyDescent="0.2">
      <c r="A279" s="5" t="str">
        <f>HYPERLINK("http://www.ncbi.nlm.nih.gov/protein/240120054","Akr7a5")</f>
        <v>Akr7a5</v>
      </c>
      <c r="B279" s="4"/>
      <c r="C279" s="3">
        <v>220</v>
      </c>
      <c r="D279" s="3">
        <v>1754</v>
      </c>
      <c r="E279" s="3">
        <v>559</v>
      </c>
      <c r="F279" s="3">
        <v>663</v>
      </c>
      <c r="G279" s="3">
        <v>12723</v>
      </c>
      <c r="H279" s="2">
        <f t="shared" si="8"/>
        <v>15919</v>
      </c>
      <c r="I279" t="str">
        <f t="shared" si="9"/>
        <v>Akr7a5_15919</v>
      </c>
      <c r="J279" s="3">
        <v>220</v>
      </c>
      <c r="K279" s="3">
        <v>1754</v>
      </c>
      <c r="L279" s="3">
        <v>559</v>
      </c>
      <c r="M279" s="3">
        <v>663</v>
      </c>
      <c r="N279" s="3">
        <v>12723</v>
      </c>
    </row>
    <row r="280" spans="1:14" x14ac:dyDescent="0.2">
      <c r="A280" s="5" t="str">
        <f>HYPERLINK("http://www.ncbi.nlm.nih.gov/protein/260166608","Akt1")</f>
        <v>Akt1</v>
      </c>
      <c r="B280" s="4"/>
      <c r="C280" s="3">
        <v>0</v>
      </c>
      <c r="D280" s="3">
        <v>1192</v>
      </c>
      <c r="E280" s="3">
        <v>237</v>
      </c>
      <c r="F280" s="3">
        <v>8136</v>
      </c>
      <c r="G280" s="3">
        <v>13494</v>
      </c>
      <c r="H280" s="2">
        <f t="shared" si="8"/>
        <v>23059</v>
      </c>
      <c r="I280" t="str">
        <f t="shared" si="9"/>
        <v>Akt1_23059</v>
      </c>
      <c r="J280" s="3">
        <v>0</v>
      </c>
      <c r="K280" s="3">
        <v>1192</v>
      </c>
      <c r="L280" s="3">
        <v>237</v>
      </c>
      <c r="M280" s="3">
        <v>8136</v>
      </c>
      <c r="N280" s="3">
        <v>13494</v>
      </c>
    </row>
    <row r="281" spans="1:14" x14ac:dyDescent="0.2">
      <c r="A281" s="5" t="str">
        <f>HYPERLINK("http://www.ncbi.nlm.nih.gov/protein/6753034","Akt1")</f>
        <v>Akt1</v>
      </c>
      <c r="B281" s="4"/>
      <c r="C281" s="3">
        <v>0</v>
      </c>
      <c r="D281" s="3">
        <v>1192</v>
      </c>
      <c r="E281" s="3">
        <v>237</v>
      </c>
      <c r="F281" s="3">
        <v>8136</v>
      </c>
      <c r="G281" s="3">
        <v>13494</v>
      </c>
      <c r="H281" s="2">
        <f t="shared" si="8"/>
        <v>23059</v>
      </c>
      <c r="I281" t="str">
        <f t="shared" si="9"/>
        <v>Akt1_23059</v>
      </c>
      <c r="J281" s="3">
        <v>0</v>
      </c>
      <c r="K281" s="3">
        <v>1192</v>
      </c>
      <c r="L281" s="3">
        <v>237</v>
      </c>
      <c r="M281" s="3">
        <v>8136</v>
      </c>
      <c r="N281" s="3">
        <v>13494</v>
      </c>
    </row>
    <row r="282" spans="1:14" x14ac:dyDescent="0.2">
      <c r="A282" s="5" t="str">
        <f>HYPERLINK("http://www.ncbi.nlm.nih.gov/protein/21312878","Akt1s1")</f>
        <v>Akt1s1</v>
      </c>
      <c r="B282" s="4"/>
      <c r="C282" s="3">
        <v>0</v>
      </c>
      <c r="D282" s="3">
        <v>0</v>
      </c>
      <c r="E282" s="3">
        <v>0</v>
      </c>
      <c r="F282" s="3">
        <v>0</v>
      </c>
      <c r="G282" s="3">
        <v>86</v>
      </c>
      <c r="H282" s="2">
        <f t="shared" si="8"/>
        <v>86</v>
      </c>
      <c r="I282" t="str">
        <f t="shared" si="9"/>
        <v>Akt1s1_86</v>
      </c>
      <c r="J282" s="3">
        <v>0</v>
      </c>
      <c r="K282" s="3">
        <v>0</v>
      </c>
      <c r="L282" s="3">
        <v>0</v>
      </c>
      <c r="M282" s="3">
        <v>0</v>
      </c>
      <c r="N282" s="3">
        <v>86</v>
      </c>
    </row>
    <row r="283" spans="1:14" x14ac:dyDescent="0.2">
      <c r="A283" s="5" t="str">
        <f>HYPERLINK("http://www.ncbi.nlm.nih.gov/protein/6680674","Akt2")</f>
        <v>Akt2</v>
      </c>
      <c r="B283" s="4"/>
      <c r="C283" s="3">
        <v>0</v>
      </c>
      <c r="D283" s="3">
        <v>119</v>
      </c>
      <c r="E283" s="3">
        <v>0</v>
      </c>
      <c r="F283" s="3">
        <v>1293</v>
      </c>
      <c r="G283" s="3">
        <v>3191</v>
      </c>
      <c r="H283" s="2">
        <f t="shared" si="8"/>
        <v>4603</v>
      </c>
      <c r="I283" t="str">
        <f t="shared" si="9"/>
        <v>Akt2_4603</v>
      </c>
      <c r="J283" s="3">
        <v>0</v>
      </c>
      <c r="K283" s="3">
        <v>119</v>
      </c>
      <c r="L283" s="3">
        <v>0</v>
      </c>
      <c r="M283" s="3">
        <v>1293</v>
      </c>
      <c r="N283" s="3">
        <v>3191</v>
      </c>
    </row>
    <row r="284" spans="1:14" x14ac:dyDescent="0.2">
      <c r="A284" s="5" t="str">
        <f>HYPERLINK("http://www.ncbi.nlm.nih.gov/protein/190883484","Akt3")</f>
        <v>Akt3</v>
      </c>
      <c r="B284" s="4"/>
      <c r="C284" s="3">
        <v>0</v>
      </c>
      <c r="D284" s="3">
        <v>119</v>
      </c>
      <c r="E284" s="3">
        <v>0</v>
      </c>
      <c r="F284" s="3">
        <v>1228</v>
      </c>
      <c r="G284" s="3">
        <v>2688</v>
      </c>
      <c r="H284" s="2">
        <f t="shared" si="8"/>
        <v>4035</v>
      </c>
      <c r="I284" t="str">
        <f t="shared" si="9"/>
        <v>Akt3_4035</v>
      </c>
      <c r="J284" s="3">
        <v>0</v>
      </c>
      <c r="K284" s="3">
        <v>119</v>
      </c>
      <c r="L284" s="3">
        <v>0</v>
      </c>
      <c r="M284" s="3">
        <v>1228</v>
      </c>
      <c r="N284" s="3">
        <v>2688</v>
      </c>
    </row>
    <row r="285" spans="1:14" x14ac:dyDescent="0.2">
      <c r="A285" s="5" t="str">
        <f>HYPERLINK("http://www.ncbi.nlm.nih.gov/protein/6753918","Aktip")</f>
        <v>Aktip</v>
      </c>
      <c r="B285" s="4"/>
      <c r="C285" s="3">
        <v>0</v>
      </c>
      <c r="D285" s="3">
        <v>706</v>
      </c>
      <c r="E285" s="3">
        <v>160</v>
      </c>
      <c r="F285" s="3">
        <v>1408</v>
      </c>
      <c r="G285" s="3">
        <v>3256</v>
      </c>
      <c r="H285" s="2">
        <f t="shared" si="8"/>
        <v>5530</v>
      </c>
      <c r="I285" t="str">
        <f t="shared" si="9"/>
        <v>Aktip_5530</v>
      </c>
      <c r="J285" s="3">
        <v>0</v>
      </c>
      <c r="K285" s="3">
        <v>706</v>
      </c>
      <c r="L285" s="3">
        <v>160</v>
      </c>
      <c r="M285" s="3">
        <v>1408</v>
      </c>
      <c r="N285" s="3">
        <v>3256</v>
      </c>
    </row>
    <row r="286" spans="1:14" x14ac:dyDescent="0.2">
      <c r="A286" s="5" t="str">
        <f>HYPERLINK("http://www.ncbi.nlm.nih.gov/protein/34328485","Alad")</f>
        <v>Alad</v>
      </c>
      <c r="B286" s="4"/>
      <c r="C286" s="3">
        <v>7670</v>
      </c>
      <c r="D286" s="3">
        <v>14410</v>
      </c>
      <c r="E286" s="3">
        <v>23726</v>
      </c>
      <c r="F286" s="3">
        <v>111340</v>
      </c>
      <c r="G286" s="3">
        <v>186827</v>
      </c>
      <c r="H286" s="2">
        <f t="shared" si="8"/>
        <v>343973</v>
      </c>
      <c r="I286" t="str">
        <f t="shared" si="9"/>
        <v>Alad_343973</v>
      </c>
      <c r="J286" s="3">
        <v>7670</v>
      </c>
      <c r="K286" s="3">
        <v>14410</v>
      </c>
      <c r="L286" s="3">
        <v>23726</v>
      </c>
      <c r="M286" s="3">
        <v>111340</v>
      </c>
      <c r="N286" s="3">
        <v>186827</v>
      </c>
    </row>
    <row r="287" spans="1:14" x14ac:dyDescent="0.2">
      <c r="A287" s="5" t="str">
        <f>HYPERLINK("http://www.ncbi.nlm.nih.gov/protein/163310765","Alb")</f>
        <v>Alb</v>
      </c>
      <c r="B287" s="4"/>
      <c r="C287" s="3">
        <v>0</v>
      </c>
      <c r="D287" s="3">
        <v>13</v>
      </c>
      <c r="E287" s="3">
        <v>0</v>
      </c>
      <c r="F287" s="3">
        <v>0</v>
      </c>
      <c r="G287" s="3">
        <v>0</v>
      </c>
      <c r="H287" s="2">
        <f t="shared" si="8"/>
        <v>13</v>
      </c>
      <c r="I287" t="str">
        <f t="shared" si="9"/>
        <v>Alb_13</v>
      </c>
      <c r="J287" s="3">
        <v>0</v>
      </c>
      <c r="K287" s="3">
        <v>13</v>
      </c>
      <c r="L287" s="3">
        <v>0</v>
      </c>
      <c r="M287" s="3">
        <v>0</v>
      </c>
      <c r="N287" s="3">
        <v>0</v>
      </c>
    </row>
    <row r="288" spans="1:14" x14ac:dyDescent="0.2">
      <c r="A288" s="5" t="str">
        <f>HYPERLINK("http://www.ncbi.nlm.nih.gov/protein/31791059","Alcam")</f>
        <v>Alcam</v>
      </c>
      <c r="B288" s="4"/>
      <c r="C288" s="3">
        <v>42232</v>
      </c>
      <c r="D288" s="3">
        <v>10246</v>
      </c>
      <c r="E288" s="3">
        <v>30857</v>
      </c>
      <c r="F288" s="3">
        <v>0</v>
      </c>
      <c r="G288" s="3">
        <v>0</v>
      </c>
      <c r="H288" s="2">
        <f t="shared" si="8"/>
        <v>83335</v>
      </c>
      <c r="I288" t="str">
        <f t="shared" si="9"/>
        <v>Alcam_83335</v>
      </c>
      <c r="J288" s="3">
        <v>42232</v>
      </c>
      <c r="K288" s="3">
        <v>10246</v>
      </c>
      <c r="L288" s="3">
        <v>30857</v>
      </c>
      <c r="M288" s="3">
        <v>0</v>
      </c>
      <c r="N288" s="3">
        <v>0</v>
      </c>
    </row>
    <row r="289" spans="1:14" x14ac:dyDescent="0.2">
      <c r="A289" s="5" t="str">
        <f>HYPERLINK("http://www.ncbi.nlm.nih.gov/protein/26080429","Aldh16a1")</f>
        <v>Aldh16a1</v>
      </c>
      <c r="B289" s="4"/>
      <c r="C289" s="3">
        <v>0</v>
      </c>
      <c r="D289" s="3">
        <v>33</v>
      </c>
      <c r="E289" s="3">
        <v>1080</v>
      </c>
      <c r="F289" s="3">
        <v>46306</v>
      </c>
      <c r="G289" s="3">
        <v>4509</v>
      </c>
      <c r="H289" s="2">
        <f t="shared" si="8"/>
        <v>51928</v>
      </c>
      <c r="I289" t="str">
        <f t="shared" si="9"/>
        <v>Aldh16a1_51928</v>
      </c>
      <c r="J289" s="3">
        <v>0</v>
      </c>
      <c r="K289" s="3">
        <v>33</v>
      </c>
      <c r="L289" s="3">
        <v>1080</v>
      </c>
      <c r="M289" s="3">
        <v>46306</v>
      </c>
      <c r="N289" s="3">
        <v>4509</v>
      </c>
    </row>
    <row r="290" spans="1:14" x14ac:dyDescent="0.2">
      <c r="A290" s="5" t="str">
        <f>HYPERLINK("http://www.ncbi.nlm.nih.gov/protein/255958292","Aldh18a1")</f>
        <v>Aldh18a1</v>
      </c>
      <c r="B290" s="4"/>
      <c r="C290" s="3">
        <v>70332</v>
      </c>
      <c r="D290" s="3">
        <v>12995</v>
      </c>
      <c r="E290" s="3">
        <v>275</v>
      </c>
      <c r="F290" s="3">
        <v>57</v>
      </c>
      <c r="G290" s="3">
        <v>129</v>
      </c>
      <c r="H290" s="2">
        <f t="shared" si="8"/>
        <v>83788</v>
      </c>
      <c r="I290" t="str">
        <f t="shared" si="9"/>
        <v>Aldh18a1_83788</v>
      </c>
      <c r="J290" s="3">
        <v>70332</v>
      </c>
      <c r="K290" s="3">
        <v>12995</v>
      </c>
      <c r="L290" s="3">
        <v>275</v>
      </c>
      <c r="M290" s="3">
        <v>57</v>
      </c>
      <c r="N290" s="3">
        <v>129</v>
      </c>
    </row>
    <row r="291" spans="1:14" x14ac:dyDescent="0.2">
      <c r="A291" s="5" t="str">
        <f>HYPERLINK("http://www.ncbi.nlm.nih.gov/protein/255958294","Aldh18a1")</f>
        <v>Aldh18a1</v>
      </c>
      <c r="B291" s="4"/>
      <c r="C291" s="3">
        <v>70332</v>
      </c>
      <c r="D291" s="3">
        <v>12995</v>
      </c>
      <c r="E291" s="3">
        <v>275</v>
      </c>
      <c r="F291" s="3">
        <v>57</v>
      </c>
      <c r="G291" s="3">
        <v>129</v>
      </c>
      <c r="H291" s="2">
        <f t="shared" si="8"/>
        <v>83788</v>
      </c>
      <c r="I291" t="str">
        <f t="shared" si="9"/>
        <v>Aldh18a1_83788</v>
      </c>
      <c r="J291" s="3">
        <v>70332</v>
      </c>
      <c r="K291" s="3">
        <v>12995</v>
      </c>
      <c r="L291" s="3">
        <v>275</v>
      </c>
      <c r="M291" s="3">
        <v>57</v>
      </c>
      <c r="N291" s="3">
        <v>129</v>
      </c>
    </row>
    <row r="292" spans="1:14" x14ac:dyDescent="0.2">
      <c r="A292" s="5" t="str">
        <f>HYPERLINK("http://www.ncbi.nlm.nih.gov/protein/85861182","Aldh1a1")</f>
        <v>Aldh1a1</v>
      </c>
      <c r="B292" s="4"/>
      <c r="C292" s="3">
        <v>0</v>
      </c>
      <c r="D292" s="3">
        <v>0</v>
      </c>
      <c r="E292" s="3">
        <v>0</v>
      </c>
      <c r="F292" s="3">
        <v>3495</v>
      </c>
      <c r="G292" s="3">
        <v>8203</v>
      </c>
      <c r="H292" s="2">
        <f t="shared" si="8"/>
        <v>11698</v>
      </c>
      <c r="I292" t="str">
        <f t="shared" si="9"/>
        <v>Aldh1a1_11698</v>
      </c>
      <c r="J292" s="3">
        <v>0</v>
      </c>
      <c r="K292" s="3">
        <v>0</v>
      </c>
      <c r="L292" s="3">
        <v>0</v>
      </c>
      <c r="M292" s="3">
        <v>3495</v>
      </c>
      <c r="N292" s="3">
        <v>8203</v>
      </c>
    </row>
    <row r="293" spans="1:14" x14ac:dyDescent="0.2">
      <c r="A293" s="5" t="str">
        <f>HYPERLINK("http://www.ncbi.nlm.nih.gov/protein/7106242","Aldh1a7")</f>
        <v>Aldh1a7</v>
      </c>
      <c r="B293" s="4"/>
      <c r="C293" s="3">
        <v>0</v>
      </c>
      <c r="D293" s="3">
        <v>0</v>
      </c>
      <c r="E293" s="3">
        <v>0</v>
      </c>
      <c r="F293" s="3">
        <v>1678</v>
      </c>
      <c r="G293" s="3">
        <v>4584</v>
      </c>
      <c r="H293" s="2">
        <f t="shared" si="8"/>
        <v>6262</v>
      </c>
      <c r="I293" t="str">
        <f t="shared" si="9"/>
        <v>Aldh1a7_6262</v>
      </c>
      <c r="J293" s="3">
        <v>0</v>
      </c>
      <c r="K293" s="3">
        <v>0</v>
      </c>
      <c r="L293" s="3">
        <v>0</v>
      </c>
      <c r="M293" s="3">
        <v>1678</v>
      </c>
      <c r="N293" s="3">
        <v>4584</v>
      </c>
    </row>
    <row r="294" spans="1:14" x14ac:dyDescent="0.2">
      <c r="A294" s="5" t="str">
        <f>HYPERLINK("http://www.ncbi.nlm.nih.gov/protein/6753036","Aldh2")</f>
        <v>Aldh2</v>
      </c>
      <c r="B294" s="4"/>
      <c r="C294" s="3">
        <v>5968</v>
      </c>
      <c r="D294" s="3">
        <v>9728</v>
      </c>
      <c r="E294" s="3">
        <v>518</v>
      </c>
      <c r="F294" s="3">
        <v>0</v>
      </c>
      <c r="G294" s="3">
        <v>0</v>
      </c>
      <c r="H294" s="2">
        <f t="shared" si="8"/>
        <v>16214</v>
      </c>
      <c r="I294" t="str">
        <f t="shared" si="9"/>
        <v>Aldh2_16214</v>
      </c>
      <c r="J294" s="3">
        <v>5968</v>
      </c>
      <c r="K294" s="3">
        <v>9728</v>
      </c>
      <c r="L294" s="3">
        <v>518</v>
      </c>
      <c r="M294" s="3">
        <v>0</v>
      </c>
      <c r="N294" s="3">
        <v>0</v>
      </c>
    </row>
    <row r="295" spans="1:14" x14ac:dyDescent="0.2">
      <c r="A295" s="5" t="str">
        <f>HYPERLINK("http://www.ncbi.nlm.nih.gov/protein/163310769","Aldh3a1")</f>
        <v>Aldh3a1</v>
      </c>
      <c r="B295" s="4"/>
      <c r="C295" s="3">
        <v>0</v>
      </c>
      <c r="D295" s="3">
        <v>1424</v>
      </c>
      <c r="E295" s="3">
        <v>1023</v>
      </c>
      <c r="F295" s="3">
        <v>0</v>
      </c>
      <c r="G295" s="3">
        <v>0</v>
      </c>
      <c r="H295" s="2">
        <f t="shared" si="8"/>
        <v>2447</v>
      </c>
      <c r="I295" t="str">
        <f t="shared" si="9"/>
        <v>Aldh3a1_2447</v>
      </c>
      <c r="J295" s="3">
        <v>0</v>
      </c>
      <c r="K295" s="3">
        <v>1424</v>
      </c>
      <c r="L295" s="3">
        <v>1023</v>
      </c>
      <c r="M295" s="3">
        <v>0</v>
      </c>
      <c r="N295" s="3">
        <v>0</v>
      </c>
    </row>
    <row r="296" spans="1:14" x14ac:dyDescent="0.2">
      <c r="A296" s="5" t="str">
        <f>HYPERLINK("http://www.ncbi.nlm.nih.gov/protein/75677435","Aldh3a2")</f>
        <v>Aldh3a2</v>
      </c>
      <c r="B296" s="4"/>
      <c r="C296" s="3">
        <v>10325</v>
      </c>
      <c r="D296" s="3">
        <v>10160</v>
      </c>
      <c r="E296" s="3">
        <v>8219</v>
      </c>
      <c r="F296" s="3">
        <v>3070</v>
      </c>
      <c r="G296" s="3">
        <v>0</v>
      </c>
      <c r="H296" s="2">
        <f t="shared" si="8"/>
        <v>31774</v>
      </c>
      <c r="I296" t="str">
        <f t="shared" si="9"/>
        <v>Aldh3a2_31774</v>
      </c>
      <c r="J296" s="3">
        <v>10325</v>
      </c>
      <c r="K296" s="3">
        <v>10160</v>
      </c>
      <c r="L296" s="3">
        <v>8219</v>
      </c>
      <c r="M296" s="3">
        <v>3070</v>
      </c>
      <c r="N296" s="3">
        <v>0</v>
      </c>
    </row>
    <row r="297" spans="1:14" x14ac:dyDescent="0.2">
      <c r="A297" s="5" t="str">
        <f>HYPERLINK("http://www.ncbi.nlm.nih.gov/protein/34328288","Aldh3b1")</f>
        <v>Aldh3b1</v>
      </c>
      <c r="B297" s="4"/>
      <c r="C297" s="3">
        <v>696</v>
      </c>
      <c r="D297" s="3">
        <v>9461</v>
      </c>
      <c r="E297" s="3">
        <v>21827</v>
      </c>
      <c r="F297" s="3">
        <v>1179</v>
      </c>
      <c r="G297" s="3">
        <v>1092</v>
      </c>
      <c r="H297" s="2">
        <f t="shared" si="8"/>
        <v>34255</v>
      </c>
      <c r="I297" t="str">
        <f t="shared" si="9"/>
        <v>Aldh3b1_34255</v>
      </c>
      <c r="J297" s="3">
        <v>696</v>
      </c>
      <c r="K297" s="3">
        <v>9461</v>
      </c>
      <c r="L297" s="3">
        <v>21827</v>
      </c>
      <c r="M297" s="3">
        <v>1179</v>
      </c>
      <c r="N297" s="3">
        <v>1092</v>
      </c>
    </row>
    <row r="298" spans="1:14" x14ac:dyDescent="0.2">
      <c r="A298" s="5" t="str">
        <f>HYPERLINK("http://www.ncbi.nlm.nih.gov/protein/294460012","Aldh3b2")</f>
        <v>Aldh3b2</v>
      </c>
      <c r="B298" s="4"/>
      <c r="C298" s="3">
        <v>696</v>
      </c>
      <c r="D298" s="3">
        <v>19881</v>
      </c>
      <c r="E298" s="3">
        <v>28080</v>
      </c>
      <c r="F298" s="3">
        <v>16797</v>
      </c>
      <c r="G298" s="3">
        <v>1349</v>
      </c>
      <c r="H298" s="2">
        <f t="shared" si="8"/>
        <v>66803</v>
      </c>
      <c r="I298" t="str">
        <f t="shared" si="9"/>
        <v>Aldh3b2_66803</v>
      </c>
      <c r="J298" s="3">
        <v>696</v>
      </c>
      <c r="K298" s="3">
        <v>19881</v>
      </c>
      <c r="L298" s="3">
        <v>28080</v>
      </c>
      <c r="M298" s="3">
        <v>16797</v>
      </c>
      <c r="N298" s="3">
        <v>1349</v>
      </c>
    </row>
    <row r="299" spans="1:14" x14ac:dyDescent="0.2">
      <c r="A299" s="5" t="str">
        <f>HYPERLINK("http://www.ncbi.nlm.nih.gov/protein/407262588","Aldh3b2")</f>
        <v>Aldh3b2</v>
      </c>
      <c r="B299" s="4"/>
      <c r="C299" s="3">
        <v>696</v>
      </c>
      <c r="D299" s="3">
        <v>9348</v>
      </c>
      <c r="E299" s="3">
        <v>17681</v>
      </c>
      <c r="F299" s="3">
        <v>1179</v>
      </c>
      <c r="G299" s="3">
        <v>1092</v>
      </c>
      <c r="H299" s="2">
        <f t="shared" si="8"/>
        <v>29996</v>
      </c>
      <c r="I299" t="str">
        <f t="shared" si="9"/>
        <v>Aldh3b2_29996</v>
      </c>
      <c r="J299" s="3">
        <v>696</v>
      </c>
      <c r="K299" s="3">
        <v>9348</v>
      </c>
      <c r="L299" s="3">
        <v>17681</v>
      </c>
      <c r="M299" s="3">
        <v>1179</v>
      </c>
      <c r="N299" s="3">
        <v>1092</v>
      </c>
    </row>
    <row r="300" spans="1:14" x14ac:dyDescent="0.2">
      <c r="A300" s="5" t="str">
        <f>HYPERLINK("http://www.ncbi.nlm.nih.gov/protein/27369748","Aldh5a1")</f>
        <v>Aldh5a1</v>
      </c>
      <c r="B300" s="4"/>
      <c r="C300" s="3">
        <v>1373</v>
      </c>
      <c r="D300" s="3">
        <v>5208</v>
      </c>
      <c r="E300" s="3">
        <v>0</v>
      </c>
      <c r="F300" s="3">
        <v>0</v>
      </c>
      <c r="G300" s="3">
        <v>0</v>
      </c>
      <c r="H300" s="2">
        <f t="shared" si="8"/>
        <v>6581</v>
      </c>
      <c r="I300" t="str">
        <f t="shared" si="9"/>
        <v>Aldh5a1_6581</v>
      </c>
      <c r="J300" s="3">
        <v>1373</v>
      </c>
      <c r="K300" s="3">
        <v>5208</v>
      </c>
      <c r="L300" s="3">
        <v>0</v>
      </c>
      <c r="M300" s="3">
        <v>0</v>
      </c>
      <c r="N300" s="3">
        <v>0</v>
      </c>
    </row>
    <row r="301" spans="1:14" x14ac:dyDescent="0.2">
      <c r="A301" s="5" t="str">
        <f>HYPERLINK("http://www.ncbi.nlm.nih.gov/protein/19527258","Aldh6a1")</f>
        <v>Aldh6a1</v>
      </c>
      <c r="B301" s="4"/>
      <c r="C301" s="3">
        <v>23761</v>
      </c>
      <c r="D301" s="3">
        <v>31336</v>
      </c>
      <c r="E301" s="3">
        <v>0</v>
      </c>
      <c r="F301" s="3">
        <v>0</v>
      </c>
      <c r="G301" s="3">
        <v>0</v>
      </c>
      <c r="H301" s="2">
        <f t="shared" si="8"/>
        <v>55097</v>
      </c>
      <c r="I301" t="str">
        <f t="shared" si="9"/>
        <v>Aldh6a1_55097</v>
      </c>
      <c r="J301" s="3">
        <v>23761</v>
      </c>
      <c r="K301" s="3">
        <v>31336</v>
      </c>
      <c r="L301" s="3">
        <v>0</v>
      </c>
      <c r="M301" s="3">
        <v>0</v>
      </c>
      <c r="N301" s="3">
        <v>0</v>
      </c>
    </row>
    <row r="302" spans="1:14" x14ac:dyDescent="0.2">
      <c r="A302" s="5" t="str">
        <f>HYPERLINK("http://www.ncbi.nlm.nih.gov/protein/188035915","Aldh7a1")</f>
        <v>Aldh7a1</v>
      </c>
      <c r="B302" s="4"/>
      <c r="C302" s="3">
        <v>0</v>
      </c>
      <c r="D302" s="3">
        <v>2973</v>
      </c>
      <c r="E302" s="3">
        <v>1822</v>
      </c>
      <c r="F302" s="3">
        <v>17304</v>
      </c>
      <c r="G302" s="3">
        <v>33382</v>
      </c>
      <c r="H302" s="2">
        <f t="shared" si="8"/>
        <v>55481</v>
      </c>
      <c r="I302" t="str">
        <f t="shared" si="9"/>
        <v>Aldh7a1_55481</v>
      </c>
      <c r="J302" s="3">
        <v>0</v>
      </c>
      <c r="K302" s="3">
        <v>2973</v>
      </c>
      <c r="L302" s="3">
        <v>1822</v>
      </c>
      <c r="M302" s="3">
        <v>17304</v>
      </c>
      <c r="N302" s="3">
        <v>33382</v>
      </c>
    </row>
    <row r="303" spans="1:14" x14ac:dyDescent="0.2">
      <c r="A303" s="5" t="str">
        <f>HYPERLINK("http://www.ncbi.nlm.nih.gov/protein/188219757","Aldh7a1")</f>
        <v>Aldh7a1</v>
      </c>
      <c r="B303" s="4"/>
      <c r="C303" s="3">
        <v>0</v>
      </c>
      <c r="D303" s="3">
        <v>2973</v>
      </c>
      <c r="E303" s="3">
        <v>1822</v>
      </c>
      <c r="F303" s="3">
        <v>17304</v>
      </c>
      <c r="G303" s="3">
        <v>33382</v>
      </c>
      <c r="H303" s="2">
        <f t="shared" si="8"/>
        <v>55481</v>
      </c>
      <c r="I303" t="str">
        <f t="shared" si="9"/>
        <v>Aldh7a1_55481</v>
      </c>
      <c r="J303" s="3">
        <v>0</v>
      </c>
      <c r="K303" s="3">
        <v>2973</v>
      </c>
      <c r="L303" s="3">
        <v>1822</v>
      </c>
      <c r="M303" s="3">
        <v>17304</v>
      </c>
      <c r="N303" s="3">
        <v>33382</v>
      </c>
    </row>
    <row r="304" spans="1:14" x14ac:dyDescent="0.2">
      <c r="A304" s="5" t="str">
        <f>HYPERLINK("http://www.ncbi.nlm.nih.gov/protein/115334671","Aldh9a1")</f>
        <v>Aldh9a1</v>
      </c>
      <c r="B304" s="4"/>
      <c r="C304" s="3">
        <v>0</v>
      </c>
      <c r="D304" s="3">
        <v>3697</v>
      </c>
      <c r="E304" s="3">
        <v>3329</v>
      </c>
      <c r="F304" s="3">
        <v>9528</v>
      </c>
      <c r="G304" s="3">
        <v>93858</v>
      </c>
      <c r="H304" s="2">
        <f t="shared" si="8"/>
        <v>110412</v>
      </c>
      <c r="I304" t="str">
        <f t="shared" si="9"/>
        <v>Aldh9a1_110412</v>
      </c>
      <c r="J304" s="3">
        <v>0</v>
      </c>
      <c r="K304" s="3">
        <v>3697</v>
      </c>
      <c r="L304" s="3">
        <v>3329</v>
      </c>
      <c r="M304" s="3">
        <v>9528</v>
      </c>
      <c r="N304" s="3">
        <v>93858</v>
      </c>
    </row>
    <row r="305" spans="1:14" x14ac:dyDescent="0.2">
      <c r="A305" s="5" t="str">
        <f>HYPERLINK("http://www.ncbi.nlm.nih.gov/protein/293597567","Aldoa")</f>
        <v>Aldoa</v>
      </c>
      <c r="B305" s="4"/>
      <c r="C305" s="3">
        <v>411153</v>
      </c>
      <c r="D305" s="3">
        <v>58799</v>
      </c>
      <c r="E305" s="3">
        <v>168779</v>
      </c>
      <c r="F305" s="3">
        <v>662638</v>
      </c>
      <c r="G305" s="3">
        <v>1634120</v>
      </c>
      <c r="H305" s="2">
        <f t="shared" si="8"/>
        <v>2935489</v>
      </c>
      <c r="I305" t="str">
        <f t="shared" si="9"/>
        <v>Aldoa_2935489</v>
      </c>
      <c r="J305" s="3">
        <v>411153</v>
      </c>
      <c r="K305" s="3">
        <v>58799</v>
      </c>
      <c r="L305" s="3">
        <v>168779</v>
      </c>
      <c r="M305" s="3">
        <v>662638</v>
      </c>
      <c r="N305" s="3">
        <v>1634120</v>
      </c>
    </row>
    <row r="306" spans="1:14" x14ac:dyDescent="0.2">
      <c r="A306" s="5" t="str">
        <f>HYPERLINK("http://www.ncbi.nlm.nih.gov/protein/6671539","Aldoa")</f>
        <v>Aldoa</v>
      </c>
      <c r="B306" s="4"/>
      <c r="C306" s="3">
        <v>411153</v>
      </c>
      <c r="D306" s="3">
        <v>58799</v>
      </c>
      <c r="E306" s="3">
        <v>175470</v>
      </c>
      <c r="F306" s="3">
        <v>757091</v>
      </c>
      <c r="G306" s="3">
        <v>1696921</v>
      </c>
      <c r="H306" s="2">
        <f t="shared" si="8"/>
        <v>3099434</v>
      </c>
      <c r="I306" t="str">
        <f t="shared" si="9"/>
        <v>Aldoa_3099434</v>
      </c>
      <c r="J306" s="3">
        <v>411153</v>
      </c>
      <c r="K306" s="3">
        <v>58799</v>
      </c>
      <c r="L306" s="3">
        <v>175470</v>
      </c>
      <c r="M306" s="3">
        <v>757091</v>
      </c>
      <c r="N306" s="3">
        <v>1696921</v>
      </c>
    </row>
    <row r="307" spans="1:14" x14ac:dyDescent="0.2">
      <c r="A307" s="5" t="str">
        <f>HYPERLINK("http://www.ncbi.nlm.nih.gov/protein/312922382","Aldoart1")</f>
        <v>Aldoart1</v>
      </c>
      <c r="B307" s="4"/>
      <c r="C307" s="3">
        <v>327257</v>
      </c>
      <c r="D307" s="3">
        <v>14158</v>
      </c>
      <c r="E307" s="3">
        <v>117967</v>
      </c>
      <c r="F307" s="3">
        <v>382683</v>
      </c>
      <c r="G307" s="3">
        <v>1121167</v>
      </c>
      <c r="H307" s="2">
        <f t="shared" si="8"/>
        <v>1963232</v>
      </c>
      <c r="I307" t="str">
        <f t="shared" si="9"/>
        <v>Aldoart1_1963232</v>
      </c>
      <c r="J307" s="3">
        <v>327257</v>
      </c>
      <c r="K307" s="3">
        <v>14158</v>
      </c>
      <c r="L307" s="3">
        <v>117967</v>
      </c>
      <c r="M307" s="3">
        <v>382683</v>
      </c>
      <c r="N307" s="3">
        <v>1121167</v>
      </c>
    </row>
    <row r="308" spans="1:14" x14ac:dyDescent="0.2">
      <c r="A308" s="5" t="str">
        <f>HYPERLINK("http://www.ncbi.nlm.nih.gov/protein/476007882","Aldoart2")</f>
        <v>Aldoart2</v>
      </c>
      <c r="B308" s="4"/>
      <c r="C308" s="3">
        <v>49847</v>
      </c>
      <c r="D308" s="3">
        <v>0</v>
      </c>
      <c r="E308" s="3">
        <v>21584</v>
      </c>
      <c r="F308" s="3">
        <v>0</v>
      </c>
      <c r="G308" s="3">
        <v>0</v>
      </c>
      <c r="H308" s="2">
        <f t="shared" si="8"/>
        <v>71431</v>
      </c>
      <c r="I308" t="str">
        <f t="shared" si="9"/>
        <v>Aldoart2_71431</v>
      </c>
      <c r="J308" s="3">
        <v>49847</v>
      </c>
      <c r="K308" s="3">
        <v>0</v>
      </c>
      <c r="L308" s="3">
        <v>21584</v>
      </c>
      <c r="M308" s="3">
        <v>0</v>
      </c>
      <c r="N308" s="3">
        <v>0</v>
      </c>
    </row>
    <row r="309" spans="1:14" x14ac:dyDescent="0.2">
      <c r="A309" s="5" t="str">
        <f>HYPERLINK("http://www.ncbi.nlm.nih.gov/protein/21450291","Aldob")</f>
        <v>Aldob</v>
      </c>
      <c r="B309" s="4"/>
      <c r="C309" s="3">
        <v>0</v>
      </c>
      <c r="D309" s="3">
        <v>1405</v>
      </c>
      <c r="E309" s="3">
        <v>14607</v>
      </c>
      <c r="F309" s="3">
        <v>2529</v>
      </c>
      <c r="G309" s="3">
        <v>479454</v>
      </c>
      <c r="H309" s="2">
        <f t="shared" si="8"/>
        <v>497995</v>
      </c>
      <c r="I309" t="str">
        <f t="shared" si="9"/>
        <v>Aldob_497995</v>
      </c>
      <c r="J309" s="3">
        <v>0</v>
      </c>
      <c r="K309" s="3">
        <v>1405</v>
      </c>
      <c r="L309" s="3">
        <v>14607</v>
      </c>
      <c r="M309" s="3">
        <v>2529</v>
      </c>
      <c r="N309" s="3">
        <v>479454</v>
      </c>
    </row>
    <row r="310" spans="1:14" x14ac:dyDescent="0.2">
      <c r="A310" s="5" t="str">
        <f>HYPERLINK("http://www.ncbi.nlm.nih.gov/protein/60687506","Aldoc")</f>
        <v>Aldoc</v>
      </c>
      <c r="B310" s="4"/>
      <c r="C310" s="3">
        <v>20356</v>
      </c>
      <c r="D310" s="3">
        <v>6108</v>
      </c>
      <c r="E310" s="3">
        <v>18571</v>
      </c>
      <c r="F310" s="3">
        <v>114254</v>
      </c>
      <c r="G310" s="3">
        <v>672075</v>
      </c>
      <c r="H310" s="2">
        <f t="shared" si="8"/>
        <v>831364</v>
      </c>
      <c r="I310" t="str">
        <f t="shared" si="9"/>
        <v>Aldoc_831364</v>
      </c>
      <c r="J310" s="3">
        <v>20356</v>
      </c>
      <c r="K310" s="3">
        <v>6108</v>
      </c>
      <c r="L310" s="3">
        <v>18571</v>
      </c>
      <c r="M310" s="3">
        <v>114254</v>
      </c>
      <c r="N310" s="3">
        <v>672075</v>
      </c>
    </row>
    <row r="311" spans="1:14" x14ac:dyDescent="0.2">
      <c r="A311" s="5" t="str">
        <f>HYPERLINK("http://www.ncbi.nlm.nih.gov/protein/215276946","Alg12")</f>
        <v>Alg12</v>
      </c>
      <c r="B311" s="4"/>
      <c r="C311" s="3">
        <v>0</v>
      </c>
      <c r="D311" s="3">
        <v>125</v>
      </c>
      <c r="E311" s="3">
        <v>4</v>
      </c>
      <c r="F311" s="3">
        <v>0</v>
      </c>
      <c r="G311" s="3">
        <v>0</v>
      </c>
      <c r="H311" s="2">
        <f t="shared" si="8"/>
        <v>129</v>
      </c>
      <c r="I311" t="str">
        <f t="shared" si="9"/>
        <v>Alg12_129</v>
      </c>
      <c r="J311" s="3">
        <v>0</v>
      </c>
      <c r="K311" s="3">
        <v>125</v>
      </c>
      <c r="L311" s="3">
        <v>4</v>
      </c>
      <c r="M311" s="3">
        <v>0</v>
      </c>
      <c r="N311" s="3">
        <v>0</v>
      </c>
    </row>
    <row r="312" spans="1:14" x14ac:dyDescent="0.2">
      <c r="A312" s="5" t="str">
        <f>HYPERLINK("http://www.ncbi.nlm.nih.gov/protein/13195608","Alg14")</f>
        <v>Alg14</v>
      </c>
      <c r="B312" s="4"/>
      <c r="C312" s="3">
        <v>128</v>
      </c>
      <c r="D312" s="3">
        <v>582</v>
      </c>
      <c r="E312" s="3">
        <v>78</v>
      </c>
      <c r="F312" s="3">
        <v>0</v>
      </c>
      <c r="G312" s="3">
        <v>0</v>
      </c>
      <c r="H312" s="2">
        <f t="shared" si="8"/>
        <v>788</v>
      </c>
      <c r="I312" t="str">
        <f t="shared" si="9"/>
        <v>Alg14_788</v>
      </c>
      <c r="J312" s="3">
        <v>128</v>
      </c>
      <c r="K312" s="3">
        <v>582</v>
      </c>
      <c r="L312" s="3">
        <v>78</v>
      </c>
      <c r="M312" s="3">
        <v>0</v>
      </c>
      <c r="N312" s="3">
        <v>0</v>
      </c>
    </row>
    <row r="313" spans="1:14" x14ac:dyDescent="0.2">
      <c r="A313" s="5" t="str">
        <f>HYPERLINK("http://www.ncbi.nlm.nih.gov/protein/21728372","Alg5")</f>
        <v>Alg5</v>
      </c>
      <c r="B313" s="4"/>
      <c r="C313" s="3">
        <v>0</v>
      </c>
      <c r="D313" s="3">
        <v>514</v>
      </c>
      <c r="E313" s="3">
        <v>0</v>
      </c>
      <c r="F313" s="3">
        <v>0</v>
      </c>
      <c r="G313" s="3">
        <v>0</v>
      </c>
      <c r="H313" s="2">
        <f t="shared" si="8"/>
        <v>514</v>
      </c>
      <c r="I313" t="str">
        <f t="shared" si="9"/>
        <v>Alg5_514</v>
      </c>
      <c r="J313" s="3">
        <v>0</v>
      </c>
      <c r="K313" s="3">
        <v>514</v>
      </c>
      <c r="L313" s="3">
        <v>0</v>
      </c>
      <c r="M313" s="3">
        <v>0</v>
      </c>
      <c r="N313" s="3">
        <v>0</v>
      </c>
    </row>
    <row r="314" spans="1:14" x14ac:dyDescent="0.2">
      <c r="A314" s="5" t="str">
        <f>HYPERLINK("http://www.ncbi.nlm.nih.gov/protein/110625726","Alkbh3")</f>
        <v>Alkbh3</v>
      </c>
      <c r="B314" s="4"/>
      <c r="C314" s="3">
        <v>0</v>
      </c>
      <c r="D314" s="3">
        <v>167</v>
      </c>
      <c r="E314" s="3">
        <v>31</v>
      </c>
      <c r="F314" s="3">
        <v>0</v>
      </c>
      <c r="G314" s="3">
        <v>2217</v>
      </c>
      <c r="H314" s="2">
        <f t="shared" si="8"/>
        <v>2415</v>
      </c>
      <c r="I314" t="str">
        <f t="shared" si="9"/>
        <v>Alkbh3_2415</v>
      </c>
      <c r="J314" s="3">
        <v>0</v>
      </c>
      <c r="K314" s="3">
        <v>167</v>
      </c>
      <c r="L314" s="3">
        <v>31</v>
      </c>
      <c r="M314" s="3">
        <v>0</v>
      </c>
      <c r="N314" s="3">
        <v>2217</v>
      </c>
    </row>
    <row r="315" spans="1:14" x14ac:dyDescent="0.2">
      <c r="A315" s="5" t="str">
        <f>HYPERLINK("http://www.ncbi.nlm.nih.gov/protein/31044423","Alkbh5")</f>
        <v>Alkbh5</v>
      </c>
      <c r="B315" s="4"/>
      <c r="C315" s="3">
        <v>0</v>
      </c>
      <c r="D315" s="3">
        <v>0</v>
      </c>
      <c r="E315" s="3">
        <v>320</v>
      </c>
      <c r="F315" s="3">
        <v>1089</v>
      </c>
      <c r="G315" s="3">
        <v>54</v>
      </c>
      <c r="H315" s="2">
        <f t="shared" si="8"/>
        <v>1463</v>
      </c>
      <c r="I315" t="str">
        <f t="shared" si="9"/>
        <v>Alkbh5_1463</v>
      </c>
      <c r="J315" s="3">
        <v>0</v>
      </c>
      <c r="K315" s="3">
        <v>0</v>
      </c>
      <c r="L315" s="3">
        <v>320</v>
      </c>
      <c r="M315" s="3">
        <v>1089</v>
      </c>
      <c r="N315" s="3">
        <v>54</v>
      </c>
    </row>
    <row r="316" spans="1:14" x14ac:dyDescent="0.2">
      <c r="A316" s="5" t="str">
        <f>HYPERLINK("http://www.ncbi.nlm.nih.gov/protein/189181674","Als2")</f>
        <v>Als2</v>
      </c>
      <c r="B316" s="4"/>
      <c r="C316" s="3">
        <v>0</v>
      </c>
      <c r="D316" s="3">
        <v>0</v>
      </c>
      <c r="E316" s="3">
        <v>0</v>
      </c>
      <c r="F316" s="3">
        <v>0</v>
      </c>
      <c r="G316" s="3">
        <v>1124</v>
      </c>
      <c r="H316" s="2">
        <f t="shared" si="8"/>
        <v>1124</v>
      </c>
      <c r="I316" t="str">
        <f t="shared" si="9"/>
        <v>Als2_1124</v>
      </c>
      <c r="J316" s="3">
        <v>0</v>
      </c>
      <c r="K316" s="3">
        <v>0</v>
      </c>
      <c r="L316" s="3">
        <v>0</v>
      </c>
      <c r="M316" s="3">
        <v>0</v>
      </c>
      <c r="N316" s="3">
        <v>1124</v>
      </c>
    </row>
    <row r="317" spans="1:14" x14ac:dyDescent="0.2">
      <c r="A317" s="5" t="str">
        <f>HYPERLINK("http://www.ncbi.nlm.nih.gov/protein/237757295","Als2")</f>
        <v>Als2</v>
      </c>
      <c r="B317" s="4"/>
      <c r="C317" s="3">
        <v>0</v>
      </c>
      <c r="D317" s="3">
        <v>0</v>
      </c>
      <c r="E317" s="3">
        <v>0</v>
      </c>
      <c r="F317" s="3">
        <v>0</v>
      </c>
      <c r="G317" s="3">
        <v>1124</v>
      </c>
      <c r="H317" s="2">
        <f t="shared" si="8"/>
        <v>1124</v>
      </c>
      <c r="I317" t="str">
        <f t="shared" si="9"/>
        <v>Als2_1124</v>
      </c>
      <c r="J317" s="3">
        <v>0</v>
      </c>
      <c r="K317" s="3">
        <v>0</v>
      </c>
      <c r="L317" s="3">
        <v>0</v>
      </c>
      <c r="M317" s="3">
        <v>0</v>
      </c>
      <c r="N317" s="3">
        <v>1124</v>
      </c>
    </row>
    <row r="318" spans="1:14" x14ac:dyDescent="0.2">
      <c r="A318" s="5" t="str">
        <f>HYPERLINK("http://www.ncbi.nlm.nih.gov/protein/6755763","Alyref")</f>
        <v>Alyref</v>
      </c>
      <c r="B318" s="4"/>
      <c r="C318" s="3">
        <v>33335</v>
      </c>
      <c r="D318" s="3">
        <v>0</v>
      </c>
      <c r="E318" s="3">
        <v>1596</v>
      </c>
      <c r="F318" s="3">
        <v>5804</v>
      </c>
      <c r="G318" s="3">
        <v>0</v>
      </c>
      <c r="H318" s="2">
        <f t="shared" si="8"/>
        <v>40735</v>
      </c>
      <c r="I318" t="str">
        <f t="shared" si="9"/>
        <v>Alyref_40735</v>
      </c>
      <c r="J318" s="3">
        <v>33335</v>
      </c>
      <c r="K318" s="3">
        <v>0</v>
      </c>
      <c r="L318" s="3">
        <v>1596</v>
      </c>
      <c r="M318" s="3">
        <v>5804</v>
      </c>
      <c r="N318" s="3">
        <v>0</v>
      </c>
    </row>
    <row r="319" spans="1:14" x14ac:dyDescent="0.2">
      <c r="A319" s="5" t="str">
        <f>HYPERLINK("http://www.ncbi.nlm.nih.gov/protein/148238335","Alyref2")</f>
        <v>Alyref2</v>
      </c>
      <c r="B319" s="4"/>
      <c r="C319" s="3">
        <v>20301</v>
      </c>
      <c r="D319" s="3">
        <v>0</v>
      </c>
      <c r="E319" s="3">
        <v>1566</v>
      </c>
      <c r="F319" s="3">
        <v>2177</v>
      </c>
      <c r="G319" s="3">
        <v>0</v>
      </c>
      <c r="H319" s="2">
        <f t="shared" si="8"/>
        <v>24044</v>
      </c>
      <c r="I319" t="str">
        <f t="shared" si="9"/>
        <v>Alyref2_24044</v>
      </c>
      <c r="J319" s="3">
        <v>20301</v>
      </c>
      <c r="K319" s="3">
        <v>0</v>
      </c>
      <c r="L319" s="3">
        <v>1566</v>
      </c>
      <c r="M319" s="3">
        <v>2177</v>
      </c>
      <c r="N319" s="3">
        <v>0</v>
      </c>
    </row>
    <row r="320" spans="1:14" x14ac:dyDescent="0.2">
      <c r="A320" s="5" t="str">
        <f>HYPERLINK("http://www.ncbi.nlm.nih.gov/protein/46518506","Amacr")</f>
        <v>Amacr</v>
      </c>
      <c r="B320" s="4"/>
      <c r="C320" s="3">
        <v>0</v>
      </c>
      <c r="D320" s="3">
        <v>58</v>
      </c>
      <c r="E320" s="3">
        <v>776</v>
      </c>
      <c r="F320" s="3">
        <v>0</v>
      </c>
      <c r="G320" s="3">
        <v>0</v>
      </c>
      <c r="H320" s="2">
        <f t="shared" si="8"/>
        <v>834</v>
      </c>
      <c r="I320" t="str">
        <f t="shared" si="9"/>
        <v>Amacr_834</v>
      </c>
      <c r="J320" s="3">
        <v>0</v>
      </c>
      <c r="K320" s="3">
        <v>58</v>
      </c>
      <c r="L320" s="3">
        <v>776</v>
      </c>
      <c r="M320" s="3">
        <v>0</v>
      </c>
      <c r="N320" s="3">
        <v>0</v>
      </c>
    </row>
    <row r="321" spans="1:14" x14ac:dyDescent="0.2">
      <c r="A321" s="5" t="str">
        <f>HYPERLINK("http://www.ncbi.nlm.nih.gov/protein/31982133","Amdhd2")</f>
        <v>Amdhd2</v>
      </c>
      <c r="B321" s="4"/>
      <c r="C321" s="3">
        <v>0</v>
      </c>
      <c r="D321" s="3">
        <v>0</v>
      </c>
      <c r="E321" s="3">
        <v>612</v>
      </c>
      <c r="F321" s="3">
        <v>2194</v>
      </c>
      <c r="G321" s="3">
        <v>23390</v>
      </c>
      <c r="H321" s="2">
        <f t="shared" si="8"/>
        <v>26196</v>
      </c>
      <c r="I321" t="str">
        <f t="shared" si="9"/>
        <v>Amdhd2_26196</v>
      </c>
      <c r="J321" s="3">
        <v>0</v>
      </c>
      <c r="K321" s="3">
        <v>0</v>
      </c>
      <c r="L321" s="3">
        <v>612</v>
      </c>
      <c r="M321" s="3">
        <v>2194</v>
      </c>
      <c r="N321" s="3">
        <v>23390</v>
      </c>
    </row>
    <row r="322" spans="1:14" x14ac:dyDescent="0.2">
      <c r="A322" s="5" t="str">
        <f>HYPERLINK("http://www.ncbi.nlm.nih.gov/protein/113205073","Amfr")</f>
        <v>Amfr</v>
      </c>
      <c r="B322" s="4"/>
      <c r="C322" s="3">
        <v>0</v>
      </c>
      <c r="D322" s="3">
        <v>401</v>
      </c>
      <c r="E322" s="3">
        <v>0</v>
      </c>
      <c r="F322" s="3">
        <v>0</v>
      </c>
      <c r="G322" s="3">
        <v>0</v>
      </c>
      <c r="H322" s="2">
        <f t="shared" ref="H322:H385" si="10">SUM(C322:G322)</f>
        <v>401</v>
      </c>
      <c r="I322" t="str">
        <f t="shared" ref="I322:I385" si="11">A322&amp;"_"&amp;H322</f>
        <v>Amfr_401</v>
      </c>
      <c r="J322" s="3">
        <v>0</v>
      </c>
      <c r="K322" s="3">
        <v>401</v>
      </c>
      <c r="L322" s="3">
        <v>0</v>
      </c>
      <c r="M322" s="3">
        <v>0</v>
      </c>
      <c r="N322" s="3">
        <v>0</v>
      </c>
    </row>
    <row r="323" spans="1:14" x14ac:dyDescent="0.2">
      <c r="A323" s="5" t="str">
        <f>HYPERLINK("http://www.ncbi.nlm.nih.gov/protein/9506383","Ammecr1")</f>
        <v>Ammecr1</v>
      </c>
      <c r="B323" s="4"/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2">
        <f t="shared" si="10"/>
        <v>0</v>
      </c>
      <c r="I323" t="str">
        <f t="shared" si="11"/>
        <v>Ammecr1_0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2">
      <c r="A324" s="5" t="str">
        <f>HYPERLINK("http://www.ncbi.nlm.nih.gov/protein/23943793","Ammecr1l")</f>
        <v>Ammecr1l</v>
      </c>
      <c r="B324" s="4"/>
      <c r="C324" s="3">
        <v>0</v>
      </c>
      <c r="D324" s="3">
        <v>10</v>
      </c>
      <c r="E324" s="3">
        <v>0</v>
      </c>
      <c r="F324" s="3">
        <v>0</v>
      </c>
      <c r="G324" s="3">
        <v>0</v>
      </c>
      <c r="H324" s="2">
        <f t="shared" si="10"/>
        <v>10</v>
      </c>
      <c r="I324" t="str">
        <f t="shared" si="11"/>
        <v>Ammecr1l_10</v>
      </c>
      <c r="J324" s="3">
        <v>0</v>
      </c>
      <c r="K324" s="3">
        <v>10</v>
      </c>
      <c r="L324" s="3">
        <v>0</v>
      </c>
      <c r="M324" s="3">
        <v>0</v>
      </c>
      <c r="N324" s="3">
        <v>0</v>
      </c>
    </row>
    <row r="325" spans="1:14" x14ac:dyDescent="0.2">
      <c r="A325" s="5" t="str">
        <f>HYPERLINK("http://www.ncbi.nlm.nih.gov/protein/334848200","Ammecr1l")</f>
        <v>Ammecr1l</v>
      </c>
      <c r="B325" s="4"/>
      <c r="C325" s="3">
        <v>0</v>
      </c>
      <c r="D325" s="3">
        <v>10</v>
      </c>
      <c r="E325" s="3">
        <v>0</v>
      </c>
      <c r="F325" s="3">
        <v>0</v>
      </c>
      <c r="G325" s="3">
        <v>0</v>
      </c>
      <c r="H325" s="2">
        <f t="shared" si="10"/>
        <v>10</v>
      </c>
      <c r="I325" t="str">
        <f t="shared" si="11"/>
        <v>Ammecr1l_10</v>
      </c>
      <c r="J325" s="3">
        <v>0</v>
      </c>
      <c r="K325" s="3">
        <v>10</v>
      </c>
      <c r="L325" s="3">
        <v>0</v>
      </c>
      <c r="M325" s="3">
        <v>0</v>
      </c>
      <c r="N325" s="3">
        <v>0</v>
      </c>
    </row>
    <row r="326" spans="1:14" x14ac:dyDescent="0.2">
      <c r="A326" s="5" t="str">
        <f>HYPERLINK("http://www.ncbi.nlm.nih.gov/protein/114431240","Ampd1")</f>
        <v>Ampd1</v>
      </c>
      <c r="B326" s="4"/>
      <c r="C326" s="3">
        <v>0</v>
      </c>
      <c r="D326" s="3">
        <v>0</v>
      </c>
      <c r="E326" s="3">
        <v>0</v>
      </c>
      <c r="F326" s="3">
        <v>352</v>
      </c>
      <c r="G326" s="3">
        <v>0</v>
      </c>
      <c r="H326" s="2">
        <f t="shared" si="10"/>
        <v>352</v>
      </c>
      <c r="I326" t="str">
        <f t="shared" si="11"/>
        <v>Ampd1_352</v>
      </c>
      <c r="J326" s="3">
        <v>0</v>
      </c>
      <c r="K326" s="3">
        <v>0</v>
      </c>
      <c r="L326" s="3">
        <v>0</v>
      </c>
      <c r="M326" s="3">
        <v>352</v>
      </c>
      <c r="N326" s="3">
        <v>0</v>
      </c>
    </row>
    <row r="327" spans="1:14" x14ac:dyDescent="0.2">
      <c r="A327" s="5" t="str">
        <f>HYPERLINK("http://www.ncbi.nlm.nih.gov/protein/21311925","Ampd2")</f>
        <v>Ampd2</v>
      </c>
      <c r="B327" s="4"/>
      <c r="C327" s="3">
        <v>0</v>
      </c>
      <c r="D327" s="3">
        <v>0</v>
      </c>
      <c r="E327" s="3">
        <v>162</v>
      </c>
      <c r="F327" s="3">
        <v>12532</v>
      </c>
      <c r="G327" s="3">
        <v>5944</v>
      </c>
      <c r="H327" s="2">
        <f t="shared" si="10"/>
        <v>18638</v>
      </c>
      <c r="I327" t="str">
        <f t="shared" si="11"/>
        <v>Ampd2_18638</v>
      </c>
      <c r="J327" s="3">
        <v>0</v>
      </c>
      <c r="K327" s="3">
        <v>0</v>
      </c>
      <c r="L327" s="3">
        <v>162</v>
      </c>
      <c r="M327" s="3">
        <v>12532</v>
      </c>
      <c r="N327" s="3">
        <v>5944</v>
      </c>
    </row>
    <row r="328" spans="1:14" x14ac:dyDescent="0.2">
      <c r="A328" s="5" t="str">
        <f>HYPERLINK("http://www.ncbi.nlm.nih.gov/protein/66792802","Ampd3")</f>
        <v>Ampd3</v>
      </c>
      <c r="B328" s="4"/>
      <c r="C328" s="3">
        <v>0</v>
      </c>
      <c r="D328" s="3">
        <v>81</v>
      </c>
      <c r="E328" s="3">
        <v>179</v>
      </c>
      <c r="F328" s="3">
        <v>41861</v>
      </c>
      <c r="G328" s="3">
        <v>8214</v>
      </c>
      <c r="H328" s="2">
        <f t="shared" si="10"/>
        <v>50335</v>
      </c>
      <c r="I328" t="str">
        <f t="shared" si="11"/>
        <v>Ampd3_50335</v>
      </c>
      <c r="J328" s="3">
        <v>0</v>
      </c>
      <c r="K328" s="3">
        <v>81</v>
      </c>
      <c r="L328" s="3">
        <v>179</v>
      </c>
      <c r="M328" s="3">
        <v>41861</v>
      </c>
      <c r="N328" s="3">
        <v>8214</v>
      </c>
    </row>
    <row r="329" spans="1:14" x14ac:dyDescent="0.2">
      <c r="A329" s="5" t="str">
        <f>HYPERLINK("http://www.ncbi.nlm.nih.gov/protein/228008323","Anapc1")</f>
        <v>Anapc1</v>
      </c>
      <c r="B329" s="4"/>
      <c r="C329" s="3">
        <v>0</v>
      </c>
      <c r="D329" s="3">
        <v>0</v>
      </c>
      <c r="E329" s="3">
        <v>13</v>
      </c>
      <c r="F329" s="3">
        <v>6270</v>
      </c>
      <c r="G329" s="3">
        <v>0</v>
      </c>
      <c r="H329" s="2">
        <f t="shared" si="10"/>
        <v>6283</v>
      </c>
      <c r="I329" t="str">
        <f t="shared" si="11"/>
        <v>Anapc1_6283</v>
      </c>
      <c r="J329" s="3">
        <v>0</v>
      </c>
      <c r="K329" s="3">
        <v>0</v>
      </c>
      <c r="L329" s="3">
        <v>13</v>
      </c>
      <c r="M329" s="3">
        <v>6270</v>
      </c>
      <c r="N329" s="3">
        <v>0</v>
      </c>
    </row>
    <row r="330" spans="1:14" x14ac:dyDescent="0.2">
      <c r="A330" s="5" t="str">
        <f>HYPERLINK("http://www.ncbi.nlm.nih.gov/protein/84039696","Anapc11")</f>
        <v>Anapc11</v>
      </c>
      <c r="B330" s="4"/>
      <c r="C330" s="3">
        <v>0</v>
      </c>
      <c r="D330" s="3">
        <v>44</v>
      </c>
      <c r="E330" s="3">
        <v>0</v>
      </c>
      <c r="F330" s="3">
        <v>524</v>
      </c>
      <c r="G330" s="3">
        <v>214</v>
      </c>
      <c r="H330" s="2">
        <f t="shared" si="10"/>
        <v>782</v>
      </c>
      <c r="I330" t="str">
        <f t="shared" si="11"/>
        <v>Anapc11_782</v>
      </c>
      <c r="J330" s="3">
        <v>0</v>
      </c>
      <c r="K330" s="3">
        <v>44</v>
      </c>
      <c r="L330" s="3">
        <v>0</v>
      </c>
      <c r="M330" s="3">
        <v>524</v>
      </c>
      <c r="N330" s="3">
        <v>214</v>
      </c>
    </row>
    <row r="331" spans="1:14" x14ac:dyDescent="0.2">
      <c r="A331" s="5" t="str">
        <f>HYPERLINK("http://www.ncbi.nlm.nih.gov/protein/31088920","Anapc13")</f>
        <v>Anapc13</v>
      </c>
      <c r="B331" s="4"/>
      <c r="C331" s="3">
        <v>0</v>
      </c>
      <c r="D331" s="3">
        <v>0</v>
      </c>
      <c r="E331" s="3">
        <v>0</v>
      </c>
      <c r="F331" s="3">
        <v>508</v>
      </c>
      <c r="G331" s="3">
        <v>0</v>
      </c>
      <c r="H331" s="2">
        <f t="shared" si="10"/>
        <v>508</v>
      </c>
      <c r="I331" t="str">
        <f t="shared" si="11"/>
        <v>Anapc13_508</v>
      </c>
      <c r="J331" s="3">
        <v>0</v>
      </c>
      <c r="K331" s="3">
        <v>0</v>
      </c>
      <c r="L331" s="3">
        <v>0</v>
      </c>
      <c r="M331" s="3">
        <v>508</v>
      </c>
      <c r="N331" s="3">
        <v>0</v>
      </c>
    </row>
    <row r="332" spans="1:14" x14ac:dyDescent="0.2">
      <c r="A332" s="5" t="str">
        <f>HYPERLINK("http://www.ncbi.nlm.nih.gov/protein/13384936","Anapc16")</f>
        <v>Anapc16</v>
      </c>
      <c r="B332" s="4"/>
      <c r="C332" s="3">
        <v>0</v>
      </c>
      <c r="D332" s="3">
        <v>0</v>
      </c>
      <c r="E332" s="3">
        <v>0</v>
      </c>
      <c r="F332" s="3">
        <v>0</v>
      </c>
      <c r="G332" s="3">
        <v>21</v>
      </c>
      <c r="H332" s="2">
        <f t="shared" si="10"/>
        <v>21</v>
      </c>
      <c r="I332" t="str">
        <f t="shared" si="11"/>
        <v>Anapc16_21</v>
      </c>
      <c r="J332" s="3">
        <v>0</v>
      </c>
      <c r="K332" s="3">
        <v>0</v>
      </c>
      <c r="L332" s="3">
        <v>0</v>
      </c>
      <c r="M332" s="3">
        <v>0</v>
      </c>
      <c r="N332" s="3">
        <v>21</v>
      </c>
    </row>
    <row r="333" spans="1:14" x14ac:dyDescent="0.2">
      <c r="A333" s="5" t="str">
        <f>HYPERLINK("http://www.ncbi.nlm.nih.gov/protein/260763928","Anapc2")</f>
        <v>Anapc2</v>
      </c>
      <c r="B333" s="4"/>
      <c r="C333" s="3">
        <v>0</v>
      </c>
      <c r="D333" s="3">
        <v>0</v>
      </c>
      <c r="E333" s="3">
        <v>376</v>
      </c>
      <c r="F333" s="3">
        <v>4813</v>
      </c>
      <c r="G333" s="3">
        <v>525</v>
      </c>
      <c r="H333" s="2">
        <f t="shared" si="10"/>
        <v>5714</v>
      </c>
      <c r="I333" t="str">
        <f t="shared" si="11"/>
        <v>Anapc2_5714</v>
      </c>
      <c r="J333" s="3">
        <v>0</v>
      </c>
      <c r="K333" s="3">
        <v>0</v>
      </c>
      <c r="L333" s="3">
        <v>376</v>
      </c>
      <c r="M333" s="3">
        <v>4813</v>
      </c>
      <c r="N333" s="3">
        <v>525</v>
      </c>
    </row>
    <row r="334" spans="1:14" x14ac:dyDescent="0.2">
      <c r="A334" s="5" t="str">
        <f>HYPERLINK("http://www.ncbi.nlm.nih.gov/protein/23956182","Anapc4")</f>
        <v>Anapc4</v>
      </c>
      <c r="B334" s="4"/>
      <c r="C334" s="3">
        <v>0</v>
      </c>
      <c r="D334" s="3">
        <v>0</v>
      </c>
      <c r="E334" s="3">
        <v>0</v>
      </c>
      <c r="F334" s="3">
        <v>3544</v>
      </c>
      <c r="G334" s="3">
        <v>0</v>
      </c>
      <c r="H334" s="2">
        <f t="shared" si="10"/>
        <v>3544</v>
      </c>
      <c r="I334" t="str">
        <f t="shared" si="11"/>
        <v>Anapc4_3544</v>
      </c>
      <c r="J334" s="3">
        <v>0</v>
      </c>
      <c r="K334" s="3">
        <v>0</v>
      </c>
      <c r="L334" s="3">
        <v>0</v>
      </c>
      <c r="M334" s="3">
        <v>3544</v>
      </c>
      <c r="N334" s="3">
        <v>0</v>
      </c>
    </row>
    <row r="335" spans="1:14" x14ac:dyDescent="0.2">
      <c r="A335" s="5" t="str">
        <f>HYPERLINK("http://www.ncbi.nlm.nih.gov/protein/109809751","Anapc5")</f>
        <v>Anapc5</v>
      </c>
      <c r="B335" s="4"/>
      <c r="C335" s="3">
        <v>0</v>
      </c>
      <c r="D335" s="3">
        <v>0</v>
      </c>
      <c r="E335" s="3">
        <v>142</v>
      </c>
      <c r="F335" s="3">
        <v>23828</v>
      </c>
      <c r="G335" s="3">
        <v>771</v>
      </c>
      <c r="H335" s="2">
        <f t="shared" si="10"/>
        <v>24741</v>
      </c>
      <c r="I335" t="str">
        <f t="shared" si="11"/>
        <v>Anapc5_24741</v>
      </c>
      <c r="J335" s="3">
        <v>0</v>
      </c>
      <c r="K335" s="3">
        <v>0</v>
      </c>
      <c r="L335" s="3">
        <v>142</v>
      </c>
      <c r="M335" s="3">
        <v>23828</v>
      </c>
      <c r="N335" s="3">
        <v>771</v>
      </c>
    </row>
    <row r="336" spans="1:14" x14ac:dyDescent="0.2">
      <c r="A336" s="5" t="str">
        <f>HYPERLINK("http://www.ncbi.nlm.nih.gov/protein/109809753","Anapc5")</f>
        <v>Anapc5</v>
      </c>
      <c r="B336" s="4"/>
      <c r="C336" s="3">
        <v>0</v>
      </c>
      <c r="D336" s="3">
        <v>0</v>
      </c>
      <c r="E336" s="3">
        <v>142</v>
      </c>
      <c r="F336" s="3">
        <v>23378</v>
      </c>
      <c r="G336" s="3">
        <v>771</v>
      </c>
      <c r="H336" s="2">
        <f t="shared" si="10"/>
        <v>24291</v>
      </c>
      <c r="I336" t="str">
        <f t="shared" si="11"/>
        <v>Anapc5_24291</v>
      </c>
      <c r="J336" s="3">
        <v>0</v>
      </c>
      <c r="K336" s="3">
        <v>0</v>
      </c>
      <c r="L336" s="3">
        <v>142</v>
      </c>
      <c r="M336" s="3">
        <v>23378</v>
      </c>
      <c r="N336" s="3">
        <v>771</v>
      </c>
    </row>
    <row r="337" spans="1:14" x14ac:dyDescent="0.2">
      <c r="A337" s="5" t="str">
        <f>HYPERLINK("http://www.ncbi.nlm.nih.gov/protein/163310734","Angel1")</f>
        <v>Angel1</v>
      </c>
      <c r="B337" s="4"/>
      <c r="C337" s="3">
        <v>0</v>
      </c>
      <c r="D337" s="3">
        <v>0</v>
      </c>
      <c r="E337" s="3">
        <v>405</v>
      </c>
      <c r="F337" s="3">
        <v>0</v>
      </c>
      <c r="G337" s="3">
        <v>0</v>
      </c>
      <c r="H337" s="2">
        <f t="shared" si="10"/>
        <v>405</v>
      </c>
      <c r="I337" t="str">
        <f t="shared" si="11"/>
        <v>Angel1_405</v>
      </c>
      <c r="J337" s="3">
        <v>0</v>
      </c>
      <c r="K337" s="3">
        <v>0</v>
      </c>
      <c r="L337" s="3">
        <v>405</v>
      </c>
      <c r="M337" s="3">
        <v>0</v>
      </c>
      <c r="N337" s="3">
        <v>0</v>
      </c>
    </row>
    <row r="338" spans="1:14" x14ac:dyDescent="0.2">
      <c r="A338" s="5" t="str">
        <f>HYPERLINK("http://www.ncbi.nlm.nih.gov/protein/116256499","Ank3")</f>
        <v>Ank3</v>
      </c>
      <c r="B338" s="4"/>
      <c r="C338" s="3">
        <v>0</v>
      </c>
      <c r="D338" s="3">
        <v>63</v>
      </c>
      <c r="E338" s="3">
        <v>0</v>
      </c>
      <c r="F338" s="3">
        <v>0</v>
      </c>
      <c r="G338" s="3">
        <v>0</v>
      </c>
      <c r="H338" s="2">
        <f t="shared" si="10"/>
        <v>63</v>
      </c>
      <c r="I338" t="str">
        <f t="shared" si="11"/>
        <v>Ank3_63</v>
      </c>
      <c r="J338" s="3">
        <v>0</v>
      </c>
      <c r="K338" s="3">
        <v>63</v>
      </c>
      <c r="L338" s="3">
        <v>0</v>
      </c>
      <c r="M338" s="3">
        <v>0</v>
      </c>
      <c r="N338" s="3">
        <v>0</v>
      </c>
    </row>
    <row r="339" spans="1:14" x14ac:dyDescent="0.2">
      <c r="A339" s="5" t="str">
        <f>HYPERLINK("http://www.ncbi.nlm.nih.gov/protein/22129789","Ank3")</f>
        <v>Ank3</v>
      </c>
      <c r="B339" s="4"/>
      <c r="C339" s="3">
        <v>0</v>
      </c>
      <c r="D339" s="3">
        <v>63</v>
      </c>
      <c r="E339" s="3">
        <v>0</v>
      </c>
      <c r="F339" s="3">
        <v>0</v>
      </c>
      <c r="G339" s="3">
        <v>0</v>
      </c>
      <c r="H339" s="2">
        <f t="shared" si="10"/>
        <v>63</v>
      </c>
      <c r="I339" t="str">
        <f t="shared" si="11"/>
        <v>Ank3_63</v>
      </c>
      <c r="J339" s="3">
        <v>0</v>
      </c>
      <c r="K339" s="3">
        <v>63</v>
      </c>
      <c r="L339" s="3">
        <v>0</v>
      </c>
      <c r="M339" s="3">
        <v>0</v>
      </c>
      <c r="N339" s="3">
        <v>0</v>
      </c>
    </row>
    <row r="340" spans="1:14" x14ac:dyDescent="0.2">
      <c r="A340" s="5" t="str">
        <f>HYPERLINK("http://www.ncbi.nlm.nih.gov/protein/86262153","Ank3")</f>
        <v>Ank3</v>
      </c>
      <c r="B340" s="4"/>
      <c r="C340" s="3">
        <v>0</v>
      </c>
      <c r="D340" s="3">
        <v>63</v>
      </c>
      <c r="E340" s="3">
        <v>0</v>
      </c>
      <c r="F340" s="3">
        <v>0</v>
      </c>
      <c r="G340" s="3">
        <v>0</v>
      </c>
      <c r="H340" s="2">
        <f t="shared" si="10"/>
        <v>63</v>
      </c>
      <c r="I340" t="str">
        <f t="shared" si="11"/>
        <v>Ank3_63</v>
      </c>
      <c r="J340" s="3">
        <v>0</v>
      </c>
      <c r="K340" s="3">
        <v>63</v>
      </c>
      <c r="L340" s="3">
        <v>0</v>
      </c>
      <c r="M340" s="3">
        <v>0</v>
      </c>
      <c r="N340" s="3">
        <v>0</v>
      </c>
    </row>
    <row r="341" spans="1:14" x14ac:dyDescent="0.2">
      <c r="A341" s="5" t="str">
        <f>HYPERLINK("http://www.ncbi.nlm.nih.gov/protein/116256491","Ank3")</f>
        <v>Ank3</v>
      </c>
      <c r="B341" s="4"/>
      <c r="C341" s="3">
        <v>0</v>
      </c>
      <c r="D341" s="3">
        <v>63</v>
      </c>
      <c r="E341" s="3">
        <v>148</v>
      </c>
      <c r="F341" s="3">
        <v>0</v>
      </c>
      <c r="G341" s="3">
        <v>0</v>
      </c>
      <c r="H341" s="2">
        <f t="shared" si="10"/>
        <v>211</v>
      </c>
      <c r="I341" t="str">
        <f t="shared" si="11"/>
        <v>Ank3_211</v>
      </c>
      <c r="J341" s="3">
        <v>0</v>
      </c>
      <c r="K341" s="3">
        <v>63</v>
      </c>
      <c r="L341" s="3">
        <v>148</v>
      </c>
      <c r="M341" s="3">
        <v>0</v>
      </c>
      <c r="N341" s="3">
        <v>0</v>
      </c>
    </row>
    <row r="342" spans="1:14" x14ac:dyDescent="0.2">
      <c r="A342" s="5" t="str">
        <f>HYPERLINK("http://www.ncbi.nlm.nih.gov/protein/116256493","Ank3")</f>
        <v>Ank3</v>
      </c>
      <c r="B342" s="4"/>
      <c r="C342" s="3">
        <v>0</v>
      </c>
      <c r="D342" s="3">
        <v>63</v>
      </c>
      <c r="E342" s="3">
        <v>148</v>
      </c>
      <c r="F342" s="3">
        <v>0</v>
      </c>
      <c r="G342" s="3">
        <v>0</v>
      </c>
      <c r="H342" s="2">
        <f t="shared" si="10"/>
        <v>211</v>
      </c>
      <c r="I342" t="str">
        <f t="shared" si="11"/>
        <v>Ank3_211</v>
      </c>
      <c r="J342" s="3">
        <v>0</v>
      </c>
      <c r="K342" s="3">
        <v>63</v>
      </c>
      <c r="L342" s="3">
        <v>148</v>
      </c>
      <c r="M342" s="3">
        <v>0</v>
      </c>
      <c r="N342" s="3">
        <v>0</v>
      </c>
    </row>
    <row r="343" spans="1:14" x14ac:dyDescent="0.2">
      <c r="A343" s="5" t="str">
        <f>HYPERLINK("http://www.ncbi.nlm.nih.gov/protein/116256497","Ank3")</f>
        <v>Ank3</v>
      </c>
      <c r="B343" s="4"/>
      <c r="C343" s="3">
        <v>0</v>
      </c>
      <c r="D343" s="3">
        <v>63</v>
      </c>
      <c r="E343" s="3">
        <v>148</v>
      </c>
      <c r="F343" s="3">
        <v>0</v>
      </c>
      <c r="G343" s="3">
        <v>0</v>
      </c>
      <c r="H343" s="2">
        <f t="shared" si="10"/>
        <v>211</v>
      </c>
      <c r="I343" t="str">
        <f t="shared" si="11"/>
        <v>Ank3_211</v>
      </c>
      <c r="J343" s="3">
        <v>0</v>
      </c>
      <c r="K343" s="3">
        <v>63</v>
      </c>
      <c r="L343" s="3">
        <v>148</v>
      </c>
      <c r="M343" s="3">
        <v>0</v>
      </c>
      <c r="N343" s="3">
        <v>0</v>
      </c>
    </row>
    <row r="344" spans="1:14" x14ac:dyDescent="0.2">
      <c r="A344" s="5" t="str">
        <f>HYPERLINK("http://www.ncbi.nlm.nih.gov/protein/116256503","Ank3")</f>
        <v>Ank3</v>
      </c>
      <c r="B344" s="4"/>
      <c r="C344" s="3">
        <v>0</v>
      </c>
      <c r="D344" s="3">
        <v>63</v>
      </c>
      <c r="E344" s="3">
        <v>148</v>
      </c>
      <c r="F344" s="3">
        <v>0</v>
      </c>
      <c r="G344" s="3">
        <v>0</v>
      </c>
      <c r="H344" s="2">
        <f t="shared" si="10"/>
        <v>211</v>
      </c>
      <c r="I344" t="str">
        <f t="shared" si="11"/>
        <v>Ank3_211</v>
      </c>
      <c r="J344" s="3">
        <v>0</v>
      </c>
      <c r="K344" s="3">
        <v>63</v>
      </c>
      <c r="L344" s="3">
        <v>148</v>
      </c>
      <c r="M344" s="3">
        <v>0</v>
      </c>
      <c r="N344" s="3">
        <v>0</v>
      </c>
    </row>
    <row r="345" spans="1:14" x14ac:dyDescent="0.2">
      <c r="A345" s="5" t="str">
        <f>HYPERLINK("http://www.ncbi.nlm.nih.gov/protein/116256505","Ank3")</f>
        <v>Ank3</v>
      </c>
      <c r="B345" s="4"/>
      <c r="C345" s="3">
        <v>0</v>
      </c>
      <c r="D345" s="3">
        <v>63</v>
      </c>
      <c r="E345" s="3">
        <v>148</v>
      </c>
      <c r="F345" s="3">
        <v>0</v>
      </c>
      <c r="G345" s="3">
        <v>0</v>
      </c>
      <c r="H345" s="2">
        <f t="shared" si="10"/>
        <v>211</v>
      </c>
      <c r="I345" t="str">
        <f t="shared" si="11"/>
        <v>Ank3_211</v>
      </c>
      <c r="J345" s="3">
        <v>0</v>
      </c>
      <c r="K345" s="3">
        <v>63</v>
      </c>
      <c r="L345" s="3">
        <v>148</v>
      </c>
      <c r="M345" s="3">
        <v>0</v>
      </c>
      <c r="N345" s="3">
        <v>0</v>
      </c>
    </row>
    <row r="346" spans="1:14" x14ac:dyDescent="0.2">
      <c r="A346" s="5" t="str">
        <f>HYPERLINK("http://www.ncbi.nlm.nih.gov/protein/25121946","Ank3")</f>
        <v>Ank3</v>
      </c>
      <c r="B346" s="4"/>
      <c r="C346" s="3">
        <v>0</v>
      </c>
      <c r="D346" s="3">
        <v>63</v>
      </c>
      <c r="E346" s="3">
        <v>148</v>
      </c>
      <c r="F346" s="3">
        <v>0</v>
      </c>
      <c r="G346" s="3">
        <v>0</v>
      </c>
      <c r="H346" s="2">
        <f t="shared" si="10"/>
        <v>211</v>
      </c>
      <c r="I346" t="str">
        <f t="shared" si="11"/>
        <v>Ank3_211</v>
      </c>
      <c r="J346" s="3">
        <v>0</v>
      </c>
      <c r="K346" s="3">
        <v>63</v>
      </c>
      <c r="L346" s="3">
        <v>148</v>
      </c>
      <c r="M346" s="3">
        <v>0</v>
      </c>
      <c r="N346" s="3">
        <v>0</v>
      </c>
    </row>
    <row r="347" spans="1:14" x14ac:dyDescent="0.2">
      <c r="A347" s="5" t="str">
        <f>HYPERLINK("http://www.ncbi.nlm.nih.gov/protein/85702366","Ankfy1")</f>
        <v>Ankfy1</v>
      </c>
      <c r="B347" s="4"/>
      <c r="C347" s="3">
        <v>1593</v>
      </c>
      <c r="D347" s="3">
        <v>2670</v>
      </c>
      <c r="E347" s="3">
        <v>7707</v>
      </c>
      <c r="F347" s="3">
        <v>2177</v>
      </c>
      <c r="G347" s="3">
        <v>31957</v>
      </c>
      <c r="H347" s="2">
        <f t="shared" si="10"/>
        <v>46104</v>
      </c>
      <c r="I347" t="str">
        <f t="shared" si="11"/>
        <v>Ankfy1_46104</v>
      </c>
      <c r="J347" s="3">
        <v>1593</v>
      </c>
      <c r="K347" s="3">
        <v>2670</v>
      </c>
      <c r="L347" s="3">
        <v>7707</v>
      </c>
      <c r="M347" s="3">
        <v>2177</v>
      </c>
      <c r="N347" s="3">
        <v>31957</v>
      </c>
    </row>
    <row r="348" spans="1:14" x14ac:dyDescent="0.2">
      <c r="A348" s="5" t="str">
        <f>HYPERLINK("http://www.ncbi.nlm.nih.gov/protein/158749543","Ankhd1")</f>
        <v>Ankhd1</v>
      </c>
      <c r="B348" s="4"/>
      <c r="C348" s="3">
        <v>0</v>
      </c>
      <c r="D348" s="3">
        <v>29</v>
      </c>
      <c r="E348" s="3">
        <v>5915</v>
      </c>
      <c r="F348" s="3">
        <v>3086</v>
      </c>
      <c r="G348" s="3">
        <v>2581</v>
      </c>
      <c r="H348" s="2">
        <f t="shared" si="10"/>
        <v>11611</v>
      </c>
      <c r="I348" t="str">
        <f t="shared" si="11"/>
        <v>Ankhd1_11611</v>
      </c>
      <c r="J348" s="3">
        <v>0</v>
      </c>
      <c r="K348" s="3">
        <v>29</v>
      </c>
      <c r="L348" s="3">
        <v>5915</v>
      </c>
      <c r="M348" s="3">
        <v>3086</v>
      </c>
      <c r="N348" s="3">
        <v>2581</v>
      </c>
    </row>
    <row r="349" spans="1:14" x14ac:dyDescent="0.2">
      <c r="A349" s="5" t="str">
        <f>HYPERLINK("http://www.ncbi.nlm.nih.gov/protein/61656165","Ankib1")</f>
        <v>Ankib1</v>
      </c>
      <c r="B349" s="4"/>
      <c r="C349" s="3">
        <v>0</v>
      </c>
      <c r="D349" s="3">
        <v>0</v>
      </c>
      <c r="E349" s="3">
        <v>13</v>
      </c>
      <c r="F349" s="3">
        <v>0</v>
      </c>
      <c r="G349" s="3">
        <v>139</v>
      </c>
      <c r="H349" s="2">
        <f t="shared" si="10"/>
        <v>152</v>
      </c>
      <c r="I349" t="str">
        <f t="shared" si="11"/>
        <v>Ankib1_152</v>
      </c>
      <c r="J349" s="3">
        <v>0</v>
      </c>
      <c r="K349" s="3">
        <v>0</v>
      </c>
      <c r="L349" s="3">
        <v>13</v>
      </c>
      <c r="M349" s="3">
        <v>0</v>
      </c>
      <c r="N349" s="3">
        <v>139</v>
      </c>
    </row>
    <row r="350" spans="1:14" x14ac:dyDescent="0.2">
      <c r="A350" s="5" t="str">
        <f>HYPERLINK("http://www.ncbi.nlm.nih.gov/protein/189181677","Ankle1")</f>
        <v>Ankle1</v>
      </c>
      <c r="B350" s="4"/>
      <c r="C350" s="3">
        <v>0</v>
      </c>
      <c r="D350" s="3">
        <v>340</v>
      </c>
      <c r="E350" s="3">
        <v>0</v>
      </c>
      <c r="F350" s="3">
        <v>0</v>
      </c>
      <c r="G350" s="3">
        <v>0</v>
      </c>
      <c r="H350" s="2">
        <f t="shared" si="10"/>
        <v>340</v>
      </c>
      <c r="I350" t="str">
        <f t="shared" si="11"/>
        <v>Ankle1_340</v>
      </c>
      <c r="J350" s="3">
        <v>0</v>
      </c>
      <c r="K350" s="3">
        <v>340</v>
      </c>
      <c r="L350" s="3">
        <v>0</v>
      </c>
      <c r="M350" s="3">
        <v>0</v>
      </c>
      <c r="N350" s="3">
        <v>0</v>
      </c>
    </row>
    <row r="351" spans="1:14" x14ac:dyDescent="0.2">
      <c r="A351" s="5" t="str">
        <f>HYPERLINK("http://www.ncbi.nlm.nih.gov/protein/269308251","Ankmy2")</f>
        <v>Ankmy2</v>
      </c>
      <c r="B351" s="4"/>
      <c r="C351" s="3">
        <v>0</v>
      </c>
      <c r="D351" s="3">
        <v>499</v>
      </c>
      <c r="E351" s="3">
        <v>641</v>
      </c>
      <c r="F351" s="3">
        <v>2341</v>
      </c>
      <c r="G351" s="3">
        <v>11791</v>
      </c>
      <c r="H351" s="2">
        <f t="shared" si="10"/>
        <v>15272</v>
      </c>
      <c r="I351" t="str">
        <f t="shared" si="11"/>
        <v>Ankmy2_15272</v>
      </c>
      <c r="J351" s="3">
        <v>0</v>
      </c>
      <c r="K351" s="3">
        <v>499</v>
      </c>
      <c r="L351" s="3">
        <v>641</v>
      </c>
      <c r="M351" s="3">
        <v>2341</v>
      </c>
      <c r="N351" s="3">
        <v>11791</v>
      </c>
    </row>
    <row r="352" spans="1:14" x14ac:dyDescent="0.2">
      <c r="A352" s="5" t="str">
        <f>HYPERLINK("http://www.ncbi.nlm.nih.gov/protein/61651675","Ankrd13a")</f>
        <v>Ankrd13a</v>
      </c>
      <c r="B352" s="4"/>
      <c r="C352" s="3">
        <v>0</v>
      </c>
      <c r="D352" s="3">
        <v>0</v>
      </c>
      <c r="E352" s="3">
        <v>4</v>
      </c>
      <c r="F352" s="3">
        <v>0</v>
      </c>
      <c r="G352" s="3">
        <v>0</v>
      </c>
      <c r="H352" s="2">
        <f t="shared" si="10"/>
        <v>4</v>
      </c>
      <c r="I352" t="str">
        <f t="shared" si="11"/>
        <v>Ankrd13a_4</v>
      </c>
      <c r="J352" s="3">
        <v>0</v>
      </c>
      <c r="K352" s="3">
        <v>0</v>
      </c>
      <c r="L352" s="3">
        <v>4</v>
      </c>
      <c r="M352" s="3">
        <v>0</v>
      </c>
      <c r="N352" s="3">
        <v>0</v>
      </c>
    </row>
    <row r="353" spans="1:14" x14ac:dyDescent="0.2">
      <c r="A353" s="5" t="str">
        <f>HYPERLINK("http://www.ncbi.nlm.nih.gov/protein/142363888","Ankrd13d")</f>
        <v>Ankrd13d</v>
      </c>
      <c r="B353" s="4"/>
      <c r="C353" s="3">
        <v>0</v>
      </c>
      <c r="D353" s="3">
        <v>0</v>
      </c>
      <c r="E353" s="3">
        <v>4</v>
      </c>
      <c r="F353" s="3">
        <v>0</v>
      </c>
      <c r="G353" s="3">
        <v>0</v>
      </c>
      <c r="H353" s="2">
        <f t="shared" si="10"/>
        <v>4</v>
      </c>
      <c r="I353" t="str">
        <f t="shared" si="11"/>
        <v>Ankrd13d_4</v>
      </c>
      <c r="J353" s="3">
        <v>0</v>
      </c>
      <c r="K353" s="3">
        <v>0</v>
      </c>
      <c r="L353" s="3">
        <v>4</v>
      </c>
      <c r="M353" s="3">
        <v>0</v>
      </c>
      <c r="N353" s="3">
        <v>0</v>
      </c>
    </row>
    <row r="354" spans="1:14" x14ac:dyDescent="0.2">
      <c r="A354" s="5" t="str">
        <f>HYPERLINK("http://www.ncbi.nlm.nih.gov/protein/40549395","Ankrd17")</f>
        <v>Ankrd17</v>
      </c>
      <c r="B354" s="4"/>
      <c r="C354" s="3">
        <v>0</v>
      </c>
      <c r="D354" s="3">
        <v>86</v>
      </c>
      <c r="E354" s="3">
        <v>7039</v>
      </c>
      <c r="F354" s="3">
        <v>3086</v>
      </c>
      <c r="G354" s="3">
        <v>2206</v>
      </c>
      <c r="H354" s="2">
        <f t="shared" si="10"/>
        <v>12417</v>
      </c>
      <c r="I354" t="str">
        <f t="shared" si="11"/>
        <v>Ankrd17_12417</v>
      </c>
      <c r="J354" s="3">
        <v>0</v>
      </c>
      <c r="K354" s="3">
        <v>86</v>
      </c>
      <c r="L354" s="3">
        <v>7039</v>
      </c>
      <c r="M354" s="3">
        <v>3086</v>
      </c>
      <c r="N354" s="3">
        <v>2206</v>
      </c>
    </row>
    <row r="355" spans="1:14" x14ac:dyDescent="0.2">
      <c r="A355" s="5" t="str">
        <f>HYPERLINK("http://www.ncbi.nlm.nih.gov/protein/40549397","Ankrd17")</f>
        <v>Ankrd17</v>
      </c>
      <c r="B355" s="4"/>
      <c r="C355" s="3">
        <v>0</v>
      </c>
      <c r="D355" s="3">
        <v>86</v>
      </c>
      <c r="E355" s="3">
        <v>7039</v>
      </c>
      <c r="F355" s="3">
        <v>3086</v>
      </c>
      <c r="G355" s="3">
        <v>2206</v>
      </c>
      <c r="H355" s="2">
        <f t="shared" si="10"/>
        <v>12417</v>
      </c>
      <c r="I355" t="str">
        <f t="shared" si="11"/>
        <v>Ankrd17_12417</v>
      </c>
      <c r="J355" s="3">
        <v>0</v>
      </c>
      <c r="K355" s="3">
        <v>86</v>
      </c>
      <c r="L355" s="3">
        <v>7039</v>
      </c>
      <c r="M355" s="3">
        <v>3086</v>
      </c>
      <c r="N355" s="3">
        <v>2206</v>
      </c>
    </row>
    <row r="356" spans="1:14" x14ac:dyDescent="0.2">
      <c r="A356" s="5" t="str">
        <f>HYPERLINK("http://www.ncbi.nlm.nih.gov/protein/48597001","Ankrd22")</f>
        <v>Ankrd22</v>
      </c>
      <c r="B356" s="4"/>
      <c r="C356" s="3">
        <v>0</v>
      </c>
      <c r="D356" s="3">
        <v>52</v>
      </c>
      <c r="E356" s="3">
        <v>0</v>
      </c>
      <c r="F356" s="3">
        <v>0</v>
      </c>
      <c r="G356" s="3">
        <v>0</v>
      </c>
      <c r="H356" s="2">
        <f t="shared" si="10"/>
        <v>52</v>
      </c>
      <c r="I356" t="str">
        <f t="shared" si="11"/>
        <v>Ankrd22_52</v>
      </c>
      <c r="J356" s="3">
        <v>0</v>
      </c>
      <c r="K356" s="3">
        <v>52</v>
      </c>
      <c r="L356" s="3">
        <v>0</v>
      </c>
      <c r="M356" s="3">
        <v>0</v>
      </c>
      <c r="N356" s="3">
        <v>0</v>
      </c>
    </row>
    <row r="357" spans="1:14" x14ac:dyDescent="0.2">
      <c r="A357" s="5" t="str">
        <f>HYPERLINK("http://www.ncbi.nlm.nih.gov/protein/66841376","Ankrd28")</f>
        <v>Ankrd28</v>
      </c>
      <c r="B357" s="4"/>
      <c r="C357" s="3">
        <v>0</v>
      </c>
      <c r="D357" s="3">
        <v>0</v>
      </c>
      <c r="E357" s="3">
        <v>0</v>
      </c>
      <c r="F357" s="3">
        <v>982</v>
      </c>
      <c r="G357" s="3">
        <v>2388</v>
      </c>
      <c r="H357" s="2">
        <f t="shared" si="10"/>
        <v>3370</v>
      </c>
      <c r="I357" t="str">
        <f t="shared" si="11"/>
        <v>Ankrd28_3370</v>
      </c>
      <c r="J357" s="3">
        <v>0</v>
      </c>
      <c r="K357" s="3">
        <v>0</v>
      </c>
      <c r="L357" s="3">
        <v>0</v>
      </c>
      <c r="M357" s="3">
        <v>982</v>
      </c>
      <c r="N357" s="3">
        <v>2388</v>
      </c>
    </row>
    <row r="358" spans="1:14" x14ac:dyDescent="0.2">
      <c r="A358" s="5" t="str">
        <f>HYPERLINK("http://www.ncbi.nlm.nih.gov/protein/125656161","Ankrd40")</f>
        <v>Ankrd40</v>
      </c>
      <c r="B358" s="4"/>
      <c r="C358" s="3">
        <v>0</v>
      </c>
      <c r="D358" s="3">
        <v>79</v>
      </c>
      <c r="E358" s="3">
        <v>41</v>
      </c>
      <c r="F358" s="3">
        <v>336</v>
      </c>
      <c r="G358" s="3">
        <v>0</v>
      </c>
      <c r="H358" s="2">
        <f t="shared" si="10"/>
        <v>456</v>
      </c>
      <c r="I358" t="str">
        <f t="shared" si="11"/>
        <v>Ankrd40_456</v>
      </c>
      <c r="J358" s="3">
        <v>0</v>
      </c>
      <c r="K358" s="3">
        <v>79</v>
      </c>
      <c r="L358" s="3">
        <v>41</v>
      </c>
      <c r="M358" s="3">
        <v>336</v>
      </c>
      <c r="N358" s="3">
        <v>0</v>
      </c>
    </row>
    <row r="359" spans="1:14" x14ac:dyDescent="0.2">
      <c r="A359" s="5" t="str">
        <f>HYPERLINK("http://www.ncbi.nlm.nih.gov/protein/125656167","Ankrd40")</f>
        <v>Ankrd40</v>
      </c>
      <c r="B359" s="4"/>
      <c r="C359" s="3">
        <v>0</v>
      </c>
      <c r="D359" s="3">
        <v>79</v>
      </c>
      <c r="E359" s="3">
        <v>41</v>
      </c>
      <c r="F359" s="3">
        <v>336</v>
      </c>
      <c r="G359" s="3">
        <v>0</v>
      </c>
      <c r="H359" s="2">
        <f t="shared" si="10"/>
        <v>456</v>
      </c>
      <c r="I359" t="str">
        <f t="shared" si="11"/>
        <v>Ankrd40_456</v>
      </c>
      <c r="J359" s="3">
        <v>0</v>
      </c>
      <c r="K359" s="3">
        <v>79</v>
      </c>
      <c r="L359" s="3">
        <v>41</v>
      </c>
      <c r="M359" s="3">
        <v>336</v>
      </c>
      <c r="N359" s="3">
        <v>0</v>
      </c>
    </row>
    <row r="360" spans="1:14" x14ac:dyDescent="0.2">
      <c r="A360" s="5" t="str">
        <f>HYPERLINK("http://www.ncbi.nlm.nih.gov/protein/29789417","Ankrd46")</f>
        <v>Ankrd46</v>
      </c>
      <c r="B360" s="4"/>
      <c r="C360" s="3">
        <v>0</v>
      </c>
      <c r="D360" s="3">
        <v>1749</v>
      </c>
      <c r="E360" s="3">
        <v>0</v>
      </c>
      <c r="F360" s="3">
        <v>0</v>
      </c>
      <c r="G360" s="3">
        <v>0</v>
      </c>
      <c r="H360" s="2">
        <f t="shared" si="10"/>
        <v>1749</v>
      </c>
      <c r="I360" t="str">
        <f t="shared" si="11"/>
        <v>Ankrd46_1749</v>
      </c>
      <c r="J360" s="3">
        <v>0</v>
      </c>
      <c r="K360" s="3">
        <v>1749</v>
      </c>
      <c r="L360" s="3">
        <v>0</v>
      </c>
      <c r="M360" s="3">
        <v>0</v>
      </c>
      <c r="N360" s="3">
        <v>0</v>
      </c>
    </row>
    <row r="361" spans="1:14" x14ac:dyDescent="0.2">
      <c r="A361" s="5" t="str">
        <f>HYPERLINK("http://www.ncbi.nlm.nih.gov/protein/31088892","Anks1")</f>
        <v>Anks1</v>
      </c>
      <c r="B361" s="4"/>
      <c r="C361" s="3">
        <v>0</v>
      </c>
      <c r="D361" s="3">
        <v>0</v>
      </c>
      <c r="E361" s="3">
        <v>31</v>
      </c>
      <c r="F361" s="3">
        <v>0</v>
      </c>
      <c r="G361" s="3">
        <v>278</v>
      </c>
      <c r="H361" s="2">
        <f t="shared" si="10"/>
        <v>309</v>
      </c>
      <c r="I361" t="str">
        <f t="shared" si="11"/>
        <v>Anks1_309</v>
      </c>
      <c r="J361" s="3">
        <v>0</v>
      </c>
      <c r="K361" s="3">
        <v>0</v>
      </c>
      <c r="L361" s="3">
        <v>31</v>
      </c>
      <c r="M361" s="3">
        <v>0</v>
      </c>
      <c r="N361" s="3">
        <v>278</v>
      </c>
    </row>
    <row r="362" spans="1:14" x14ac:dyDescent="0.2">
      <c r="A362" s="5" t="str">
        <f>HYPERLINK("http://www.ncbi.nlm.nih.gov/protein/188528655","Anks3")</f>
        <v>Anks3</v>
      </c>
      <c r="B362" s="4"/>
      <c r="C362" s="3">
        <v>0</v>
      </c>
      <c r="D362" s="3">
        <v>0</v>
      </c>
      <c r="E362" s="3">
        <v>0</v>
      </c>
      <c r="F362" s="3">
        <v>0</v>
      </c>
      <c r="G362" s="3">
        <v>2292</v>
      </c>
      <c r="H362" s="2">
        <f t="shared" si="10"/>
        <v>2292</v>
      </c>
      <c r="I362" t="str">
        <f t="shared" si="11"/>
        <v>Anks3_2292</v>
      </c>
      <c r="J362" s="3">
        <v>0</v>
      </c>
      <c r="K362" s="3">
        <v>0</v>
      </c>
      <c r="L362" s="3">
        <v>0</v>
      </c>
      <c r="M362" s="3">
        <v>0</v>
      </c>
      <c r="N362" s="3">
        <v>2292</v>
      </c>
    </row>
    <row r="363" spans="1:14" x14ac:dyDescent="0.2">
      <c r="A363" s="5" t="str">
        <f>HYPERLINK("http://www.ncbi.nlm.nih.gov/protein/110556649","Ankzf1")</f>
        <v>Ankzf1</v>
      </c>
      <c r="B363" s="4"/>
      <c r="C363" s="3">
        <v>0</v>
      </c>
      <c r="D363" s="3">
        <v>0</v>
      </c>
      <c r="E363" s="3">
        <v>328</v>
      </c>
      <c r="F363" s="3">
        <v>794</v>
      </c>
      <c r="G363" s="3">
        <v>0</v>
      </c>
      <c r="H363" s="2">
        <f t="shared" si="10"/>
        <v>1122</v>
      </c>
      <c r="I363" t="str">
        <f t="shared" si="11"/>
        <v>Ankzf1_1122</v>
      </c>
      <c r="J363" s="3">
        <v>0</v>
      </c>
      <c r="K363" s="3">
        <v>0</v>
      </c>
      <c r="L363" s="3">
        <v>328</v>
      </c>
      <c r="M363" s="3">
        <v>794</v>
      </c>
      <c r="N363" s="3">
        <v>0</v>
      </c>
    </row>
    <row r="364" spans="1:14" x14ac:dyDescent="0.2">
      <c r="A364" s="5" t="str">
        <f>HYPERLINK("http://www.ncbi.nlm.nih.gov/protein/251823794","Anln")</f>
        <v>Anln</v>
      </c>
      <c r="B364" s="4"/>
      <c r="C364" s="3">
        <v>0</v>
      </c>
      <c r="D364" s="3">
        <v>251</v>
      </c>
      <c r="E364" s="3">
        <v>860</v>
      </c>
      <c r="F364" s="3">
        <v>0</v>
      </c>
      <c r="G364" s="3">
        <v>0</v>
      </c>
      <c r="H364" s="2">
        <f t="shared" si="10"/>
        <v>1111</v>
      </c>
      <c r="I364" t="str">
        <f t="shared" si="11"/>
        <v>Anln_1111</v>
      </c>
      <c r="J364" s="3">
        <v>0</v>
      </c>
      <c r="K364" s="3">
        <v>251</v>
      </c>
      <c r="L364" s="3">
        <v>860</v>
      </c>
      <c r="M364" s="3">
        <v>0</v>
      </c>
      <c r="N364" s="3">
        <v>0</v>
      </c>
    </row>
    <row r="365" spans="1:14" x14ac:dyDescent="0.2">
      <c r="A365" s="5" t="str">
        <f>HYPERLINK("http://www.ncbi.nlm.nih.gov/protein/30794236","Ano10")</f>
        <v>Ano10</v>
      </c>
      <c r="B365" s="4"/>
      <c r="C365" s="3">
        <v>0</v>
      </c>
      <c r="D365" s="3">
        <v>405</v>
      </c>
      <c r="E365" s="3">
        <v>0</v>
      </c>
      <c r="F365" s="3">
        <v>0</v>
      </c>
      <c r="G365" s="3">
        <v>0</v>
      </c>
      <c r="H365" s="2">
        <f t="shared" si="10"/>
        <v>405</v>
      </c>
      <c r="I365" t="str">
        <f t="shared" si="11"/>
        <v>Ano10_405</v>
      </c>
      <c r="J365" s="3">
        <v>0</v>
      </c>
      <c r="K365" s="3">
        <v>405</v>
      </c>
      <c r="L365" s="3">
        <v>0</v>
      </c>
      <c r="M365" s="3">
        <v>0</v>
      </c>
      <c r="N365" s="3">
        <v>0</v>
      </c>
    </row>
    <row r="366" spans="1:14" x14ac:dyDescent="0.2">
      <c r="A366" s="5" t="str">
        <f>HYPERLINK("http://www.ncbi.nlm.nih.gov/protein/428673529","Ano10")</f>
        <v>Ano10</v>
      </c>
      <c r="B366" s="4"/>
      <c r="C366" s="3">
        <v>0</v>
      </c>
      <c r="D366" s="3">
        <v>405</v>
      </c>
      <c r="E366" s="3">
        <v>0</v>
      </c>
      <c r="F366" s="3">
        <v>0</v>
      </c>
      <c r="G366" s="3">
        <v>0</v>
      </c>
      <c r="H366" s="2">
        <f t="shared" si="10"/>
        <v>405</v>
      </c>
      <c r="I366" t="str">
        <f t="shared" si="11"/>
        <v>Ano10_405</v>
      </c>
      <c r="J366" s="3">
        <v>0</v>
      </c>
      <c r="K366" s="3">
        <v>405</v>
      </c>
      <c r="L366" s="3">
        <v>0</v>
      </c>
      <c r="M366" s="3">
        <v>0</v>
      </c>
      <c r="N366" s="3">
        <v>0</v>
      </c>
    </row>
    <row r="367" spans="1:14" x14ac:dyDescent="0.2">
      <c r="A367" s="5" t="str">
        <f>HYPERLINK("http://www.ncbi.nlm.nih.gov/protein/359465539","Ano6")</f>
        <v>Ano6</v>
      </c>
      <c r="B367" s="4"/>
      <c r="C367" s="3">
        <v>0</v>
      </c>
      <c r="D367" s="3">
        <v>2288</v>
      </c>
      <c r="E367" s="3">
        <v>8209</v>
      </c>
      <c r="F367" s="3">
        <v>0</v>
      </c>
      <c r="G367" s="3">
        <v>0</v>
      </c>
      <c r="H367" s="2">
        <f t="shared" si="10"/>
        <v>10497</v>
      </c>
      <c r="I367" t="str">
        <f t="shared" si="11"/>
        <v>Ano6_10497</v>
      </c>
      <c r="J367" s="3">
        <v>0</v>
      </c>
      <c r="K367" s="3">
        <v>2288</v>
      </c>
      <c r="L367" s="3">
        <v>8209</v>
      </c>
      <c r="M367" s="3">
        <v>0</v>
      </c>
      <c r="N367" s="3">
        <v>0</v>
      </c>
    </row>
    <row r="368" spans="1:14" x14ac:dyDescent="0.2">
      <c r="A368" s="5" t="str">
        <f>HYPERLINK("http://www.ncbi.nlm.nih.gov/protein/40254290","Ano6")</f>
        <v>Ano6</v>
      </c>
      <c r="B368" s="4"/>
      <c r="C368" s="3">
        <v>0</v>
      </c>
      <c r="D368" s="3">
        <v>2288</v>
      </c>
      <c r="E368" s="3">
        <v>8209</v>
      </c>
      <c r="F368" s="3">
        <v>0</v>
      </c>
      <c r="G368" s="3">
        <v>0</v>
      </c>
      <c r="H368" s="2">
        <f t="shared" si="10"/>
        <v>10497</v>
      </c>
      <c r="I368" t="str">
        <f t="shared" si="11"/>
        <v>Ano6_10497</v>
      </c>
      <c r="J368" s="3">
        <v>0</v>
      </c>
      <c r="K368" s="3">
        <v>2288</v>
      </c>
      <c r="L368" s="3">
        <v>8209</v>
      </c>
      <c r="M368" s="3">
        <v>0</v>
      </c>
      <c r="N368" s="3">
        <v>0</v>
      </c>
    </row>
    <row r="369" spans="1:14" x14ac:dyDescent="0.2">
      <c r="A369" s="5" t="str">
        <f>HYPERLINK("http://www.ncbi.nlm.nih.gov/protein/40254600","Anp32a")</f>
        <v>Anp32a</v>
      </c>
      <c r="B369" s="4"/>
      <c r="C369" s="3">
        <v>9592</v>
      </c>
      <c r="D369" s="3">
        <v>1488</v>
      </c>
      <c r="E369" s="3">
        <v>5378</v>
      </c>
      <c r="F369" s="3">
        <v>3847</v>
      </c>
      <c r="G369" s="3">
        <v>170260</v>
      </c>
      <c r="H369" s="2">
        <f t="shared" si="10"/>
        <v>190565</v>
      </c>
      <c r="I369" t="str">
        <f t="shared" si="11"/>
        <v>Anp32a_190565</v>
      </c>
      <c r="J369" s="3">
        <v>9592</v>
      </c>
      <c r="K369" s="3">
        <v>1488</v>
      </c>
      <c r="L369" s="3">
        <v>5378</v>
      </c>
      <c r="M369" s="3">
        <v>3847</v>
      </c>
      <c r="N369" s="3">
        <v>170260</v>
      </c>
    </row>
    <row r="370" spans="1:14" x14ac:dyDescent="0.2">
      <c r="A370" s="5" t="str">
        <f>HYPERLINK("http://www.ncbi.nlm.nih.gov/protein/18700032","Anp32b")</f>
        <v>Anp32b</v>
      </c>
      <c r="B370" s="4"/>
      <c r="C370" s="3">
        <v>6792</v>
      </c>
      <c r="D370" s="3">
        <v>4127</v>
      </c>
      <c r="E370" s="3">
        <v>2802</v>
      </c>
      <c r="F370" s="3">
        <v>10248</v>
      </c>
      <c r="G370" s="3">
        <v>178645</v>
      </c>
      <c r="H370" s="2">
        <f t="shared" si="10"/>
        <v>202614</v>
      </c>
      <c r="I370" t="str">
        <f t="shared" si="11"/>
        <v>Anp32b_202614</v>
      </c>
      <c r="J370" s="3">
        <v>6792</v>
      </c>
      <c r="K370" s="3">
        <v>4127</v>
      </c>
      <c r="L370" s="3">
        <v>2802</v>
      </c>
      <c r="M370" s="3">
        <v>10248</v>
      </c>
      <c r="N370" s="3">
        <v>178645</v>
      </c>
    </row>
    <row r="371" spans="1:14" x14ac:dyDescent="0.2">
      <c r="A371" s="5" t="str">
        <f>HYPERLINK("http://www.ncbi.nlm.nih.gov/protein/359279954","Anp32e")</f>
        <v>Anp32e</v>
      </c>
      <c r="B371" s="4"/>
      <c r="C371" s="3">
        <v>0</v>
      </c>
      <c r="D371" s="3">
        <v>0</v>
      </c>
      <c r="E371" s="3">
        <v>0</v>
      </c>
      <c r="F371" s="3">
        <v>0</v>
      </c>
      <c r="G371" s="3">
        <v>7186</v>
      </c>
      <c r="H371" s="2">
        <f t="shared" si="10"/>
        <v>7186</v>
      </c>
      <c r="I371" t="str">
        <f t="shared" si="11"/>
        <v>Anp32e_7186</v>
      </c>
      <c r="J371" s="3">
        <v>0</v>
      </c>
      <c r="K371" s="3">
        <v>0</v>
      </c>
      <c r="L371" s="3">
        <v>0</v>
      </c>
      <c r="M371" s="3">
        <v>0</v>
      </c>
      <c r="N371" s="3">
        <v>7186</v>
      </c>
    </row>
    <row r="372" spans="1:14" x14ac:dyDescent="0.2">
      <c r="A372" s="5" t="str">
        <f>HYPERLINK("http://www.ncbi.nlm.nih.gov/protein/254587996","Anp32e")</f>
        <v>Anp32e</v>
      </c>
      <c r="B372" s="4"/>
      <c r="C372" s="3">
        <v>586</v>
      </c>
      <c r="D372" s="3">
        <v>2336</v>
      </c>
      <c r="E372" s="3">
        <v>1076</v>
      </c>
      <c r="F372" s="3">
        <v>819</v>
      </c>
      <c r="G372" s="3">
        <v>40867</v>
      </c>
      <c r="H372" s="2">
        <f t="shared" si="10"/>
        <v>45684</v>
      </c>
      <c r="I372" t="str">
        <f t="shared" si="11"/>
        <v>Anp32e_45684</v>
      </c>
      <c r="J372" s="3">
        <v>586</v>
      </c>
      <c r="K372" s="3">
        <v>2336</v>
      </c>
      <c r="L372" s="3">
        <v>1076</v>
      </c>
      <c r="M372" s="3">
        <v>819</v>
      </c>
      <c r="N372" s="3">
        <v>40867</v>
      </c>
    </row>
    <row r="373" spans="1:14" x14ac:dyDescent="0.2">
      <c r="A373" s="5" t="str">
        <f>HYPERLINK("http://www.ncbi.nlm.nih.gov/protein/359279956","Anp32e")</f>
        <v>Anp32e</v>
      </c>
      <c r="B373" s="4"/>
      <c r="C373" s="3">
        <v>586</v>
      </c>
      <c r="D373" s="3">
        <v>2336</v>
      </c>
      <c r="E373" s="3">
        <v>1076</v>
      </c>
      <c r="F373" s="3">
        <v>819</v>
      </c>
      <c r="G373" s="3">
        <v>40867</v>
      </c>
      <c r="H373" s="2">
        <f t="shared" si="10"/>
        <v>45684</v>
      </c>
      <c r="I373" t="str">
        <f t="shared" si="11"/>
        <v>Anp32e_45684</v>
      </c>
      <c r="J373" s="3">
        <v>586</v>
      </c>
      <c r="K373" s="3">
        <v>2336</v>
      </c>
      <c r="L373" s="3">
        <v>1076</v>
      </c>
      <c r="M373" s="3">
        <v>819</v>
      </c>
      <c r="N373" s="3">
        <v>40867</v>
      </c>
    </row>
    <row r="374" spans="1:14" x14ac:dyDescent="0.2">
      <c r="A374" s="5" t="str">
        <f>HYPERLINK("http://www.ncbi.nlm.nih.gov/protein/225637487","Anpep")</f>
        <v>Anpep</v>
      </c>
      <c r="B374" s="4"/>
      <c r="C374" s="3">
        <v>0</v>
      </c>
      <c r="D374" s="3">
        <v>0</v>
      </c>
      <c r="E374" s="3">
        <v>4337</v>
      </c>
      <c r="F374" s="3">
        <v>0</v>
      </c>
      <c r="G374" s="3">
        <v>0</v>
      </c>
      <c r="H374" s="2">
        <f t="shared" si="10"/>
        <v>4337</v>
      </c>
      <c r="I374" t="str">
        <f t="shared" si="11"/>
        <v>Anpep_4337</v>
      </c>
      <c r="J374" s="3">
        <v>0</v>
      </c>
      <c r="K374" s="3">
        <v>0</v>
      </c>
      <c r="L374" s="3">
        <v>4337</v>
      </c>
      <c r="M374" s="3">
        <v>0</v>
      </c>
      <c r="N374" s="3">
        <v>0</v>
      </c>
    </row>
    <row r="375" spans="1:14" x14ac:dyDescent="0.2">
      <c r="A375" s="5" t="str">
        <f>HYPERLINK("http://www.ncbi.nlm.nih.gov/protein/124517663","Anxa1")</f>
        <v>Anxa1</v>
      </c>
      <c r="B375" s="4"/>
      <c r="C375" s="3">
        <v>286782</v>
      </c>
      <c r="D375" s="3">
        <v>76301</v>
      </c>
      <c r="E375" s="3">
        <v>140073</v>
      </c>
      <c r="F375" s="3">
        <v>154200</v>
      </c>
      <c r="G375" s="3">
        <v>693526</v>
      </c>
      <c r="H375" s="2">
        <f t="shared" si="10"/>
        <v>1350882</v>
      </c>
      <c r="I375" t="str">
        <f t="shared" si="11"/>
        <v>Anxa1_1350882</v>
      </c>
      <c r="J375" s="3">
        <v>286782</v>
      </c>
      <c r="K375" s="3">
        <v>76301</v>
      </c>
      <c r="L375" s="3">
        <v>140073</v>
      </c>
      <c r="M375" s="3">
        <v>154200</v>
      </c>
      <c r="N375" s="3">
        <v>693526</v>
      </c>
    </row>
    <row r="376" spans="1:14" x14ac:dyDescent="0.2">
      <c r="A376" s="5" t="str">
        <f>HYPERLINK("http://www.ncbi.nlm.nih.gov/protein/160707921","Anxa11")</f>
        <v>Anxa11</v>
      </c>
      <c r="B376" s="4"/>
      <c r="C376" s="3">
        <v>31505</v>
      </c>
      <c r="D376" s="3">
        <v>84306</v>
      </c>
      <c r="E376" s="3">
        <v>169887</v>
      </c>
      <c r="F376" s="3">
        <v>536318</v>
      </c>
      <c r="G376" s="3">
        <v>99288</v>
      </c>
      <c r="H376" s="2">
        <f t="shared" si="10"/>
        <v>921304</v>
      </c>
      <c r="I376" t="str">
        <f t="shared" si="11"/>
        <v>Anxa11_921304</v>
      </c>
      <c r="J376" s="3">
        <v>31505</v>
      </c>
      <c r="K376" s="3">
        <v>84306</v>
      </c>
      <c r="L376" s="3">
        <v>169887</v>
      </c>
      <c r="M376" s="3">
        <v>536318</v>
      </c>
      <c r="N376" s="3">
        <v>99288</v>
      </c>
    </row>
    <row r="377" spans="1:14" x14ac:dyDescent="0.2">
      <c r="A377" s="5" t="str">
        <f>HYPERLINK("http://www.ncbi.nlm.nih.gov/protein/6996913","Anxa2")</f>
        <v>Anxa2</v>
      </c>
      <c r="B377" s="4"/>
      <c r="C377" s="3">
        <v>1621803</v>
      </c>
      <c r="D377" s="3">
        <v>235762</v>
      </c>
      <c r="E377" s="3">
        <v>444728</v>
      </c>
      <c r="F377" s="3">
        <v>757607</v>
      </c>
      <c r="G377" s="3">
        <v>94843</v>
      </c>
      <c r="H377" s="2">
        <f t="shared" si="10"/>
        <v>3154743</v>
      </c>
      <c r="I377" t="str">
        <f t="shared" si="11"/>
        <v>Anxa2_3154743</v>
      </c>
      <c r="J377" s="3">
        <v>1621803</v>
      </c>
      <c r="K377" s="3">
        <v>235762</v>
      </c>
      <c r="L377" s="3">
        <v>444728</v>
      </c>
      <c r="M377" s="3">
        <v>757607</v>
      </c>
      <c r="N377" s="3">
        <v>94843</v>
      </c>
    </row>
    <row r="378" spans="1:14" x14ac:dyDescent="0.2">
      <c r="A378" s="5" t="str">
        <f>HYPERLINK("http://www.ncbi.nlm.nih.gov/protein/160707925","Anxa3")</f>
        <v>Anxa3</v>
      </c>
      <c r="B378" s="4"/>
      <c r="C378" s="3">
        <v>48914</v>
      </c>
      <c r="D378" s="3">
        <v>55044</v>
      </c>
      <c r="E378" s="3">
        <v>46554</v>
      </c>
      <c r="F378" s="3">
        <v>64756</v>
      </c>
      <c r="G378" s="3">
        <v>448535</v>
      </c>
      <c r="H378" s="2">
        <f t="shared" si="10"/>
        <v>663803</v>
      </c>
      <c r="I378" t="str">
        <f t="shared" si="11"/>
        <v>Anxa3_663803</v>
      </c>
      <c r="J378" s="3">
        <v>48914</v>
      </c>
      <c r="K378" s="3">
        <v>55044</v>
      </c>
      <c r="L378" s="3">
        <v>46554</v>
      </c>
      <c r="M378" s="3">
        <v>64756</v>
      </c>
      <c r="N378" s="3">
        <v>448535</v>
      </c>
    </row>
    <row r="379" spans="1:14" x14ac:dyDescent="0.2">
      <c r="A379" s="5" t="str">
        <f>HYPERLINK("http://www.ncbi.nlm.nih.gov/protein/161016799","Anxa4")</f>
        <v>Anxa4</v>
      </c>
      <c r="B379" s="4"/>
      <c r="C379" s="3">
        <v>145624</v>
      </c>
      <c r="D379" s="3">
        <v>67796</v>
      </c>
      <c r="E379" s="3">
        <v>140695</v>
      </c>
      <c r="F379" s="3">
        <v>471046</v>
      </c>
      <c r="G379" s="3">
        <v>110618</v>
      </c>
      <c r="H379" s="2">
        <f t="shared" si="10"/>
        <v>935779</v>
      </c>
      <c r="I379" t="str">
        <f t="shared" si="11"/>
        <v>Anxa4_935779</v>
      </c>
      <c r="J379" s="3">
        <v>145624</v>
      </c>
      <c r="K379" s="3">
        <v>67796</v>
      </c>
      <c r="L379" s="3">
        <v>140695</v>
      </c>
      <c r="M379" s="3">
        <v>471046</v>
      </c>
      <c r="N379" s="3">
        <v>110618</v>
      </c>
    </row>
    <row r="380" spans="1:14" x14ac:dyDescent="0.2">
      <c r="A380" s="5" t="str">
        <f>HYPERLINK("http://www.ncbi.nlm.nih.gov/protein/6753060","Anxa5")</f>
        <v>Anxa5</v>
      </c>
      <c r="B380" s="4"/>
      <c r="C380" s="3">
        <v>224981</v>
      </c>
      <c r="D380" s="3">
        <v>87133</v>
      </c>
      <c r="E380" s="3">
        <v>129441</v>
      </c>
      <c r="F380" s="3">
        <v>69487</v>
      </c>
      <c r="G380" s="3">
        <v>552878</v>
      </c>
      <c r="H380" s="2">
        <f t="shared" si="10"/>
        <v>1063920</v>
      </c>
      <c r="I380" t="str">
        <f t="shared" si="11"/>
        <v>Anxa5_1063920</v>
      </c>
      <c r="J380" s="3">
        <v>224981</v>
      </c>
      <c r="K380" s="3">
        <v>87133</v>
      </c>
      <c r="L380" s="3">
        <v>129441</v>
      </c>
      <c r="M380" s="3">
        <v>69487</v>
      </c>
      <c r="N380" s="3">
        <v>552878</v>
      </c>
    </row>
    <row r="381" spans="1:14" x14ac:dyDescent="0.2">
      <c r="A381" s="5" t="str">
        <f>HYPERLINK("http://www.ncbi.nlm.nih.gov/protein/158966670","Anxa6")</f>
        <v>Anxa6</v>
      </c>
      <c r="B381" s="4"/>
      <c r="C381" s="3">
        <v>18471</v>
      </c>
      <c r="D381" s="3">
        <v>85786</v>
      </c>
      <c r="E381" s="3">
        <v>169005</v>
      </c>
      <c r="F381" s="3">
        <v>228025</v>
      </c>
      <c r="G381" s="3">
        <v>247036</v>
      </c>
      <c r="H381" s="2">
        <f t="shared" si="10"/>
        <v>748323</v>
      </c>
      <c r="I381" t="str">
        <f t="shared" si="11"/>
        <v>Anxa6_748323</v>
      </c>
      <c r="J381" s="3">
        <v>18471</v>
      </c>
      <c r="K381" s="3">
        <v>85786</v>
      </c>
      <c r="L381" s="3">
        <v>169005</v>
      </c>
      <c r="M381" s="3">
        <v>228025</v>
      </c>
      <c r="N381" s="3">
        <v>247036</v>
      </c>
    </row>
    <row r="382" spans="1:14" x14ac:dyDescent="0.2">
      <c r="A382" s="5" t="str">
        <f>HYPERLINK("http://www.ncbi.nlm.nih.gov/protein/31981302","Anxa6")</f>
        <v>Anxa6</v>
      </c>
      <c r="B382" s="4"/>
      <c r="C382" s="3">
        <v>18471</v>
      </c>
      <c r="D382" s="3">
        <v>84300</v>
      </c>
      <c r="E382" s="3">
        <v>163071</v>
      </c>
      <c r="F382" s="3">
        <v>223040</v>
      </c>
      <c r="G382" s="3">
        <v>235588</v>
      </c>
      <c r="H382" s="2">
        <f t="shared" si="10"/>
        <v>724470</v>
      </c>
      <c r="I382" t="str">
        <f t="shared" si="11"/>
        <v>Anxa6_724470</v>
      </c>
      <c r="J382" s="3">
        <v>18471</v>
      </c>
      <c r="K382" s="3">
        <v>84300</v>
      </c>
      <c r="L382" s="3">
        <v>163071</v>
      </c>
      <c r="M382" s="3">
        <v>223040</v>
      </c>
      <c r="N382" s="3">
        <v>235588</v>
      </c>
    </row>
    <row r="383" spans="1:14" x14ac:dyDescent="0.2">
      <c r="A383" s="5" t="str">
        <f>HYPERLINK("http://www.ncbi.nlm.nih.gov/protein/160707956","Anxa7")</f>
        <v>Anxa7</v>
      </c>
      <c r="B383" s="4"/>
      <c r="C383" s="3">
        <v>0</v>
      </c>
      <c r="D383" s="3">
        <v>15953</v>
      </c>
      <c r="E383" s="3">
        <v>20738</v>
      </c>
      <c r="F383" s="3">
        <v>3454</v>
      </c>
      <c r="G383" s="3">
        <v>119218</v>
      </c>
      <c r="H383" s="2">
        <f t="shared" si="10"/>
        <v>159363</v>
      </c>
      <c r="I383" t="str">
        <f t="shared" si="11"/>
        <v>Anxa7_159363</v>
      </c>
      <c r="J383" s="3">
        <v>0</v>
      </c>
      <c r="K383" s="3">
        <v>15953</v>
      </c>
      <c r="L383" s="3">
        <v>20738</v>
      </c>
      <c r="M383" s="3">
        <v>3454</v>
      </c>
      <c r="N383" s="3">
        <v>119218</v>
      </c>
    </row>
    <row r="384" spans="1:14" x14ac:dyDescent="0.2">
      <c r="A384" s="5" t="str">
        <f>HYPERLINK("http://www.ncbi.nlm.nih.gov/protein/145864475","Anxa9")</f>
        <v>Anxa9</v>
      </c>
      <c r="B384" s="4"/>
      <c r="C384" s="3">
        <v>82340</v>
      </c>
      <c r="D384" s="3">
        <v>21190</v>
      </c>
      <c r="E384" s="3">
        <v>1967</v>
      </c>
      <c r="F384" s="3">
        <v>9291</v>
      </c>
      <c r="G384" s="3">
        <v>11566</v>
      </c>
      <c r="H384" s="2">
        <f t="shared" si="10"/>
        <v>126354</v>
      </c>
      <c r="I384" t="str">
        <f t="shared" si="11"/>
        <v>Anxa9_126354</v>
      </c>
      <c r="J384" s="3">
        <v>82340</v>
      </c>
      <c r="K384" s="3">
        <v>21190</v>
      </c>
      <c r="L384" s="3">
        <v>1967</v>
      </c>
      <c r="M384" s="3">
        <v>9291</v>
      </c>
      <c r="N384" s="3">
        <v>11566</v>
      </c>
    </row>
    <row r="385" spans="1:14" x14ac:dyDescent="0.2">
      <c r="A385" s="5" t="str">
        <f>HYPERLINK("http://www.ncbi.nlm.nih.gov/protein/34098972","Aoc2")</f>
        <v>Aoc2</v>
      </c>
      <c r="B385" s="4"/>
      <c r="C385" s="3">
        <v>2343</v>
      </c>
      <c r="D385" s="3">
        <v>0</v>
      </c>
      <c r="E385" s="3">
        <v>0</v>
      </c>
      <c r="F385" s="3">
        <v>0</v>
      </c>
      <c r="G385" s="3">
        <v>0</v>
      </c>
      <c r="H385" s="2">
        <f t="shared" si="10"/>
        <v>2343</v>
      </c>
      <c r="I385" t="str">
        <f t="shared" si="11"/>
        <v>Aoc2_2343</v>
      </c>
      <c r="J385" s="3">
        <v>2343</v>
      </c>
      <c r="K385" s="3">
        <v>0</v>
      </c>
      <c r="L385" s="3">
        <v>0</v>
      </c>
      <c r="M385" s="3">
        <v>0</v>
      </c>
      <c r="N385" s="3">
        <v>0</v>
      </c>
    </row>
    <row r="386" spans="1:14" x14ac:dyDescent="0.2">
      <c r="A386" s="5" t="str">
        <f>HYPERLINK("http://www.ncbi.nlm.nih.gov/protein/6753066","Aoc3")</f>
        <v>Aoc3</v>
      </c>
      <c r="B386" s="4"/>
      <c r="C386" s="3">
        <v>2343</v>
      </c>
      <c r="D386" s="3">
        <v>0</v>
      </c>
      <c r="E386" s="3">
        <v>0</v>
      </c>
      <c r="F386" s="3">
        <v>0</v>
      </c>
      <c r="G386" s="3">
        <v>0</v>
      </c>
      <c r="H386" s="2">
        <f t="shared" ref="H386:H449" si="12">SUM(C386:G386)</f>
        <v>2343</v>
      </c>
      <c r="I386" t="str">
        <f t="shared" ref="I386:I449" si="13">A386&amp;"_"&amp;H386</f>
        <v>Aoc3_2343</v>
      </c>
      <c r="J386" s="3">
        <v>2343</v>
      </c>
      <c r="K386" s="3">
        <v>0</v>
      </c>
      <c r="L386" s="3">
        <v>0</v>
      </c>
      <c r="M386" s="3">
        <v>0</v>
      </c>
      <c r="N386" s="3">
        <v>0</v>
      </c>
    </row>
    <row r="387" spans="1:14" x14ac:dyDescent="0.2">
      <c r="A387" s="5" t="str">
        <f>HYPERLINK("http://www.ncbi.nlm.nih.gov/protein/339895913","Ap1b1")</f>
        <v>Ap1b1</v>
      </c>
      <c r="B387" s="4"/>
      <c r="C387" s="3">
        <v>82670</v>
      </c>
      <c r="D387" s="3">
        <v>20890</v>
      </c>
      <c r="E387" s="3">
        <v>87929</v>
      </c>
      <c r="F387" s="3">
        <v>112699</v>
      </c>
      <c r="G387" s="3">
        <v>63946</v>
      </c>
      <c r="H387" s="2">
        <f t="shared" si="12"/>
        <v>368134</v>
      </c>
      <c r="I387" t="str">
        <f t="shared" si="13"/>
        <v>Ap1b1_368134</v>
      </c>
      <c r="J387" s="3">
        <v>82670</v>
      </c>
      <c r="K387" s="3">
        <v>20890</v>
      </c>
      <c r="L387" s="3">
        <v>87929</v>
      </c>
      <c r="M387" s="3">
        <v>112699</v>
      </c>
      <c r="N387" s="3">
        <v>63946</v>
      </c>
    </row>
    <row r="388" spans="1:14" x14ac:dyDescent="0.2">
      <c r="A388" s="5" t="str">
        <f>HYPERLINK("http://www.ncbi.nlm.nih.gov/protein/339895916","Ap1b1")</f>
        <v>Ap1b1</v>
      </c>
      <c r="B388" s="4"/>
      <c r="C388" s="3">
        <v>82670</v>
      </c>
      <c r="D388" s="3">
        <v>20890</v>
      </c>
      <c r="E388" s="3">
        <v>87929</v>
      </c>
      <c r="F388" s="3">
        <v>112822</v>
      </c>
      <c r="G388" s="3">
        <v>63946</v>
      </c>
      <c r="H388" s="2">
        <f t="shared" si="12"/>
        <v>368257</v>
      </c>
      <c r="I388" t="str">
        <f t="shared" si="13"/>
        <v>Ap1b1_368257</v>
      </c>
      <c r="J388" s="3">
        <v>82670</v>
      </c>
      <c r="K388" s="3">
        <v>20890</v>
      </c>
      <c r="L388" s="3">
        <v>87929</v>
      </c>
      <c r="M388" s="3">
        <v>112822</v>
      </c>
      <c r="N388" s="3">
        <v>63946</v>
      </c>
    </row>
    <row r="389" spans="1:14" x14ac:dyDescent="0.2">
      <c r="A389" s="5" t="str">
        <f>HYPERLINK("http://www.ncbi.nlm.nih.gov/protein/88853578","Ap1b1")</f>
        <v>Ap1b1</v>
      </c>
      <c r="B389" s="4"/>
      <c r="C389" s="3">
        <v>82670</v>
      </c>
      <c r="D389" s="3">
        <v>20890</v>
      </c>
      <c r="E389" s="3">
        <v>87929</v>
      </c>
      <c r="F389" s="3">
        <v>112822</v>
      </c>
      <c r="G389" s="3">
        <v>63946</v>
      </c>
      <c r="H389" s="2">
        <f t="shared" si="12"/>
        <v>368257</v>
      </c>
      <c r="I389" t="str">
        <f t="shared" si="13"/>
        <v>Ap1b1_368257</v>
      </c>
      <c r="J389" s="3">
        <v>82670</v>
      </c>
      <c r="K389" s="3">
        <v>20890</v>
      </c>
      <c r="L389" s="3">
        <v>87929</v>
      </c>
      <c r="M389" s="3">
        <v>112822</v>
      </c>
      <c r="N389" s="3">
        <v>63946</v>
      </c>
    </row>
    <row r="390" spans="1:14" x14ac:dyDescent="0.2">
      <c r="A390" s="5" t="str">
        <f>HYPERLINK("http://www.ncbi.nlm.nih.gov/protein/56744242","Ap1g1")</f>
        <v>Ap1g1</v>
      </c>
      <c r="B390" s="4"/>
      <c r="C390" s="3">
        <v>16713</v>
      </c>
      <c r="D390" s="3">
        <v>9348</v>
      </c>
      <c r="E390" s="3">
        <v>41219</v>
      </c>
      <c r="F390" s="3">
        <v>30712</v>
      </c>
      <c r="G390" s="3">
        <v>23261</v>
      </c>
      <c r="H390" s="2">
        <f t="shared" si="12"/>
        <v>121253</v>
      </c>
      <c r="I390" t="str">
        <f t="shared" si="13"/>
        <v>Ap1g1_121253</v>
      </c>
      <c r="J390" s="3">
        <v>16713</v>
      </c>
      <c r="K390" s="3">
        <v>9348</v>
      </c>
      <c r="L390" s="3">
        <v>41219</v>
      </c>
      <c r="M390" s="3">
        <v>30712</v>
      </c>
      <c r="N390" s="3">
        <v>23261</v>
      </c>
    </row>
    <row r="391" spans="1:14" x14ac:dyDescent="0.2">
      <c r="A391" s="5" t="str">
        <f>HYPERLINK("http://www.ncbi.nlm.nih.gov/protein/160707961","Ap1g2")</f>
        <v>Ap1g2</v>
      </c>
      <c r="B391" s="4"/>
      <c r="C391" s="3">
        <v>586</v>
      </c>
      <c r="D391" s="3">
        <v>607</v>
      </c>
      <c r="E391" s="3">
        <v>6941</v>
      </c>
      <c r="F391" s="3">
        <v>3143</v>
      </c>
      <c r="G391" s="3">
        <v>2249</v>
      </c>
      <c r="H391" s="2">
        <f t="shared" si="12"/>
        <v>13526</v>
      </c>
      <c r="I391" t="str">
        <f t="shared" si="13"/>
        <v>Ap1g2_13526</v>
      </c>
      <c r="J391" s="3">
        <v>586</v>
      </c>
      <c r="K391" s="3">
        <v>607</v>
      </c>
      <c r="L391" s="3">
        <v>6941</v>
      </c>
      <c r="M391" s="3">
        <v>3143</v>
      </c>
      <c r="N391" s="3">
        <v>2249</v>
      </c>
    </row>
    <row r="392" spans="1:14" x14ac:dyDescent="0.2">
      <c r="A392" s="5" t="str">
        <f>HYPERLINK("http://www.ncbi.nlm.nih.gov/protein/6671557","Ap1m1")</f>
        <v>Ap1m1</v>
      </c>
      <c r="B392" s="4"/>
      <c r="C392" s="3">
        <v>0</v>
      </c>
      <c r="D392" s="3">
        <v>7244</v>
      </c>
      <c r="E392" s="3">
        <v>14477</v>
      </c>
      <c r="F392" s="3">
        <v>0</v>
      </c>
      <c r="G392" s="3">
        <v>9992</v>
      </c>
      <c r="H392" s="2">
        <f t="shared" si="12"/>
        <v>31713</v>
      </c>
      <c r="I392" t="str">
        <f t="shared" si="13"/>
        <v>Ap1m1_31713</v>
      </c>
      <c r="J392" s="3">
        <v>0</v>
      </c>
      <c r="K392" s="3">
        <v>7244</v>
      </c>
      <c r="L392" s="3">
        <v>14477</v>
      </c>
      <c r="M392" s="3">
        <v>0</v>
      </c>
      <c r="N392" s="3">
        <v>9992</v>
      </c>
    </row>
    <row r="393" spans="1:14" x14ac:dyDescent="0.2">
      <c r="A393" s="5" t="str">
        <f>HYPERLINK("http://www.ncbi.nlm.nih.gov/protein/160333502","Ap1m2")</f>
        <v>Ap1m2</v>
      </c>
      <c r="B393" s="4"/>
      <c r="C393" s="3">
        <v>11258</v>
      </c>
      <c r="D393" s="3">
        <v>14698</v>
      </c>
      <c r="E393" s="3">
        <v>28418</v>
      </c>
      <c r="F393" s="3">
        <v>26497</v>
      </c>
      <c r="G393" s="3">
        <v>37044</v>
      </c>
      <c r="H393" s="2">
        <f t="shared" si="12"/>
        <v>117915</v>
      </c>
      <c r="I393" t="str">
        <f t="shared" si="13"/>
        <v>Ap1m2_117915</v>
      </c>
      <c r="J393" s="3">
        <v>11258</v>
      </c>
      <c r="K393" s="3">
        <v>14698</v>
      </c>
      <c r="L393" s="3">
        <v>28418</v>
      </c>
      <c r="M393" s="3">
        <v>26497</v>
      </c>
      <c r="N393" s="3">
        <v>37044</v>
      </c>
    </row>
    <row r="394" spans="1:14" x14ac:dyDescent="0.2">
      <c r="A394" s="5" t="str">
        <f>HYPERLINK("http://www.ncbi.nlm.nih.gov/protein/160333508","Ap1m2")</f>
        <v>Ap1m2</v>
      </c>
      <c r="B394" s="4"/>
      <c r="C394" s="3">
        <v>11258</v>
      </c>
      <c r="D394" s="3">
        <v>14166</v>
      </c>
      <c r="E394" s="3">
        <v>30216</v>
      </c>
      <c r="F394" s="3">
        <v>25817</v>
      </c>
      <c r="G394" s="3">
        <v>34881</v>
      </c>
      <c r="H394" s="2">
        <f t="shared" si="12"/>
        <v>116338</v>
      </c>
      <c r="I394" t="str">
        <f t="shared" si="13"/>
        <v>Ap1m2_116338</v>
      </c>
      <c r="J394" s="3">
        <v>11258</v>
      </c>
      <c r="K394" s="3">
        <v>14166</v>
      </c>
      <c r="L394" s="3">
        <v>30216</v>
      </c>
      <c r="M394" s="3">
        <v>25817</v>
      </c>
      <c r="N394" s="3">
        <v>34881</v>
      </c>
    </row>
    <row r="395" spans="1:14" x14ac:dyDescent="0.2">
      <c r="A395" s="5" t="str">
        <f>HYPERLINK("http://www.ncbi.nlm.nih.gov/protein/6671559","Ap1s1")</f>
        <v>Ap1s1</v>
      </c>
      <c r="B395" s="4"/>
      <c r="C395" s="3">
        <v>3405</v>
      </c>
      <c r="D395" s="3">
        <v>5000</v>
      </c>
      <c r="E395" s="3">
        <v>4655</v>
      </c>
      <c r="F395" s="3">
        <v>7842</v>
      </c>
      <c r="G395" s="3">
        <v>8129</v>
      </c>
      <c r="H395" s="2">
        <f t="shared" si="12"/>
        <v>29031</v>
      </c>
      <c r="I395" t="str">
        <f t="shared" si="13"/>
        <v>Ap1s1_29031</v>
      </c>
      <c r="J395" s="3">
        <v>3405</v>
      </c>
      <c r="K395" s="3">
        <v>5000</v>
      </c>
      <c r="L395" s="3">
        <v>4655</v>
      </c>
      <c r="M395" s="3">
        <v>7842</v>
      </c>
      <c r="N395" s="3">
        <v>8129</v>
      </c>
    </row>
    <row r="396" spans="1:14" x14ac:dyDescent="0.2">
      <c r="A396" s="5" t="str">
        <f>HYPERLINK("http://www.ncbi.nlm.nih.gov/protein/40254484","Ap1s2")</f>
        <v>Ap1s2</v>
      </c>
      <c r="B396" s="4"/>
      <c r="C396" s="3">
        <v>0</v>
      </c>
      <c r="D396" s="3">
        <v>553</v>
      </c>
      <c r="E396" s="3">
        <v>227</v>
      </c>
      <c r="F396" s="3">
        <v>3274</v>
      </c>
      <c r="G396" s="3">
        <v>568</v>
      </c>
      <c r="H396" s="2">
        <f t="shared" si="12"/>
        <v>4622</v>
      </c>
      <c r="I396" t="str">
        <f t="shared" si="13"/>
        <v>Ap1s2_4622</v>
      </c>
      <c r="J396" s="3">
        <v>0</v>
      </c>
      <c r="K396" s="3">
        <v>553</v>
      </c>
      <c r="L396" s="3">
        <v>227</v>
      </c>
      <c r="M396" s="3">
        <v>3274</v>
      </c>
      <c r="N396" s="3">
        <v>568</v>
      </c>
    </row>
    <row r="397" spans="1:14" x14ac:dyDescent="0.2">
      <c r="A397" s="5" t="str">
        <f>HYPERLINK("http://www.ncbi.nlm.nih.gov/protein/35215317","Ap1s3")</f>
        <v>Ap1s3</v>
      </c>
      <c r="B397" s="4"/>
      <c r="C397" s="3">
        <v>0</v>
      </c>
      <c r="D397" s="3">
        <v>768</v>
      </c>
      <c r="E397" s="3">
        <v>438</v>
      </c>
      <c r="F397" s="3">
        <v>5787</v>
      </c>
      <c r="G397" s="3">
        <v>0</v>
      </c>
      <c r="H397" s="2">
        <f t="shared" si="12"/>
        <v>6993</v>
      </c>
      <c r="I397" t="str">
        <f t="shared" si="13"/>
        <v>Ap1s3_6993</v>
      </c>
      <c r="J397" s="3">
        <v>0</v>
      </c>
      <c r="K397" s="3">
        <v>768</v>
      </c>
      <c r="L397" s="3">
        <v>438</v>
      </c>
      <c r="M397" s="3">
        <v>5787</v>
      </c>
      <c r="N397" s="3">
        <v>0</v>
      </c>
    </row>
    <row r="398" spans="1:14" x14ac:dyDescent="0.2">
      <c r="A398" s="5" t="str">
        <f>HYPERLINK("http://www.ncbi.nlm.nih.gov/protein/116256510","Ap2a1")</f>
        <v>Ap2a1</v>
      </c>
      <c r="B398" s="4"/>
      <c r="C398" s="3">
        <v>3625</v>
      </c>
      <c r="D398" s="3">
        <v>5254</v>
      </c>
      <c r="E398" s="3">
        <v>23363</v>
      </c>
      <c r="F398" s="3">
        <v>38300</v>
      </c>
      <c r="G398" s="3">
        <v>3984</v>
      </c>
      <c r="H398" s="2">
        <f t="shared" si="12"/>
        <v>74526</v>
      </c>
      <c r="I398" t="str">
        <f t="shared" si="13"/>
        <v>Ap2a1_74526</v>
      </c>
      <c r="J398" s="3">
        <v>3625</v>
      </c>
      <c r="K398" s="3">
        <v>5254</v>
      </c>
      <c r="L398" s="3">
        <v>23363</v>
      </c>
      <c r="M398" s="3">
        <v>38300</v>
      </c>
      <c r="N398" s="3">
        <v>3984</v>
      </c>
    </row>
    <row r="399" spans="1:14" x14ac:dyDescent="0.2">
      <c r="A399" s="5" t="str">
        <f>HYPERLINK("http://www.ncbi.nlm.nih.gov/protein/6671561","Ap2a1")</f>
        <v>Ap2a1</v>
      </c>
      <c r="B399" s="4"/>
      <c r="C399" s="3">
        <v>3625</v>
      </c>
      <c r="D399" s="3">
        <v>5254</v>
      </c>
      <c r="E399" s="3">
        <v>23363</v>
      </c>
      <c r="F399" s="3">
        <v>38300</v>
      </c>
      <c r="G399" s="3">
        <v>3984</v>
      </c>
      <c r="H399" s="2">
        <f t="shared" si="12"/>
        <v>74526</v>
      </c>
      <c r="I399" t="str">
        <f t="shared" si="13"/>
        <v>Ap2a1_74526</v>
      </c>
      <c r="J399" s="3">
        <v>3625</v>
      </c>
      <c r="K399" s="3">
        <v>5254</v>
      </c>
      <c r="L399" s="3">
        <v>23363</v>
      </c>
      <c r="M399" s="3">
        <v>38300</v>
      </c>
      <c r="N399" s="3">
        <v>3984</v>
      </c>
    </row>
    <row r="400" spans="1:14" x14ac:dyDescent="0.2">
      <c r="A400" s="5" t="str">
        <f>HYPERLINK("http://www.ncbi.nlm.nih.gov/protein/163644277","Ap2a2")</f>
        <v>Ap2a2</v>
      </c>
      <c r="B400" s="4"/>
      <c r="C400" s="3">
        <v>4284</v>
      </c>
      <c r="D400" s="3">
        <v>8728</v>
      </c>
      <c r="E400" s="3">
        <v>18455</v>
      </c>
      <c r="F400" s="3">
        <v>46478</v>
      </c>
      <c r="G400" s="3">
        <v>5954</v>
      </c>
      <c r="H400" s="2">
        <f t="shared" si="12"/>
        <v>83899</v>
      </c>
      <c r="I400" t="str">
        <f t="shared" si="13"/>
        <v>Ap2a2_83899</v>
      </c>
      <c r="J400" s="3">
        <v>4284</v>
      </c>
      <c r="K400" s="3">
        <v>8728</v>
      </c>
      <c r="L400" s="3">
        <v>18455</v>
      </c>
      <c r="M400" s="3">
        <v>46478</v>
      </c>
      <c r="N400" s="3">
        <v>5954</v>
      </c>
    </row>
    <row r="401" spans="1:14" x14ac:dyDescent="0.2">
      <c r="A401" s="5" t="str">
        <f>HYPERLINK("http://www.ncbi.nlm.nih.gov/protein/21313640","Ap2b1")</f>
        <v>Ap2b1</v>
      </c>
      <c r="B401" s="4"/>
      <c r="C401" s="3">
        <v>86679</v>
      </c>
      <c r="D401" s="3">
        <v>24407</v>
      </c>
      <c r="E401" s="3">
        <v>69780</v>
      </c>
      <c r="F401" s="3">
        <v>127277</v>
      </c>
      <c r="G401" s="3">
        <v>57628</v>
      </c>
      <c r="H401" s="2">
        <f t="shared" si="12"/>
        <v>365771</v>
      </c>
      <c r="I401" t="str">
        <f t="shared" si="13"/>
        <v>Ap2b1_365771</v>
      </c>
      <c r="J401" s="3">
        <v>86679</v>
      </c>
      <c r="K401" s="3">
        <v>24407</v>
      </c>
      <c r="L401" s="3">
        <v>69780</v>
      </c>
      <c r="M401" s="3">
        <v>127277</v>
      </c>
      <c r="N401" s="3">
        <v>57628</v>
      </c>
    </row>
    <row r="402" spans="1:14" x14ac:dyDescent="0.2">
      <c r="A402" s="5" t="str">
        <f>HYPERLINK("http://www.ncbi.nlm.nih.gov/protein/78711838","Ap2b1")</f>
        <v>Ap2b1</v>
      </c>
      <c r="B402" s="4"/>
      <c r="C402" s="3">
        <v>86679</v>
      </c>
      <c r="D402" s="3">
        <v>24407</v>
      </c>
      <c r="E402" s="3">
        <v>69780</v>
      </c>
      <c r="F402" s="3">
        <v>127277</v>
      </c>
      <c r="G402" s="3">
        <v>57628</v>
      </c>
      <c r="H402" s="2">
        <f t="shared" si="12"/>
        <v>365771</v>
      </c>
      <c r="I402" t="str">
        <f t="shared" si="13"/>
        <v>Ap2b1_365771</v>
      </c>
      <c r="J402" s="3">
        <v>86679</v>
      </c>
      <c r="K402" s="3">
        <v>24407</v>
      </c>
      <c r="L402" s="3">
        <v>69780</v>
      </c>
      <c r="M402" s="3">
        <v>127277</v>
      </c>
      <c r="N402" s="3">
        <v>57628</v>
      </c>
    </row>
    <row r="403" spans="1:14" x14ac:dyDescent="0.2">
      <c r="A403" s="5" t="str">
        <f>HYPERLINK("http://www.ncbi.nlm.nih.gov/protein/6753074","Ap2m1")</f>
        <v>Ap2m1</v>
      </c>
      <c r="B403" s="4"/>
      <c r="C403" s="3">
        <v>897</v>
      </c>
      <c r="D403" s="3">
        <v>5121</v>
      </c>
      <c r="E403" s="3">
        <v>27475</v>
      </c>
      <c r="F403" s="3">
        <v>25801</v>
      </c>
      <c r="G403" s="3">
        <v>1221</v>
      </c>
      <c r="H403" s="2">
        <f t="shared" si="12"/>
        <v>60515</v>
      </c>
      <c r="I403" t="str">
        <f t="shared" si="13"/>
        <v>Ap2m1_60515</v>
      </c>
      <c r="J403" s="3">
        <v>897</v>
      </c>
      <c r="K403" s="3">
        <v>5121</v>
      </c>
      <c r="L403" s="3">
        <v>27475</v>
      </c>
      <c r="M403" s="3">
        <v>25801</v>
      </c>
      <c r="N403" s="3">
        <v>1221</v>
      </c>
    </row>
    <row r="404" spans="1:14" x14ac:dyDescent="0.2">
      <c r="A404" s="5" t="str">
        <f>HYPERLINK("http://www.ncbi.nlm.nih.gov/protein/161086984","Ap2s1")</f>
        <v>Ap2s1</v>
      </c>
      <c r="B404" s="4"/>
      <c r="C404" s="3">
        <v>0</v>
      </c>
      <c r="D404" s="3">
        <v>1468</v>
      </c>
      <c r="E404" s="3">
        <v>63</v>
      </c>
      <c r="F404" s="3">
        <v>172</v>
      </c>
      <c r="G404" s="3">
        <v>2131</v>
      </c>
      <c r="H404" s="2">
        <f t="shared" si="12"/>
        <v>3834</v>
      </c>
      <c r="I404" t="str">
        <f t="shared" si="13"/>
        <v>Ap2s1_3834</v>
      </c>
      <c r="J404" s="3">
        <v>0</v>
      </c>
      <c r="K404" s="3">
        <v>1468</v>
      </c>
      <c r="L404" s="3">
        <v>63</v>
      </c>
      <c r="M404" s="3">
        <v>172</v>
      </c>
      <c r="N404" s="3">
        <v>2131</v>
      </c>
    </row>
    <row r="405" spans="1:14" x14ac:dyDescent="0.2">
      <c r="A405" s="5" t="str">
        <f>HYPERLINK("http://www.ncbi.nlm.nih.gov/protein/163310776","Ap3b1")</f>
        <v>Ap3b1</v>
      </c>
      <c r="B405" s="4"/>
      <c r="C405" s="3">
        <v>18</v>
      </c>
      <c r="D405" s="3">
        <v>7755</v>
      </c>
      <c r="E405" s="3">
        <v>5692</v>
      </c>
      <c r="F405" s="3">
        <v>56186</v>
      </c>
      <c r="G405" s="3">
        <v>20519</v>
      </c>
      <c r="H405" s="2">
        <f t="shared" si="12"/>
        <v>90170</v>
      </c>
      <c r="I405" t="str">
        <f t="shared" si="13"/>
        <v>Ap3b1_90170</v>
      </c>
      <c r="J405" s="3">
        <v>18</v>
      </c>
      <c r="K405" s="3">
        <v>7755</v>
      </c>
      <c r="L405" s="3">
        <v>5692</v>
      </c>
      <c r="M405" s="3">
        <v>56186</v>
      </c>
      <c r="N405" s="3">
        <v>20519</v>
      </c>
    </row>
    <row r="406" spans="1:14" x14ac:dyDescent="0.2">
      <c r="A406" s="5" t="str">
        <f>HYPERLINK("http://www.ncbi.nlm.nih.gov/protein/52317148","Ap3b2")</f>
        <v>Ap3b2</v>
      </c>
      <c r="B406" s="4"/>
      <c r="C406" s="3">
        <v>0</v>
      </c>
      <c r="D406" s="3">
        <v>269</v>
      </c>
      <c r="E406" s="3">
        <v>356</v>
      </c>
      <c r="F406" s="3">
        <v>4600</v>
      </c>
      <c r="G406" s="3">
        <v>0</v>
      </c>
      <c r="H406" s="2">
        <f t="shared" si="12"/>
        <v>5225</v>
      </c>
      <c r="I406" t="str">
        <f t="shared" si="13"/>
        <v>Ap3b2_5225</v>
      </c>
      <c r="J406" s="3">
        <v>0</v>
      </c>
      <c r="K406" s="3">
        <v>269</v>
      </c>
      <c r="L406" s="3">
        <v>356</v>
      </c>
      <c r="M406" s="3">
        <v>4600</v>
      </c>
      <c r="N406" s="3">
        <v>0</v>
      </c>
    </row>
    <row r="407" spans="1:14" x14ac:dyDescent="0.2">
      <c r="A407" s="5" t="str">
        <f>HYPERLINK("http://www.ncbi.nlm.nih.gov/protein/6671565","Ap3d1")</f>
        <v>Ap3d1</v>
      </c>
      <c r="B407" s="4"/>
      <c r="C407" s="3">
        <v>73</v>
      </c>
      <c r="D407" s="3">
        <v>1219</v>
      </c>
      <c r="E407" s="3">
        <v>11629</v>
      </c>
      <c r="F407" s="3">
        <v>38955</v>
      </c>
      <c r="G407" s="3">
        <v>4016</v>
      </c>
      <c r="H407" s="2">
        <f t="shared" si="12"/>
        <v>55892</v>
      </c>
      <c r="I407" t="str">
        <f t="shared" si="13"/>
        <v>Ap3d1_55892</v>
      </c>
      <c r="J407" s="3">
        <v>73</v>
      </c>
      <c r="K407" s="3">
        <v>1219</v>
      </c>
      <c r="L407" s="3">
        <v>11629</v>
      </c>
      <c r="M407" s="3">
        <v>38955</v>
      </c>
      <c r="N407" s="3">
        <v>4016</v>
      </c>
    </row>
    <row r="408" spans="1:14" x14ac:dyDescent="0.2">
      <c r="A408" s="5" t="str">
        <f>HYPERLINK("http://www.ncbi.nlm.nih.gov/protein/254281313","Ap3m1")</f>
        <v>Ap3m1</v>
      </c>
      <c r="B408" s="4"/>
      <c r="C408" s="3">
        <v>0</v>
      </c>
      <c r="D408" s="3">
        <v>4555</v>
      </c>
      <c r="E408" s="3">
        <v>5776</v>
      </c>
      <c r="F408" s="3">
        <v>7563</v>
      </c>
      <c r="G408" s="3">
        <v>3941</v>
      </c>
      <c r="H408" s="2">
        <f t="shared" si="12"/>
        <v>21835</v>
      </c>
      <c r="I408" t="str">
        <f t="shared" si="13"/>
        <v>Ap3m1_21835</v>
      </c>
      <c r="J408" s="3">
        <v>0</v>
      </c>
      <c r="K408" s="3">
        <v>4555</v>
      </c>
      <c r="L408" s="3">
        <v>5776</v>
      </c>
      <c r="M408" s="3">
        <v>7563</v>
      </c>
      <c r="N408" s="3">
        <v>3941</v>
      </c>
    </row>
    <row r="409" spans="1:14" x14ac:dyDescent="0.2">
      <c r="A409" s="5" t="str">
        <f>HYPERLINK("http://www.ncbi.nlm.nih.gov/protein/170763481","Ap3m2")</f>
        <v>Ap3m2</v>
      </c>
      <c r="B409" s="4"/>
      <c r="C409" s="3">
        <v>0</v>
      </c>
      <c r="D409" s="3">
        <v>2019</v>
      </c>
      <c r="E409" s="3">
        <v>3481</v>
      </c>
      <c r="F409" s="3">
        <v>1441</v>
      </c>
      <c r="G409" s="3">
        <v>1307</v>
      </c>
      <c r="H409" s="2">
        <f t="shared" si="12"/>
        <v>8248</v>
      </c>
      <c r="I409" t="str">
        <f t="shared" si="13"/>
        <v>Ap3m2_8248</v>
      </c>
      <c r="J409" s="3">
        <v>0</v>
      </c>
      <c r="K409" s="3">
        <v>2019</v>
      </c>
      <c r="L409" s="3">
        <v>3481</v>
      </c>
      <c r="M409" s="3">
        <v>1441</v>
      </c>
      <c r="N409" s="3">
        <v>1307</v>
      </c>
    </row>
    <row r="410" spans="1:14" x14ac:dyDescent="0.2">
      <c r="A410" s="5" t="str">
        <f>HYPERLINK("http://www.ncbi.nlm.nih.gov/protein/6753078","Ap3s1")</f>
        <v>Ap3s1</v>
      </c>
      <c r="B410" s="4"/>
      <c r="C410" s="3">
        <v>0</v>
      </c>
      <c r="D410" s="3">
        <v>520</v>
      </c>
      <c r="E410" s="3">
        <v>781</v>
      </c>
      <c r="F410" s="3">
        <v>900</v>
      </c>
      <c r="G410" s="3">
        <v>707</v>
      </c>
      <c r="H410" s="2">
        <f t="shared" si="12"/>
        <v>2908</v>
      </c>
      <c r="I410" t="str">
        <f t="shared" si="13"/>
        <v>Ap3s1_2908</v>
      </c>
      <c r="J410" s="3">
        <v>0</v>
      </c>
      <c r="K410" s="3">
        <v>520</v>
      </c>
      <c r="L410" s="3">
        <v>781</v>
      </c>
      <c r="M410" s="3">
        <v>900</v>
      </c>
      <c r="N410" s="3">
        <v>707</v>
      </c>
    </row>
    <row r="411" spans="1:14" x14ac:dyDescent="0.2">
      <c r="A411" s="5" t="str">
        <f>HYPERLINK("http://www.ncbi.nlm.nih.gov/protein/160707971","Ap3s2")</f>
        <v>Ap3s2</v>
      </c>
      <c r="B411" s="4"/>
      <c r="C411" s="3">
        <v>0</v>
      </c>
      <c r="D411" s="3">
        <v>1010</v>
      </c>
      <c r="E411" s="3">
        <v>540</v>
      </c>
      <c r="F411" s="3">
        <v>2439</v>
      </c>
      <c r="G411" s="3">
        <v>707</v>
      </c>
      <c r="H411" s="2">
        <f t="shared" si="12"/>
        <v>4696</v>
      </c>
      <c r="I411" t="str">
        <f t="shared" si="13"/>
        <v>Ap3s2_4696</v>
      </c>
      <c r="J411" s="3">
        <v>0</v>
      </c>
      <c r="K411" s="3">
        <v>1010</v>
      </c>
      <c r="L411" s="3">
        <v>540</v>
      </c>
      <c r="M411" s="3">
        <v>2439</v>
      </c>
      <c r="N411" s="3">
        <v>707</v>
      </c>
    </row>
    <row r="412" spans="1:14" x14ac:dyDescent="0.2">
      <c r="A412" s="5" t="str">
        <f>HYPERLINK("http://www.ncbi.nlm.nih.gov/protein/254588018","Ap4b1")</f>
        <v>Ap4b1</v>
      </c>
      <c r="B412" s="4"/>
      <c r="C412" s="3">
        <v>0</v>
      </c>
      <c r="D412" s="3">
        <v>69</v>
      </c>
      <c r="E412" s="3">
        <v>15</v>
      </c>
      <c r="F412" s="3">
        <v>540</v>
      </c>
      <c r="G412" s="3">
        <v>0</v>
      </c>
      <c r="H412" s="2">
        <f t="shared" si="12"/>
        <v>624</v>
      </c>
      <c r="I412" t="str">
        <f t="shared" si="13"/>
        <v>Ap4b1_624</v>
      </c>
      <c r="J412" s="3">
        <v>0</v>
      </c>
      <c r="K412" s="3">
        <v>69</v>
      </c>
      <c r="L412" s="3">
        <v>15</v>
      </c>
      <c r="M412" s="3">
        <v>540</v>
      </c>
      <c r="N412" s="3">
        <v>0</v>
      </c>
    </row>
    <row r="413" spans="1:14" x14ac:dyDescent="0.2">
      <c r="A413" s="5" t="str">
        <f>HYPERLINK("http://www.ncbi.nlm.nih.gov/protein/254588022","Ap4b1")</f>
        <v>Ap4b1</v>
      </c>
      <c r="B413" s="4"/>
      <c r="C413" s="3">
        <v>0</v>
      </c>
      <c r="D413" s="3">
        <v>69</v>
      </c>
      <c r="E413" s="3">
        <v>15</v>
      </c>
      <c r="F413" s="3">
        <v>540</v>
      </c>
      <c r="G413" s="3">
        <v>0</v>
      </c>
      <c r="H413" s="2">
        <f t="shared" si="12"/>
        <v>624</v>
      </c>
      <c r="I413" t="str">
        <f t="shared" si="13"/>
        <v>Ap4b1_624</v>
      </c>
      <c r="J413" s="3">
        <v>0</v>
      </c>
      <c r="K413" s="3">
        <v>69</v>
      </c>
      <c r="L413" s="3">
        <v>15</v>
      </c>
      <c r="M413" s="3">
        <v>540</v>
      </c>
      <c r="N413" s="3">
        <v>0</v>
      </c>
    </row>
    <row r="414" spans="1:14" x14ac:dyDescent="0.2">
      <c r="A414" s="5" t="str">
        <f>HYPERLINK("http://www.ncbi.nlm.nih.gov/protein/17998681","Ap4s1")</f>
        <v>Ap4s1</v>
      </c>
      <c r="B414" s="4"/>
      <c r="C414" s="3">
        <v>0</v>
      </c>
      <c r="D414" s="3">
        <v>115</v>
      </c>
      <c r="E414" s="3">
        <v>0</v>
      </c>
      <c r="F414" s="3">
        <v>1105</v>
      </c>
      <c r="G414" s="3">
        <v>236</v>
      </c>
      <c r="H414" s="2">
        <f t="shared" si="12"/>
        <v>1456</v>
      </c>
      <c r="I414" t="str">
        <f t="shared" si="13"/>
        <v>Ap4s1_1456</v>
      </c>
      <c r="J414" s="3">
        <v>0</v>
      </c>
      <c r="K414" s="3">
        <v>115</v>
      </c>
      <c r="L414" s="3">
        <v>0</v>
      </c>
      <c r="M414" s="3">
        <v>1105</v>
      </c>
      <c r="N414" s="3">
        <v>236</v>
      </c>
    </row>
    <row r="415" spans="1:14" x14ac:dyDescent="0.2">
      <c r="A415" s="5" t="str">
        <f>HYPERLINK("http://www.ncbi.nlm.nih.gov/protein/75677454","Ap5b1")</f>
        <v>Ap5b1</v>
      </c>
      <c r="B415" s="4"/>
      <c r="C415" s="3">
        <v>0</v>
      </c>
      <c r="D415" s="3">
        <v>77</v>
      </c>
      <c r="E415" s="3">
        <v>164</v>
      </c>
      <c r="F415" s="3">
        <v>1490</v>
      </c>
      <c r="G415" s="3">
        <v>0</v>
      </c>
      <c r="H415" s="2">
        <f t="shared" si="12"/>
        <v>1731</v>
      </c>
      <c r="I415" t="str">
        <f t="shared" si="13"/>
        <v>Ap5b1_1731</v>
      </c>
      <c r="J415" s="3">
        <v>0</v>
      </c>
      <c r="K415" s="3">
        <v>77</v>
      </c>
      <c r="L415" s="3">
        <v>164</v>
      </c>
      <c r="M415" s="3">
        <v>1490</v>
      </c>
      <c r="N415" s="3">
        <v>0</v>
      </c>
    </row>
    <row r="416" spans="1:14" x14ac:dyDescent="0.2">
      <c r="A416" s="5" t="str">
        <f>HYPERLINK("http://www.ncbi.nlm.nih.gov/protein/225543139","Ap5m1")</f>
        <v>Ap5m1</v>
      </c>
      <c r="B416" s="4"/>
      <c r="C416" s="3">
        <v>0</v>
      </c>
      <c r="D416" s="3">
        <v>0</v>
      </c>
      <c r="E416" s="3">
        <v>102</v>
      </c>
      <c r="F416" s="3">
        <v>172</v>
      </c>
      <c r="G416" s="3">
        <v>0</v>
      </c>
      <c r="H416" s="2">
        <f t="shared" si="12"/>
        <v>274</v>
      </c>
      <c r="I416" t="str">
        <f t="shared" si="13"/>
        <v>Ap5m1_274</v>
      </c>
      <c r="J416" s="3">
        <v>0</v>
      </c>
      <c r="K416" s="3">
        <v>0</v>
      </c>
      <c r="L416" s="3">
        <v>102</v>
      </c>
      <c r="M416" s="3">
        <v>172</v>
      </c>
      <c r="N416" s="3">
        <v>0</v>
      </c>
    </row>
    <row r="417" spans="1:14" x14ac:dyDescent="0.2">
      <c r="A417" s="5" t="str">
        <f>HYPERLINK("http://www.ncbi.nlm.nih.gov/protein/31980819","Ap5s1")</f>
        <v>Ap5s1</v>
      </c>
      <c r="B417" s="4"/>
      <c r="C417" s="3">
        <v>0</v>
      </c>
      <c r="D417" s="3">
        <v>0</v>
      </c>
      <c r="E417" s="3">
        <v>38</v>
      </c>
      <c r="F417" s="3">
        <v>1547</v>
      </c>
      <c r="G417" s="3">
        <v>0</v>
      </c>
      <c r="H417" s="2">
        <f t="shared" si="12"/>
        <v>1585</v>
      </c>
      <c r="I417" t="str">
        <f t="shared" si="13"/>
        <v>Ap5s1_1585</v>
      </c>
      <c r="J417" s="3">
        <v>0</v>
      </c>
      <c r="K417" s="3">
        <v>0</v>
      </c>
      <c r="L417" s="3">
        <v>38</v>
      </c>
      <c r="M417" s="3">
        <v>1547</v>
      </c>
      <c r="N417" s="3">
        <v>0</v>
      </c>
    </row>
    <row r="418" spans="1:14" x14ac:dyDescent="0.2">
      <c r="A418" s="5" t="str">
        <f>HYPERLINK("http://www.ncbi.nlm.nih.gov/protein/82546849","Ap5z1")</f>
        <v>Ap5z1</v>
      </c>
      <c r="B418" s="4"/>
      <c r="C418" s="3">
        <v>0</v>
      </c>
      <c r="D418" s="3">
        <v>660</v>
      </c>
      <c r="E418" s="3">
        <v>426</v>
      </c>
      <c r="F418" s="3">
        <v>0</v>
      </c>
      <c r="G418" s="3">
        <v>203</v>
      </c>
      <c r="H418" s="2">
        <f t="shared" si="12"/>
        <v>1289</v>
      </c>
      <c r="I418" t="str">
        <f t="shared" si="13"/>
        <v>Ap5z1_1289</v>
      </c>
      <c r="J418" s="3">
        <v>0</v>
      </c>
      <c r="K418" s="3">
        <v>660</v>
      </c>
      <c r="L418" s="3">
        <v>426</v>
      </c>
      <c r="M418" s="3">
        <v>0</v>
      </c>
      <c r="N418" s="3">
        <v>203</v>
      </c>
    </row>
    <row r="419" spans="1:14" x14ac:dyDescent="0.2">
      <c r="A419" s="5" t="str">
        <f>HYPERLINK("http://www.ncbi.nlm.nih.gov/protein/110347471","Apaf1")</f>
        <v>Apaf1</v>
      </c>
      <c r="B419" s="4"/>
      <c r="C419" s="3">
        <v>0</v>
      </c>
      <c r="D419" s="3">
        <v>0</v>
      </c>
      <c r="E419" s="3">
        <v>0</v>
      </c>
      <c r="F419" s="3">
        <v>450</v>
      </c>
      <c r="G419" s="3">
        <v>4680</v>
      </c>
      <c r="H419" s="2">
        <f t="shared" si="12"/>
        <v>5130</v>
      </c>
      <c r="I419" t="str">
        <f t="shared" si="13"/>
        <v>Apaf1_5130</v>
      </c>
      <c r="J419" s="3">
        <v>0</v>
      </c>
      <c r="K419" s="3">
        <v>0</v>
      </c>
      <c r="L419" s="3">
        <v>0</v>
      </c>
      <c r="M419" s="3">
        <v>450</v>
      </c>
      <c r="N419" s="3">
        <v>4680</v>
      </c>
    </row>
    <row r="420" spans="1:14" x14ac:dyDescent="0.2">
      <c r="A420" s="5" t="str">
        <f>HYPERLINK("http://www.ncbi.nlm.nih.gov/protein/110625864","Apcdd1")</f>
        <v>Apcdd1</v>
      </c>
      <c r="B420" s="4"/>
      <c r="C420" s="3">
        <v>0</v>
      </c>
      <c r="D420" s="3">
        <v>0</v>
      </c>
      <c r="E420" s="3">
        <v>0</v>
      </c>
      <c r="F420" s="3">
        <v>0</v>
      </c>
      <c r="G420" s="3">
        <v>728</v>
      </c>
      <c r="H420" s="2">
        <f t="shared" si="12"/>
        <v>728</v>
      </c>
      <c r="I420" t="str">
        <f t="shared" si="13"/>
        <v>Apcdd1_728</v>
      </c>
      <c r="J420" s="3">
        <v>0</v>
      </c>
      <c r="K420" s="3">
        <v>0</v>
      </c>
      <c r="L420" s="3">
        <v>0</v>
      </c>
      <c r="M420" s="3">
        <v>0</v>
      </c>
      <c r="N420" s="3">
        <v>728</v>
      </c>
    </row>
    <row r="421" spans="1:14" x14ac:dyDescent="0.2">
      <c r="A421" s="5" t="str">
        <f>HYPERLINK("http://www.ncbi.nlm.nih.gov/protein/214010153","Apeh")</f>
        <v>Apeh</v>
      </c>
      <c r="B421" s="4"/>
      <c r="C421" s="3">
        <v>0</v>
      </c>
      <c r="D421" s="3">
        <v>1403</v>
      </c>
      <c r="E421" s="3">
        <v>759</v>
      </c>
      <c r="F421" s="3">
        <v>21553</v>
      </c>
      <c r="G421" s="3">
        <v>10249</v>
      </c>
      <c r="H421" s="2">
        <f t="shared" si="12"/>
        <v>33964</v>
      </c>
      <c r="I421" t="str">
        <f t="shared" si="13"/>
        <v>Apeh_33964</v>
      </c>
      <c r="J421" s="3">
        <v>0</v>
      </c>
      <c r="K421" s="3">
        <v>1403</v>
      </c>
      <c r="L421" s="3">
        <v>759</v>
      </c>
      <c r="M421" s="3">
        <v>21553</v>
      </c>
      <c r="N421" s="3">
        <v>10249</v>
      </c>
    </row>
    <row r="422" spans="1:14" x14ac:dyDescent="0.2">
      <c r="A422" s="5" t="str">
        <f>HYPERLINK("http://www.ncbi.nlm.nih.gov/protein/6753086","Apex1")</f>
        <v>Apex1</v>
      </c>
      <c r="B422" s="4"/>
      <c r="C422" s="3">
        <v>99603</v>
      </c>
      <c r="D422" s="3">
        <v>21040</v>
      </c>
      <c r="E422" s="3">
        <v>30065</v>
      </c>
      <c r="F422" s="3">
        <v>134816</v>
      </c>
      <c r="G422" s="3">
        <v>104353</v>
      </c>
      <c r="H422" s="2">
        <f t="shared" si="12"/>
        <v>389877</v>
      </c>
      <c r="I422" t="str">
        <f t="shared" si="13"/>
        <v>Apex1_389877</v>
      </c>
      <c r="J422" s="3">
        <v>99603</v>
      </c>
      <c r="K422" s="3">
        <v>21040</v>
      </c>
      <c r="L422" s="3">
        <v>30065</v>
      </c>
      <c r="M422" s="3">
        <v>134816</v>
      </c>
      <c r="N422" s="3">
        <v>104353</v>
      </c>
    </row>
    <row r="423" spans="1:14" x14ac:dyDescent="0.2">
      <c r="A423" s="5" t="str">
        <f>HYPERLINK("http://www.ncbi.nlm.nih.gov/protein/189339191","Aph1a")</f>
        <v>Aph1a</v>
      </c>
      <c r="B423" s="4"/>
      <c r="C423" s="3">
        <v>0</v>
      </c>
      <c r="D423" s="3">
        <v>1386</v>
      </c>
      <c r="E423" s="3">
        <v>1605</v>
      </c>
      <c r="F423" s="3">
        <v>0</v>
      </c>
      <c r="G423" s="3">
        <v>0</v>
      </c>
      <c r="H423" s="2">
        <f t="shared" si="12"/>
        <v>2991</v>
      </c>
      <c r="I423" t="str">
        <f t="shared" si="13"/>
        <v>Aph1a_2991</v>
      </c>
      <c r="J423" s="3">
        <v>0</v>
      </c>
      <c r="K423" s="3">
        <v>1386</v>
      </c>
      <c r="L423" s="3">
        <v>1605</v>
      </c>
      <c r="M423" s="3">
        <v>0</v>
      </c>
      <c r="N423" s="3">
        <v>0</v>
      </c>
    </row>
    <row r="424" spans="1:14" x14ac:dyDescent="0.2">
      <c r="A424" s="5" t="str">
        <f>HYPERLINK("http://www.ncbi.nlm.nih.gov/protein/22203751","Aph1a")</f>
        <v>Aph1a</v>
      </c>
      <c r="B424" s="4"/>
      <c r="C424" s="3">
        <v>0</v>
      </c>
      <c r="D424" s="3">
        <v>1386</v>
      </c>
      <c r="E424" s="3">
        <v>1605</v>
      </c>
      <c r="F424" s="3">
        <v>0</v>
      </c>
      <c r="G424" s="3">
        <v>0</v>
      </c>
      <c r="H424" s="2">
        <f t="shared" si="12"/>
        <v>2991</v>
      </c>
      <c r="I424" t="str">
        <f t="shared" si="13"/>
        <v>Aph1a_2991</v>
      </c>
      <c r="J424" s="3">
        <v>0</v>
      </c>
      <c r="K424" s="3">
        <v>1386</v>
      </c>
      <c r="L424" s="3">
        <v>1605</v>
      </c>
      <c r="M424" s="3">
        <v>0</v>
      </c>
      <c r="N424" s="3">
        <v>0</v>
      </c>
    </row>
    <row r="425" spans="1:14" x14ac:dyDescent="0.2">
      <c r="A425" s="5" t="str">
        <f>HYPERLINK("http://www.ncbi.nlm.nih.gov/protein/94158994","Api5")</f>
        <v>Api5</v>
      </c>
      <c r="B425" s="4"/>
      <c r="C425" s="3">
        <v>20558</v>
      </c>
      <c r="D425" s="3">
        <v>3069</v>
      </c>
      <c r="E425" s="3">
        <v>7363</v>
      </c>
      <c r="F425" s="3">
        <v>14513</v>
      </c>
      <c r="G425" s="3">
        <v>10592</v>
      </c>
      <c r="H425" s="2">
        <f t="shared" si="12"/>
        <v>56095</v>
      </c>
      <c r="I425" t="str">
        <f t="shared" si="13"/>
        <v>Api5_56095</v>
      </c>
      <c r="J425" s="3">
        <v>20558</v>
      </c>
      <c r="K425" s="3">
        <v>3069</v>
      </c>
      <c r="L425" s="3">
        <v>7363</v>
      </c>
      <c r="M425" s="3">
        <v>14513</v>
      </c>
      <c r="N425" s="3">
        <v>10592</v>
      </c>
    </row>
    <row r="426" spans="1:14" x14ac:dyDescent="0.2">
      <c r="A426" s="5" t="str">
        <f>HYPERLINK("http://www.ncbi.nlm.nih.gov/protein/258613873","Apip")</f>
        <v>Apip</v>
      </c>
      <c r="B426" s="4"/>
      <c r="C426" s="3">
        <v>0</v>
      </c>
      <c r="D426" s="3">
        <v>88</v>
      </c>
      <c r="E426" s="3">
        <v>222</v>
      </c>
      <c r="F426" s="3">
        <v>1408</v>
      </c>
      <c r="G426" s="3">
        <v>9307</v>
      </c>
      <c r="H426" s="2">
        <f t="shared" si="12"/>
        <v>11025</v>
      </c>
      <c r="I426" t="str">
        <f t="shared" si="13"/>
        <v>Apip_11025</v>
      </c>
      <c r="J426" s="3">
        <v>0</v>
      </c>
      <c r="K426" s="3">
        <v>88</v>
      </c>
      <c r="L426" s="3">
        <v>222</v>
      </c>
      <c r="M426" s="3">
        <v>1408</v>
      </c>
      <c r="N426" s="3">
        <v>9307</v>
      </c>
    </row>
    <row r="427" spans="1:14" x14ac:dyDescent="0.2">
      <c r="A427" s="5" t="str">
        <f>HYPERLINK("http://www.ncbi.nlm.nih.gov/protein/281427262","Aplf")</f>
        <v>Aplf</v>
      </c>
      <c r="B427" s="4"/>
      <c r="C427" s="3">
        <v>0</v>
      </c>
      <c r="D427" s="3">
        <v>0</v>
      </c>
      <c r="E427" s="3">
        <v>3</v>
      </c>
      <c r="F427" s="3">
        <v>0</v>
      </c>
      <c r="G427" s="3">
        <v>0</v>
      </c>
      <c r="H427" s="2">
        <f t="shared" si="12"/>
        <v>3</v>
      </c>
      <c r="I427" t="str">
        <f t="shared" si="13"/>
        <v>Aplf_3</v>
      </c>
      <c r="J427" s="3">
        <v>0</v>
      </c>
      <c r="K427" s="3">
        <v>0</v>
      </c>
      <c r="L427" s="3">
        <v>3</v>
      </c>
      <c r="M427" s="3">
        <v>0</v>
      </c>
      <c r="N427" s="3">
        <v>0</v>
      </c>
    </row>
    <row r="428" spans="1:14" x14ac:dyDescent="0.2">
      <c r="A428" s="5" t="str">
        <f>HYPERLINK("http://www.ncbi.nlm.nih.gov/protein/31541860","Aplf")</f>
        <v>Aplf</v>
      </c>
      <c r="B428" s="4"/>
      <c r="C428" s="3">
        <v>0</v>
      </c>
      <c r="D428" s="3">
        <v>0</v>
      </c>
      <c r="E428" s="3">
        <v>3</v>
      </c>
      <c r="F428" s="3">
        <v>0</v>
      </c>
      <c r="G428" s="3">
        <v>0</v>
      </c>
      <c r="H428" s="2">
        <f t="shared" si="12"/>
        <v>3</v>
      </c>
      <c r="I428" t="str">
        <f t="shared" si="13"/>
        <v>Aplf_3</v>
      </c>
      <c r="J428" s="3">
        <v>0</v>
      </c>
      <c r="K428" s="3">
        <v>0</v>
      </c>
      <c r="L428" s="3">
        <v>3</v>
      </c>
      <c r="M428" s="3">
        <v>0</v>
      </c>
      <c r="N428" s="3">
        <v>0</v>
      </c>
    </row>
    <row r="429" spans="1:14" x14ac:dyDescent="0.2">
      <c r="A429" s="5" t="str">
        <f>HYPERLINK("http://www.ncbi.nlm.nih.gov/protein/156255192","Aplp2")</f>
        <v>Aplp2</v>
      </c>
      <c r="B429" s="4"/>
      <c r="C429" s="3">
        <v>0</v>
      </c>
      <c r="D429" s="3">
        <v>967</v>
      </c>
      <c r="E429" s="3">
        <v>174</v>
      </c>
      <c r="F429" s="3">
        <v>0</v>
      </c>
      <c r="G429" s="3">
        <v>0</v>
      </c>
      <c r="H429" s="2">
        <f t="shared" si="12"/>
        <v>1141</v>
      </c>
      <c r="I429" t="str">
        <f t="shared" si="13"/>
        <v>Aplp2_1141</v>
      </c>
      <c r="J429" s="3">
        <v>0</v>
      </c>
      <c r="K429" s="3">
        <v>967</v>
      </c>
      <c r="L429" s="3">
        <v>174</v>
      </c>
      <c r="M429" s="3">
        <v>0</v>
      </c>
      <c r="N429" s="3">
        <v>0</v>
      </c>
    </row>
    <row r="430" spans="1:14" x14ac:dyDescent="0.2">
      <c r="A430" s="5" t="str">
        <f>HYPERLINK("http://www.ncbi.nlm.nih.gov/protein/156255194","Aplp2")</f>
        <v>Aplp2</v>
      </c>
      <c r="B430" s="4"/>
      <c r="C430" s="3">
        <v>0</v>
      </c>
      <c r="D430" s="3">
        <v>967</v>
      </c>
      <c r="E430" s="3">
        <v>174</v>
      </c>
      <c r="F430" s="3">
        <v>0</v>
      </c>
      <c r="G430" s="3">
        <v>0</v>
      </c>
      <c r="H430" s="2">
        <f t="shared" si="12"/>
        <v>1141</v>
      </c>
      <c r="I430" t="str">
        <f t="shared" si="13"/>
        <v>Aplp2_1141</v>
      </c>
      <c r="J430" s="3">
        <v>0</v>
      </c>
      <c r="K430" s="3">
        <v>967</v>
      </c>
      <c r="L430" s="3">
        <v>174</v>
      </c>
      <c r="M430" s="3">
        <v>0</v>
      </c>
      <c r="N430" s="3">
        <v>0</v>
      </c>
    </row>
    <row r="431" spans="1:14" x14ac:dyDescent="0.2">
      <c r="A431" s="5" t="str">
        <f>HYPERLINK("http://www.ncbi.nlm.nih.gov/protein/6753094","Aplp2")</f>
        <v>Aplp2</v>
      </c>
      <c r="B431" s="4"/>
      <c r="C431" s="3">
        <v>0</v>
      </c>
      <c r="D431" s="3">
        <v>967</v>
      </c>
      <c r="E431" s="3">
        <v>174</v>
      </c>
      <c r="F431" s="3">
        <v>0</v>
      </c>
      <c r="G431" s="3">
        <v>0</v>
      </c>
      <c r="H431" s="2">
        <f t="shared" si="12"/>
        <v>1141</v>
      </c>
      <c r="I431" t="str">
        <f t="shared" si="13"/>
        <v>Aplp2_1141</v>
      </c>
      <c r="J431" s="3">
        <v>0</v>
      </c>
      <c r="K431" s="3">
        <v>967</v>
      </c>
      <c r="L431" s="3">
        <v>174</v>
      </c>
      <c r="M431" s="3">
        <v>0</v>
      </c>
      <c r="N431" s="3">
        <v>0</v>
      </c>
    </row>
    <row r="432" spans="1:14" x14ac:dyDescent="0.2">
      <c r="A432" s="5" t="str">
        <f>HYPERLINK("http://www.ncbi.nlm.nih.gov/protein/21313668","Apmap")</f>
        <v>Apmap</v>
      </c>
      <c r="B432" s="4"/>
      <c r="C432" s="3">
        <v>4577</v>
      </c>
      <c r="D432" s="3">
        <v>10886</v>
      </c>
      <c r="E432" s="3">
        <v>4084</v>
      </c>
      <c r="F432" s="3">
        <v>0</v>
      </c>
      <c r="G432" s="3">
        <v>0</v>
      </c>
      <c r="H432" s="2">
        <f t="shared" si="12"/>
        <v>19547</v>
      </c>
      <c r="I432" t="str">
        <f t="shared" si="13"/>
        <v>Apmap_19547</v>
      </c>
      <c r="J432" s="3">
        <v>4577</v>
      </c>
      <c r="K432" s="3">
        <v>10886</v>
      </c>
      <c r="L432" s="3">
        <v>4084</v>
      </c>
      <c r="M432" s="3">
        <v>0</v>
      </c>
      <c r="N432" s="3">
        <v>0</v>
      </c>
    </row>
    <row r="433" spans="1:14" x14ac:dyDescent="0.2">
      <c r="A433" s="5" t="str">
        <f>HYPERLINK("http://www.ncbi.nlm.nih.gov/protein/21553309","Apoa1bp")</f>
        <v>Apoa1bp</v>
      </c>
      <c r="B433" s="4"/>
      <c r="C433" s="3">
        <v>62240</v>
      </c>
      <c r="D433" s="3">
        <v>9127</v>
      </c>
      <c r="E433" s="3">
        <v>2650</v>
      </c>
      <c r="F433" s="3">
        <v>1072</v>
      </c>
      <c r="G433" s="3">
        <v>15036</v>
      </c>
      <c r="H433" s="2">
        <f t="shared" si="12"/>
        <v>90125</v>
      </c>
      <c r="I433" t="str">
        <f t="shared" si="13"/>
        <v>Apoa1bp_90125</v>
      </c>
      <c r="J433" s="3">
        <v>62240</v>
      </c>
      <c r="K433" s="3">
        <v>9127</v>
      </c>
      <c r="L433" s="3">
        <v>2650</v>
      </c>
      <c r="M433" s="3">
        <v>1072</v>
      </c>
      <c r="N433" s="3">
        <v>15036</v>
      </c>
    </row>
    <row r="434" spans="1:14" x14ac:dyDescent="0.2">
      <c r="A434" s="5" t="str">
        <f>HYPERLINK("http://www.ncbi.nlm.nih.gov/protein/238018108","Apobec3")</f>
        <v>Apobec3</v>
      </c>
      <c r="B434" s="4"/>
      <c r="C434" s="3">
        <v>0</v>
      </c>
      <c r="D434" s="3">
        <v>0</v>
      </c>
      <c r="E434" s="3">
        <v>2779</v>
      </c>
      <c r="F434" s="3">
        <v>0</v>
      </c>
      <c r="G434" s="3">
        <v>0</v>
      </c>
      <c r="H434" s="2">
        <f t="shared" si="12"/>
        <v>2779</v>
      </c>
      <c r="I434" t="str">
        <f t="shared" si="13"/>
        <v>Apobec3_2779</v>
      </c>
      <c r="J434" s="3">
        <v>0</v>
      </c>
      <c r="K434" s="3">
        <v>0</v>
      </c>
      <c r="L434" s="3">
        <v>2779</v>
      </c>
      <c r="M434" s="3">
        <v>0</v>
      </c>
      <c r="N434" s="3">
        <v>0</v>
      </c>
    </row>
    <row r="435" spans="1:14" x14ac:dyDescent="0.2">
      <c r="A435" s="5" t="str">
        <f>HYPERLINK("http://www.ncbi.nlm.nih.gov/protein/85861172","Apobec3")</f>
        <v>Apobec3</v>
      </c>
      <c r="B435" s="4"/>
      <c r="C435" s="3">
        <v>0</v>
      </c>
      <c r="D435" s="3">
        <v>0</v>
      </c>
      <c r="E435" s="3">
        <v>2779</v>
      </c>
      <c r="F435" s="3">
        <v>0</v>
      </c>
      <c r="G435" s="3">
        <v>0</v>
      </c>
      <c r="H435" s="2">
        <f t="shared" si="12"/>
        <v>2779</v>
      </c>
      <c r="I435" t="str">
        <f t="shared" si="13"/>
        <v>Apobec3_2779</v>
      </c>
      <c r="J435" s="3">
        <v>0</v>
      </c>
      <c r="K435" s="3">
        <v>0</v>
      </c>
      <c r="L435" s="3">
        <v>2779</v>
      </c>
      <c r="M435" s="3">
        <v>0</v>
      </c>
      <c r="N435" s="3">
        <v>0</v>
      </c>
    </row>
    <row r="436" spans="1:14" x14ac:dyDescent="0.2">
      <c r="A436" s="5" t="str">
        <f>HYPERLINK("http://www.ncbi.nlm.nih.gov/protein/238776830","Apol10b")</f>
        <v>Apol10b</v>
      </c>
      <c r="B436" s="4"/>
      <c r="C436" s="3">
        <v>0</v>
      </c>
      <c r="D436" s="3">
        <v>0</v>
      </c>
      <c r="E436" s="3">
        <v>0</v>
      </c>
      <c r="F436" s="3">
        <v>106240</v>
      </c>
      <c r="G436" s="3">
        <v>0</v>
      </c>
      <c r="H436" s="2">
        <f t="shared" si="12"/>
        <v>106240</v>
      </c>
      <c r="I436" t="str">
        <f t="shared" si="13"/>
        <v>Apol10b_106240</v>
      </c>
      <c r="J436" s="3">
        <v>0</v>
      </c>
      <c r="K436" s="3">
        <v>0</v>
      </c>
      <c r="L436" s="3">
        <v>0</v>
      </c>
      <c r="M436" s="3">
        <v>106240</v>
      </c>
      <c r="N436" s="3">
        <v>0</v>
      </c>
    </row>
    <row r="437" spans="1:14" x14ac:dyDescent="0.2">
      <c r="A437" s="5" t="str">
        <f>HYPERLINK("http://www.ncbi.nlm.nih.gov/protein/161484642","Apoo")</f>
        <v>Apoo</v>
      </c>
      <c r="B437" s="4"/>
      <c r="C437" s="3">
        <v>4741</v>
      </c>
      <c r="D437" s="3">
        <v>3515</v>
      </c>
      <c r="E437" s="3">
        <v>104</v>
      </c>
      <c r="F437" s="3">
        <v>0</v>
      </c>
      <c r="G437" s="3">
        <v>0</v>
      </c>
      <c r="H437" s="2">
        <f t="shared" si="12"/>
        <v>8360</v>
      </c>
      <c r="I437" t="str">
        <f t="shared" si="13"/>
        <v>Apoo_8360</v>
      </c>
      <c r="J437" s="3">
        <v>4741</v>
      </c>
      <c r="K437" s="3">
        <v>3515</v>
      </c>
      <c r="L437" s="3">
        <v>104</v>
      </c>
      <c r="M437" s="3">
        <v>0</v>
      </c>
      <c r="N437" s="3">
        <v>0</v>
      </c>
    </row>
    <row r="438" spans="1:14" x14ac:dyDescent="0.2">
      <c r="A438" s="5" t="str">
        <f>HYPERLINK("http://www.ncbi.nlm.nih.gov/protein/313569763","Apoo")</f>
        <v>Apoo</v>
      </c>
      <c r="B438" s="4"/>
      <c r="C438" s="3">
        <v>4741</v>
      </c>
      <c r="D438" s="3">
        <v>3515</v>
      </c>
      <c r="E438" s="3">
        <v>104</v>
      </c>
      <c r="F438" s="3">
        <v>0</v>
      </c>
      <c r="G438" s="3">
        <v>0</v>
      </c>
      <c r="H438" s="2">
        <f t="shared" si="12"/>
        <v>8360</v>
      </c>
      <c r="I438" t="str">
        <f t="shared" si="13"/>
        <v>Apoo_8360</v>
      </c>
      <c r="J438" s="3">
        <v>4741</v>
      </c>
      <c r="K438" s="3">
        <v>3515</v>
      </c>
      <c r="L438" s="3">
        <v>104</v>
      </c>
      <c r="M438" s="3">
        <v>0</v>
      </c>
      <c r="N438" s="3">
        <v>0</v>
      </c>
    </row>
    <row r="439" spans="1:14" x14ac:dyDescent="0.2">
      <c r="A439" s="5" t="str">
        <f>HYPERLINK("http://www.ncbi.nlm.nih.gov/protein/313569872","Apoo")</f>
        <v>Apoo</v>
      </c>
      <c r="B439" s="4"/>
      <c r="C439" s="3">
        <v>4741</v>
      </c>
      <c r="D439" s="3">
        <v>3515</v>
      </c>
      <c r="E439" s="3">
        <v>104</v>
      </c>
      <c r="F439" s="3">
        <v>0</v>
      </c>
      <c r="G439" s="3">
        <v>0</v>
      </c>
      <c r="H439" s="2">
        <f t="shared" si="12"/>
        <v>8360</v>
      </c>
      <c r="I439" t="str">
        <f t="shared" si="13"/>
        <v>Apoo_8360</v>
      </c>
      <c r="J439" s="3">
        <v>4741</v>
      </c>
      <c r="K439" s="3">
        <v>3515</v>
      </c>
      <c r="L439" s="3">
        <v>104</v>
      </c>
      <c r="M439" s="3">
        <v>0</v>
      </c>
      <c r="N439" s="3">
        <v>0</v>
      </c>
    </row>
    <row r="440" spans="1:14" x14ac:dyDescent="0.2">
      <c r="A440" s="5" t="str">
        <f>HYPERLINK("http://www.ncbi.nlm.nih.gov/protein/13386062","Apool")</f>
        <v>Apool</v>
      </c>
      <c r="B440" s="4"/>
      <c r="C440" s="3">
        <v>8531</v>
      </c>
      <c r="D440" s="3">
        <v>7571</v>
      </c>
      <c r="E440" s="3">
        <v>398</v>
      </c>
      <c r="F440" s="3">
        <v>0</v>
      </c>
      <c r="G440" s="3">
        <v>0</v>
      </c>
      <c r="H440" s="2">
        <f t="shared" si="12"/>
        <v>16500</v>
      </c>
      <c r="I440" t="str">
        <f t="shared" si="13"/>
        <v>Apool_16500</v>
      </c>
      <c r="J440" s="3">
        <v>8531</v>
      </c>
      <c r="K440" s="3">
        <v>7571</v>
      </c>
      <c r="L440" s="3">
        <v>398</v>
      </c>
      <c r="M440" s="3">
        <v>0</v>
      </c>
      <c r="N440" s="3">
        <v>0</v>
      </c>
    </row>
    <row r="441" spans="1:14" x14ac:dyDescent="0.2">
      <c r="A441" s="5" t="str">
        <f>HYPERLINK("http://www.ncbi.nlm.nih.gov/protein/311893401","App")</f>
        <v>App</v>
      </c>
      <c r="B441" s="4"/>
      <c r="C441" s="3">
        <v>28502</v>
      </c>
      <c r="D441" s="3">
        <v>5357</v>
      </c>
      <c r="E441" s="3">
        <v>8784</v>
      </c>
      <c r="F441" s="3">
        <v>262</v>
      </c>
      <c r="G441" s="3">
        <v>2752</v>
      </c>
      <c r="H441" s="2">
        <f t="shared" si="12"/>
        <v>45657</v>
      </c>
      <c r="I441" t="str">
        <f t="shared" si="13"/>
        <v>App_45657</v>
      </c>
      <c r="J441" s="3">
        <v>28502</v>
      </c>
      <c r="K441" s="3">
        <v>5357</v>
      </c>
      <c r="L441" s="3">
        <v>8784</v>
      </c>
      <c r="M441" s="3">
        <v>262</v>
      </c>
      <c r="N441" s="3">
        <v>2752</v>
      </c>
    </row>
    <row r="442" spans="1:14" x14ac:dyDescent="0.2">
      <c r="A442" s="5" t="str">
        <f>HYPERLINK("http://www.ncbi.nlm.nih.gov/protein/311893404","App")</f>
        <v>App</v>
      </c>
      <c r="B442" s="4"/>
      <c r="C442" s="3">
        <v>28502</v>
      </c>
      <c r="D442" s="3">
        <v>5357</v>
      </c>
      <c r="E442" s="3">
        <v>8784</v>
      </c>
      <c r="F442" s="3">
        <v>262</v>
      </c>
      <c r="G442" s="3">
        <v>2752</v>
      </c>
      <c r="H442" s="2">
        <f t="shared" si="12"/>
        <v>45657</v>
      </c>
      <c r="I442" t="str">
        <f t="shared" si="13"/>
        <v>App_45657</v>
      </c>
      <c r="J442" s="3">
        <v>28502</v>
      </c>
      <c r="K442" s="3">
        <v>5357</v>
      </c>
      <c r="L442" s="3">
        <v>8784</v>
      </c>
      <c r="M442" s="3">
        <v>262</v>
      </c>
      <c r="N442" s="3">
        <v>2752</v>
      </c>
    </row>
    <row r="443" spans="1:14" x14ac:dyDescent="0.2">
      <c r="A443" s="5" t="str">
        <f>HYPERLINK("http://www.ncbi.nlm.nih.gov/protein/311893406","App")</f>
        <v>App</v>
      </c>
      <c r="B443" s="4"/>
      <c r="C443" s="3">
        <v>28502</v>
      </c>
      <c r="D443" s="3">
        <v>5357</v>
      </c>
      <c r="E443" s="3">
        <v>8784</v>
      </c>
      <c r="F443" s="3">
        <v>262</v>
      </c>
      <c r="G443" s="3">
        <v>2752</v>
      </c>
      <c r="H443" s="2">
        <f t="shared" si="12"/>
        <v>45657</v>
      </c>
      <c r="I443" t="str">
        <f t="shared" si="13"/>
        <v>App_45657</v>
      </c>
      <c r="J443" s="3">
        <v>28502</v>
      </c>
      <c r="K443" s="3">
        <v>5357</v>
      </c>
      <c r="L443" s="3">
        <v>8784</v>
      </c>
      <c r="M443" s="3">
        <v>262</v>
      </c>
      <c r="N443" s="3">
        <v>2752</v>
      </c>
    </row>
    <row r="444" spans="1:14" x14ac:dyDescent="0.2">
      <c r="A444" s="5" t="str">
        <f>HYPERLINK("http://www.ncbi.nlm.nih.gov/protein/311893408","App")</f>
        <v>App</v>
      </c>
      <c r="B444" s="4"/>
      <c r="C444" s="3">
        <v>28502</v>
      </c>
      <c r="D444" s="3">
        <v>5357</v>
      </c>
      <c r="E444" s="3">
        <v>8784</v>
      </c>
      <c r="F444" s="3">
        <v>262</v>
      </c>
      <c r="G444" s="3">
        <v>2752</v>
      </c>
      <c r="H444" s="2">
        <f t="shared" si="12"/>
        <v>45657</v>
      </c>
      <c r="I444" t="str">
        <f t="shared" si="13"/>
        <v>App_45657</v>
      </c>
      <c r="J444" s="3">
        <v>28502</v>
      </c>
      <c r="K444" s="3">
        <v>5357</v>
      </c>
      <c r="L444" s="3">
        <v>8784</v>
      </c>
      <c r="M444" s="3">
        <v>262</v>
      </c>
      <c r="N444" s="3">
        <v>2752</v>
      </c>
    </row>
    <row r="445" spans="1:14" x14ac:dyDescent="0.2">
      <c r="A445" s="5" t="str">
        <f>HYPERLINK("http://www.ncbi.nlm.nih.gov/protein/47271504","App")</f>
        <v>App</v>
      </c>
      <c r="B445" s="4"/>
      <c r="C445" s="3">
        <v>15597</v>
      </c>
      <c r="D445" s="3">
        <v>5334</v>
      </c>
      <c r="E445" s="3">
        <v>7192</v>
      </c>
      <c r="F445" s="3">
        <v>262</v>
      </c>
      <c r="G445" s="3">
        <v>2752</v>
      </c>
      <c r="H445" s="2">
        <f t="shared" si="12"/>
        <v>31137</v>
      </c>
      <c r="I445" t="str">
        <f t="shared" si="13"/>
        <v>App_31137</v>
      </c>
      <c r="J445" s="3">
        <v>15597</v>
      </c>
      <c r="K445" s="3">
        <v>5334</v>
      </c>
      <c r="L445" s="3">
        <v>7192</v>
      </c>
      <c r="M445" s="3">
        <v>262</v>
      </c>
      <c r="N445" s="3">
        <v>2752</v>
      </c>
    </row>
    <row r="446" spans="1:14" x14ac:dyDescent="0.2">
      <c r="A446" s="5" t="str">
        <f>HYPERLINK("http://www.ncbi.nlm.nih.gov/protein/21699066","Appl1")</f>
        <v>Appl1</v>
      </c>
      <c r="B446" s="4"/>
      <c r="C446" s="3">
        <v>0</v>
      </c>
      <c r="D446" s="3">
        <v>177</v>
      </c>
      <c r="E446" s="3">
        <v>0</v>
      </c>
      <c r="F446" s="3">
        <v>0</v>
      </c>
      <c r="G446" s="3">
        <v>3620</v>
      </c>
      <c r="H446" s="2">
        <f t="shared" si="12"/>
        <v>3797</v>
      </c>
      <c r="I446" t="str">
        <f t="shared" si="13"/>
        <v>Appl1_3797</v>
      </c>
      <c r="J446" s="3">
        <v>0</v>
      </c>
      <c r="K446" s="3">
        <v>177</v>
      </c>
      <c r="L446" s="3">
        <v>0</v>
      </c>
      <c r="M446" s="3">
        <v>0</v>
      </c>
      <c r="N446" s="3">
        <v>3620</v>
      </c>
    </row>
    <row r="447" spans="1:14" x14ac:dyDescent="0.2">
      <c r="A447" s="5" t="str">
        <f>HYPERLINK("http://www.ncbi.nlm.nih.gov/protein/21644587","Appl2")</f>
        <v>Appl2</v>
      </c>
      <c r="B447" s="4"/>
      <c r="C447" s="3">
        <v>0</v>
      </c>
      <c r="D447" s="3">
        <v>0</v>
      </c>
      <c r="E447" s="3">
        <v>56</v>
      </c>
      <c r="F447" s="3">
        <v>0</v>
      </c>
      <c r="G447" s="3">
        <v>0</v>
      </c>
      <c r="H447" s="2">
        <f t="shared" si="12"/>
        <v>56</v>
      </c>
      <c r="I447" t="str">
        <f t="shared" si="13"/>
        <v>Appl2_56</v>
      </c>
      <c r="J447" s="3">
        <v>0</v>
      </c>
      <c r="K447" s="3">
        <v>0</v>
      </c>
      <c r="L447" s="3">
        <v>56</v>
      </c>
      <c r="M447" s="3">
        <v>0</v>
      </c>
      <c r="N447" s="3">
        <v>0</v>
      </c>
    </row>
    <row r="448" spans="1:14" x14ac:dyDescent="0.2">
      <c r="A448" s="5" t="str">
        <f>HYPERLINK("http://www.ncbi.nlm.nih.gov/protein/118601013","Aprt")</f>
        <v>Aprt</v>
      </c>
      <c r="B448" s="4"/>
      <c r="C448" s="3">
        <v>2105</v>
      </c>
      <c r="D448" s="3">
        <v>1726</v>
      </c>
      <c r="E448" s="3">
        <v>5252</v>
      </c>
      <c r="F448" s="3">
        <v>2759</v>
      </c>
      <c r="G448" s="3">
        <v>62790</v>
      </c>
      <c r="H448" s="2">
        <f t="shared" si="12"/>
        <v>74632</v>
      </c>
      <c r="I448" t="str">
        <f t="shared" si="13"/>
        <v>Aprt_74632</v>
      </c>
      <c r="J448" s="3">
        <v>2105</v>
      </c>
      <c r="K448" s="3">
        <v>1726</v>
      </c>
      <c r="L448" s="3">
        <v>5252</v>
      </c>
      <c r="M448" s="3">
        <v>2759</v>
      </c>
      <c r="N448" s="3">
        <v>62790</v>
      </c>
    </row>
    <row r="449" spans="1:14" x14ac:dyDescent="0.2">
      <c r="A449" s="5" t="str">
        <f>HYPERLINK("http://www.ncbi.nlm.nih.gov/protein/160415209","Aqp2")</f>
        <v>Aqp2</v>
      </c>
      <c r="B449" s="4"/>
      <c r="C449" s="3">
        <v>15816</v>
      </c>
      <c r="D449" s="3">
        <v>97287</v>
      </c>
      <c r="E449" s="3">
        <v>82660</v>
      </c>
      <c r="F449" s="3">
        <v>2128</v>
      </c>
      <c r="G449" s="3">
        <v>0</v>
      </c>
      <c r="H449" s="2">
        <f t="shared" si="12"/>
        <v>197891</v>
      </c>
      <c r="I449" t="str">
        <f t="shared" si="13"/>
        <v>Aqp2_197891</v>
      </c>
      <c r="J449" s="3">
        <v>15816</v>
      </c>
      <c r="K449" s="3">
        <v>97287</v>
      </c>
      <c r="L449" s="3">
        <v>82660</v>
      </c>
      <c r="M449" s="3">
        <v>2128</v>
      </c>
      <c r="N449" s="3">
        <v>0</v>
      </c>
    </row>
    <row r="450" spans="1:14" x14ac:dyDescent="0.2">
      <c r="A450" s="5" t="str">
        <f>HYPERLINK("http://www.ncbi.nlm.nih.gov/protein/163644327","Aqr")</f>
        <v>Aqr</v>
      </c>
      <c r="B450" s="4"/>
      <c r="C450" s="3">
        <v>0</v>
      </c>
      <c r="D450" s="3">
        <v>0</v>
      </c>
      <c r="E450" s="3">
        <v>546</v>
      </c>
      <c r="F450" s="3">
        <v>8</v>
      </c>
      <c r="G450" s="3">
        <v>0</v>
      </c>
      <c r="H450" s="2">
        <f t="shared" ref="H450:H513" si="14">SUM(C450:G450)</f>
        <v>554</v>
      </c>
      <c r="I450" t="str">
        <f t="shared" ref="I450:I513" si="15">A450&amp;"_"&amp;H450</f>
        <v>Aqr_554</v>
      </c>
      <c r="J450" s="3">
        <v>0</v>
      </c>
      <c r="K450" s="3">
        <v>0</v>
      </c>
      <c r="L450" s="3">
        <v>546</v>
      </c>
      <c r="M450" s="3">
        <v>8</v>
      </c>
      <c r="N450" s="3">
        <v>0</v>
      </c>
    </row>
    <row r="451" spans="1:14" x14ac:dyDescent="0.2">
      <c r="A451" s="5" t="str">
        <f>HYPERLINK("http://www.ncbi.nlm.nih.gov/protein/227496776","Araf")</f>
        <v>Araf</v>
      </c>
      <c r="B451" s="4"/>
      <c r="C451" s="3">
        <v>0</v>
      </c>
      <c r="D451" s="3">
        <v>213</v>
      </c>
      <c r="E451" s="3">
        <v>518</v>
      </c>
      <c r="F451" s="3">
        <v>5083</v>
      </c>
      <c r="G451" s="3">
        <v>278</v>
      </c>
      <c r="H451" s="2">
        <f t="shared" si="14"/>
        <v>6092</v>
      </c>
      <c r="I451" t="str">
        <f t="shared" si="15"/>
        <v>Araf_6092</v>
      </c>
      <c r="J451" s="3">
        <v>0</v>
      </c>
      <c r="K451" s="3">
        <v>213</v>
      </c>
      <c r="L451" s="3">
        <v>518</v>
      </c>
      <c r="M451" s="3">
        <v>5083</v>
      </c>
      <c r="N451" s="3">
        <v>278</v>
      </c>
    </row>
    <row r="452" spans="1:14" x14ac:dyDescent="0.2">
      <c r="A452" s="5" t="str">
        <f>HYPERLINK("http://www.ncbi.nlm.nih.gov/protein/27545181","Araf")</f>
        <v>Araf</v>
      </c>
      <c r="B452" s="4"/>
      <c r="C452" s="3">
        <v>0</v>
      </c>
      <c r="D452" s="3">
        <v>1342</v>
      </c>
      <c r="E452" s="3">
        <v>1222</v>
      </c>
      <c r="F452" s="3">
        <v>26734</v>
      </c>
      <c r="G452" s="3">
        <v>278</v>
      </c>
      <c r="H452" s="2">
        <f t="shared" si="14"/>
        <v>29576</v>
      </c>
      <c r="I452" t="str">
        <f t="shared" si="15"/>
        <v>Araf_29576</v>
      </c>
      <c r="J452" s="3">
        <v>0</v>
      </c>
      <c r="K452" s="3">
        <v>1342</v>
      </c>
      <c r="L452" s="3">
        <v>1222</v>
      </c>
      <c r="M452" s="3">
        <v>26734</v>
      </c>
      <c r="N452" s="3">
        <v>278</v>
      </c>
    </row>
    <row r="453" spans="1:14" x14ac:dyDescent="0.2">
      <c r="A453" s="5" t="str">
        <f>HYPERLINK("http://www.ncbi.nlm.nih.gov/protein/148747410","Arcn1")</f>
        <v>Arcn1</v>
      </c>
      <c r="B453" s="4"/>
      <c r="C453" s="3">
        <v>48200</v>
      </c>
      <c r="D453" s="3">
        <v>7429</v>
      </c>
      <c r="E453" s="3">
        <v>21997</v>
      </c>
      <c r="F453" s="3">
        <v>124527</v>
      </c>
      <c r="G453" s="3">
        <v>2153</v>
      </c>
      <c r="H453" s="2">
        <f t="shared" si="14"/>
        <v>204306</v>
      </c>
      <c r="I453" t="str">
        <f t="shared" si="15"/>
        <v>Arcn1_204306</v>
      </c>
      <c r="J453" s="3">
        <v>48200</v>
      </c>
      <c r="K453" s="3">
        <v>7429</v>
      </c>
      <c r="L453" s="3">
        <v>21997</v>
      </c>
      <c r="M453" s="3">
        <v>124527</v>
      </c>
      <c r="N453" s="3">
        <v>2153</v>
      </c>
    </row>
    <row r="454" spans="1:14" x14ac:dyDescent="0.2">
      <c r="A454" s="5" t="str">
        <f>HYPERLINK("http://www.ncbi.nlm.nih.gov/protein/6680716","Arf1")</f>
        <v>Arf1</v>
      </c>
      <c r="B454" s="4"/>
      <c r="C454" s="3">
        <v>232761</v>
      </c>
      <c r="D454" s="3">
        <v>47481</v>
      </c>
      <c r="E454" s="3">
        <v>102042</v>
      </c>
      <c r="F454" s="3">
        <v>269461</v>
      </c>
      <c r="G454" s="3">
        <v>147684</v>
      </c>
      <c r="H454" s="2">
        <f t="shared" si="14"/>
        <v>799429</v>
      </c>
      <c r="I454" t="str">
        <f t="shared" si="15"/>
        <v>Arf1_799429</v>
      </c>
      <c r="J454" s="3">
        <v>232761</v>
      </c>
      <c r="K454" s="3">
        <v>47481</v>
      </c>
      <c r="L454" s="3">
        <v>102042</v>
      </c>
      <c r="M454" s="3">
        <v>269461</v>
      </c>
      <c r="N454" s="3">
        <v>147684</v>
      </c>
    </row>
    <row r="455" spans="1:14" x14ac:dyDescent="0.2">
      <c r="A455" s="5" t="str">
        <f>HYPERLINK("http://www.ncbi.nlm.nih.gov/protein/6671571","Arf2")</f>
        <v>Arf2</v>
      </c>
      <c r="B455" s="4"/>
      <c r="C455" s="3">
        <v>193440</v>
      </c>
      <c r="D455" s="3">
        <v>37129</v>
      </c>
      <c r="E455" s="3">
        <v>95038</v>
      </c>
      <c r="F455" s="3">
        <v>262503</v>
      </c>
      <c r="G455" s="3">
        <v>107920</v>
      </c>
      <c r="H455" s="2">
        <f t="shared" si="14"/>
        <v>696030</v>
      </c>
      <c r="I455" t="str">
        <f t="shared" si="15"/>
        <v>Arf2_696030</v>
      </c>
      <c r="J455" s="3">
        <v>193440</v>
      </c>
      <c r="K455" s="3">
        <v>37129</v>
      </c>
      <c r="L455" s="3">
        <v>95038</v>
      </c>
      <c r="M455" s="3">
        <v>262503</v>
      </c>
      <c r="N455" s="3">
        <v>107920</v>
      </c>
    </row>
    <row r="456" spans="1:14" x14ac:dyDescent="0.2">
      <c r="A456" s="5" t="str">
        <f>HYPERLINK("http://www.ncbi.nlm.nih.gov/protein/6680718","Arf3")</f>
        <v>Arf3</v>
      </c>
      <c r="B456" s="4"/>
      <c r="C456" s="3">
        <v>232761</v>
      </c>
      <c r="D456" s="3">
        <v>47481</v>
      </c>
      <c r="E456" s="3">
        <v>102042</v>
      </c>
      <c r="F456" s="3">
        <v>268904</v>
      </c>
      <c r="G456" s="3">
        <v>94319</v>
      </c>
      <c r="H456" s="2">
        <f t="shared" si="14"/>
        <v>745507</v>
      </c>
      <c r="I456" t="str">
        <f t="shared" si="15"/>
        <v>Arf3_745507</v>
      </c>
      <c r="J456" s="3">
        <v>232761</v>
      </c>
      <c r="K456" s="3">
        <v>47481</v>
      </c>
      <c r="L456" s="3">
        <v>102042</v>
      </c>
      <c r="M456" s="3">
        <v>268904</v>
      </c>
      <c r="N456" s="3">
        <v>94319</v>
      </c>
    </row>
    <row r="457" spans="1:14" x14ac:dyDescent="0.2">
      <c r="A457" s="5" t="str">
        <f>HYPERLINK("http://www.ncbi.nlm.nih.gov/protein/6680720","Arf4")</f>
        <v>Arf4</v>
      </c>
      <c r="B457" s="4"/>
      <c r="C457" s="3">
        <v>76757</v>
      </c>
      <c r="D457" s="3">
        <v>17331</v>
      </c>
      <c r="E457" s="3">
        <v>40061</v>
      </c>
      <c r="F457" s="3">
        <v>114958</v>
      </c>
      <c r="G457" s="3">
        <v>67481</v>
      </c>
      <c r="H457" s="2">
        <f t="shared" si="14"/>
        <v>316588</v>
      </c>
      <c r="I457" t="str">
        <f t="shared" si="15"/>
        <v>Arf4_316588</v>
      </c>
      <c r="J457" s="3">
        <v>76757</v>
      </c>
      <c r="K457" s="3">
        <v>17331</v>
      </c>
      <c r="L457" s="3">
        <v>40061</v>
      </c>
      <c r="M457" s="3">
        <v>114958</v>
      </c>
      <c r="N457" s="3">
        <v>67481</v>
      </c>
    </row>
    <row r="458" spans="1:14" x14ac:dyDescent="0.2">
      <c r="A458" s="5" t="str">
        <f>HYPERLINK("http://www.ncbi.nlm.nih.gov/protein/6680722","Arf5")</f>
        <v>Arf5</v>
      </c>
      <c r="B458" s="4"/>
      <c r="C458" s="3">
        <v>128289</v>
      </c>
      <c r="D458" s="3">
        <v>26434</v>
      </c>
      <c r="E458" s="3">
        <v>39586</v>
      </c>
      <c r="F458" s="3">
        <v>111144</v>
      </c>
      <c r="G458" s="3">
        <v>42988</v>
      </c>
      <c r="H458" s="2">
        <f t="shared" si="14"/>
        <v>348441</v>
      </c>
      <c r="I458" t="str">
        <f t="shared" si="15"/>
        <v>Arf5_348441</v>
      </c>
      <c r="J458" s="3">
        <v>128289</v>
      </c>
      <c r="K458" s="3">
        <v>26434</v>
      </c>
      <c r="L458" s="3">
        <v>39586</v>
      </c>
      <c r="M458" s="3">
        <v>111144</v>
      </c>
      <c r="N458" s="3">
        <v>42988</v>
      </c>
    </row>
    <row r="459" spans="1:14" x14ac:dyDescent="0.2">
      <c r="A459" s="5" t="str">
        <f>HYPERLINK("http://www.ncbi.nlm.nih.gov/protein/6680724","Arf6")</f>
        <v>Arf6</v>
      </c>
      <c r="B459" s="4"/>
      <c r="C459" s="3">
        <v>23871</v>
      </c>
      <c r="D459" s="3">
        <v>14859</v>
      </c>
      <c r="E459" s="3">
        <v>14594</v>
      </c>
      <c r="F459" s="3">
        <v>54704</v>
      </c>
      <c r="G459" s="3">
        <v>7165</v>
      </c>
      <c r="H459" s="2">
        <f t="shared" si="14"/>
        <v>115193</v>
      </c>
      <c r="I459" t="str">
        <f t="shared" si="15"/>
        <v>Arf6_115193</v>
      </c>
      <c r="J459" s="3">
        <v>23871</v>
      </c>
      <c r="K459" s="3">
        <v>14859</v>
      </c>
      <c r="L459" s="3">
        <v>14594</v>
      </c>
      <c r="M459" s="3">
        <v>54704</v>
      </c>
      <c r="N459" s="3">
        <v>7165</v>
      </c>
    </row>
    <row r="460" spans="1:14" x14ac:dyDescent="0.2">
      <c r="A460" s="5" t="str">
        <f>HYPERLINK("http://www.ncbi.nlm.nih.gov/protein/295148126","Arfgap1")</f>
        <v>Arfgap1</v>
      </c>
      <c r="B460" s="4"/>
      <c r="C460" s="3">
        <v>0</v>
      </c>
      <c r="D460" s="3">
        <v>0</v>
      </c>
      <c r="E460" s="3">
        <v>64</v>
      </c>
      <c r="F460" s="3">
        <v>810</v>
      </c>
      <c r="G460" s="3">
        <v>0</v>
      </c>
      <c r="H460" s="2">
        <f t="shared" si="14"/>
        <v>874</v>
      </c>
      <c r="I460" t="str">
        <f t="shared" si="15"/>
        <v>Arfgap1_874</v>
      </c>
      <c r="J460" s="3">
        <v>0</v>
      </c>
      <c r="K460" s="3">
        <v>0</v>
      </c>
      <c r="L460" s="3">
        <v>64</v>
      </c>
      <c r="M460" s="3">
        <v>810</v>
      </c>
      <c r="N460" s="3">
        <v>0</v>
      </c>
    </row>
    <row r="461" spans="1:14" x14ac:dyDescent="0.2">
      <c r="A461" s="5" t="str">
        <f>HYPERLINK("http://www.ncbi.nlm.nih.gov/protein/295148131","Arfgap1")</f>
        <v>Arfgap1</v>
      </c>
      <c r="B461" s="4"/>
      <c r="C461" s="3">
        <v>0</v>
      </c>
      <c r="D461" s="3">
        <v>0</v>
      </c>
      <c r="E461" s="3">
        <v>64</v>
      </c>
      <c r="F461" s="3">
        <v>810</v>
      </c>
      <c r="G461" s="3">
        <v>0</v>
      </c>
      <c r="H461" s="2">
        <f t="shared" si="14"/>
        <v>874</v>
      </c>
      <c r="I461" t="str">
        <f t="shared" si="15"/>
        <v>Arfgap1_874</v>
      </c>
      <c r="J461" s="3">
        <v>0</v>
      </c>
      <c r="K461" s="3">
        <v>0</v>
      </c>
      <c r="L461" s="3">
        <v>64</v>
      </c>
      <c r="M461" s="3">
        <v>810</v>
      </c>
      <c r="N461" s="3">
        <v>0</v>
      </c>
    </row>
    <row r="462" spans="1:14" x14ac:dyDescent="0.2">
      <c r="A462" s="5" t="str">
        <f>HYPERLINK("http://www.ncbi.nlm.nih.gov/protein/295148135","Arfgap1")</f>
        <v>Arfgap1</v>
      </c>
      <c r="B462" s="4"/>
      <c r="C462" s="3">
        <v>0</v>
      </c>
      <c r="D462" s="3">
        <v>0</v>
      </c>
      <c r="E462" s="3">
        <v>277</v>
      </c>
      <c r="F462" s="3">
        <v>4420</v>
      </c>
      <c r="G462" s="3">
        <v>0</v>
      </c>
      <c r="H462" s="2">
        <f t="shared" si="14"/>
        <v>4697</v>
      </c>
      <c r="I462" t="str">
        <f t="shared" si="15"/>
        <v>Arfgap1_4697</v>
      </c>
      <c r="J462" s="3">
        <v>0</v>
      </c>
      <c r="K462" s="3">
        <v>0</v>
      </c>
      <c r="L462" s="3">
        <v>277</v>
      </c>
      <c r="M462" s="3">
        <v>4420</v>
      </c>
      <c r="N462" s="3">
        <v>0</v>
      </c>
    </row>
    <row r="463" spans="1:14" x14ac:dyDescent="0.2">
      <c r="A463" s="5" t="str">
        <f>HYPERLINK("http://www.ncbi.nlm.nih.gov/protein/31542139","Arfgap1")</f>
        <v>Arfgap1</v>
      </c>
      <c r="B463" s="4"/>
      <c r="C463" s="3">
        <v>0</v>
      </c>
      <c r="D463" s="3">
        <v>0</v>
      </c>
      <c r="E463" s="3">
        <v>277</v>
      </c>
      <c r="F463" s="3">
        <v>4420</v>
      </c>
      <c r="G463" s="3">
        <v>0</v>
      </c>
      <c r="H463" s="2">
        <f t="shared" si="14"/>
        <v>4697</v>
      </c>
      <c r="I463" t="str">
        <f t="shared" si="15"/>
        <v>Arfgap1_4697</v>
      </c>
      <c r="J463" s="3">
        <v>0</v>
      </c>
      <c r="K463" s="3">
        <v>0</v>
      </c>
      <c r="L463" s="3">
        <v>277</v>
      </c>
      <c r="M463" s="3">
        <v>4420</v>
      </c>
      <c r="N463" s="3">
        <v>0</v>
      </c>
    </row>
    <row r="464" spans="1:14" x14ac:dyDescent="0.2">
      <c r="A464" s="5" t="str">
        <f>HYPERLINK("http://www.ncbi.nlm.nih.gov/protein/260763915","Arfgap2")</f>
        <v>Arfgap2</v>
      </c>
      <c r="B464" s="4"/>
      <c r="C464" s="3">
        <v>0</v>
      </c>
      <c r="D464" s="3">
        <v>660</v>
      </c>
      <c r="E464" s="3">
        <v>1551</v>
      </c>
      <c r="F464" s="3">
        <v>0</v>
      </c>
      <c r="G464" s="3">
        <v>1339</v>
      </c>
      <c r="H464" s="2">
        <f t="shared" si="14"/>
        <v>3550</v>
      </c>
      <c r="I464" t="str">
        <f t="shared" si="15"/>
        <v>Arfgap2_3550</v>
      </c>
      <c r="J464" s="3">
        <v>0</v>
      </c>
      <c r="K464" s="3">
        <v>660</v>
      </c>
      <c r="L464" s="3">
        <v>1551</v>
      </c>
      <c r="M464" s="3">
        <v>0</v>
      </c>
      <c r="N464" s="3">
        <v>1339</v>
      </c>
    </row>
    <row r="465" spans="1:14" x14ac:dyDescent="0.2">
      <c r="A465" s="5" t="str">
        <f>HYPERLINK("http://www.ncbi.nlm.nih.gov/protein/260763917","Arfgap2")</f>
        <v>Arfgap2</v>
      </c>
      <c r="B465" s="4"/>
      <c r="C465" s="3">
        <v>0</v>
      </c>
      <c r="D465" s="3">
        <v>660</v>
      </c>
      <c r="E465" s="3">
        <v>1551</v>
      </c>
      <c r="F465" s="3">
        <v>0</v>
      </c>
      <c r="G465" s="3">
        <v>1339</v>
      </c>
      <c r="H465" s="2">
        <f t="shared" si="14"/>
        <v>3550</v>
      </c>
      <c r="I465" t="str">
        <f t="shared" si="15"/>
        <v>Arfgap2_3550</v>
      </c>
      <c r="J465" s="3">
        <v>0</v>
      </c>
      <c r="K465" s="3">
        <v>660</v>
      </c>
      <c r="L465" s="3">
        <v>1551</v>
      </c>
      <c r="M465" s="3">
        <v>0</v>
      </c>
      <c r="N465" s="3">
        <v>1339</v>
      </c>
    </row>
    <row r="466" spans="1:14" x14ac:dyDescent="0.2">
      <c r="A466" s="5" t="str">
        <f>HYPERLINK("http://www.ncbi.nlm.nih.gov/protein/30841021","Arfgap3")</f>
        <v>Arfgap3</v>
      </c>
      <c r="B466" s="4"/>
      <c r="C466" s="3">
        <v>0</v>
      </c>
      <c r="D466" s="3">
        <v>330</v>
      </c>
      <c r="E466" s="3">
        <v>20</v>
      </c>
      <c r="F466" s="3">
        <v>0</v>
      </c>
      <c r="G466" s="3">
        <v>0</v>
      </c>
      <c r="H466" s="2">
        <f t="shared" si="14"/>
        <v>350</v>
      </c>
      <c r="I466" t="str">
        <f t="shared" si="15"/>
        <v>Arfgap3_350</v>
      </c>
      <c r="J466" s="3">
        <v>0</v>
      </c>
      <c r="K466" s="3">
        <v>330</v>
      </c>
      <c r="L466" s="3">
        <v>20</v>
      </c>
      <c r="M466" s="3">
        <v>0</v>
      </c>
      <c r="N466" s="3">
        <v>0</v>
      </c>
    </row>
    <row r="467" spans="1:14" x14ac:dyDescent="0.2">
      <c r="A467" s="5" t="str">
        <f>HYPERLINK("http://www.ncbi.nlm.nih.gov/protein/156231075","Arfgef1")</f>
        <v>Arfgef1</v>
      </c>
      <c r="B467" s="4"/>
      <c r="C467" s="3">
        <v>0</v>
      </c>
      <c r="D467" s="3">
        <v>4561</v>
      </c>
      <c r="E467" s="3">
        <v>7118</v>
      </c>
      <c r="F467" s="3">
        <v>113321</v>
      </c>
      <c r="G467" s="3">
        <v>140552</v>
      </c>
      <c r="H467" s="2">
        <f t="shared" si="14"/>
        <v>265552</v>
      </c>
      <c r="I467" t="str">
        <f t="shared" si="15"/>
        <v>Arfgef1_265552</v>
      </c>
      <c r="J467" s="3">
        <v>0</v>
      </c>
      <c r="K467" s="3">
        <v>4561</v>
      </c>
      <c r="L467" s="3">
        <v>7118</v>
      </c>
      <c r="M467" s="3">
        <v>113321</v>
      </c>
      <c r="N467" s="3">
        <v>140552</v>
      </c>
    </row>
    <row r="468" spans="1:14" x14ac:dyDescent="0.2">
      <c r="A468" s="5" t="str">
        <f>HYPERLINK("http://www.ncbi.nlm.nih.gov/protein/148229140","Arfgef2")</f>
        <v>Arfgef2</v>
      </c>
      <c r="B468" s="4"/>
      <c r="C468" s="3">
        <v>0</v>
      </c>
      <c r="D468" s="3">
        <v>2077</v>
      </c>
      <c r="E468" s="3">
        <v>4652</v>
      </c>
      <c r="F468" s="3">
        <v>61916</v>
      </c>
      <c r="G468" s="3">
        <v>18067</v>
      </c>
      <c r="H468" s="2">
        <f t="shared" si="14"/>
        <v>86712</v>
      </c>
      <c r="I468" t="str">
        <f t="shared" si="15"/>
        <v>Arfgef2_86712</v>
      </c>
      <c r="J468" s="3">
        <v>0</v>
      </c>
      <c r="K468" s="3">
        <v>2077</v>
      </c>
      <c r="L468" s="3">
        <v>4652</v>
      </c>
      <c r="M468" s="3">
        <v>61916</v>
      </c>
      <c r="N468" s="3">
        <v>18067</v>
      </c>
    </row>
    <row r="469" spans="1:14" x14ac:dyDescent="0.2">
      <c r="A469" s="5" t="str">
        <f>HYPERLINK("http://www.ncbi.nlm.nih.gov/protein/124487362","Arfip1")</f>
        <v>Arfip1</v>
      </c>
      <c r="B469" s="4"/>
      <c r="C469" s="3">
        <v>4979</v>
      </c>
      <c r="D469" s="3">
        <v>19877</v>
      </c>
      <c r="E469" s="3">
        <v>28716</v>
      </c>
      <c r="F469" s="3">
        <v>101362</v>
      </c>
      <c r="G469" s="3">
        <v>56771</v>
      </c>
      <c r="H469" s="2">
        <f t="shared" si="14"/>
        <v>211705</v>
      </c>
      <c r="I469" t="str">
        <f t="shared" si="15"/>
        <v>Arfip1_211705</v>
      </c>
      <c r="J469" s="3">
        <v>4979</v>
      </c>
      <c r="K469" s="3">
        <v>19877</v>
      </c>
      <c r="L469" s="3">
        <v>28716</v>
      </c>
      <c r="M469" s="3">
        <v>101362</v>
      </c>
      <c r="N469" s="3">
        <v>56771</v>
      </c>
    </row>
    <row r="470" spans="1:14" x14ac:dyDescent="0.2">
      <c r="A470" s="5" t="str">
        <f>HYPERLINK("http://www.ncbi.nlm.nih.gov/protein/228008331","Arfip2")</f>
        <v>Arfip2</v>
      </c>
      <c r="B470" s="4"/>
      <c r="C470" s="3">
        <v>0</v>
      </c>
      <c r="D470" s="3">
        <v>0</v>
      </c>
      <c r="E470" s="3">
        <v>650</v>
      </c>
      <c r="F470" s="3">
        <v>6630</v>
      </c>
      <c r="G470" s="3">
        <v>750</v>
      </c>
      <c r="H470" s="2">
        <f t="shared" si="14"/>
        <v>8030</v>
      </c>
      <c r="I470" t="str">
        <f t="shared" si="15"/>
        <v>Arfip2_8030</v>
      </c>
      <c r="J470" s="3">
        <v>0</v>
      </c>
      <c r="K470" s="3">
        <v>0</v>
      </c>
      <c r="L470" s="3">
        <v>650</v>
      </c>
      <c r="M470" s="3">
        <v>6630</v>
      </c>
      <c r="N470" s="3">
        <v>750</v>
      </c>
    </row>
    <row r="471" spans="1:14" x14ac:dyDescent="0.2">
      <c r="A471" s="5" t="str">
        <f>HYPERLINK("http://www.ncbi.nlm.nih.gov/protein/260763870","Arfrp1")</f>
        <v>Arfrp1</v>
      </c>
      <c r="B471" s="4"/>
      <c r="C471" s="3">
        <v>238</v>
      </c>
      <c r="D471" s="3">
        <v>1593</v>
      </c>
      <c r="E471" s="3">
        <v>143</v>
      </c>
      <c r="F471" s="3">
        <v>0</v>
      </c>
      <c r="G471" s="3">
        <v>0</v>
      </c>
      <c r="H471" s="2">
        <f t="shared" si="14"/>
        <v>1974</v>
      </c>
      <c r="I471" t="str">
        <f t="shared" si="15"/>
        <v>Arfrp1_1974</v>
      </c>
      <c r="J471" s="3">
        <v>238</v>
      </c>
      <c r="K471" s="3">
        <v>1593</v>
      </c>
      <c r="L471" s="3">
        <v>143</v>
      </c>
      <c r="M471" s="3">
        <v>0</v>
      </c>
      <c r="N471" s="3">
        <v>0</v>
      </c>
    </row>
    <row r="472" spans="1:14" x14ac:dyDescent="0.2">
      <c r="A472" s="5" t="str">
        <f>HYPERLINK("http://www.ncbi.nlm.nih.gov/protein/260763882","Arfrp1")</f>
        <v>Arfrp1</v>
      </c>
      <c r="B472" s="4"/>
      <c r="C472" s="3">
        <v>238</v>
      </c>
      <c r="D472" s="3">
        <v>1593</v>
      </c>
      <c r="E472" s="3">
        <v>143</v>
      </c>
      <c r="F472" s="3">
        <v>0</v>
      </c>
      <c r="G472" s="3">
        <v>0</v>
      </c>
      <c r="H472" s="2">
        <f t="shared" si="14"/>
        <v>1974</v>
      </c>
      <c r="I472" t="str">
        <f t="shared" si="15"/>
        <v>Arfrp1_1974</v>
      </c>
      <c r="J472" s="3">
        <v>238</v>
      </c>
      <c r="K472" s="3">
        <v>1593</v>
      </c>
      <c r="L472" s="3">
        <v>143</v>
      </c>
      <c r="M472" s="3">
        <v>0</v>
      </c>
      <c r="N472" s="3">
        <v>0</v>
      </c>
    </row>
    <row r="473" spans="1:14" x14ac:dyDescent="0.2">
      <c r="A473" s="5" t="str">
        <f>HYPERLINK("http://www.ncbi.nlm.nih.gov/protein/7106255","Arg1")</f>
        <v>Arg1</v>
      </c>
      <c r="B473" s="4"/>
      <c r="C473" s="3">
        <v>0</v>
      </c>
      <c r="D473" s="3">
        <v>0</v>
      </c>
      <c r="E473" s="3">
        <v>1241</v>
      </c>
      <c r="F473" s="3">
        <v>0</v>
      </c>
      <c r="G473" s="3">
        <v>0</v>
      </c>
      <c r="H473" s="2">
        <f t="shared" si="14"/>
        <v>1241</v>
      </c>
      <c r="I473" t="str">
        <f t="shared" si="15"/>
        <v>Arg1_1241</v>
      </c>
      <c r="J473" s="3">
        <v>0</v>
      </c>
      <c r="K473" s="3">
        <v>0</v>
      </c>
      <c r="L473" s="3">
        <v>1241</v>
      </c>
      <c r="M473" s="3">
        <v>0</v>
      </c>
      <c r="N473" s="3">
        <v>0</v>
      </c>
    </row>
    <row r="474" spans="1:14" x14ac:dyDescent="0.2">
      <c r="A474" s="5" t="str">
        <f>HYPERLINK("http://www.ncbi.nlm.nih.gov/protein/6753110","Arg2")</f>
        <v>Arg2</v>
      </c>
      <c r="B474" s="4"/>
      <c r="C474" s="3">
        <v>118239</v>
      </c>
      <c r="D474" s="3">
        <v>9634</v>
      </c>
      <c r="E474" s="3">
        <v>762</v>
      </c>
      <c r="F474" s="3">
        <v>0</v>
      </c>
      <c r="G474" s="3">
        <v>9392</v>
      </c>
      <c r="H474" s="2">
        <f t="shared" si="14"/>
        <v>138027</v>
      </c>
      <c r="I474" t="str">
        <f t="shared" si="15"/>
        <v>Arg2_138027</v>
      </c>
      <c r="J474" s="3">
        <v>118239</v>
      </c>
      <c r="K474" s="3">
        <v>9634</v>
      </c>
      <c r="L474" s="3">
        <v>762</v>
      </c>
      <c r="M474" s="3">
        <v>0</v>
      </c>
      <c r="N474" s="3">
        <v>9392</v>
      </c>
    </row>
    <row r="475" spans="1:14" x14ac:dyDescent="0.2">
      <c r="A475" s="5" t="str">
        <f>HYPERLINK("http://www.ncbi.nlm.nih.gov/protein/134152669","Arglu1")</f>
        <v>Arglu1</v>
      </c>
      <c r="B475" s="4"/>
      <c r="C475" s="3">
        <v>0</v>
      </c>
      <c r="D475" s="3">
        <v>1121</v>
      </c>
      <c r="E475" s="3">
        <v>1049</v>
      </c>
      <c r="F475" s="3">
        <v>0</v>
      </c>
      <c r="G475" s="3">
        <v>0</v>
      </c>
      <c r="H475" s="2">
        <f t="shared" si="14"/>
        <v>2170</v>
      </c>
      <c r="I475" t="str">
        <f t="shared" si="15"/>
        <v>Arglu1_2170</v>
      </c>
      <c r="J475" s="3">
        <v>0</v>
      </c>
      <c r="K475" s="3">
        <v>1121</v>
      </c>
      <c r="L475" s="3">
        <v>1049</v>
      </c>
      <c r="M475" s="3">
        <v>0</v>
      </c>
      <c r="N475" s="3">
        <v>0</v>
      </c>
    </row>
    <row r="476" spans="1:14" x14ac:dyDescent="0.2">
      <c r="A476" s="5" t="str">
        <f>HYPERLINK("http://www.ncbi.nlm.nih.gov/protein/225543420","Arhgap1")</f>
        <v>Arhgap1</v>
      </c>
      <c r="B476" s="4"/>
      <c r="C476" s="3">
        <v>2142</v>
      </c>
      <c r="D476" s="3">
        <v>11966</v>
      </c>
      <c r="E476" s="3">
        <v>25023</v>
      </c>
      <c r="F476" s="3">
        <v>65959</v>
      </c>
      <c r="G476" s="3">
        <v>25424</v>
      </c>
      <c r="H476" s="2">
        <f t="shared" si="14"/>
        <v>130514</v>
      </c>
      <c r="I476" t="str">
        <f t="shared" si="15"/>
        <v>Arhgap1_130514</v>
      </c>
      <c r="J476" s="3">
        <v>2142</v>
      </c>
      <c r="K476" s="3">
        <v>11966</v>
      </c>
      <c r="L476" s="3">
        <v>25023</v>
      </c>
      <c r="M476" s="3">
        <v>65959</v>
      </c>
      <c r="N476" s="3">
        <v>25424</v>
      </c>
    </row>
    <row r="477" spans="1:14" x14ac:dyDescent="0.2">
      <c r="A477" s="5" t="str">
        <f>HYPERLINK("http://www.ncbi.nlm.nih.gov/protein/225543424","Arhgap1")</f>
        <v>Arhgap1</v>
      </c>
      <c r="B477" s="4"/>
      <c r="C477" s="3">
        <v>2142</v>
      </c>
      <c r="D477" s="3">
        <v>11966</v>
      </c>
      <c r="E477" s="3">
        <v>25023</v>
      </c>
      <c r="F477" s="3">
        <v>65959</v>
      </c>
      <c r="G477" s="3">
        <v>25424</v>
      </c>
      <c r="H477" s="2">
        <f t="shared" si="14"/>
        <v>130514</v>
      </c>
      <c r="I477" t="str">
        <f t="shared" si="15"/>
        <v>Arhgap1_130514</v>
      </c>
      <c r="J477" s="3">
        <v>2142</v>
      </c>
      <c r="K477" s="3">
        <v>11966</v>
      </c>
      <c r="L477" s="3">
        <v>25023</v>
      </c>
      <c r="M477" s="3">
        <v>65959</v>
      </c>
      <c r="N477" s="3">
        <v>25424</v>
      </c>
    </row>
    <row r="478" spans="1:14" x14ac:dyDescent="0.2">
      <c r="A478" s="5" t="str">
        <f>HYPERLINK("http://www.ncbi.nlm.nih.gov/protein/116174786","Arhgap10")</f>
        <v>Arhgap10</v>
      </c>
      <c r="B478" s="4"/>
      <c r="C478" s="3">
        <v>0</v>
      </c>
      <c r="D478" s="3">
        <v>651</v>
      </c>
      <c r="E478" s="3">
        <v>1017</v>
      </c>
      <c r="F478" s="3">
        <v>0</v>
      </c>
      <c r="G478" s="3">
        <v>0</v>
      </c>
      <c r="H478" s="2">
        <f t="shared" si="14"/>
        <v>1668</v>
      </c>
      <c r="I478" t="str">
        <f t="shared" si="15"/>
        <v>Arhgap10_1668</v>
      </c>
      <c r="J478" s="3">
        <v>0</v>
      </c>
      <c r="K478" s="3">
        <v>651</v>
      </c>
      <c r="L478" s="3">
        <v>1017</v>
      </c>
      <c r="M478" s="3">
        <v>0</v>
      </c>
      <c r="N478" s="3">
        <v>0</v>
      </c>
    </row>
    <row r="479" spans="1:14" x14ac:dyDescent="0.2">
      <c r="A479" s="5" t="str">
        <f>HYPERLINK("http://www.ncbi.nlm.nih.gov/protein/169790939","Arhgap17")</f>
        <v>Arhgap17</v>
      </c>
      <c r="B479" s="4"/>
      <c r="C479" s="3">
        <v>0</v>
      </c>
      <c r="D479" s="3">
        <v>0</v>
      </c>
      <c r="E479" s="3">
        <v>9</v>
      </c>
      <c r="F479" s="3">
        <v>0</v>
      </c>
      <c r="G479" s="3">
        <v>0</v>
      </c>
      <c r="H479" s="2">
        <f t="shared" si="14"/>
        <v>9</v>
      </c>
      <c r="I479" t="str">
        <f t="shared" si="15"/>
        <v>Arhgap17_9</v>
      </c>
      <c r="J479" s="3">
        <v>0</v>
      </c>
      <c r="K479" s="3">
        <v>0</v>
      </c>
      <c r="L479" s="3">
        <v>9</v>
      </c>
      <c r="M479" s="3">
        <v>0</v>
      </c>
      <c r="N479" s="3">
        <v>0</v>
      </c>
    </row>
    <row r="480" spans="1:14" x14ac:dyDescent="0.2">
      <c r="A480" s="5" t="str">
        <f>HYPERLINK("http://www.ncbi.nlm.nih.gov/protein/169790941","Arhgap17")</f>
        <v>Arhgap17</v>
      </c>
      <c r="B480" s="4"/>
      <c r="C480" s="3">
        <v>0</v>
      </c>
      <c r="D480" s="3">
        <v>0</v>
      </c>
      <c r="E480" s="3">
        <v>9</v>
      </c>
      <c r="F480" s="3">
        <v>0</v>
      </c>
      <c r="G480" s="3">
        <v>0</v>
      </c>
      <c r="H480" s="2">
        <f t="shared" si="14"/>
        <v>9</v>
      </c>
      <c r="I480" t="str">
        <f t="shared" si="15"/>
        <v>Arhgap17_9</v>
      </c>
      <c r="J480" s="3">
        <v>0</v>
      </c>
      <c r="K480" s="3">
        <v>0</v>
      </c>
      <c r="L480" s="3">
        <v>9</v>
      </c>
      <c r="M480" s="3">
        <v>0</v>
      </c>
      <c r="N480" s="3">
        <v>0</v>
      </c>
    </row>
    <row r="481" spans="1:14" x14ac:dyDescent="0.2">
      <c r="A481" s="5" t="str">
        <f>HYPERLINK("http://www.ncbi.nlm.nih.gov/protein/169790943","Arhgap17")</f>
        <v>Arhgap17</v>
      </c>
      <c r="B481" s="4"/>
      <c r="C481" s="3">
        <v>0</v>
      </c>
      <c r="D481" s="3">
        <v>0</v>
      </c>
      <c r="E481" s="3">
        <v>9</v>
      </c>
      <c r="F481" s="3">
        <v>0</v>
      </c>
      <c r="G481" s="3">
        <v>0</v>
      </c>
      <c r="H481" s="2">
        <f t="shared" si="14"/>
        <v>9</v>
      </c>
      <c r="I481" t="str">
        <f t="shared" si="15"/>
        <v>Arhgap17_9</v>
      </c>
      <c r="J481" s="3">
        <v>0</v>
      </c>
      <c r="K481" s="3">
        <v>0</v>
      </c>
      <c r="L481" s="3">
        <v>9</v>
      </c>
      <c r="M481" s="3">
        <v>0</v>
      </c>
      <c r="N481" s="3">
        <v>0</v>
      </c>
    </row>
    <row r="482" spans="1:14" x14ac:dyDescent="0.2">
      <c r="A482" s="5" t="str">
        <f>HYPERLINK("http://www.ncbi.nlm.nih.gov/protein/169790945","Arhgap17")</f>
        <v>Arhgap17</v>
      </c>
      <c r="B482" s="4"/>
      <c r="C482" s="3">
        <v>0</v>
      </c>
      <c r="D482" s="3">
        <v>0</v>
      </c>
      <c r="E482" s="3">
        <v>9</v>
      </c>
      <c r="F482" s="3">
        <v>0</v>
      </c>
      <c r="G482" s="3">
        <v>0</v>
      </c>
      <c r="H482" s="2">
        <f t="shared" si="14"/>
        <v>9</v>
      </c>
      <c r="I482" t="str">
        <f t="shared" si="15"/>
        <v>Arhgap17_9</v>
      </c>
      <c r="J482" s="3">
        <v>0</v>
      </c>
      <c r="K482" s="3">
        <v>0</v>
      </c>
      <c r="L482" s="3">
        <v>9</v>
      </c>
      <c r="M482" s="3">
        <v>0</v>
      </c>
      <c r="N482" s="3">
        <v>0</v>
      </c>
    </row>
    <row r="483" spans="1:14" x14ac:dyDescent="0.2">
      <c r="A483" s="5" t="str">
        <f>HYPERLINK("http://www.ncbi.nlm.nih.gov/protein/169790947","Arhgap17")</f>
        <v>Arhgap17</v>
      </c>
      <c r="B483" s="4"/>
      <c r="C483" s="3">
        <v>0</v>
      </c>
      <c r="D483" s="3">
        <v>0</v>
      </c>
      <c r="E483" s="3">
        <v>9</v>
      </c>
      <c r="F483" s="3">
        <v>0</v>
      </c>
      <c r="G483" s="3">
        <v>0</v>
      </c>
      <c r="H483" s="2">
        <f t="shared" si="14"/>
        <v>9</v>
      </c>
      <c r="I483" t="str">
        <f t="shared" si="15"/>
        <v>Arhgap17_9</v>
      </c>
      <c r="J483" s="3">
        <v>0</v>
      </c>
      <c r="K483" s="3">
        <v>0</v>
      </c>
      <c r="L483" s="3">
        <v>9</v>
      </c>
      <c r="M483" s="3">
        <v>0</v>
      </c>
      <c r="N483" s="3">
        <v>0</v>
      </c>
    </row>
    <row r="484" spans="1:14" x14ac:dyDescent="0.2">
      <c r="A484" s="5" t="str">
        <f>HYPERLINK("http://www.ncbi.nlm.nih.gov/protein/33563313","Arhgap18")</f>
        <v>Arhgap18</v>
      </c>
      <c r="B484" s="4"/>
      <c r="C484" s="3">
        <v>0</v>
      </c>
      <c r="D484" s="3">
        <v>0</v>
      </c>
      <c r="E484" s="3">
        <v>129</v>
      </c>
      <c r="F484" s="3">
        <v>0</v>
      </c>
      <c r="G484" s="3">
        <v>889</v>
      </c>
      <c r="H484" s="2">
        <f t="shared" si="14"/>
        <v>1018</v>
      </c>
      <c r="I484" t="str">
        <f t="shared" si="15"/>
        <v>Arhgap18_1018</v>
      </c>
      <c r="J484" s="3">
        <v>0</v>
      </c>
      <c r="K484" s="3">
        <v>0</v>
      </c>
      <c r="L484" s="3">
        <v>129</v>
      </c>
      <c r="M484" s="3">
        <v>0</v>
      </c>
      <c r="N484" s="3">
        <v>889</v>
      </c>
    </row>
    <row r="485" spans="1:14" x14ac:dyDescent="0.2">
      <c r="A485" s="5" t="str">
        <f>HYPERLINK("http://www.ncbi.nlm.nih.gov/protein/83582811","Arhgap25")</f>
        <v>Arhgap25</v>
      </c>
      <c r="B485" s="4"/>
      <c r="C485" s="3">
        <v>0</v>
      </c>
      <c r="D485" s="3">
        <v>0</v>
      </c>
      <c r="E485" s="3">
        <v>121</v>
      </c>
      <c r="F485" s="3">
        <v>0</v>
      </c>
      <c r="G485" s="3">
        <v>0</v>
      </c>
      <c r="H485" s="2">
        <f t="shared" si="14"/>
        <v>121</v>
      </c>
      <c r="I485" t="str">
        <f t="shared" si="15"/>
        <v>Arhgap25_121</v>
      </c>
      <c r="J485" s="3">
        <v>0</v>
      </c>
      <c r="K485" s="3">
        <v>0</v>
      </c>
      <c r="L485" s="3">
        <v>121</v>
      </c>
      <c r="M485" s="3">
        <v>0</v>
      </c>
      <c r="N485" s="3">
        <v>0</v>
      </c>
    </row>
    <row r="486" spans="1:14" x14ac:dyDescent="0.2">
      <c r="A486" s="5" t="str">
        <f>HYPERLINK("http://www.ncbi.nlm.nih.gov/protein/83582813","Arhgap25")</f>
        <v>Arhgap25</v>
      </c>
      <c r="B486" s="4"/>
      <c r="C486" s="3">
        <v>0</v>
      </c>
      <c r="D486" s="3">
        <v>0</v>
      </c>
      <c r="E486" s="3">
        <v>121</v>
      </c>
      <c r="F486" s="3">
        <v>0</v>
      </c>
      <c r="G486" s="3">
        <v>0</v>
      </c>
      <c r="H486" s="2">
        <f t="shared" si="14"/>
        <v>121</v>
      </c>
      <c r="I486" t="str">
        <f t="shared" si="15"/>
        <v>Arhgap25_121</v>
      </c>
      <c r="J486" s="3">
        <v>0</v>
      </c>
      <c r="K486" s="3">
        <v>0</v>
      </c>
      <c r="L486" s="3">
        <v>121</v>
      </c>
      <c r="M486" s="3">
        <v>0</v>
      </c>
      <c r="N486" s="3">
        <v>0</v>
      </c>
    </row>
    <row r="487" spans="1:14" x14ac:dyDescent="0.2">
      <c r="A487" s="5" t="str">
        <f>HYPERLINK("http://www.ncbi.nlm.nih.gov/protein/83776555","Arhgap27")</f>
        <v>Arhgap27</v>
      </c>
      <c r="B487" s="4"/>
      <c r="C487" s="3">
        <v>0</v>
      </c>
      <c r="D487" s="3">
        <v>0</v>
      </c>
      <c r="E487" s="3">
        <v>0</v>
      </c>
      <c r="F487" s="3">
        <v>2464</v>
      </c>
      <c r="G487" s="3">
        <v>0</v>
      </c>
      <c r="H487" s="2">
        <f t="shared" si="14"/>
        <v>2464</v>
      </c>
      <c r="I487" t="str">
        <f t="shared" si="15"/>
        <v>Arhgap27_2464</v>
      </c>
      <c r="J487" s="3">
        <v>0</v>
      </c>
      <c r="K487" s="3">
        <v>0</v>
      </c>
      <c r="L487" s="3">
        <v>0</v>
      </c>
      <c r="M487" s="3">
        <v>2464</v>
      </c>
      <c r="N487" s="3">
        <v>0</v>
      </c>
    </row>
    <row r="488" spans="1:14" x14ac:dyDescent="0.2">
      <c r="A488" s="5" t="str">
        <f>HYPERLINK("http://www.ncbi.nlm.nih.gov/protein/118130870","Arhgap27")</f>
        <v>Arhgap27</v>
      </c>
      <c r="B488" s="4"/>
      <c r="C488" s="3">
        <v>0</v>
      </c>
      <c r="D488" s="3">
        <v>0</v>
      </c>
      <c r="E488" s="3">
        <v>354</v>
      </c>
      <c r="F488" s="3">
        <v>0</v>
      </c>
      <c r="G488" s="3">
        <v>2774</v>
      </c>
      <c r="H488" s="2">
        <f t="shared" si="14"/>
        <v>3128</v>
      </c>
      <c r="I488" t="str">
        <f t="shared" si="15"/>
        <v>Arhgap27_3128</v>
      </c>
      <c r="J488" s="3">
        <v>0</v>
      </c>
      <c r="K488" s="3">
        <v>0</v>
      </c>
      <c r="L488" s="3">
        <v>354</v>
      </c>
      <c r="M488" s="3">
        <v>0</v>
      </c>
      <c r="N488" s="3">
        <v>2774</v>
      </c>
    </row>
    <row r="489" spans="1:14" x14ac:dyDescent="0.2">
      <c r="A489" s="5" t="str">
        <f>HYPERLINK("http://www.ncbi.nlm.nih.gov/protein/327412300","Arhgap27")</f>
        <v>Arhgap27</v>
      </c>
      <c r="B489" s="4"/>
      <c r="C489" s="3">
        <v>0</v>
      </c>
      <c r="D489" s="3">
        <v>0</v>
      </c>
      <c r="E489" s="3">
        <v>354</v>
      </c>
      <c r="F489" s="3">
        <v>2464</v>
      </c>
      <c r="G489" s="3">
        <v>2774</v>
      </c>
      <c r="H489" s="2">
        <f t="shared" si="14"/>
        <v>5592</v>
      </c>
      <c r="I489" t="str">
        <f t="shared" si="15"/>
        <v>Arhgap27_5592</v>
      </c>
      <c r="J489" s="3">
        <v>0</v>
      </c>
      <c r="K489" s="3">
        <v>0</v>
      </c>
      <c r="L489" s="3">
        <v>354</v>
      </c>
      <c r="M489" s="3">
        <v>2464</v>
      </c>
      <c r="N489" s="3">
        <v>2774</v>
      </c>
    </row>
    <row r="490" spans="1:14" x14ac:dyDescent="0.2">
      <c r="A490" s="5" t="str">
        <f>HYPERLINK("http://www.ncbi.nlm.nih.gov/protein/33563303","Arhgap29")</f>
        <v>Arhgap29</v>
      </c>
      <c r="B490" s="4"/>
      <c r="C490" s="3">
        <v>0</v>
      </c>
      <c r="D490" s="3">
        <v>0</v>
      </c>
      <c r="E490" s="3">
        <v>345</v>
      </c>
      <c r="F490" s="3">
        <v>0</v>
      </c>
      <c r="G490" s="3">
        <v>3888</v>
      </c>
      <c r="H490" s="2">
        <f t="shared" si="14"/>
        <v>4233</v>
      </c>
      <c r="I490" t="str">
        <f t="shared" si="15"/>
        <v>Arhgap29_4233</v>
      </c>
      <c r="J490" s="3">
        <v>0</v>
      </c>
      <c r="K490" s="3">
        <v>0</v>
      </c>
      <c r="L490" s="3">
        <v>345</v>
      </c>
      <c r="M490" s="3">
        <v>0</v>
      </c>
      <c r="N490" s="3">
        <v>3888</v>
      </c>
    </row>
    <row r="491" spans="1:14" x14ac:dyDescent="0.2">
      <c r="A491" s="5" t="str">
        <f>HYPERLINK("http://www.ncbi.nlm.nih.gov/protein/229608953","Arhgap30")</f>
        <v>Arhgap30</v>
      </c>
      <c r="B491" s="4"/>
      <c r="C491" s="3">
        <v>0</v>
      </c>
      <c r="D491" s="3">
        <v>0</v>
      </c>
      <c r="E491" s="3">
        <v>0</v>
      </c>
      <c r="F491" s="3">
        <v>4428</v>
      </c>
      <c r="G491" s="3">
        <v>0</v>
      </c>
      <c r="H491" s="2">
        <f t="shared" si="14"/>
        <v>4428</v>
      </c>
      <c r="I491" t="str">
        <f t="shared" si="15"/>
        <v>Arhgap30_4428</v>
      </c>
      <c r="J491" s="3">
        <v>0</v>
      </c>
      <c r="K491" s="3">
        <v>0</v>
      </c>
      <c r="L491" s="3">
        <v>0</v>
      </c>
      <c r="M491" s="3">
        <v>4428</v>
      </c>
      <c r="N491" s="3">
        <v>0</v>
      </c>
    </row>
    <row r="492" spans="1:14" x14ac:dyDescent="0.2">
      <c r="A492" s="5" t="str">
        <f>HYPERLINK("http://www.ncbi.nlm.nih.gov/protein/30142699","Arhgap33")</f>
        <v>Arhgap33</v>
      </c>
      <c r="B492" s="4"/>
      <c r="C492" s="3">
        <v>0</v>
      </c>
      <c r="D492" s="3">
        <v>165</v>
      </c>
      <c r="E492" s="3">
        <v>0</v>
      </c>
      <c r="F492" s="3">
        <v>0</v>
      </c>
      <c r="G492" s="3">
        <v>0</v>
      </c>
      <c r="H492" s="2">
        <f t="shared" si="14"/>
        <v>165</v>
      </c>
      <c r="I492" t="str">
        <f t="shared" si="15"/>
        <v>Arhgap33_165</v>
      </c>
      <c r="J492" s="3">
        <v>0</v>
      </c>
      <c r="K492" s="3">
        <v>165</v>
      </c>
      <c r="L492" s="3">
        <v>0</v>
      </c>
      <c r="M492" s="3">
        <v>0</v>
      </c>
      <c r="N492" s="3">
        <v>0</v>
      </c>
    </row>
    <row r="493" spans="1:14" x14ac:dyDescent="0.2">
      <c r="A493" s="5" t="str">
        <f>HYPERLINK("http://www.ncbi.nlm.nih.gov/protein/86262151","Arhgap5")</f>
        <v>Arhgap5</v>
      </c>
      <c r="B493" s="4"/>
      <c r="C493" s="3">
        <v>0</v>
      </c>
      <c r="D493" s="3">
        <v>0</v>
      </c>
      <c r="E493" s="3">
        <v>177</v>
      </c>
      <c r="F493" s="3">
        <v>0</v>
      </c>
      <c r="G493" s="3">
        <v>9585</v>
      </c>
      <c r="H493" s="2">
        <f t="shared" si="14"/>
        <v>9762</v>
      </c>
      <c r="I493" t="str">
        <f t="shared" si="15"/>
        <v>Arhgap5_9762</v>
      </c>
      <c r="J493" s="3">
        <v>0</v>
      </c>
      <c r="K493" s="3">
        <v>0</v>
      </c>
      <c r="L493" s="3">
        <v>177</v>
      </c>
      <c r="M493" s="3">
        <v>0</v>
      </c>
      <c r="N493" s="3">
        <v>9585</v>
      </c>
    </row>
    <row r="494" spans="1:14" x14ac:dyDescent="0.2">
      <c r="A494" s="5" t="str">
        <f>HYPERLINK("http://www.ncbi.nlm.nih.gov/protein/31982030","Arhgdia")</f>
        <v>Arhgdia</v>
      </c>
      <c r="B494" s="4"/>
      <c r="C494" s="3">
        <v>80894</v>
      </c>
      <c r="D494" s="3">
        <v>22827</v>
      </c>
      <c r="E494" s="3">
        <v>32852</v>
      </c>
      <c r="F494" s="3">
        <v>12786</v>
      </c>
      <c r="G494" s="3">
        <v>453505</v>
      </c>
      <c r="H494" s="2">
        <f t="shared" si="14"/>
        <v>602864</v>
      </c>
      <c r="I494" t="str">
        <f t="shared" si="15"/>
        <v>Arhgdia_602864</v>
      </c>
      <c r="J494" s="3">
        <v>80894</v>
      </c>
      <c r="K494" s="3">
        <v>22827</v>
      </c>
      <c r="L494" s="3">
        <v>32852</v>
      </c>
      <c r="M494" s="3">
        <v>12786</v>
      </c>
      <c r="N494" s="3">
        <v>453505</v>
      </c>
    </row>
    <row r="495" spans="1:14" x14ac:dyDescent="0.2">
      <c r="A495" s="5" t="str">
        <f>HYPERLINK("http://www.ncbi.nlm.nih.gov/protein/33563236","Arhgdib")</f>
        <v>Arhgdib</v>
      </c>
      <c r="B495" s="4"/>
      <c r="C495" s="3">
        <v>10087</v>
      </c>
      <c r="D495" s="3">
        <v>3098</v>
      </c>
      <c r="E495" s="3">
        <v>6759</v>
      </c>
      <c r="F495" s="3">
        <v>6638</v>
      </c>
      <c r="G495" s="3">
        <v>35052</v>
      </c>
      <c r="H495" s="2">
        <f t="shared" si="14"/>
        <v>61634</v>
      </c>
      <c r="I495" t="str">
        <f t="shared" si="15"/>
        <v>Arhgdib_61634</v>
      </c>
      <c r="J495" s="3">
        <v>10087</v>
      </c>
      <c r="K495" s="3">
        <v>3098</v>
      </c>
      <c r="L495" s="3">
        <v>6759</v>
      </c>
      <c r="M495" s="3">
        <v>6638</v>
      </c>
      <c r="N495" s="3">
        <v>35052</v>
      </c>
    </row>
    <row r="496" spans="1:14" x14ac:dyDescent="0.2">
      <c r="A496" s="5" t="str">
        <f>HYPERLINK("http://www.ncbi.nlm.nih.gov/protein/194306547","Arhgef1")</f>
        <v>Arhgef1</v>
      </c>
      <c r="B496" s="4"/>
      <c r="C496" s="3">
        <v>0</v>
      </c>
      <c r="D496" s="3">
        <v>0</v>
      </c>
      <c r="E496" s="3">
        <v>0</v>
      </c>
      <c r="F496" s="3">
        <v>3176</v>
      </c>
      <c r="G496" s="3">
        <v>2613</v>
      </c>
      <c r="H496" s="2">
        <f t="shared" si="14"/>
        <v>5789</v>
      </c>
      <c r="I496" t="str">
        <f t="shared" si="15"/>
        <v>Arhgef1_5789</v>
      </c>
      <c r="J496" s="3">
        <v>0</v>
      </c>
      <c r="K496" s="3">
        <v>0</v>
      </c>
      <c r="L496" s="3">
        <v>0</v>
      </c>
      <c r="M496" s="3">
        <v>3176</v>
      </c>
      <c r="N496" s="3">
        <v>2613</v>
      </c>
    </row>
    <row r="497" spans="1:14" x14ac:dyDescent="0.2">
      <c r="A497" s="5" t="str">
        <f>HYPERLINK("http://www.ncbi.nlm.nih.gov/protein/194306549","Arhgef1")</f>
        <v>Arhgef1</v>
      </c>
      <c r="B497" s="4"/>
      <c r="C497" s="3">
        <v>0</v>
      </c>
      <c r="D497" s="3">
        <v>0</v>
      </c>
      <c r="E497" s="3">
        <v>0</v>
      </c>
      <c r="F497" s="3">
        <v>3176</v>
      </c>
      <c r="G497" s="3">
        <v>2613</v>
      </c>
      <c r="H497" s="2">
        <f t="shared" si="14"/>
        <v>5789</v>
      </c>
      <c r="I497" t="str">
        <f t="shared" si="15"/>
        <v>Arhgef1_5789</v>
      </c>
      <c r="J497" s="3">
        <v>0</v>
      </c>
      <c r="K497" s="3">
        <v>0</v>
      </c>
      <c r="L497" s="3">
        <v>0</v>
      </c>
      <c r="M497" s="3">
        <v>3176</v>
      </c>
      <c r="N497" s="3">
        <v>2613</v>
      </c>
    </row>
    <row r="498" spans="1:14" x14ac:dyDescent="0.2">
      <c r="A498" s="5" t="str">
        <f>HYPERLINK("http://www.ncbi.nlm.nih.gov/protein/194306551","Arhgef1")</f>
        <v>Arhgef1</v>
      </c>
      <c r="B498" s="4"/>
      <c r="C498" s="3">
        <v>0</v>
      </c>
      <c r="D498" s="3">
        <v>0</v>
      </c>
      <c r="E498" s="3">
        <v>0</v>
      </c>
      <c r="F498" s="3">
        <v>3176</v>
      </c>
      <c r="G498" s="3">
        <v>2613</v>
      </c>
      <c r="H498" s="2">
        <f t="shared" si="14"/>
        <v>5789</v>
      </c>
      <c r="I498" t="str">
        <f t="shared" si="15"/>
        <v>Arhgef1_5789</v>
      </c>
      <c r="J498" s="3">
        <v>0</v>
      </c>
      <c r="K498" s="3">
        <v>0</v>
      </c>
      <c r="L498" s="3">
        <v>0</v>
      </c>
      <c r="M498" s="3">
        <v>3176</v>
      </c>
      <c r="N498" s="3">
        <v>2613</v>
      </c>
    </row>
    <row r="499" spans="1:14" x14ac:dyDescent="0.2">
      <c r="A499" s="5" t="str">
        <f>HYPERLINK("http://www.ncbi.nlm.nih.gov/protein/6678668","Arhgef1")</f>
        <v>Arhgef1</v>
      </c>
      <c r="B499" s="4"/>
      <c r="C499" s="3">
        <v>0</v>
      </c>
      <c r="D499" s="3">
        <v>0</v>
      </c>
      <c r="E499" s="3">
        <v>0</v>
      </c>
      <c r="F499" s="3">
        <v>3176</v>
      </c>
      <c r="G499" s="3">
        <v>2613</v>
      </c>
      <c r="H499" s="2">
        <f t="shared" si="14"/>
        <v>5789</v>
      </c>
      <c r="I499" t="str">
        <f t="shared" si="15"/>
        <v>Arhgef1_5789</v>
      </c>
      <c r="J499" s="3">
        <v>0</v>
      </c>
      <c r="K499" s="3">
        <v>0</v>
      </c>
      <c r="L499" s="3">
        <v>0</v>
      </c>
      <c r="M499" s="3">
        <v>3176</v>
      </c>
      <c r="N499" s="3">
        <v>2613</v>
      </c>
    </row>
    <row r="500" spans="1:14" x14ac:dyDescent="0.2">
      <c r="A500" s="5" t="str">
        <f>HYPERLINK("http://www.ncbi.nlm.nih.gov/protein/111378383","Arhgef10")</f>
        <v>Arhgef10</v>
      </c>
      <c r="B500" s="4"/>
      <c r="C500" s="3">
        <v>0</v>
      </c>
      <c r="D500" s="3">
        <v>0</v>
      </c>
      <c r="E500" s="3">
        <v>0</v>
      </c>
      <c r="F500" s="3">
        <v>115</v>
      </c>
      <c r="G500" s="3">
        <v>246</v>
      </c>
      <c r="H500" s="2">
        <f t="shared" si="14"/>
        <v>361</v>
      </c>
      <c r="I500" t="str">
        <f t="shared" si="15"/>
        <v>Arhgef10_361</v>
      </c>
      <c r="J500" s="3">
        <v>0</v>
      </c>
      <c r="K500" s="3">
        <v>0</v>
      </c>
      <c r="L500" s="3">
        <v>0</v>
      </c>
      <c r="M500" s="3">
        <v>115</v>
      </c>
      <c r="N500" s="3">
        <v>246</v>
      </c>
    </row>
    <row r="501" spans="1:14" x14ac:dyDescent="0.2">
      <c r="A501" s="5" t="str">
        <f>HYPERLINK("http://www.ncbi.nlm.nih.gov/protein/111378388","Arhgef10")</f>
        <v>Arhgef10</v>
      </c>
      <c r="B501" s="4"/>
      <c r="C501" s="3">
        <v>0</v>
      </c>
      <c r="D501" s="3">
        <v>0</v>
      </c>
      <c r="E501" s="3">
        <v>0</v>
      </c>
      <c r="F501" s="3">
        <v>115</v>
      </c>
      <c r="G501" s="3">
        <v>246</v>
      </c>
      <c r="H501" s="2">
        <f t="shared" si="14"/>
        <v>361</v>
      </c>
      <c r="I501" t="str">
        <f t="shared" si="15"/>
        <v>Arhgef10_361</v>
      </c>
      <c r="J501" s="3">
        <v>0</v>
      </c>
      <c r="K501" s="3">
        <v>0</v>
      </c>
      <c r="L501" s="3">
        <v>0</v>
      </c>
      <c r="M501" s="3">
        <v>115</v>
      </c>
      <c r="N501" s="3">
        <v>246</v>
      </c>
    </row>
    <row r="502" spans="1:14" x14ac:dyDescent="0.2">
      <c r="A502" s="5" t="str">
        <f>HYPERLINK("http://www.ncbi.nlm.nih.gov/protein/163310755","Arhgef10l")</f>
        <v>Arhgef10l</v>
      </c>
      <c r="B502" s="4"/>
      <c r="C502" s="3">
        <v>0</v>
      </c>
      <c r="D502" s="3">
        <v>0</v>
      </c>
      <c r="E502" s="3">
        <v>121</v>
      </c>
      <c r="F502" s="3">
        <v>2120</v>
      </c>
      <c r="G502" s="3">
        <v>4830</v>
      </c>
      <c r="H502" s="2">
        <f t="shared" si="14"/>
        <v>7071</v>
      </c>
      <c r="I502" t="str">
        <f t="shared" si="15"/>
        <v>Arhgef10l_7071</v>
      </c>
      <c r="J502" s="3">
        <v>0</v>
      </c>
      <c r="K502" s="3">
        <v>0</v>
      </c>
      <c r="L502" s="3">
        <v>121</v>
      </c>
      <c r="M502" s="3">
        <v>2120</v>
      </c>
      <c r="N502" s="3">
        <v>4830</v>
      </c>
    </row>
    <row r="503" spans="1:14" x14ac:dyDescent="0.2">
      <c r="A503" s="5" t="str">
        <f>HYPERLINK("http://www.ncbi.nlm.nih.gov/protein/163310757","Arhgef10l")</f>
        <v>Arhgef10l</v>
      </c>
      <c r="B503" s="4"/>
      <c r="C503" s="3">
        <v>0</v>
      </c>
      <c r="D503" s="3">
        <v>0</v>
      </c>
      <c r="E503" s="3">
        <v>121</v>
      </c>
      <c r="F503" s="3">
        <v>2120</v>
      </c>
      <c r="G503" s="3">
        <v>4830</v>
      </c>
      <c r="H503" s="2">
        <f t="shared" si="14"/>
        <v>7071</v>
      </c>
      <c r="I503" t="str">
        <f t="shared" si="15"/>
        <v>Arhgef10l_7071</v>
      </c>
      <c r="J503" s="3">
        <v>0</v>
      </c>
      <c r="K503" s="3">
        <v>0</v>
      </c>
      <c r="L503" s="3">
        <v>121</v>
      </c>
      <c r="M503" s="3">
        <v>2120</v>
      </c>
      <c r="N503" s="3">
        <v>4830</v>
      </c>
    </row>
    <row r="504" spans="1:14" x14ac:dyDescent="0.2">
      <c r="A504" s="5" t="str">
        <f>HYPERLINK("http://www.ncbi.nlm.nih.gov/protein/163310759","Arhgef10l")</f>
        <v>Arhgef10l</v>
      </c>
      <c r="B504" s="4"/>
      <c r="C504" s="3">
        <v>0</v>
      </c>
      <c r="D504" s="3">
        <v>0</v>
      </c>
      <c r="E504" s="3">
        <v>121</v>
      </c>
      <c r="F504" s="3">
        <v>2120</v>
      </c>
      <c r="G504" s="3">
        <v>4830</v>
      </c>
      <c r="H504" s="2">
        <f t="shared" si="14"/>
        <v>7071</v>
      </c>
      <c r="I504" t="str">
        <f t="shared" si="15"/>
        <v>Arhgef10l_7071</v>
      </c>
      <c r="J504" s="3">
        <v>0</v>
      </c>
      <c r="K504" s="3">
        <v>0</v>
      </c>
      <c r="L504" s="3">
        <v>121</v>
      </c>
      <c r="M504" s="3">
        <v>2120</v>
      </c>
      <c r="N504" s="3">
        <v>4830</v>
      </c>
    </row>
    <row r="505" spans="1:14" x14ac:dyDescent="0.2">
      <c r="A505" s="5" t="str">
        <f>HYPERLINK("http://www.ncbi.nlm.nih.gov/protein/51491850","Arhgef11")</f>
        <v>Arhgef11</v>
      </c>
      <c r="B505" s="4"/>
      <c r="C505" s="3">
        <v>0</v>
      </c>
      <c r="D505" s="3">
        <v>182</v>
      </c>
      <c r="E505" s="3">
        <v>894</v>
      </c>
      <c r="F505" s="3">
        <v>0</v>
      </c>
      <c r="G505" s="3">
        <v>0</v>
      </c>
      <c r="H505" s="2">
        <f t="shared" si="14"/>
        <v>1076</v>
      </c>
      <c r="I505" t="str">
        <f t="shared" si="15"/>
        <v>Arhgef11_1076</v>
      </c>
      <c r="J505" s="3">
        <v>0</v>
      </c>
      <c r="K505" s="3">
        <v>182</v>
      </c>
      <c r="L505" s="3">
        <v>894</v>
      </c>
      <c r="M505" s="3">
        <v>0</v>
      </c>
      <c r="N505" s="3">
        <v>0</v>
      </c>
    </row>
    <row r="506" spans="1:14" x14ac:dyDescent="0.2">
      <c r="A506" s="5" t="str">
        <f>HYPERLINK("http://www.ncbi.nlm.nih.gov/protein/145046273","Arhgef12")</f>
        <v>Arhgef12</v>
      </c>
      <c r="B506" s="4"/>
      <c r="C506" s="3">
        <v>0</v>
      </c>
      <c r="D506" s="3">
        <v>664</v>
      </c>
      <c r="E506" s="3">
        <v>1422</v>
      </c>
      <c r="F506" s="3">
        <v>0</v>
      </c>
      <c r="G506" s="3">
        <v>4284</v>
      </c>
      <c r="H506" s="2">
        <f t="shared" si="14"/>
        <v>6370</v>
      </c>
      <c r="I506" t="str">
        <f t="shared" si="15"/>
        <v>Arhgef12_6370</v>
      </c>
      <c r="J506" s="3">
        <v>0</v>
      </c>
      <c r="K506" s="3">
        <v>664</v>
      </c>
      <c r="L506" s="3">
        <v>1422</v>
      </c>
      <c r="M506" s="3">
        <v>0</v>
      </c>
      <c r="N506" s="3">
        <v>4284</v>
      </c>
    </row>
    <row r="507" spans="1:14" x14ac:dyDescent="0.2">
      <c r="A507" s="5" t="str">
        <f>HYPERLINK("http://www.ncbi.nlm.nih.gov/protein/163838664","Arhgef16")</f>
        <v>Arhgef16</v>
      </c>
      <c r="B507" s="4"/>
      <c r="C507" s="3">
        <v>0</v>
      </c>
      <c r="D507" s="3">
        <v>0</v>
      </c>
      <c r="E507" s="3">
        <v>3263</v>
      </c>
      <c r="F507" s="3">
        <v>0</v>
      </c>
      <c r="G507" s="3">
        <v>3556</v>
      </c>
      <c r="H507" s="2">
        <f t="shared" si="14"/>
        <v>6819</v>
      </c>
      <c r="I507" t="str">
        <f t="shared" si="15"/>
        <v>Arhgef16_6819</v>
      </c>
      <c r="J507" s="3">
        <v>0</v>
      </c>
      <c r="K507" s="3">
        <v>0</v>
      </c>
      <c r="L507" s="3">
        <v>3263</v>
      </c>
      <c r="M507" s="3">
        <v>0</v>
      </c>
      <c r="N507" s="3">
        <v>3556</v>
      </c>
    </row>
    <row r="508" spans="1:14" x14ac:dyDescent="0.2">
      <c r="A508" s="5" t="str">
        <f>HYPERLINK("http://www.ncbi.nlm.nih.gov/protein/41056261","Arhgef18")</f>
        <v>Arhgef18</v>
      </c>
      <c r="B508" s="4"/>
      <c r="C508" s="3">
        <v>0</v>
      </c>
      <c r="D508" s="3">
        <v>0</v>
      </c>
      <c r="E508" s="3">
        <v>0</v>
      </c>
      <c r="F508" s="3">
        <v>0</v>
      </c>
      <c r="G508" s="3">
        <v>1264</v>
      </c>
      <c r="H508" s="2">
        <f t="shared" si="14"/>
        <v>1264</v>
      </c>
      <c r="I508" t="str">
        <f t="shared" si="15"/>
        <v>Arhgef18_1264</v>
      </c>
      <c r="J508" s="3">
        <v>0</v>
      </c>
      <c r="K508" s="3">
        <v>0</v>
      </c>
      <c r="L508" s="3">
        <v>0</v>
      </c>
      <c r="M508" s="3">
        <v>0</v>
      </c>
      <c r="N508" s="3">
        <v>1264</v>
      </c>
    </row>
    <row r="509" spans="1:14" x14ac:dyDescent="0.2">
      <c r="A509" s="5" t="str">
        <f>HYPERLINK("http://www.ncbi.nlm.nih.gov/protein/170650647","Arhgef2")</f>
        <v>Arhgef2</v>
      </c>
      <c r="B509" s="4"/>
      <c r="C509" s="3">
        <v>0</v>
      </c>
      <c r="D509" s="3">
        <v>0</v>
      </c>
      <c r="E509" s="3">
        <v>17806</v>
      </c>
      <c r="F509" s="3">
        <v>36655</v>
      </c>
      <c r="G509" s="3">
        <v>0</v>
      </c>
      <c r="H509" s="2">
        <f t="shared" si="14"/>
        <v>54461</v>
      </c>
      <c r="I509" t="str">
        <f t="shared" si="15"/>
        <v>Arhgef2_54461</v>
      </c>
      <c r="J509" s="3">
        <v>0</v>
      </c>
      <c r="K509" s="3">
        <v>0</v>
      </c>
      <c r="L509" s="3">
        <v>17806</v>
      </c>
      <c r="M509" s="3">
        <v>36655</v>
      </c>
      <c r="N509" s="3">
        <v>0</v>
      </c>
    </row>
    <row r="510" spans="1:14" x14ac:dyDescent="0.2">
      <c r="A510" s="5" t="str">
        <f>HYPERLINK("http://www.ncbi.nlm.nih.gov/protein/312032458","Arhgef2")</f>
        <v>Arhgef2</v>
      </c>
      <c r="B510" s="4"/>
      <c r="C510" s="3">
        <v>0</v>
      </c>
      <c r="D510" s="3">
        <v>0</v>
      </c>
      <c r="E510" s="3">
        <v>17806</v>
      </c>
      <c r="F510" s="3">
        <v>36655</v>
      </c>
      <c r="G510" s="3">
        <v>0</v>
      </c>
      <c r="H510" s="2">
        <f t="shared" si="14"/>
        <v>54461</v>
      </c>
      <c r="I510" t="str">
        <f t="shared" si="15"/>
        <v>Arhgef2_54461</v>
      </c>
      <c r="J510" s="3">
        <v>0</v>
      </c>
      <c r="K510" s="3">
        <v>0</v>
      </c>
      <c r="L510" s="3">
        <v>17806</v>
      </c>
      <c r="M510" s="3">
        <v>36655</v>
      </c>
      <c r="N510" s="3">
        <v>0</v>
      </c>
    </row>
    <row r="511" spans="1:14" x14ac:dyDescent="0.2">
      <c r="A511" s="5" t="str">
        <f>HYPERLINK("http://www.ncbi.nlm.nih.gov/protein/312032460","Arhgef2")</f>
        <v>Arhgef2</v>
      </c>
      <c r="B511" s="4"/>
      <c r="C511" s="3">
        <v>0</v>
      </c>
      <c r="D511" s="3">
        <v>0</v>
      </c>
      <c r="E511" s="3">
        <v>17806</v>
      </c>
      <c r="F511" s="3">
        <v>36655</v>
      </c>
      <c r="G511" s="3">
        <v>0</v>
      </c>
      <c r="H511" s="2">
        <f t="shared" si="14"/>
        <v>54461</v>
      </c>
      <c r="I511" t="str">
        <f t="shared" si="15"/>
        <v>Arhgef2_54461</v>
      </c>
      <c r="J511" s="3">
        <v>0</v>
      </c>
      <c r="K511" s="3">
        <v>0</v>
      </c>
      <c r="L511" s="3">
        <v>17806</v>
      </c>
      <c r="M511" s="3">
        <v>36655</v>
      </c>
      <c r="N511" s="3">
        <v>0</v>
      </c>
    </row>
    <row r="512" spans="1:14" x14ac:dyDescent="0.2">
      <c r="A512" s="5" t="str">
        <f>HYPERLINK("http://www.ncbi.nlm.nih.gov/protein/312032462","Arhgef2")</f>
        <v>Arhgef2</v>
      </c>
      <c r="B512" s="4"/>
      <c r="C512" s="3">
        <v>0</v>
      </c>
      <c r="D512" s="3">
        <v>0</v>
      </c>
      <c r="E512" s="3">
        <v>17806</v>
      </c>
      <c r="F512" s="3">
        <v>36655</v>
      </c>
      <c r="G512" s="3">
        <v>0</v>
      </c>
      <c r="H512" s="2">
        <f t="shared" si="14"/>
        <v>54461</v>
      </c>
      <c r="I512" t="str">
        <f t="shared" si="15"/>
        <v>Arhgef2_54461</v>
      </c>
      <c r="J512" s="3">
        <v>0</v>
      </c>
      <c r="K512" s="3">
        <v>0</v>
      </c>
      <c r="L512" s="3">
        <v>17806</v>
      </c>
      <c r="M512" s="3">
        <v>36655</v>
      </c>
      <c r="N512" s="3">
        <v>0</v>
      </c>
    </row>
    <row r="513" spans="1:14" x14ac:dyDescent="0.2">
      <c r="A513" s="5" t="str">
        <f>HYPERLINK("http://www.ncbi.nlm.nih.gov/protein/123702010","Arhgef28")</f>
        <v>Arhgef28</v>
      </c>
      <c r="B513" s="4"/>
      <c r="C513" s="3">
        <v>0</v>
      </c>
      <c r="D513" s="3">
        <v>0</v>
      </c>
      <c r="E513" s="3">
        <v>0</v>
      </c>
      <c r="F513" s="3">
        <v>0</v>
      </c>
      <c r="G513" s="3">
        <v>5076</v>
      </c>
      <c r="H513" s="2">
        <f t="shared" si="14"/>
        <v>5076</v>
      </c>
      <c r="I513" t="str">
        <f t="shared" si="15"/>
        <v>Arhgef28_5076</v>
      </c>
      <c r="J513" s="3">
        <v>0</v>
      </c>
      <c r="K513" s="3">
        <v>0</v>
      </c>
      <c r="L513" s="3">
        <v>0</v>
      </c>
      <c r="M513" s="3">
        <v>0</v>
      </c>
      <c r="N513" s="3">
        <v>5076</v>
      </c>
    </row>
    <row r="514" spans="1:14" x14ac:dyDescent="0.2">
      <c r="A514" s="5" t="str">
        <f>HYPERLINK("http://www.ncbi.nlm.nih.gov/protein/160333547","Arhgef37")</f>
        <v>Arhgef37</v>
      </c>
      <c r="B514" s="4"/>
      <c r="C514" s="3">
        <v>0</v>
      </c>
      <c r="D514" s="3">
        <v>61</v>
      </c>
      <c r="E514" s="3">
        <v>0</v>
      </c>
      <c r="F514" s="3">
        <v>0</v>
      </c>
      <c r="G514" s="3">
        <v>139</v>
      </c>
      <c r="H514" s="2">
        <f t="shared" ref="H514:H577" si="16">SUM(C514:G514)</f>
        <v>200</v>
      </c>
      <c r="I514" t="str">
        <f t="shared" ref="I514:I577" si="17">A514&amp;"_"&amp;H514</f>
        <v>Arhgef37_200</v>
      </c>
      <c r="J514" s="3">
        <v>0</v>
      </c>
      <c r="K514" s="3">
        <v>61</v>
      </c>
      <c r="L514" s="3">
        <v>0</v>
      </c>
      <c r="M514" s="3">
        <v>0</v>
      </c>
      <c r="N514" s="3">
        <v>139</v>
      </c>
    </row>
    <row r="515" spans="1:14" x14ac:dyDescent="0.2">
      <c r="A515" s="5" t="str">
        <f>HYPERLINK("http://www.ncbi.nlm.nih.gov/protein/56699448","Arhgef4")</f>
        <v>Arhgef4</v>
      </c>
      <c r="B515" s="4"/>
      <c r="C515" s="3">
        <v>0</v>
      </c>
      <c r="D515" s="3">
        <v>0</v>
      </c>
      <c r="E515" s="3">
        <v>38</v>
      </c>
      <c r="F515" s="3">
        <v>0</v>
      </c>
      <c r="G515" s="3">
        <v>0</v>
      </c>
      <c r="H515" s="2">
        <f t="shared" si="16"/>
        <v>38</v>
      </c>
      <c r="I515" t="str">
        <f t="shared" si="17"/>
        <v>Arhgef4_38</v>
      </c>
      <c r="J515" s="3">
        <v>0</v>
      </c>
      <c r="K515" s="3">
        <v>0</v>
      </c>
      <c r="L515" s="3">
        <v>38</v>
      </c>
      <c r="M515" s="3">
        <v>0</v>
      </c>
      <c r="N515" s="3">
        <v>0</v>
      </c>
    </row>
    <row r="516" spans="1:14" x14ac:dyDescent="0.2">
      <c r="A516" s="5" t="str">
        <f>HYPERLINK("http://www.ncbi.nlm.nih.gov/protein/110625819","Arhgef40")</f>
        <v>Arhgef40</v>
      </c>
      <c r="B516" s="4"/>
      <c r="C516" s="3">
        <v>0</v>
      </c>
      <c r="D516" s="3">
        <v>0</v>
      </c>
      <c r="E516" s="3">
        <v>174</v>
      </c>
      <c r="F516" s="3">
        <v>0</v>
      </c>
      <c r="G516" s="3">
        <v>0</v>
      </c>
      <c r="H516" s="2">
        <f t="shared" si="16"/>
        <v>174</v>
      </c>
      <c r="I516" t="str">
        <f t="shared" si="17"/>
        <v>Arhgef40_174</v>
      </c>
      <c r="J516" s="3">
        <v>0</v>
      </c>
      <c r="K516" s="3">
        <v>0</v>
      </c>
      <c r="L516" s="3">
        <v>174</v>
      </c>
      <c r="M516" s="3">
        <v>0</v>
      </c>
      <c r="N516" s="3">
        <v>0</v>
      </c>
    </row>
    <row r="517" spans="1:14" x14ac:dyDescent="0.2">
      <c r="A517" s="5" t="str">
        <f>HYPERLINK("http://www.ncbi.nlm.nih.gov/protein/225543507","Arhgef40")</f>
        <v>Arhgef40</v>
      </c>
      <c r="B517" s="4"/>
      <c r="C517" s="3">
        <v>0</v>
      </c>
      <c r="D517" s="3">
        <v>0</v>
      </c>
      <c r="E517" s="3">
        <v>174</v>
      </c>
      <c r="F517" s="3">
        <v>0</v>
      </c>
      <c r="G517" s="3">
        <v>0</v>
      </c>
      <c r="H517" s="2">
        <f t="shared" si="16"/>
        <v>174</v>
      </c>
      <c r="I517" t="str">
        <f t="shared" si="17"/>
        <v>Arhgef40_174</v>
      </c>
      <c r="J517" s="3">
        <v>0</v>
      </c>
      <c r="K517" s="3">
        <v>0</v>
      </c>
      <c r="L517" s="3">
        <v>174</v>
      </c>
      <c r="M517" s="3">
        <v>0</v>
      </c>
      <c r="N517" s="3">
        <v>0</v>
      </c>
    </row>
    <row r="518" spans="1:14" x14ac:dyDescent="0.2">
      <c r="A518" s="5" t="str">
        <f>HYPERLINK("http://www.ncbi.nlm.nih.gov/protein/225543509","Arhgef40")</f>
        <v>Arhgef40</v>
      </c>
      <c r="B518" s="4"/>
      <c r="C518" s="3">
        <v>0</v>
      </c>
      <c r="D518" s="3">
        <v>0</v>
      </c>
      <c r="E518" s="3">
        <v>174</v>
      </c>
      <c r="F518" s="3">
        <v>0</v>
      </c>
      <c r="G518" s="3">
        <v>0</v>
      </c>
      <c r="H518" s="2">
        <f t="shared" si="16"/>
        <v>174</v>
      </c>
      <c r="I518" t="str">
        <f t="shared" si="17"/>
        <v>Arhgef40_174</v>
      </c>
      <c r="J518" s="3">
        <v>0</v>
      </c>
      <c r="K518" s="3">
        <v>0</v>
      </c>
      <c r="L518" s="3">
        <v>174</v>
      </c>
      <c r="M518" s="3">
        <v>0</v>
      </c>
      <c r="N518" s="3">
        <v>0</v>
      </c>
    </row>
    <row r="519" spans="1:14" x14ac:dyDescent="0.2">
      <c r="A519" s="5" t="str">
        <f>HYPERLINK("http://www.ncbi.nlm.nih.gov/protein/169234803","Arhgef5")</f>
        <v>Arhgef5</v>
      </c>
      <c r="B519" s="4"/>
      <c r="C519" s="3">
        <v>0</v>
      </c>
      <c r="D519" s="3">
        <v>0</v>
      </c>
      <c r="E519" s="3">
        <v>241</v>
      </c>
      <c r="F519" s="3">
        <v>0</v>
      </c>
      <c r="G519" s="3">
        <v>0</v>
      </c>
      <c r="H519" s="2">
        <f t="shared" si="16"/>
        <v>241</v>
      </c>
      <c r="I519" t="str">
        <f t="shared" si="17"/>
        <v>Arhgef5_241</v>
      </c>
      <c r="J519" s="3">
        <v>0</v>
      </c>
      <c r="K519" s="3">
        <v>0</v>
      </c>
      <c r="L519" s="3">
        <v>241</v>
      </c>
      <c r="M519" s="3">
        <v>0</v>
      </c>
      <c r="N519" s="3">
        <v>0</v>
      </c>
    </row>
    <row r="520" spans="1:14" x14ac:dyDescent="0.2">
      <c r="A520" s="5" t="str">
        <f>HYPERLINK("http://www.ncbi.nlm.nih.gov/protein/270132620","Arhgef6")</f>
        <v>Arhgef6</v>
      </c>
      <c r="B520" s="4"/>
      <c r="C520" s="3">
        <v>0</v>
      </c>
      <c r="D520" s="3">
        <v>0</v>
      </c>
      <c r="E520" s="3">
        <v>0</v>
      </c>
      <c r="F520" s="3">
        <v>5042</v>
      </c>
      <c r="G520" s="3">
        <v>0</v>
      </c>
      <c r="H520" s="2">
        <f t="shared" si="16"/>
        <v>5042</v>
      </c>
      <c r="I520" t="str">
        <f t="shared" si="17"/>
        <v>Arhgef6_5042</v>
      </c>
      <c r="J520" s="3">
        <v>0</v>
      </c>
      <c r="K520" s="3">
        <v>0</v>
      </c>
      <c r="L520" s="3">
        <v>0</v>
      </c>
      <c r="M520" s="3">
        <v>5042</v>
      </c>
      <c r="N520" s="3">
        <v>0</v>
      </c>
    </row>
    <row r="521" spans="1:14" x14ac:dyDescent="0.2">
      <c r="A521" s="5" t="str">
        <f>HYPERLINK("http://www.ncbi.nlm.nih.gov/protein/165377085","Arhgef7")</f>
        <v>Arhgef7</v>
      </c>
      <c r="B521" s="4"/>
      <c r="C521" s="3">
        <v>0</v>
      </c>
      <c r="D521" s="3">
        <v>0</v>
      </c>
      <c r="E521" s="3">
        <v>294</v>
      </c>
      <c r="F521" s="3">
        <v>9225</v>
      </c>
      <c r="G521" s="3">
        <v>0</v>
      </c>
      <c r="H521" s="2">
        <f t="shared" si="16"/>
        <v>9519</v>
      </c>
      <c r="I521" t="str">
        <f t="shared" si="17"/>
        <v>Arhgef7_9519</v>
      </c>
      <c r="J521" s="3">
        <v>0</v>
      </c>
      <c r="K521" s="3">
        <v>0</v>
      </c>
      <c r="L521" s="3">
        <v>294</v>
      </c>
      <c r="M521" s="3">
        <v>9225</v>
      </c>
      <c r="N521" s="3">
        <v>0</v>
      </c>
    </row>
    <row r="522" spans="1:14" x14ac:dyDescent="0.2">
      <c r="A522" s="5" t="str">
        <f>HYPERLINK("http://www.ncbi.nlm.nih.gov/protein/165377089","Arhgef7")</f>
        <v>Arhgef7</v>
      </c>
      <c r="B522" s="4"/>
      <c r="C522" s="3">
        <v>0</v>
      </c>
      <c r="D522" s="3">
        <v>0</v>
      </c>
      <c r="E522" s="3">
        <v>294</v>
      </c>
      <c r="F522" s="3">
        <v>12753</v>
      </c>
      <c r="G522" s="3">
        <v>0</v>
      </c>
      <c r="H522" s="2">
        <f t="shared" si="16"/>
        <v>13047</v>
      </c>
      <c r="I522" t="str">
        <f t="shared" si="17"/>
        <v>Arhgef7_13047</v>
      </c>
      <c r="J522" s="3">
        <v>0</v>
      </c>
      <c r="K522" s="3">
        <v>0</v>
      </c>
      <c r="L522" s="3">
        <v>294</v>
      </c>
      <c r="M522" s="3">
        <v>12753</v>
      </c>
      <c r="N522" s="3">
        <v>0</v>
      </c>
    </row>
    <row r="523" spans="1:14" x14ac:dyDescent="0.2">
      <c r="A523" s="5" t="str">
        <f>HYPERLINK("http://www.ncbi.nlm.nih.gov/protein/31980859","Arhgef7")</f>
        <v>Arhgef7</v>
      </c>
      <c r="B523" s="4"/>
      <c r="C523" s="3">
        <v>0</v>
      </c>
      <c r="D523" s="3">
        <v>0</v>
      </c>
      <c r="E523" s="3">
        <v>294</v>
      </c>
      <c r="F523" s="3">
        <v>12753</v>
      </c>
      <c r="G523" s="3">
        <v>0</v>
      </c>
      <c r="H523" s="2">
        <f t="shared" si="16"/>
        <v>13047</v>
      </c>
      <c r="I523" t="str">
        <f t="shared" si="17"/>
        <v>Arhgef7_13047</v>
      </c>
      <c r="J523" s="3">
        <v>0</v>
      </c>
      <c r="K523" s="3">
        <v>0</v>
      </c>
      <c r="L523" s="3">
        <v>294</v>
      </c>
      <c r="M523" s="3">
        <v>12753</v>
      </c>
      <c r="N523" s="3">
        <v>0</v>
      </c>
    </row>
    <row r="524" spans="1:14" x14ac:dyDescent="0.2">
      <c r="A524" s="5" t="str">
        <f>HYPERLINK("http://www.ncbi.nlm.nih.gov/protein/84370312","Arhgef9")</f>
        <v>Arhgef9</v>
      </c>
      <c r="B524" s="4"/>
      <c r="C524" s="3">
        <v>0</v>
      </c>
      <c r="D524" s="3">
        <v>0</v>
      </c>
      <c r="E524" s="3">
        <v>38</v>
      </c>
      <c r="F524" s="3">
        <v>0</v>
      </c>
      <c r="G524" s="3">
        <v>0</v>
      </c>
      <c r="H524" s="2">
        <f t="shared" si="16"/>
        <v>38</v>
      </c>
      <c r="I524" t="str">
        <f t="shared" si="17"/>
        <v>Arhgef9_38</v>
      </c>
      <c r="J524" s="3">
        <v>0</v>
      </c>
      <c r="K524" s="3">
        <v>0</v>
      </c>
      <c r="L524" s="3">
        <v>38</v>
      </c>
      <c r="M524" s="3">
        <v>0</v>
      </c>
      <c r="N524" s="3">
        <v>0</v>
      </c>
    </row>
    <row r="525" spans="1:14" x14ac:dyDescent="0.2">
      <c r="A525" s="5" t="str">
        <f>HYPERLINK("http://www.ncbi.nlm.nih.gov/protein/124249109","Arid1a")</f>
        <v>Arid1a</v>
      </c>
      <c r="B525" s="4"/>
      <c r="C525" s="3">
        <v>0</v>
      </c>
      <c r="D525" s="3">
        <v>1918</v>
      </c>
      <c r="E525" s="3">
        <v>16897</v>
      </c>
      <c r="F525" s="3">
        <v>16101</v>
      </c>
      <c r="G525" s="3">
        <v>39850</v>
      </c>
      <c r="H525" s="2">
        <f t="shared" si="16"/>
        <v>74766</v>
      </c>
      <c r="I525" t="str">
        <f t="shared" si="17"/>
        <v>Arid1a_74766</v>
      </c>
      <c r="J525" s="3">
        <v>0</v>
      </c>
      <c r="K525" s="3">
        <v>1918</v>
      </c>
      <c r="L525" s="3">
        <v>16897</v>
      </c>
      <c r="M525" s="3">
        <v>16101</v>
      </c>
      <c r="N525" s="3">
        <v>39850</v>
      </c>
    </row>
    <row r="526" spans="1:14" x14ac:dyDescent="0.2">
      <c r="A526" s="5" t="str">
        <f>HYPERLINK("http://www.ncbi.nlm.nih.gov/protein/163954953","Arih1")</f>
        <v>Arih1</v>
      </c>
      <c r="B526" s="4"/>
      <c r="C526" s="3">
        <v>0</v>
      </c>
      <c r="D526" s="3">
        <v>0</v>
      </c>
      <c r="E526" s="3">
        <v>0</v>
      </c>
      <c r="F526" s="3">
        <v>0</v>
      </c>
      <c r="G526" s="3">
        <v>13483</v>
      </c>
      <c r="H526" s="2">
        <f t="shared" si="16"/>
        <v>13483</v>
      </c>
      <c r="I526" t="str">
        <f t="shared" si="17"/>
        <v>Arih1_13483</v>
      </c>
      <c r="J526" s="3">
        <v>0</v>
      </c>
      <c r="K526" s="3">
        <v>0</v>
      </c>
      <c r="L526" s="3">
        <v>0</v>
      </c>
      <c r="M526" s="3">
        <v>0</v>
      </c>
      <c r="N526" s="3">
        <v>13483</v>
      </c>
    </row>
    <row r="527" spans="1:14" x14ac:dyDescent="0.2">
      <c r="A527" s="5" t="str">
        <f>HYPERLINK("http://www.ncbi.nlm.nih.gov/protein/6753118","Arih2")</f>
        <v>Arih2</v>
      </c>
      <c r="B527" s="4"/>
      <c r="C527" s="3">
        <v>0</v>
      </c>
      <c r="D527" s="3">
        <v>71</v>
      </c>
      <c r="E527" s="3">
        <v>0</v>
      </c>
      <c r="F527" s="3">
        <v>311</v>
      </c>
      <c r="G527" s="3">
        <v>3963</v>
      </c>
      <c r="H527" s="2">
        <f t="shared" si="16"/>
        <v>4345</v>
      </c>
      <c r="I527" t="str">
        <f t="shared" si="17"/>
        <v>Arih2_4345</v>
      </c>
      <c r="J527" s="3">
        <v>0</v>
      </c>
      <c r="K527" s="3">
        <v>71</v>
      </c>
      <c r="L527" s="3">
        <v>0</v>
      </c>
      <c r="M527" s="3">
        <v>311</v>
      </c>
      <c r="N527" s="3">
        <v>3963</v>
      </c>
    </row>
    <row r="528" spans="1:14" x14ac:dyDescent="0.2">
      <c r="A528" s="5" t="str">
        <f>HYPERLINK("http://www.ncbi.nlm.nih.gov/protein/153792526","Arl1")</f>
        <v>Arl1</v>
      </c>
      <c r="B528" s="4"/>
      <c r="C528" s="3">
        <v>35587</v>
      </c>
      <c r="D528" s="3">
        <v>14416</v>
      </c>
      <c r="E528" s="3">
        <v>2908</v>
      </c>
      <c r="F528" s="3">
        <v>7694</v>
      </c>
      <c r="G528" s="3">
        <v>9756</v>
      </c>
      <c r="H528" s="2">
        <f t="shared" si="16"/>
        <v>70361</v>
      </c>
      <c r="I528" t="str">
        <f t="shared" si="17"/>
        <v>Arl1_70361</v>
      </c>
      <c r="J528" s="3">
        <v>35587</v>
      </c>
      <c r="K528" s="3">
        <v>14416</v>
      </c>
      <c r="L528" s="3">
        <v>2908</v>
      </c>
      <c r="M528" s="3">
        <v>7694</v>
      </c>
      <c r="N528" s="3">
        <v>9756</v>
      </c>
    </row>
    <row r="529" spans="1:14" x14ac:dyDescent="0.2">
      <c r="A529" s="5" t="str">
        <f>HYPERLINK("http://www.ncbi.nlm.nih.gov/protein/255683326","Arl13b")</f>
        <v>Arl13b</v>
      </c>
      <c r="B529" s="4"/>
      <c r="C529" s="3">
        <v>0</v>
      </c>
      <c r="D529" s="3">
        <v>0</v>
      </c>
      <c r="E529" s="3">
        <v>18</v>
      </c>
      <c r="F529" s="3">
        <v>0</v>
      </c>
      <c r="G529" s="3">
        <v>0</v>
      </c>
      <c r="H529" s="2">
        <f t="shared" si="16"/>
        <v>18</v>
      </c>
      <c r="I529" t="str">
        <f t="shared" si="17"/>
        <v>Arl13b_18</v>
      </c>
      <c r="J529" s="3">
        <v>0</v>
      </c>
      <c r="K529" s="3">
        <v>0</v>
      </c>
      <c r="L529" s="3">
        <v>18</v>
      </c>
      <c r="M529" s="3">
        <v>0</v>
      </c>
      <c r="N529" s="3">
        <v>0</v>
      </c>
    </row>
    <row r="530" spans="1:14" x14ac:dyDescent="0.2">
      <c r="A530" s="5" t="str">
        <f>HYPERLINK("http://www.ncbi.nlm.nih.gov/protein/27369856","Arl15")</f>
        <v>Arl15</v>
      </c>
      <c r="B530" s="4"/>
      <c r="C530" s="3">
        <v>0</v>
      </c>
      <c r="D530" s="3">
        <v>2394</v>
      </c>
      <c r="E530" s="3">
        <v>3132</v>
      </c>
      <c r="F530" s="3">
        <v>0</v>
      </c>
      <c r="G530" s="3">
        <v>0</v>
      </c>
      <c r="H530" s="2">
        <f t="shared" si="16"/>
        <v>5526</v>
      </c>
      <c r="I530" t="str">
        <f t="shared" si="17"/>
        <v>Arl15_5526</v>
      </c>
      <c r="J530" s="3">
        <v>0</v>
      </c>
      <c r="K530" s="3">
        <v>2394</v>
      </c>
      <c r="L530" s="3">
        <v>3132</v>
      </c>
      <c r="M530" s="3">
        <v>0</v>
      </c>
      <c r="N530" s="3">
        <v>0</v>
      </c>
    </row>
    <row r="531" spans="1:14" x14ac:dyDescent="0.2">
      <c r="A531" s="5" t="str">
        <f>HYPERLINK("http://www.ncbi.nlm.nih.gov/protein/31980988","Arl2")</f>
        <v>Arl2</v>
      </c>
      <c r="B531" s="4"/>
      <c r="C531" s="3">
        <v>751</v>
      </c>
      <c r="D531" s="3">
        <v>3814</v>
      </c>
      <c r="E531" s="3">
        <v>1147</v>
      </c>
      <c r="F531" s="3">
        <v>9471</v>
      </c>
      <c r="G531" s="3">
        <v>21205</v>
      </c>
      <c r="H531" s="2">
        <f t="shared" si="16"/>
        <v>36388</v>
      </c>
      <c r="I531" t="str">
        <f t="shared" si="17"/>
        <v>Arl2_36388</v>
      </c>
      <c r="J531" s="3">
        <v>751</v>
      </c>
      <c r="K531" s="3">
        <v>3814</v>
      </c>
      <c r="L531" s="3">
        <v>1147</v>
      </c>
      <c r="M531" s="3">
        <v>9471</v>
      </c>
      <c r="N531" s="3">
        <v>21205</v>
      </c>
    </row>
    <row r="532" spans="1:14" x14ac:dyDescent="0.2">
      <c r="A532" s="5" t="str">
        <f>HYPERLINK("http://www.ncbi.nlm.nih.gov/protein/18859591","Arl2bp")</f>
        <v>Arl2bp</v>
      </c>
      <c r="B532" s="4"/>
      <c r="C532" s="3">
        <v>0</v>
      </c>
      <c r="D532" s="3">
        <v>0</v>
      </c>
      <c r="E532" s="3">
        <v>9</v>
      </c>
      <c r="F532" s="3">
        <v>0</v>
      </c>
      <c r="G532" s="3">
        <v>3202</v>
      </c>
      <c r="H532" s="2">
        <f t="shared" si="16"/>
        <v>3211</v>
      </c>
      <c r="I532" t="str">
        <f t="shared" si="17"/>
        <v>Arl2bp_3211</v>
      </c>
      <c r="J532" s="3">
        <v>0</v>
      </c>
      <c r="K532" s="3">
        <v>0</v>
      </c>
      <c r="L532" s="3">
        <v>9</v>
      </c>
      <c r="M532" s="3">
        <v>0</v>
      </c>
      <c r="N532" s="3">
        <v>3202</v>
      </c>
    </row>
    <row r="533" spans="1:14" x14ac:dyDescent="0.2">
      <c r="A533" s="5" t="str">
        <f>HYPERLINK("http://www.ncbi.nlm.nih.gov/protein/30348958","Arl2bp")</f>
        <v>Arl2bp</v>
      </c>
      <c r="B533" s="4"/>
      <c r="C533" s="3">
        <v>0</v>
      </c>
      <c r="D533" s="3">
        <v>0</v>
      </c>
      <c r="E533" s="3">
        <v>9</v>
      </c>
      <c r="F533" s="3">
        <v>0</v>
      </c>
      <c r="G533" s="3">
        <v>3202</v>
      </c>
      <c r="H533" s="2">
        <f t="shared" si="16"/>
        <v>3211</v>
      </c>
      <c r="I533" t="str">
        <f t="shared" si="17"/>
        <v>Arl2bp_3211</v>
      </c>
      <c r="J533" s="3">
        <v>0</v>
      </c>
      <c r="K533" s="3">
        <v>0</v>
      </c>
      <c r="L533" s="3">
        <v>9</v>
      </c>
      <c r="M533" s="3">
        <v>0</v>
      </c>
      <c r="N533" s="3">
        <v>3202</v>
      </c>
    </row>
    <row r="534" spans="1:14" x14ac:dyDescent="0.2">
      <c r="A534" s="5" t="str">
        <f>HYPERLINK("http://www.ncbi.nlm.nih.gov/protein/9789881","Arl3")</f>
        <v>Arl3</v>
      </c>
      <c r="B534" s="4"/>
      <c r="C534" s="3">
        <v>732</v>
      </c>
      <c r="D534" s="3">
        <v>5225</v>
      </c>
      <c r="E534" s="3">
        <v>3170</v>
      </c>
      <c r="F534" s="3">
        <v>6925</v>
      </c>
      <c r="G534" s="3">
        <v>64525</v>
      </c>
      <c r="H534" s="2">
        <f t="shared" si="16"/>
        <v>80577</v>
      </c>
      <c r="I534" t="str">
        <f t="shared" si="17"/>
        <v>Arl3_80577</v>
      </c>
      <c r="J534" s="3">
        <v>732</v>
      </c>
      <c r="K534" s="3">
        <v>5225</v>
      </c>
      <c r="L534" s="3">
        <v>3170</v>
      </c>
      <c r="M534" s="3">
        <v>6925</v>
      </c>
      <c r="N534" s="3">
        <v>64525</v>
      </c>
    </row>
    <row r="535" spans="1:14" x14ac:dyDescent="0.2">
      <c r="A535" s="5" t="str">
        <f>HYPERLINK("http://www.ncbi.nlm.nih.gov/protein/113462000","Arl4c")</f>
        <v>Arl4c</v>
      </c>
      <c r="B535" s="4"/>
      <c r="C535" s="3">
        <v>0</v>
      </c>
      <c r="D535" s="3">
        <v>0</v>
      </c>
      <c r="E535" s="3">
        <v>10</v>
      </c>
      <c r="F535" s="3">
        <v>0</v>
      </c>
      <c r="G535" s="3">
        <v>0</v>
      </c>
      <c r="H535" s="2">
        <f t="shared" si="16"/>
        <v>10</v>
      </c>
      <c r="I535" t="str">
        <f t="shared" si="17"/>
        <v>Arl4c_10</v>
      </c>
      <c r="J535" s="3">
        <v>0</v>
      </c>
      <c r="K535" s="3">
        <v>0</v>
      </c>
      <c r="L535" s="3">
        <v>10</v>
      </c>
      <c r="M535" s="3">
        <v>0</v>
      </c>
      <c r="N535" s="3">
        <v>0</v>
      </c>
    </row>
    <row r="536" spans="1:14" x14ac:dyDescent="0.2">
      <c r="A536" s="5" t="str">
        <f>HYPERLINK("http://www.ncbi.nlm.nih.gov/protein/33695144","Arl5a")</f>
        <v>Arl5a</v>
      </c>
      <c r="B536" s="4"/>
      <c r="C536" s="3">
        <v>0</v>
      </c>
      <c r="D536" s="3">
        <v>870</v>
      </c>
      <c r="E536" s="3">
        <v>733</v>
      </c>
      <c r="F536" s="3">
        <v>1031</v>
      </c>
      <c r="G536" s="3">
        <v>0</v>
      </c>
      <c r="H536" s="2">
        <f t="shared" si="16"/>
        <v>2634</v>
      </c>
      <c r="I536" t="str">
        <f t="shared" si="17"/>
        <v>Arl5a_2634</v>
      </c>
      <c r="J536" s="3">
        <v>0</v>
      </c>
      <c r="K536" s="3">
        <v>870</v>
      </c>
      <c r="L536" s="3">
        <v>733</v>
      </c>
      <c r="M536" s="3">
        <v>1031</v>
      </c>
      <c r="N536" s="3">
        <v>0</v>
      </c>
    </row>
    <row r="537" spans="1:14" x14ac:dyDescent="0.2">
      <c r="A537" s="5" t="str">
        <f>HYPERLINK("http://www.ncbi.nlm.nih.gov/protein/27229225","Arl5b")</f>
        <v>Arl5b</v>
      </c>
      <c r="B537" s="4"/>
      <c r="C537" s="3">
        <v>0</v>
      </c>
      <c r="D537" s="3">
        <v>610</v>
      </c>
      <c r="E537" s="3">
        <v>427</v>
      </c>
      <c r="F537" s="3">
        <v>720</v>
      </c>
      <c r="G537" s="3">
        <v>0</v>
      </c>
      <c r="H537" s="2">
        <f t="shared" si="16"/>
        <v>1757</v>
      </c>
      <c r="I537" t="str">
        <f t="shared" si="17"/>
        <v>Arl5b_1757</v>
      </c>
      <c r="J537" s="3">
        <v>0</v>
      </c>
      <c r="K537" s="3">
        <v>610</v>
      </c>
      <c r="L537" s="3">
        <v>427</v>
      </c>
      <c r="M537" s="3">
        <v>720</v>
      </c>
      <c r="N537" s="3">
        <v>0</v>
      </c>
    </row>
    <row r="538" spans="1:14" x14ac:dyDescent="0.2">
      <c r="A538" s="5" t="str">
        <f>HYPERLINK("http://www.ncbi.nlm.nih.gov/protein/46402217","Arl5c")</f>
        <v>Arl5c</v>
      </c>
      <c r="B538" s="4"/>
      <c r="C538" s="3">
        <v>0</v>
      </c>
      <c r="D538" s="3">
        <v>610</v>
      </c>
      <c r="E538" s="3">
        <v>427</v>
      </c>
      <c r="F538" s="3">
        <v>720</v>
      </c>
      <c r="G538" s="3">
        <v>0</v>
      </c>
      <c r="H538" s="2">
        <f t="shared" si="16"/>
        <v>1757</v>
      </c>
      <c r="I538" t="str">
        <f t="shared" si="17"/>
        <v>Arl5c_1757</v>
      </c>
      <c r="J538" s="3">
        <v>0</v>
      </c>
      <c r="K538" s="3">
        <v>610</v>
      </c>
      <c r="L538" s="3">
        <v>427</v>
      </c>
      <c r="M538" s="3">
        <v>720</v>
      </c>
      <c r="N538" s="3">
        <v>0</v>
      </c>
    </row>
    <row r="539" spans="1:14" x14ac:dyDescent="0.2">
      <c r="A539" s="5" t="str">
        <f>HYPERLINK("http://www.ncbi.nlm.nih.gov/protein/188528681","Arl6")</f>
        <v>Arl6</v>
      </c>
      <c r="B539" s="4"/>
      <c r="C539" s="3">
        <v>0</v>
      </c>
      <c r="D539" s="3">
        <v>3071</v>
      </c>
      <c r="E539" s="3">
        <v>473</v>
      </c>
      <c r="F539" s="3">
        <v>2701</v>
      </c>
      <c r="G539" s="3">
        <v>7111</v>
      </c>
      <c r="H539" s="2">
        <f t="shared" si="16"/>
        <v>13356</v>
      </c>
      <c r="I539" t="str">
        <f t="shared" si="17"/>
        <v>Arl6_13356</v>
      </c>
      <c r="J539" s="3">
        <v>0</v>
      </c>
      <c r="K539" s="3">
        <v>3071</v>
      </c>
      <c r="L539" s="3">
        <v>473</v>
      </c>
      <c r="M539" s="3">
        <v>2701</v>
      </c>
      <c r="N539" s="3">
        <v>7111</v>
      </c>
    </row>
    <row r="540" spans="1:14" x14ac:dyDescent="0.2">
      <c r="A540" s="5" t="str">
        <f>HYPERLINK("http://www.ncbi.nlm.nih.gov/protein/45433590","Arl6ip1")</f>
        <v>Arl6ip1</v>
      </c>
      <c r="B540" s="4"/>
      <c r="C540" s="3">
        <v>14096</v>
      </c>
      <c r="D540" s="3">
        <v>0</v>
      </c>
      <c r="E540" s="3">
        <v>7</v>
      </c>
      <c r="F540" s="3">
        <v>0</v>
      </c>
      <c r="G540" s="3">
        <v>0</v>
      </c>
      <c r="H540" s="2">
        <f t="shared" si="16"/>
        <v>14103</v>
      </c>
      <c r="I540" t="str">
        <f t="shared" si="17"/>
        <v>Arl6ip1_14103</v>
      </c>
      <c r="J540" s="3">
        <v>14096</v>
      </c>
      <c r="K540" s="3">
        <v>0</v>
      </c>
      <c r="L540" s="3">
        <v>7</v>
      </c>
      <c r="M540" s="3">
        <v>0</v>
      </c>
      <c r="N540" s="3">
        <v>0</v>
      </c>
    </row>
    <row r="541" spans="1:14" x14ac:dyDescent="0.2">
      <c r="A541" s="5" t="str">
        <f>HYPERLINK("http://www.ncbi.nlm.nih.gov/protein/21362283","Arl6ip4")</f>
        <v>Arl6ip4</v>
      </c>
      <c r="B541" s="4"/>
      <c r="C541" s="3">
        <v>0</v>
      </c>
      <c r="D541" s="3">
        <v>1173</v>
      </c>
      <c r="E541" s="3">
        <v>898</v>
      </c>
      <c r="F541" s="3">
        <v>3094</v>
      </c>
      <c r="G541" s="3">
        <v>0</v>
      </c>
      <c r="H541" s="2">
        <f t="shared" si="16"/>
        <v>5165</v>
      </c>
      <c r="I541" t="str">
        <f t="shared" si="17"/>
        <v>Arl6ip4_5165</v>
      </c>
      <c r="J541" s="3">
        <v>0</v>
      </c>
      <c r="K541" s="3">
        <v>1173</v>
      </c>
      <c r="L541" s="3">
        <v>898</v>
      </c>
      <c r="M541" s="3">
        <v>3094</v>
      </c>
      <c r="N541" s="3">
        <v>0</v>
      </c>
    </row>
    <row r="542" spans="1:14" x14ac:dyDescent="0.2">
      <c r="A542" s="5" t="str">
        <f>HYPERLINK("http://www.ncbi.nlm.nih.gov/protein/14149750","Arl6ip5")</f>
        <v>Arl6ip5</v>
      </c>
      <c r="B542" s="4"/>
      <c r="C542" s="3">
        <v>3863</v>
      </c>
      <c r="D542" s="3">
        <v>800</v>
      </c>
      <c r="E542" s="3">
        <v>237</v>
      </c>
      <c r="F542" s="3">
        <v>0</v>
      </c>
      <c r="G542" s="3">
        <v>0</v>
      </c>
      <c r="H542" s="2">
        <f t="shared" si="16"/>
        <v>4900</v>
      </c>
      <c r="I542" t="str">
        <f t="shared" si="17"/>
        <v>Arl6ip5_4900</v>
      </c>
      <c r="J542" s="3">
        <v>3863</v>
      </c>
      <c r="K542" s="3">
        <v>800</v>
      </c>
      <c r="L542" s="3">
        <v>237</v>
      </c>
      <c r="M542" s="3">
        <v>0</v>
      </c>
      <c r="N542" s="3">
        <v>0</v>
      </c>
    </row>
    <row r="543" spans="1:14" x14ac:dyDescent="0.2">
      <c r="A543" s="5" t="str">
        <f>HYPERLINK("http://www.ncbi.nlm.nih.gov/protein/254281227","Arl6ip6")</f>
        <v>Arl6ip6</v>
      </c>
      <c r="B543" s="4"/>
      <c r="C543" s="3">
        <v>1739</v>
      </c>
      <c r="D543" s="3">
        <v>0</v>
      </c>
      <c r="E543" s="3">
        <v>0</v>
      </c>
      <c r="F543" s="3">
        <v>0</v>
      </c>
      <c r="G543" s="3">
        <v>0</v>
      </c>
      <c r="H543" s="2">
        <f t="shared" si="16"/>
        <v>1739</v>
      </c>
      <c r="I543" t="str">
        <f t="shared" si="17"/>
        <v>Arl6ip6_1739</v>
      </c>
      <c r="J543" s="3">
        <v>1739</v>
      </c>
      <c r="K543" s="3">
        <v>0</v>
      </c>
      <c r="L543" s="3">
        <v>0</v>
      </c>
      <c r="M543" s="3">
        <v>0</v>
      </c>
      <c r="N543" s="3">
        <v>0</v>
      </c>
    </row>
    <row r="544" spans="1:14" x14ac:dyDescent="0.2">
      <c r="A544" s="5" t="str">
        <f>HYPERLINK("http://www.ncbi.nlm.nih.gov/protein/23956194","Arl8a")</f>
        <v>Arl8a</v>
      </c>
      <c r="B544" s="4"/>
      <c r="C544" s="3">
        <v>86368</v>
      </c>
      <c r="D544" s="3">
        <v>14598</v>
      </c>
      <c r="E544" s="3">
        <v>34713</v>
      </c>
      <c r="F544" s="3">
        <v>37187</v>
      </c>
      <c r="G544" s="3">
        <v>771</v>
      </c>
      <c r="H544" s="2">
        <f t="shared" si="16"/>
        <v>173637</v>
      </c>
      <c r="I544" t="str">
        <f t="shared" si="17"/>
        <v>Arl8a_173637</v>
      </c>
      <c r="J544" s="3">
        <v>86368</v>
      </c>
      <c r="K544" s="3">
        <v>14598</v>
      </c>
      <c r="L544" s="3">
        <v>34713</v>
      </c>
      <c r="M544" s="3">
        <v>37187</v>
      </c>
      <c r="N544" s="3">
        <v>771</v>
      </c>
    </row>
    <row r="545" spans="1:14" x14ac:dyDescent="0.2">
      <c r="A545" s="5" t="str">
        <f>HYPERLINK("http://www.ncbi.nlm.nih.gov/protein/13385518","Arl8b")</f>
        <v>Arl8b</v>
      </c>
      <c r="B545" s="4"/>
      <c r="C545" s="3">
        <v>91201</v>
      </c>
      <c r="D545" s="3">
        <v>25246</v>
      </c>
      <c r="E545" s="3">
        <v>34009</v>
      </c>
      <c r="F545" s="3">
        <v>48917</v>
      </c>
      <c r="G545" s="3">
        <v>889</v>
      </c>
      <c r="H545" s="2">
        <f t="shared" si="16"/>
        <v>200262</v>
      </c>
      <c r="I545" t="str">
        <f t="shared" si="17"/>
        <v>Arl8b_200262</v>
      </c>
      <c r="J545" s="3">
        <v>91201</v>
      </c>
      <c r="K545" s="3">
        <v>25246</v>
      </c>
      <c r="L545" s="3">
        <v>34009</v>
      </c>
      <c r="M545" s="3">
        <v>48917</v>
      </c>
      <c r="N545" s="3">
        <v>889</v>
      </c>
    </row>
    <row r="546" spans="1:14" x14ac:dyDescent="0.2">
      <c r="A546" s="5" t="str">
        <f>HYPERLINK("http://www.ncbi.nlm.nih.gov/protein/21312676","Armc1")</f>
        <v>Armc1</v>
      </c>
      <c r="B546" s="4"/>
      <c r="C546" s="3">
        <v>0</v>
      </c>
      <c r="D546" s="3">
        <v>835</v>
      </c>
      <c r="E546" s="3">
        <v>186</v>
      </c>
      <c r="F546" s="3">
        <v>0</v>
      </c>
      <c r="G546" s="3">
        <v>3898</v>
      </c>
      <c r="H546" s="2">
        <f t="shared" si="16"/>
        <v>4919</v>
      </c>
      <c r="I546" t="str">
        <f t="shared" si="17"/>
        <v>Armc1_4919</v>
      </c>
      <c r="J546" s="3">
        <v>0</v>
      </c>
      <c r="K546" s="3">
        <v>835</v>
      </c>
      <c r="L546" s="3">
        <v>186</v>
      </c>
      <c r="M546" s="3">
        <v>0</v>
      </c>
      <c r="N546" s="3">
        <v>3898</v>
      </c>
    </row>
    <row r="547" spans="1:14" x14ac:dyDescent="0.2">
      <c r="A547" s="5" t="str">
        <f>HYPERLINK("http://www.ncbi.nlm.nih.gov/protein/377833866","Armc1")</f>
        <v>Armc1</v>
      </c>
      <c r="B547" s="4"/>
      <c r="C547" s="3">
        <v>0</v>
      </c>
      <c r="D547" s="3">
        <v>568</v>
      </c>
      <c r="E547" s="3">
        <v>186</v>
      </c>
      <c r="F547" s="3">
        <v>0</v>
      </c>
      <c r="G547" s="3">
        <v>3898</v>
      </c>
      <c r="H547" s="2">
        <f t="shared" si="16"/>
        <v>4652</v>
      </c>
      <c r="I547" t="str">
        <f t="shared" si="17"/>
        <v>Armc1_4652</v>
      </c>
      <c r="J547" s="3">
        <v>0</v>
      </c>
      <c r="K547" s="3">
        <v>568</v>
      </c>
      <c r="L547" s="3">
        <v>186</v>
      </c>
      <c r="M547" s="3">
        <v>0</v>
      </c>
      <c r="N547" s="3">
        <v>3898</v>
      </c>
    </row>
    <row r="548" spans="1:14" x14ac:dyDescent="0.2">
      <c r="A548" s="5" t="str">
        <f>HYPERLINK("http://www.ncbi.nlm.nih.gov/protein/13385536","Armc10")</f>
        <v>Armc10</v>
      </c>
      <c r="B548" s="4"/>
      <c r="C548" s="3">
        <v>25537</v>
      </c>
      <c r="D548" s="3">
        <v>2394</v>
      </c>
      <c r="E548" s="3">
        <v>260</v>
      </c>
      <c r="F548" s="3">
        <v>0</v>
      </c>
      <c r="G548" s="3">
        <v>0</v>
      </c>
      <c r="H548" s="2">
        <f t="shared" si="16"/>
        <v>28191</v>
      </c>
      <c r="I548" t="str">
        <f t="shared" si="17"/>
        <v>Armc10_28191</v>
      </c>
      <c r="J548" s="3">
        <v>25537</v>
      </c>
      <c r="K548" s="3">
        <v>2394</v>
      </c>
      <c r="L548" s="3">
        <v>260</v>
      </c>
      <c r="M548" s="3">
        <v>0</v>
      </c>
      <c r="N548" s="3">
        <v>0</v>
      </c>
    </row>
    <row r="549" spans="1:14" x14ac:dyDescent="0.2">
      <c r="A549" s="5" t="str">
        <f>HYPERLINK("http://www.ncbi.nlm.nih.gov/protein/113199755","Armc6")</f>
        <v>Armc6</v>
      </c>
      <c r="B549" s="4"/>
      <c r="C549" s="3">
        <v>0</v>
      </c>
      <c r="D549" s="3">
        <v>0</v>
      </c>
      <c r="E549" s="3">
        <v>7</v>
      </c>
      <c r="F549" s="3">
        <v>0</v>
      </c>
      <c r="G549" s="3">
        <v>6565</v>
      </c>
      <c r="H549" s="2">
        <f t="shared" si="16"/>
        <v>6572</v>
      </c>
      <c r="I549" t="str">
        <f t="shared" si="17"/>
        <v>Armc6_6572</v>
      </c>
      <c r="J549" s="3">
        <v>0</v>
      </c>
      <c r="K549" s="3">
        <v>0</v>
      </c>
      <c r="L549" s="3">
        <v>7</v>
      </c>
      <c r="M549" s="3">
        <v>0</v>
      </c>
      <c r="N549" s="3">
        <v>6565</v>
      </c>
    </row>
    <row r="550" spans="1:14" x14ac:dyDescent="0.2">
      <c r="A550" s="5" t="str">
        <f>HYPERLINK("http://www.ncbi.nlm.nih.gov/protein/29244300","Armc7")</f>
        <v>Armc7</v>
      </c>
      <c r="B550" s="4"/>
      <c r="C550" s="3">
        <v>0</v>
      </c>
      <c r="D550" s="3">
        <v>0</v>
      </c>
      <c r="E550" s="3">
        <v>0</v>
      </c>
      <c r="F550" s="3">
        <v>0</v>
      </c>
      <c r="G550" s="3">
        <v>396</v>
      </c>
      <c r="H550" s="2">
        <f t="shared" si="16"/>
        <v>396</v>
      </c>
      <c r="I550" t="str">
        <f t="shared" si="17"/>
        <v>Armc7_396</v>
      </c>
      <c r="J550" s="3">
        <v>0</v>
      </c>
      <c r="K550" s="3">
        <v>0</v>
      </c>
      <c r="L550" s="3">
        <v>0</v>
      </c>
      <c r="M550" s="3">
        <v>0</v>
      </c>
      <c r="N550" s="3">
        <v>396</v>
      </c>
    </row>
    <row r="551" spans="1:14" x14ac:dyDescent="0.2">
      <c r="A551" s="5" t="str">
        <f>HYPERLINK("http://www.ncbi.nlm.nih.gov/protein/260763997","Armc8")</f>
        <v>Armc8</v>
      </c>
      <c r="B551" s="4"/>
      <c r="C551" s="3">
        <v>0</v>
      </c>
      <c r="D551" s="3">
        <v>0</v>
      </c>
      <c r="E551" s="3">
        <v>262</v>
      </c>
      <c r="F551" s="3">
        <v>40551</v>
      </c>
      <c r="G551" s="3">
        <v>0</v>
      </c>
      <c r="H551" s="2">
        <f t="shared" si="16"/>
        <v>40813</v>
      </c>
      <c r="I551" t="str">
        <f t="shared" si="17"/>
        <v>Armc8_40813</v>
      </c>
      <c r="J551" s="3">
        <v>0</v>
      </c>
      <c r="K551" s="3">
        <v>0</v>
      </c>
      <c r="L551" s="3">
        <v>262</v>
      </c>
      <c r="M551" s="3">
        <v>40551</v>
      </c>
      <c r="N551" s="3">
        <v>0</v>
      </c>
    </row>
    <row r="552" spans="1:14" x14ac:dyDescent="0.2">
      <c r="A552" s="5" t="str">
        <f>HYPERLINK("http://www.ncbi.nlm.nih.gov/protein/260763999","Armc8")</f>
        <v>Armc8</v>
      </c>
      <c r="B552" s="4"/>
      <c r="C552" s="3">
        <v>0</v>
      </c>
      <c r="D552" s="3">
        <v>0</v>
      </c>
      <c r="E552" s="3">
        <v>63</v>
      </c>
      <c r="F552" s="3">
        <v>26218</v>
      </c>
      <c r="G552" s="3">
        <v>0</v>
      </c>
      <c r="H552" s="2">
        <f t="shared" si="16"/>
        <v>26281</v>
      </c>
      <c r="I552" t="str">
        <f t="shared" si="17"/>
        <v>Armc8_26281</v>
      </c>
      <c r="J552" s="3">
        <v>0</v>
      </c>
      <c r="K552" s="3">
        <v>0</v>
      </c>
      <c r="L552" s="3">
        <v>63</v>
      </c>
      <c r="M552" s="3">
        <v>26218</v>
      </c>
      <c r="N552" s="3">
        <v>0</v>
      </c>
    </row>
    <row r="553" spans="1:14" x14ac:dyDescent="0.2">
      <c r="A553" s="5" t="str">
        <f>HYPERLINK("http://www.ncbi.nlm.nih.gov/protein/83627702","Arnt")</f>
        <v>Arnt</v>
      </c>
      <c r="B553" s="4"/>
      <c r="C553" s="3">
        <v>0</v>
      </c>
      <c r="D553" s="3">
        <v>0</v>
      </c>
      <c r="E553" s="3">
        <v>133</v>
      </c>
      <c r="F553" s="3">
        <v>0</v>
      </c>
      <c r="G553" s="3">
        <v>0</v>
      </c>
      <c r="H553" s="2">
        <f t="shared" si="16"/>
        <v>133</v>
      </c>
      <c r="I553" t="str">
        <f t="shared" si="17"/>
        <v>Arnt_133</v>
      </c>
      <c r="J553" s="3">
        <v>0</v>
      </c>
      <c r="K553" s="3">
        <v>0</v>
      </c>
      <c r="L553" s="3">
        <v>133</v>
      </c>
      <c r="M553" s="3">
        <v>0</v>
      </c>
      <c r="N553" s="3">
        <v>0</v>
      </c>
    </row>
    <row r="554" spans="1:14" x14ac:dyDescent="0.2">
      <c r="A554" s="5" t="str">
        <f>HYPERLINK("http://www.ncbi.nlm.nih.gov/protein/83627709","Arnt")</f>
        <v>Arnt</v>
      </c>
      <c r="B554" s="4"/>
      <c r="C554" s="3">
        <v>0</v>
      </c>
      <c r="D554" s="3">
        <v>0</v>
      </c>
      <c r="E554" s="3">
        <v>133</v>
      </c>
      <c r="F554" s="3">
        <v>0</v>
      </c>
      <c r="G554" s="3">
        <v>0</v>
      </c>
      <c r="H554" s="2">
        <f t="shared" si="16"/>
        <v>133</v>
      </c>
      <c r="I554" t="str">
        <f t="shared" si="17"/>
        <v>Arnt_133</v>
      </c>
      <c r="J554" s="3">
        <v>0</v>
      </c>
      <c r="K554" s="3">
        <v>0</v>
      </c>
      <c r="L554" s="3">
        <v>133</v>
      </c>
      <c r="M554" s="3">
        <v>0</v>
      </c>
      <c r="N554" s="3">
        <v>0</v>
      </c>
    </row>
    <row r="555" spans="1:14" x14ac:dyDescent="0.2">
      <c r="A555" s="5" t="str">
        <f>HYPERLINK("http://www.ncbi.nlm.nih.gov/protein/34328095","Arnt2")</f>
        <v>Arnt2</v>
      </c>
      <c r="B555" s="4"/>
      <c r="C555" s="3">
        <v>0</v>
      </c>
      <c r="D555" s="3">
        <v>0</v>
      </c>
      <c r="E555" s="3">
        <v>133</v>
      </c>
      <c r="F555" s="3">
        <v>0</v>
      </c>
      <c r="G555" s="3">
        <v>0</v>
      </c>
      <c r="H555" s="2">
        <f t="shared" si="16"/>
        <v>133</v>
      </c>
      <c r="I555" t="str">
        <f t="shared" si="17"/>
        <v>Arnt2_133</v>
      </c>
      <c r="J555" s="3">
        <v>0</v>
      </c>
      <c r="K555" s="3">
        <v>0</v>
      </c>
      <c r="L555" s="3">
        <v>133</v>
      </c>
      <c r="M555" s="3">
        <v>0</v>
      </c>
      <c r="N555" s="3">
        <v>0</v>
      </c>
    </row>
    <row r="556" spans="1:14" x14ac:dyDescent="0.2">
      <c r="A556" s="5" t="str">
        <f>HYPERLINK("http://www.ncbi.nlm.nih.gov/protein/9790221","Arpc1a")</f>
        <v>Arpc1a</v>
      </c>
      <c r="B556" s="4"/>
      <c r="C556" s="3">
        <v>0</v>
      </c>
      <c r="D556" s="3">
        <v>0</v>
      </c>
      <c r="E556" s="3">
        <v>541</v>
      </c>
      <c r="F556" s="3">
        <v>19997</v>
      </c>
      <c r="G556" s="3">
        <v>343</v>
      </c>
      <c r="H556" s="2">
        <f t="shared" si="16"/>
        <v>20881</v>
      </c>
      <c r="I556" t="str">
        <f t="shared" si="17"/>
        <v>Arpc1a_20881</v>
      </c>
      <c r="J556" s="3">
        <v>0</v>
      </c>
      <c r="K556" s="3">
        <v>0</v>
      </c>
      <c r="L556" s="3">
        <v>541</v>
      </c>
      <c r="M556" s="3">
        <v>19997</v>
      </c>
      <c r="N556" s="3">
        <v>343</v>
      </c>
    </row>
    <row r="557" spans="1:14" x14ac:dyDescent="0.2">
      <c r="A557" s="5" t="str">
        <f>HYPERLINK("http://www.ncbi.nlm.nih.gov/protein/160837788","Arpc1b")</f>
        <v>Arpc1b</v>
      </c>
      <c r="B557" s="4"/>
      <c r="C557" s="3">
        <v>21327</v>
      </c>
      <c r="D557" s="3">
        <v>440</v>
      </c>
      <c r="E557" s="3">
        <v>16363</v>
      </c>
      <c r="F557" s="3">
        <v>119534</v>
      </c>
      <c r="G557" s="3">
        <v>84809</v>
      </c>
      <c r="H557" s="2">
        <f t="shared" si="16"/>
        <v>242473</v>
      </c>
      <c r="I557" t="str">
        <f t="shared" si="17"/>
        <v>Arpc1b_242473</v>
      </c>
      <c r="J557" s="3">
        <v>21327</v>
      </c>
      <c r="K557" s="3">
        <v>440</v>
      </c>
      <c r="L557" s="3">
        <v>16363</v>
      </c>
      <c r="M557" s="3">
        <v>119534</v>
      </c>
      <c r="N557" s="3">
        <v>84809</v>
      </c>
    </row>
    <row r="558" spans="1:14" x14ac:dyDescent="0.2">
      <c r="A558" s="5" t="str">
        <f>HYPERLINK("http://www.ncbi.nlm.nih.gov/protein/112363072","Arpc2")</f>
        <v>Arpc2</v>
      </c>
      <c r="B558" s="4"/>
      <c r="C558" s="3">
        <v>13967</v>
      </c>
      <c r="D558" s="3">
        <v>9809</v>
      </c>
      <c r="E558" s="3">
        <v>17699</v>
      </c>
      <c r="F558" s="3">
        <v>164309</v>
      </c>
      <c r="G558" s="3">
        <v>60905</v>
      </c>
      <c r="H558" s="2">
        <f t="shared" si="16"/>
        <v>266689</v>
      </c>
      <c r="I558" t="str">
        <f t="shared" si="17"/>
        <v>Arpc2_266689</v>
      </c>
      <c r="J558" s="3">
        <v>13967</v>
      </c>
      <c r="K558" s="3">
        <v>9809</v>
      </c>
      <c r="L558" s="3">
        <v>17699</v>
      </c>
      <c r="M558" s="3">
        <v>164309</v>
      </c>
      <c r="N558" s="3">
        <v>60905</v>
      </c>
    </row>
    <row r="559" spans="1:14" x14ac:dyDescent="0.2">
      <c r="A559" s="5" t="str">
        <f>HYPERLINK("http://www.ncbi.nlm.nih.gov/protein/9790141","Arpc3")</f>
        <v>Arpc3</v>
      </c>
      <c r="B559" s="4"/>
      <c r="C559" s="3">
        <v>5913</v>
      </c>
      <c r="D559" s="3">
        <v>5002</v>
      </c>
      <c r="E559" s="3">
        <v>8186</v>
      </c>
      <c r="F559" s="3">
        <v>117487</v>
      </c>
      <c r="G559" s="3">
        <v>19813</v>
      </c>
      <c r="H559" s="2">
        <f t="shared" si="16"/>
        <v>156401</v>
      </c>
      <c r="I559" t="str">
        <f t="shared" si="17"/>
        <v>Arpc3_156401</v>
      </c>
      <c r="J559" s="3">
        <v>5913</v>
      </c>
      <c r="K559" s="3">
        <v>5002</v>
      </c>
      <c r="L559" s="3">
        <v>8186</v>
      </c>
      <c r="M559" s="3">
        <v>117487</v>
      </c>
      <c r="N559" s="3">
        <v>19813</v>
      </c>
    </row>
    <row r="560" spans="1:14" x14ac:dyDescent="0.2">
      <c r="A560" s="5" t="str">
        <f>HYPERLINK("http://www.ncbi.nlm.nih.gov/protein/13386054","Arpc4")</f>
        <v>Arpc4</v>
      </c>
      <c r="B560" s="4"/>
      <c r="C560" s="3">
        <v>67641</v>
      </c>
      <c r="D560" s="3">
        <v>21272</v>
      </c>
      <c r="E560" s="3">
        <v>11948</v>
      </c>
      <c r="F560" s="3">
        <v>99978</v>
      </c>
      <c r="G560" s="3">
        <v>68744</v>
      </c>
      <c r="H560" s="2">
        <f t="shared" si="16"/>
        <v>269583</v>
      </c>
      <c r="I560" t="str">
        <f t="shared" si="17"/>
        <v>Arpc4_269583</v>
      </c>
      <c r="J560" s="3">
        <v>67641</v>
      </c>
      <c r="K560" s="3">
        <v>21272</v>
      </c>
      <c r="L560" s="3">
        <v>11948</v>
      </c>
      <c r="M560" s="3">
        <v>99978</v>
      </c>
      <c r="N560" s="3">
        <v>68744</v>
      </c>
    </row>
    <row r="561" spans="1:14" x14ac:dyDescent="0.2">
      <c r="A561" s="5" t="str">
        <f>HYPERLINK("http://www.ncbi.nlm.nih.gov/protein/281427242","Arpc4")</f>
        <v>Arpc4</v>
      </c>
      <c r="B561" s="4"/>
      <c r="C561" s="3">
        <v>23084</v>
      </c>
      <c r="D561" s="3">
        <v>20577</v>
      </c>
      <c r="E561" s="3">
        <v>5180</v>
      </c>
      <c r="F561" s="3">
        <v>81913</v>
      </c>
      <c r="G561" s="3">
        <v>55133</v>
      </c>
      <c r="H561" s="2">
        <f t="shared" si="16"/>
        <v>185887</v>
      </c>
      <c r="I561" t="str">
        <f t="shared" si="17"/>
        <v>Arpc4_185887</v>
      </c>
      <c r="J561" s="3">
        <v>23084</v>
      </c>
      <c r="K561" s="3">
        <v>20577</v>
      </c>
      <c r="L561" s="3">
        <v>5180</v>
      </c>
      <c r="M561" s="3">
        <v>81913</v>
      </c>
      <c r="N561" s="3">
        <v>55133</v>
      </c>
    </row>
    <row r="562" spans="1:14" x14ac:dyDescent="0.2">
      <c r="A562" s="5" t="str">
        <f>HYPERLINK("http://www.ncbi.nlm.nih.gov/protein/281427244","Arpc4")</f>
        <v>Arpc4</v>
      </c>
      <c r="B562" s="4"/>
      <c r="C562" s="3">
        <v>23084</v>
      </c>
      <c r="D562" s="3">
        <v>20577</v>
      </c>
      <c r="E562" s="3">
        <v>5180</v>
      </c>
      <c r="F562" s="3">
        <v>81946</v>
      </c>
      <c r="G562" s="3">
        <v>55133</v>
      </c>
      <c r="H562" s="2">
        <f t="shared" si="16"/>
        <v>185920</v>
      </c>
      <c r="I562" t="str">
        <f t="shared" si="17"/>
        <v>Arpc4_185920</v>
      </c>
      <c r="J562" s="3">
        <v>23084</v>
      </c>
      <c r="K562" s="3">
        <v>20577</v>
      </c>
      <c r="L562" s="3">
        <v>5180</v>
      </c>
      <c r="M562" s="3">
        <v>81946</v>
      </c>
      <c r="N562" s="3">
        <v>55133</v>
      </c>
    </row>
    <row r="563" spans="1:14" x14ac:dyDescent="0.2">
      <c r="A563" s="5" t="str">
        <f>HYPERLINK("http://www.ncbi.nlm.nih.gov/protein/224809382","Arpc5")</f>
        <v>Arpc5</v>
      </c>
      <c r="B563" s="4"/>
      <c r="C563" s="3">
        <v>10050</v>
      </c>
      <c r="D563" s="3">
        <v>8638</v>
      </c>
      <c r="E563" s="3">
        <v>5211</v>
      </c>
      <c r="F563" s="3">
        <v>98292</v>
      </c>
      <c r="G563" s="3">
        <v>35341</v>
      </c>
      <c r="H563" s="2">
        <f t="shared" si="16"/>
        <v>157532</v>
      </c>
      <c r="I563" t="str">
        <f t="shared" si="17"/>
        <v>Arpc5_157532</v>
      </c>
      <c r="J563" s="3">
        <v>10050</v>
      </c>
      <c r="K563" s="3">
        <v>8638</v>
      </c>
      <c r="L563" s="3">
        <v>5211</v>
      </c>
      <c r="M563" s="3">
        <v>98292</v>
      </c>
      <c r="N563" s="3">
        <v>35341</v>
      </c>
    </row>
    <row r="564" spans="1:14" x14ac:dyDescent="0.2">
      <c r="A564" s="5" t="str">
        <f>HYPERLINK("http://www.ncbi.nlm.nih.gov/protein/21312654","Arpc5l")</f>
        <v>Arpc5l</v>
      </c>
      <c r="B564" s="4"/>
      <c r="C564" s="3">
        <v>3698</v>
      </c>
      <c r="D564" s="3">
        <v>2232</v>
      </c>
      <c r="E564" s="3">
        <v>2041</v>
      </c>
      <c r="F564" s="3">
        <v>11476</v>
      </c>
      <c r="G564" s="3">
        <v>7475</v>
      </c>
      <c r="H564" s="2">
        <f t="shared" si="16"/>
        <v>26922</v>
      </c>
      <c r="I564" t="str">
        <f t="shared" si="17"/>
        <v>Arpc5l_26922</v>
      </c>
      <c r="J564" s="3">
        <v>3698</v>
      </c>
      <c r="K564" s="3">
        <v>2232</v>
      </c>
      <c r="L564" s="3">
        <v>2041</v>
      </c>
      <c r="M564" s="3">
        <v>11476</v>
      </c>
      <c r="N564" s="3">
        <v>7475</v>
      </c>
    </row>
    <row r="565" spans="1:14" x14ac:dyDescent="0.2">
      <c r="A565" s="5" t="str">
        <f>HYPERLINK("http://www.ncbi.nlm.nih.gov/protein/10946986","Arpp19")</f>
        <v>Arpp19</v>
      </c>
      <c r="B565" s="4"/>
      <c r="C565" s="3">
        <v>0</v>
      </c>
      <c r="D565" s="3">
        <v>0</v>
      </c>
      <c r="E565" s="3">
        <v>0</v>
      </c>
      <c r="F565" s="3">
        <v>0</v>
      </c>
      <c r="G565" s="3">
        <v>4444</v>
      </c>
      <c r="H565" s="2">
        <f t="shared" si="16"/>
        <v>4444</v>
      </c>
      <c r="I565" t="str">
        <f t="shared" si="17"/>
        <v>Arpp19_4444</v>
      </c>
      <c r="J565" s="3">
        <v>0</v>
      </c>
      <c r="K565" s="3">
        <v>0</v>
      </c>
      <c r="L565" s="3">
        <v>0</v>
      </c>
      <c r="M565" s="3">
        <v>0</v>
      </c>
      <c r="N565" s="3">
        <v>4444</v>
      </c>
    </row>
    <row r="566" spans="1:14" x14ac:dyDescent="0.2">
      <c r="A566" s="5" t="str">
        <f>HYPERLINK("http://www.ncbi.nlm.nih.gov/protein/217416411","Arpp19")</f>
        <v>Arpp19</v>
      </c>
      <c r="B566" s="4"/>
      <c r="C566" s="3">
        <v>0</v>
      </c>
      <c r="D566" s="3">
        <v>0</v>
      </c>
      <c r="E566" s="3">
        <v>0</v>
      </c>
      <c r="F566" s="3">
        <v>0</v>
      </c>
      <c r="G566" s="3">
        <v>4444</v>
      </c>
      <c r="H566" s="2">
        <f t="shared" si="16"/>
        <v>4444</v>
      </c>
      <c r="I566" t="str">
        <f t="shared" si="17"/>
        <v>Arpp19_4444</v>
      </c>
      <c r="J566" s="3">
        <v>0</v>
      </c>
      <c r="K566" s="3">
        <v>0</v>
      </c>
      <c r="L566" s="3">
        <v>0</v>
      </c>
      <c r="M566" s="3">
        <v>0</v>
      </c>
      <c r="N566" s="3">
        <v>4444</v>
      </c>
    </row>
    <row r="567" spans="1:14" x14ac:dyDescent="0.2">
      <c r="A567" s="5" t="str">
        <f>HYPERLINK("http://www.ncbi.nlm.nih.gov/protein/244798004","Arrdc1")</f>
        <v>Arrdc1</v>
      </c>
      <c r="B567" s="4"/>
      <c r="C567" s="3">
        <v>0</v>
      </c>
      <c r="D567" s="3">
        <v>54</v>
      </c>
      <c r="E567" s="3">
        <v>91</v>
      </c>
      <c r="F567" s="3">
        <v>0</v>
      </c>
      <c r="G567" s="3">
        <v>0</v>
      </c>
      <c r="H567" s="2">
        <f t="shared" si="16"/>
        <v>145</v>
      </c>
      <c r="I567" t="str">
        <f t="shared" si="17"/>
        <v>Arrdc1_145</v>
      </c>
      <c r="J567" s="3">
        <v>0</v>
      </c>
      <c r="K567" s="3">
        <v>54</v>
      </c>
      <c r="L567" s="3">
        <v>91</v>
      </c>
      <c r="M567" s="3">
        <v>0</v>
      </c>
      <c r="N567" s="3">
        <v>0</v>
      </c>
    </row>
    <row r="568" spans="1:14" x14ac:dyDescent="0.2">
      <c r="A568" s="5" t="str">
        <f>HYPERLINK("http://www.ncbi.nlm.nih.gov/protein/244798112","Arrdc1")</f>
        <v>Arrdc1</v>
      </c>
      <c r="B568" s="4"/>
      <c r="C568" s="3">
        <v>0</v>
      </c>
      <c r="D568" s="3">
        <v>54</v>
      </c>
      <c r="E568" s="3">
        <v>91</v>
      </c>
      <c r="F568" s="3">
        <v>0</v>
      </c>
      <c r="G568" s="3">
        <v>0</v>
      </c>
      <c r="H568" s="2">
        <f t="shared" si="16"/>
        <v>145</v>
      </c>
      <c r="I568" t="str">
        <f t="shared" si="17"/>
        <v>Arrdc1_145</v>
      </c>
      <c r="J568" s="3">
        <v>0</v>
      </c>
      <c r="K568" s="3">
        <v>54</v>
      </c>
      <c r="L568" s="3">
        <v>91</v>
      </c>
      <c r="M568" s="3">
        <v>0</v>
      </c>
      <c r="N568" s="3">
        <v>0</v>
      </c>
    </row>
    <row r="569" spans="1:14" x14ac:dyDescent="0.2">
      <c r="A569" s="5" t="str">
        <f>HYPERLINK("http://www.ncbi.nlm.nih.gov/protein/67972647","Arsa")</f>
        <v>Arsa</v>
      </c>
      <c r="B569" s="4"/>
      <c r="C569" s="3">
        <v>0</v>
      </c>
      <c r="D569" s="3">
        <v>2991</v>
      </c>
      <c r="E569" s="3">
        <v>476</v>
      </c>
      <c r="F569" s="3">
        <v>33</v>
      </c>
      <c r="G569" s="3">
        <v>20284</v>
      </c>
      <c r="H569" s="2">
        <f t="shared" si="16"/>
        <v>23784</v>
      </c>
      <c r="I569" t="str">
        <f t="shared" si="17"/>
        <v>Arsa_23784</v>
      </c>
      <c r="J569" s="3">
        <v>0</v>
      </c>
      <c r="K569" s="3">
        <v>2991</v>
      </c>
      <c r="L569" s="3">
        <v>476</v>
      </c>
      <c r="M569" s="3">
        <v>33</v>
      </c>
      <c r="N569" s="3">
        <v>20284</v>
      </c>
    </row>
    <row r="570" spans="1:14" x14ac:dyDescent="0.2">
      <c r="A570" s="5" t="str">
        <f>HYPERLINK("http://www.ncbi.nlm.nih.gov/protein/125656171","Arsb")</f>
        <v>Arsb</v>
      </c>
      <c r="B570" s="4"/>
      <c r="C570" s="3">
        <v>915</v>
      </c>
      <c r="D570" s="3">
        <v>653</v>
      </c>
      <c r="E570" s="3">
        <v>9</v>
      </c>
      <c r="F570" s="3">
        <v>0</v>
      </c>
      <c r="G570" s="3">
        <v>1553</v>
      </c>
      <c r="H570" s="2">
        <f t="shared" si="16"/>
        <v>3130</v>
      </c>
      <c r="I570" t="str">
        <f t="shared" si="17"/>
        <v>Arsb_3130</v>
      </c>
      <c r="J570" s="3">
        <v>915</v>
      </c>
      <c r="K570" s="3">
        <v>653</v>
      </c>
      <c r="L570" s="3">
        <v>9</v>
      </c>
      <c r="M570" s="3">
        <v>0</v>
      </c>
      <c r="N570" s="3">
        <v>1553</v>
      </c>
    </row>
    <row r="571" spans="1:14" x14ac:dyDescent="0.2">
      <c r="A571" s="5" t="str">
        <f>HYPERLINK("http://www.ncbi.nlm.nih.gov/protein/433809355;40254129","Arvcf")</f>
        <v>Arvcf</v>
      </c>
      <c r="B571" s="4"/>
      <c r="C571" s="3">
        <v>1721</v>
      </c>
      <c r="D571" s="3">
        <v>0</v>
      </c>
      <c r="E571" s="3">
        <v>0</v>
      </c>
      <c r="F571" s="3">
        <v>0</v>
      </c>
      <c r="G571" s="3">
        <v>0</v>
      </c>
      <c r="H571" s="2">
        <f t="shared" si="16"/>
        <v>1721</v>
      </c>
      <c r="I571" t="str">
        <f t="shared" si="17"/>
        <v>Arvcf_1721</v>
      </c>
      <c r="J571" s="3">
        <v>1721</v>
      </c>
      <c r="K571" s="3">
        <v>0</v>
      </c>
      <c r="L571" s="3">
        <v>0</v>
      </c>
      <c r="M571" s="3">
        <v>0</v>
      </c>
      <c r="N571" s="3">
        <v>0</v>
      </c>
    </row>
    <row r="572" spans="1:14" x14ac:dyDescent="0.2">
      <c r="A572" s="5" t="str">
        <f>HYPERLINK("http://www.ncbi.nlm.nih.gov/protein/40254129","Arvcf")</f>
        <v>Arvcf</v>
      </c>
      <c r="B572" s="4"/>
      <c r="C572" s="3">
        <v>0</v>
      </c>
      <c r="D572" s="3">
        <v>207</v>
      </c>
      <c r="E572" s="3">
        <v>426</v>
      </c>
      <c r="F572" s="3">
        <v>0</v>
      </c>
      <c r="G572" s="3">
        <v>0</v>
      </c>
      <c r="H572" s="2">
        <f t="shared" si="16"/>
        <v>633</v>
      </c>
      <c r="I572" t="str">
        <f t="shared" si="17"/>
        <v>Arvcf_633</v>
      </c>
      <c r="J572" s="3">
        <v>0</v>
      </c>
      <c r="K572" s="3">
        <v>207</v>
      </c>
      <c r="L572" s="3">
        <v>426</v>
      </c>
      <c r="M572" s="3">
        <v>0</v>
      </c>
      <c r="N572" s="3">
        <v>0</v>
      </c>
    </row>
    <row r="573" spans="1:14" x14ac:dyDescent="0.2">
      <c r="A573" s="5" t="str">
        <f>HYPERLINK("http://www.ncbi.nlm.nih.gov/protein/433809348","Arvcf")</f>
        <v>Arvcf</v>
      </c>
      <c r="B573" s="4"/>
      <c r="C573" s="3">
        <v>1721</v>
      </c>
      <c r="D573" s="3">
        <v>207</v>
      </c>
      <c r="E573" s="3">
        <v>426</v>
      </c>
      <c r="F573" s="3">
        <v>0</v>
      </c>
      <c r="G573" s="3">
        <v>0</v>
      </c>
      <c r="H573" s="2">
        <f t="shared" si="16"/>
        <v>2354</v>
      </c>
      <c r="I573" t="str">
        <f t="shared" si="17"/>
        <v>Arvcf_2354</v>
      </c>
      <c r="J573" s="3">
        <v>1721</v>
      </c>
      <c r="K573" s="3">
        <v>207</v>
      </c>
      <c r="L573" s="3">
        <v>426</v>
      </c>
      <c r="M573" s="3">
        <v>0</v>
      </c>
      <c r="N573" s="3">
        <v>0</v>
      </c>
    </row>
    <row r="574" spans="1:14" x14ac:dyDescent="0.2">
      <c r="A574" s="5" t="str">
        <f>HYPERLINK("http://www.ncbi.nlm.nih.gov/protein/433809350","Arvcf")</f>
        <v>Arvcf</v>
      </c>
      <c r="B574" s="4"/>
      <c r="C574" s="3">
        <v>1721</v>
      </c>
      <c r="D574" s="3">
        <v>207</v>
      </c>
      <c r="E574" s="3">
        <v>426</v>
      </c>
      <c r="F574" s="3">
        <v>0</v>
      </c>
      <c r="G574" s="3">
        <v>0</v>
      </c>
      <c r="H574" s="2">
        <f t="shared" si="16"/>
        <v>2354</v>
      </c>
      <c r="I574" t="str">
        <f t="shared" si="17"/>
        <v>Arvcf_2354</v>
      </c>
      <c r="J574" s="3">
        <v>1721</v>
      </c>
      <c r="K574" s="3">
        <v>207</v>
      </c>
      <c r="L574" s="3">
        <v>426</v>
      </c>
      <c r="M574" s="3">
        <v>0</v>
      </c>
      <c r="N574" s="3">
        <v>0</v>
      </c>
    </row>
    <row r="575" spans="1:14" x14ac:dyDescent="0.2">
      <c r="A575" s="5" t="str">
        <f>HYPERLINK("http://www.ncbi.nlm.nih.gov/protein/433809357","Arvcf")</f>
        <v>Arvcf</v>
      </c>
      <c r="B575" s="4"/>
      <c r="C575" s="3">
        <v>1721</v>
      </c>
      <c r="D575" s="3">
        <v>207</v>
      </c>
      <c r="E575" s="3">
        <v>426</v>
      </c>
      <c r="F575" s="3">
        <v>0</v>
      </c>
      <c r="G575" s="3">
        <v>0</v>
      </c>
      <c r="H575" s="2">
        <f t="shared" si="16"/>
        <v>2354</v>
      </c>
      <c r="I575" t="str">
        <f t="shared" si="17"/>
        <v>Arvcf_2354</v>
      </c>
      <c r="J575" s="3">
        <v>1721</v>
      </c>
      <c r="K575" s="3">
        <v>207</v>
      </c>
      <c r="L575" s="3">
        <v>426</v>
      </c>
      <c r="M575" s="3">
        <v>0</v>
      </c>
      <c r="N575" s="3">
        <v>0</v>
      </c>
    </row>
    <row r="576" spans="1:14" x14ac:dyDescent="0.2">
      <c r="A576" s="5" t="str">
        <f>HYPERLINK("http://www.ncbi.nlm.nih.gov/protein/21624631","Arxes2")</f>
        <v>Arxes2</v>
      </c>
      <c r="B576" s="4"/>
      <c r="C576" s="3">
        <v>0</v>
      </c>
      <c r="D576" s="3">
        <v>0</v>
      </c>
      <c r="E576" s="3">
        <v>404</v>
      </c>
      <c r="F576" s="3">
        <v>0</v>
      </c>
      <c r="G576" s="3">
        <v>0</v>
      </c>
      <c r="H576" s="2">
        <f t="shared" si="16"/>
        <v>404</v>
      </c>
      <c r="I576" t="str">
        <f t="shared" si="17"/>
        <v>Arxes2_404</v>
      </c>
      <c r="J576" s="3">
        <v>0</v>
      </c>
      <c r="K576" s="3">
        <v>0</v>
      </c>
      <c r="L576" s="3">
        <v>404</v>
      </c>
      <c r="M576" s="3">
        <v>0</v>
      </c>
      <c r="N576" s="3">
        <v>0</v>
      </c>
    </row>
    <row r="577" spans="1:14" x14ac:dyDescent="0.2">
      <c r="A577" s="5" t="str">
        <f>HYPERLINK("http://www.ncbi.nlm.nih.gov/protein/9790019","Asah1")</f>
        <v>Asah1</v>
      </c>
      <c r="B577" s="4"/>
      <c r="C577" s="3">
        <v>142348</v>
      </c>
      <c r="D577" s="3">
        <v>63901</v>
      </c>
      <c r="E577" s="3">
        <v>16199</v>
      </c>
      <c r="F577" s="3">
        <v>41624</v>
      </c>
      <c r="G577" s="3">
        <v>23165</v>
      </c>
      <c r="H577" s="2">
        <f t="shared" si="16"/>
        <v>287237</v>
      </c>
      <c r="I577" t="str">
        <f t="shared" si="17"/>
        <v>Asah1_287237</v>
      </c>
      <c r="J577" s="3">
        <v>142348</v>
      </c>
      <c r="K577" s="3">
        <v>63901</v>
      </c>
      <c r="L577" s="3">
        <v>16199</v>
      </c>
      <c r="M577" s="3">
        <v>41624</v>
      </c>
      <c r="N577" s="3">
        <v>23165</v>
      </c>
    </row>
    <row r="578" spans="1:14" x14ac:dyDescent="0.2">
      <c r="A578" s="5" t="str">
        <f>HYPERLINK("http://www.ncbi.nlm.nih.gov/protein/9055168","Asah2")</f>
        <v>Asah2</v>
      </c>
      <c r="B578" s="4"/>
      <c r="C578" s="3">
        <v>0</v>
      </c>
      <c r="D578" s="3">
        <v>209</v>
      </c>
      <c r="E578" s="3">
        <v>430</v>
      </c>
      <c r="F578" s="3">
        <v>0</v>
      </c>
      <c r="G578" s="3">
        <v>0</v>
      </c>
      <c r="H578" s="2">
        <f t="shared" ref="H578:H641" si="18">SUM(C578:G578)</f>
        <v>639</v>
      </c>
      <c r="I578" t="str">
        <f t="shared" ref="I578:I641" si="19">A578&amp;"_"&amp;H578</f>
        <v>Asah2_639</v>
      </c>
      <c r="J578" s="3">
        <v>0</v>
      </c>
      <c r="K578" s="3">
        <v>209</v>
      </c>
      <c r="L578" s="3">
        <v>430</v>
      </c>
      <c r="M578" s="3">
        <v>0</v>
      </c>
      <c r="N578" s="3">
        <v>0</v>
      </c>
    </row>
    <row r="579" spans="1:14" x14ac:dyDescent="0.2">
      <c r="A579" s="5" t="str">
        <f>HYPERLINK("http://www.ncbi.nlm.nih.gov/protein/451327597","Asap1")</f>
        <v>Asap1</v>
      </c>
      <c r="B579" s="4"/>
      <c r="C579" s="3">
        <v>0</v>
      </c>
      <c r="D579" s="3">
        <v>0</v>
      </c>
      <c r="E579" s="3">
        <v>18</v>
      </c>
      <c r="F579" s="3">
        <v>0</v>
      </c>
      <c r="G579" s="3">
        <v>257</v>
      </c>
      <c r="H579" s="2">
        <f t="shared" si="18"/>
        <v>275</v>
      </c>
      <c r="I579" t="str">
        <f t="shared" si="19"/>
        <v>Asap1_275</v>
      </c>
      <c r="J579" s="3">
        <v>0</v>
      </c>
      <c r="K579" s="3">
        <v>0</v>
      </c>
      <c r="L579" s="3">
        <v>18</v>
      </c>
      <c r="M579" s="3">
        <v>0</v>
      </c>
      <c r="N579" s="3">
        <v>257</v>
      </c>
    </row>
    <row r="580" spans="1:14" x14ac:dyDescent="0.2">
      <c r="A580" s="5" t="str">
        <f>HYPERLINK("http://www.ncbi.nlm.nih.gov/protein/451327599","Asap1")</f>
        <v>Asap1</v>
      </c>
      <c r="B580" s="4"/>
      <c r="C580" s="3">
        <v>0</v>
      </c>
      <c r="D580" s="3">
        <v>0</v>
      </c>
      <c r="E580" s="3">
        <v>18</v>
      </c>
      <c r="F580" s="3">
        <v>0</v>
      </c>
      <c r="G580" s="3">
        <v>257</v>
      </c>
      <c r="H580" s="2">
        <f t="shared" si="18"/>
        <v>275</v>
      </c>
      <c r="I580" t="str">
        <f t="shared" si="19"/>
        <v>Asap1_275</v>
      </c>
      <c r="J580" s="3">
        <v>0</v>
      </c>
      <c r="K580" s="3">
        <v>0</v>
      </c>
      <c r="L580" s="3">
        <v>18</v>
      </c>
      <c r="M580" s="3">
        <v>0</v>
      </c>
      <c r="N580" s="3">
        <v>257</v>
      </c>
    </row>
    <row r="581" spans="1:14" x14ac:dyDescent="0.2">
      <c r="A581" s="5" t="str">
        <f>HYPERLINK("http://www.ncbi.nlm.nih.gov/protein/451327601","Asap1")</f>
        <v>Asap1</v>
      </c>
      <c r="B581" s="4"/>
      <c r="C581" s="3">
        <v>0</v>
      </c>
      <c r="D581" s="3">
        <v>0</v>
      </c>
      <c r="E581" s="3">
        <v>18</v>
      </c>
      <c r="F581" s="3">
        <v>0</v>
      </c>
      <c r="G581" s="3">
        <v>257</v>
      </c>
      <c r="H581" s="2">
        <f t="shared" si="18"/>
        <v>275</v>
      </c>
      <c r="I581" t="str">
        <f t="shared" si="19"/>
        <v>Asap1_275</v>
      </c>
      <c r="J581" s="3">
        <v>0</v>
      </c>
      <c r="K581" s="3">
        <v>0</v>
      </c>
      <c r="L581" s="3">
        <v>18</v>
      </c>
      <c r="M581" s="3">
        <v>0</v>
      </c>
      <c r="N581" s="3">
        <v>257</v>
      </c>
    </row>
    <row r="582" spans="1:14" x14ac:dyDescent="0.2">
      <c r="A582" s="5" t="str">
        <f>HYPERLINK("http://www.ncbi.nlm.nih.gov/protein/451327606","Asap1")</f>
        <v>Asap1</v>
      </c>
      <c r="B582" s="4"/>
      <c r="C582" s="3">
        <v>0</v>
      </c>
      <c r="D582" s="3">
        <v>0</v>
      </c>
      <c r="E582" s="3">
        <v>18</v>
      </c>
      <c r="F582" s="3">
        <v>0</v>
      </c>
      <c r="G582" s="3">
        <v>257</v>
      </c>
      <c r="H582" s="2">
        <f t="shared" si="18"/>
        <v>275</v>
      </c>
      <c r="I582" t="str">
        <f t="shared" si="19"/>
        <v>Asap1_275</v>
      </c>
      <c r="J582" s="3">
        <v>0</v>
      </c>
      <c r="K582" s="3">
        <v>0</v>
      </c>
      <c r="L582" s="3">
        <v>18</v>
      </c>
      <c r="M582" s="3">
        <v>0</v>
      </c>
      <c r="N582" s="3">
        <v>257</v>
      </c>
    </row>
    <row r="583" spans="1:14" x14ac:dyDescent="0.2">
      <c r="A583" s="5" t="str">
        <f>HYPERLINK("http://www.ncbi.nlm.nih.gov/protein/65301464","Asap1")</f>
        <v>Asap1</v>
      </c>
      <c r="B583" s="4"/>
      <c r="C583" s="3">
        <v>0</v>
      </c>
      <c r="D583" s="3">
        <v>0</v>
      </c>
      <c r="E583" s="3">
        <v>18</v>
      </c>
      <c r="F583" s="3">
        <v>0</v>
      </c>
      <c r="G583" s="3">
        <v>257</v>
      </c>
      <c r="H583" s="2">
        <f t="shared" si="18"/>
        <v>275</v>
      </c>
      <c r="I583" t="str">
        <f t="shared" si="19"/>
        <v>Asap1_275</v>
      </c>
      <c r="J583" s="3">
        <v>0</v>
      </c>
      <c r="K583" s="3">
        <v>0</v>
      </c>
      <c r="L583" s="3">
        <v>18</v>
      </c>
      <c r="M583" s="3">
        <v>0</v>
      </c>
      <c r="N583" s="3">
        <v>257</v>
      </c>
    </row>
    <row r="584" spans="1:14" x14ac:dyDescent="0.2">
      <c r="A584" s="5" t="str">
        <f>HYPERLINK("http://www.ncbi.nlm.nih.gov/protein/147907212","Asap2")</f>
        <v>Asap2</v>
      </c>
      <c r="B584" s="4"/>
      <c r="C584" s="3">
        <v>0</v>
      </c>
      <c r="D584" s="3">
        <v>0</v>
      </c>
      <c r="E584" s="3">
        <v>1456</v>
      </c>
      <c r="F584" s="3">
        <v>72450</v>
      </c>
      <c r="G584" s="3">
        <v>8171</v>
      </c>
      <c r="H584" s="2">
        <f t="shared" si="18"/>
        <v>82077</v>
      </c>
      <c r="I584" t="str">
        <f t="shared" si="19"/>
        <v>Asap2_82077</v>
      </c>
      <c r="J584" s="3">
        <v>0</v>
      </c>
      <c r="K584" s="3">
        <v>0</v>
      </c>
      <c r="L584" s="3">
        <v>1456</v>
      </c>
      <c r="M584" s="3">
        <v>72450</v>
      </c>
      <c r="N584" s="3">
        <v>8171</v>
      </c>
    </row>
    <row r="585" spans="1:14" x14ac:dyDescent="0.2">
      <c r="A585" s="5" t="str">
        <f>HYPERLINK("http://www.ncbi.nlm.nih.gov/protein/148223355","Asap2")</f>
        <v>Asap2</v>
      </c>
      <c r="B585" s="4"/>
      <c r="C585" s="3">
        <v>0</v>
      </c>
      <c r="D585" s="3">
        <v>0</v>
      </c>
      <c r="E585" s="3">
        <v>1456</v>
      </c>
      <c r="F585" s="3">
        <v>72450</v>
      </c>
      <c r="G585" s="3">
        <v>8171</v>
      </c>
      <c r="H585" s="2">
        <f t="shared" si="18"/>
        <v>82077</v>
      </c>
      <c r="I585" t="str">
        <f t="shared" si="19"/>
        <v>Asap2_82077</v>
      </c>
      <c r="J585" s="3">
        <v>0</v>
      </c>
      <c r="K585" s="3">
        <v>0</v>
      </c>
      <c r="L585" s="3">
        <v>1456</v>
      </c>
      <c r="M585" s="3">
        <v>72450</v>
      </c>
      <c r="N585" s="3">
        <v>8171</v>
      </c>
    </row>
    <row r="586" spans="1:14" x14ac:dyDescent="0.2">
      <c r="A586" s="5" t="str">
        <f>HYPERLINK("http://www.ncbi.nlm.nih.gov/protein/206597526","Asap2")</f>
        <v>Asap2</v>
      </c>
      <c r="B586" s="4"/>
      <c r="C586" s="3">
        <v>0</v>
      </c>
      <c r="D586" s="3">
        <v>0</v>
      </c>
      <c r="E586" s="3">
        <v>1456</v>
      </c>
      <c r="F586" s="3">
        <v>72450</v>
      </c>
      <c r="G586" s="3">
        <v>8171</v>
      </c>
      <c r="H586" s="2">
        <f t="shared" si="18"/>
        <v>82077</v>
      </c>
      <c r="I586" t="str">
        <f t="shared" si="19"/>
        <v>Asap2_82077</v>
      </c>
      <c r="J586" s="3">
        <v>0</v>
      </c>
      <c r="K586" s="3">
        <v>0</v>
      </c>
      <c r="L586" s="3">
        <v>1456</v>
      </c>
      <c r="M586" s="3">
        <v>72450</v>
      </c>
      <c r="N586" s="3">
        <v>8171</v>
      </c>
    </row>
    <row r="587" spans="1:14" x14ac:dyDescent="0.2">
      <c r="A587" s="5" t="str">
        <f>HYPERLINK("http://www.ncbi.nlm.nih.gov/protein/282721040","Asb14")</f>
        <v>Asb14</v>
      </c>
      <c r="B587" s="4"/>
      <c r="C587" s="3">
        <v>0</v>
      </c>
      <c r="D587" s="3">
        <v>0</v>
      </c>
      <c r="E587" s="3">
        <v>63</v>
      </c>
      <c r="F587" s="3">
        <v>0</v>
      </c>
      <c r="G587" s="3">
        <v>0</v>
      </c>
      <c r="H587" s="2">
        <f t="shared" si="18"/>
        <v>63</v>
      </c>
      <c r="I587" t="str">
        <f t="shared" si="19"/>
        <v>Asb14_63</v>
      </c>
      <c r="J587" s="3">
        <v>0</v>
      </c>
      <c r="K587" s="3">
        <v>0</v>
      </c>
      <c r="L587" s="3">
        <v>63</v>
      </c>
      <c r="M587" s="3">
        <v>0</v>
      </c>
      <c r="N587" s="3">
        <v>0</v>
      </c>
    </row>
    <row r="588" spans="1:14" x14ac:dyDescent="0.2">
      <c r="A588" s="5" t="str">
        <f>HYPERLINK("http://www.ncbi.nlm.nih.gov/protein/268370092","Asb15")</f>
        <v>Asb15</v>
      </c>
      <c r="B588" s="4"/>
      <c r="C588" s="3">
        <v>10398</v>
      </c>
      <c r="D588" s="3">
        <v>0</v>
      </c>
      <c r="E588" s="3">
        <v>0</v>
      </c>
      <c r="F588" s="3">
        <v>0</v>
      </c>
      <c r="G588" s="3">
        <v>0</v>
      </c>
      <c r="H588" s="2">
        <f t="shared" si="18"/>
        <v>10398</v>
      </c>
      <c r="I588" t="str">
        <f t="shared" si="19"/>
        <v>Asb15_10398</v>
      </c>
      <c r="J588" s="3">
        <v>10398</v>
      </c>
      <c r="K588" s="3">
        <v>0</v>
      </c>
      <c r="L588" s="3">
        <v>0</v>
      </c>
      <c r="M588" s="3">
        <v>0</v>
      </c>
      <c r="N588" s="3">
        <v>0</v>
      </c>
    </row>
    <row r="589" spans="1:14" x14ac:dyDescent="0.2">
      <c r="A589" s="5" t="str">
        <f>HYPERLINK("http://www.ncbi.nlm.nih.gov/protein/17505202","Asb4")</f>
        <v>Asb4</v>
      </c>
      <c r="B589" s="4"/>
      <c r="C589" s="3">
        <v>0</v>
      </c>
      <c r="D589" s="3">
        <v>0</v>
      </c>
      <c r="E589" s="3">
        <v>426</v>
      </c>
      <c r="F589" s="3">
        <v>0</v>
      </c>
      <c r="G589" s="3">
        <v>0</v>
      </c>
      <c r="H589" s="2">
        <f t="shared" si="18"/>
        <v>426</v>
      </c>
      <c r="I589" t="str">
        <f t="shared" si="19"/>
        <v>Asb4_426</v>
      </c>
      <c r="J589" s="3">
        <v>0</v>
      </c>
      <c r="K589" s="3">
        <v>0</v>
      </c>
      <c r="L589" s="3">
        <v>426</v>
      </c>
      <c r="M589" s="3">
        <v>0</v>
      </c>
      <c r="N589" s="3">
        <v>0</v>
      </c>
    </row>
    <row r="590" spans="1:14" x14ac:dyDescent="0.2">
      <c r="A590" s="5" t="str">
        <f>HYPERLINK("http://www.ncbi.nlm.nih.gov/protein/58037141","Ascc1")</f>
        <v>Ascc1</v>
      </c>
      <c r="B590" s="4"/>
      <c r="C590" s="3">
        <v>0</v>
      </c>
      <c r="D590" s="3">
        <v>0</v>
      </c>
      <c r="E590" s="3">
        <v>470</v>
      </c>
      <c r="F590" s="3">
        <v>598</v>
      </c>
      <c r="G590" s="3">
        <v>0</v>
      </c>
      <c r="H590" s="2">
        <f t="shared" si="18"/>
        <v>1068</v>
      </c>
      <c r="I590" t="str">
        <f t="shared" si="19"/>
        <v>Ascc1_1068</v>
      </c>
      <c r="J590" s="3">
        <v>0</v>
      </c>
      <c r="K590" s="3">
        <v>0</v>
      </c>
      <c r="L590" s="3">
        <v>470</v>
      </c>
      <c r="M590" s="3">
        <v>598</v>
      </c>
      <c r="N590" s="3">
        <v>0</v>
      </c>
    </row>
    <row r="591" spans="1:14" x14ac:dyDescent="0.2">
      <c r="A591" s="5" t="str">
        <f>HYPERLINK("http://www.ncbi.nlm.nih.gov/protein/20270208","Ascc2")</f>
        <v>Ascc2</v>
      </c>
      <c r="B591" s="4"/>
      <c r="C591" s="3">
        <v>0</v>
      </c>
      <c r="D591" s="3">
        <v>0</v>
      </c>
      <c r="E591" s="3">
        <v>227</v>
      </c>
      <c r="F591" s="3">
        <v>262</v>
      </c>
      <c r="G591" s="3">
        <v>0</v>
      </c>
      <c r="H591" s="2">
        <f t="shared" si="18"/>
        <v>489</v>
      </c>
      <c r="I591" t="str">
        <f t="shared" si="19"/>
        <v>Ascc2_489</v>
      </c>
      <c r="J591" s="3">
        <v>0</v>
      </c>
      <c r="K591" s="3">
        <v>0</v>
      </c>
      <c r="L591" s="3">
        <v>227</v>
      </c>
      <c r="M591" s="3">
        <v>262</v>
      </c>
      <c r="N591" s="3">
        <v>0</v>
      </c>
    </row>
    <row r="592" spans="1:14" x14ac:dyDescent="0.2">
      <c r="A592" s="5" t="str">
        <f>HYPERLINK("http://www.ncbi.nlm.nih.gov/protein/225703058","Ascc3")</f>
        <v>Ascc3</v>
      </c>
      <c r="B592" s="4"/>
      <c r="C592" s="3">
        <v>0</v>
      </c>
      <c r="D592" s="3">
        <v>0</v>
      </c>
      <c r="E592" s="3">
        <v>2158</v>
      </c>
      <c r="F592" s="3">
        <v>7670</v>
      </c>
      <c r="G592" s="3">
        <v>0</v>
      </c>
      <c r="H592" s="2">
        <f t="shared" si="18"/>
        <v>9828</v>
      </c>
      <c r="I592" t="str">
        <f t="shared" si="19"/>
        <v>Ascc3_9828</v>
      </c>
      <c r="J592" s="3">
        <v>0</v>
      </c>
      <c r="K592" s="3">
        <v>0</v>
      </c>
      <c r="L592" s="3">
        <v>2158</v>
      </c>
      <c r="M592" s="3">
        <v>7670</v>
      </c>
      <c r="N592" s="3">
        <v>0</v>
      </c>
    </row>
    <row r="593" spans="1:14" x14ac:dyDescent="0.2">
      <c r="A593" s="5" t="str">
        <f>HYPERLINK("http://www.ncbi.nlm.nih.gov/protein/13384964","Asf1a")</f>
        <v>Asf1a</v>
      </c>
      <c r="B593" s="4"/>
      <c r="C593" s="3">
        <v>0</v>
      </c>
      <c r="D593" s="3">
        <v>0</v>
      </c>
      <c r="E593" s="3">
        <v>407</v>
      </c>
      <c r="F593" s="3">
        <v>1735</v>
      </c>
      <c r="G593" s="3">
        <v>610</v>
      </c>
      <c r="H593" s="2">
        <f t="shared" si="18"/>
        <v>2752</v>
      </c>
      <c r="I593" t="str">
        <f t="shared" si="19"/>
        <v>Asf1a_2752</v>
      </c>
      <c r="J593" s="3">
        <v>0</v>
      </c>
      <c r="K593" s="3">
        <v>0</v>
      </c>
      <c r="L593" s="3">
        <v>407</v>
      </c>
      <c r="M593" s="3">
        <v>1735</v>
      </c>
      <c r="N593" s="3">
        <v>610</v>
      </c>
    </row>
    <row r="594" spans="1:14" x14ac:dyDescent="0.2">
      <c r="A594" s="5" t="str">
        <f>HYPERLINK("http://www.ncbi.nlm.nih.gov/protein/21313226","Asf1b")</f>
        <v>Asf1b</v>
      </c>
      <c r="B594" s="4"/>
      <c r="C594" s="3">
        <v>0</v>
      </c>
      <c r="D594" s="3">
        <v>0</v>
      </c>
      <c r="E594" s="3">
        <v>145</v>
      </c>
      <c r="F594" s="3">
        <v>745</v>
      </c>
      <c r="G594" s="3">
        <v>1446</v>
      </c>
      <c r="H594" s="2">
        <f t="shared" si="18"/>
        <v>2336</v>
      </c>
      <c r="I594" t="str">
        <f t="shared" si="19"/>
        <v>Asf1b_2336</v>
      </c>
      <c r="J594" s="3">
        <v>0</v>
      </c>
      <c r="K594" s="3">
        <v>0</v>
      </c>
      <c r="L594" s="3">
        <v>145</v>
      </c>
      <c r="M594" s="3">
        <v>745</v>
      </c>
      <c r="N594" s="3">
        <v>1446</v>
      </c>
    </row>
    <row r="595" spans="1:14" x14ac:dyDescent="0.2">
      <c r="A595" s="5" t="str">
        <f>HYPERLINK("http://www.ncbi.nlm.nih.gov/protein/124248550","Ash2l")</f>
        <v>Ash2l</v>
      </c>
      <c r="B595" s="4"/>
      <c r="C595" s="3">
        <v>0</v>
      </c>
      <c r="D595" s="3">
        <v>6</v>
      </c>
      <c r="E595" s="3">
        <v>6</v>
      </c>
      <c r="F595" s="3">
        <v>876</v>
      </c>
      <c r="G595" s="3">
        <v>6019</v>
      </c>
      <c r="H595" s="2">
        <f t="shared" si="18"/>
        <v>6907</v>
      </c>
      <c r="I595" t="str">
        <f t="shared" si="19"/>
        <v>Ash2l_6907</v>
      </c>
      <c r="J595" s="3">
        <v>0</v>
      </c>
      <c r="K595" s="3">
        <v>6</v>
      </c>
      <c r="L595" s="3">
        <v>6</v>
      </c>
      <c r="M595" s="3">
        <v>876</v>
      </c>
      <c r="N595" s="3">
        <v>6019</v>
      </c>
    </row>
    <row r="596" spans="1:14" x14ac:dyDescent="0.2">
      <c r="A596" s="5" t="str">
        <f>HYPERLINK("http://www.ncbi.nlm.nih.gov/protein/124248552","Ash2l")</f>
        <v>Ash2l</v>
      </c>
      <c r="B596" s="4"/>
      <c r="C596" s="3">
        <v>0</v>
      </c>
      <c r="D596" s="3">
        <v>6</v>
      </c>
      <c r="E596" s="3">
        <v>6</v>
      </c>
      <c r="F596" s="3">
        <v>876</v>
      </c>
      <c r="G596" s="3">
        <v>6019</v>
      </c>
      <c r="H596" s="2">
        <f t="shared" si="18"/>
        <v>6907</v>
      </c>
      <c r="I596" t="str">
        <f t="shared" si="19"/>
        <v>Ash2l_6907</v>
      </c>
      <c r="J596" s="3">
        <v>0</v>
      </c>
      <c r="K596" s="3">
        <v>6</v>
      </c>
      <c r="L596" s="3">
        <v>6</v>
      </c>
      <c r="M596" s="3">
        <v>876</v>
      </c>
      <c r="N596" s="3">
        <v>6019</v>
      </c>
    </row>
    <row r="597" spans="1:14" x14ac:dyDescent="0.2">
      <c r="A597" s="5" t="str">
        <f>HYPERLINK("http://www.ncbi.nlm.nih.gov/protein/19526986","Asl")</f>
        <v>Asl</v>
      </c>
      <c r="B597" s="4"/>
      <c r="C597" s="3">
        <v>0</v>
      </c>
      <c r="D597" s="3">
        <v>3350</v>
      </c>
      <c r="E597" s="3">
        <v>3938</v>
      </c>
      <c r="F597" s="3">
        <v>59886</v>
      </c>
      <c r="G597" s="3">
        <v>111539</v>
      </c>
      <c r="H597" s="2">
        <f t="shared" si="18"/>
        <v>178713</v>
      </c>
      <c r="I597" t="str">
        <f t="shared" si="19"/>
        <v>Asl_178713</v>
      </c>
      <c r="J597" s="3">
        <v>0</v>
      </c>
      <c r="K597" s="3">
        <v>3350</v>
      </c>
      <c r="L597" s="3">
        <v>3938</v>
      </c>
      <c r="M597" s="3">
        <v>59886</v>
      </c>
      <c r="N597" s="3">
        <v>111539</v>
      </c>
    </row>
    <row r="598" spans="1:14" x14ac:dyDescent="0.2">
      <c r="A598" s="5" t="str">
        <f>HYPERLINK("http://www.ncbi.nlm.nih.gov/protein/12025542","Asna1")</f>
        <v>Asna1</v>
      </c>
      <c r="B598" s="4"/>
      <c r="C598" s="3">
        <v>2636</v>
      </c>
      <c r="D598" s="3">
        <v>4895</v>
      </c>
      <c r="E598" s="3">
        <v>8818</v>
      </c>
      <c r="F598" s="3">
        <v>35182</v>
      </c>
      <c r="G598" s="3">
        <v>86522</v>
      </c>
      <c r="H598" s="2">
        <f t="shared" si="18"/>
        <v>138053</v>
      </c>
      <c r="I598" t="str">
        <f t="shared" si="19"/>
        <v>Asna1_138053</v>
      </c>
      <c r="J598" s="3">
        <v>2636</v>
      </c>
      <c r="K598" s="3">
        <v>4895</v>
      </c>
      <c r="L598" s="3">
        <v>8818</v>
      </c>
      <c r="M598" s="3">
        <v>35182</v>
      </c>
      <c r="N598" s="3">
        <v>86522</v>
      </c>
    </row>
    <row r="599" spans="1:14" x14ac:dyDescent="0.2">
      <c r="A599" s="5" t="str">
        <f>HYPERLINK("http://www.ncbi.nlm.nih.gov/protein/33469123","Asns")</f>
        <v>Asns</v>
      </c>
      <c r="B599" s="4"/>
      <c r="C599" s="3">
        <v>0</v>
      </c>
      <c r="D599" s="3">
        <v>154</v>
      </c>
      <c r="E599" s="3">
        <v>76</v>
      </c>
      <c r="F599" s="3">
        <v>0</v>
      </c>
      <c r="G599" s="3">
        <v>2003</v>
      </c>
      <c r="H599" s="2">
        <f t="shared" si="18"/>
        <v>2233</v>
      </c>
      <c r="I599" t="str">
        <f t="shared" si="19"/>
        <v>Asns_2233</v>
      </c>
      <c r="J599" s="3">
        <v>0</v>
      </c>
      <c r="K599" s="3">
        <v>154</v>
      </c>
      <c r="L599" s="3">
        <v>76</v>
      </c>
      <c r="M599" s="3">
        <v>0</v>
      </c>
      <c r="N599" s="3">
        <v>2003</v>
      </c>
    </row>
    <row r="600" spans="1:14" x14ac:dyDescent="0.2">
      <c r="A600" s="5" t="str">
        <f>HYPERLINK("http://www.ncbi.nlm.nih.gov/protein/125628654","Asph")</f>
        <v>Asph</v>
      </c>
      <c r="B600" s="4"/>
      <c r="C600" s="3">
        <v>0</v>
      </c>
      <c r="D600" s="3">
        <v>772</v>
      </c>
      <c r="E600" s="3">
        <v>0</v>
      </c>
      <c r="F600" s="3">
        <v>0</v>
      </c>
      <c r="G600" s="3">
        <v>0</v>
      </c>
      <c r="H600" s="2">
        <f t="shared" si="18"/>
        <v>772</v>
      </c>
      <c r="I600" t="str">
        <f t="shared" si="19"/>
        <v>Asph_772</v>
      </c>
      <c r="J600" s="3">
        <v>0</v>
      </c>
      <c r="K600" s="3">
        <v>772</v>
      </c>
      <c r="L600" s="3">
        <v>0</v>
      </c>
      <c r="M600" s="3">
        <v>0</v>
      </c>
      <c r="N600" s="3">
        <v>0</v>
      </c>
    </row>
    <row r="601" spans="1:14" x14ac:dyDescent="0.2">
      <c r="A601" s="5" t="str">
        <f>HYPERLINK("http://www.ncbi.nlm.nih.gov/protein/295390570","Asph")</f>
        <v>Asph</v>
      </c>
      <c r="B601" s="4"/>
      <c r="C601" s="3">
        <v>0</v>
      </c>
      <c r="D601" s="3">
        <v>772</v>
      </c>
      <c r="E601" s="3">
        <v>0</v>
      </c>
      <c r="F601" s="3">
        <v>0</v>
      </c>
      <c r="G601" s="3">
        <v>0</v>
      </c>
      <c r="H601" s="2">
        <f t="shared" si="18"/>
        <v>772</v>
      </c>
      <c r="I601" t="str">
        <f t="shared" si="19"/>
        <v>Asph_772</v>
      </c>
      <c r="J601" s="3">
        <v>0</v>
      </c>
      <c r="K601" s="3">
        <v>772</v>
      </c>
      <c r="L601" s="3">
        <v>0</v>
      </c>
      <c r="M601" s="3">
        <v>0</v>
      </c>
      <c r="N601" s="3">
        <v>0</v>
      </c>
    </row>
    <row r="602" spans="1:14" x14ac:dyDescent="0.2">
      <c r="A602" s="5" t="str">
        <f>HYPERLINK("http://www.ncbi.nlm.nih.gov/protein/295390587","Asph")</f>
        <v>Asph</v>
      </c>
      <c r="B602" s="4"/>
      <c r="C602" s="3">
        <v>0</v>
      </c>
      <c r="D602" s="3">
        <v>772</v>
      </c>
      <c r="E602" s="3">
        <v>0</v>
      </c>
      <c r="F602" s="3">
        <v>0</v>
      </c>
      <c r="G602" s="3">
        <v>0</v>
      </c>
      <c r="H602" s="2">
        <f t="shared" si="18"/>
        <v>772</v>
      </c>
      <c r="I602" t="str">
        <f t="shared" si="19"/>
        <v>Asph_772</v>
      </c>
      <c r="J602" s="3">
        <v>0</v>
      </c>
      <c r="K602" s="3">
        <v>772</v>
      </c>
      <c r="L602" s="3">
        <v>0</v>
      </c>
      <c r="M602" s="3">
        <v>0</v>
      </c>
      <c r="N602" s="3">
        <v>0</v>
      </c>
    </row>
    <row r="603" spans="1:14" x14ac:dyDescent="0.2">
      <c r="A603" s="5" t="str">
        <f>HYPERLINK("http://www.ncbi.nlm.nih.gov/protein/295390598","Asph")</f>
        <v>Asph</v>
      </c>
      <c r="B603" s="4"/>
      <c r="C603" s="3">
        <v>0</v>
      </c>
      <c r="D603" s="3">
        <v>772</v>
      </c>
      <c r="E603" s="3">
        <v>0</v>
      </c>
      <c r="F603" s="3">
        <v>0</v>
      </c>
      <c r="G603" s="3">
        <v>0</v>
      </c>
      <c r="H603" s="2">
        <f t="shared" si="18"/>
        <v>772</v>
      </c>
      <c r="I603" t="str">
        <f t="shared" si="19"/>
        <v>Asph_772</v>
      </c>
      <c r="J603" s="3">
        <v>0</v>
      </c>
      <c r="K603" s="3">
        <v>772</v>
      </c>
      <c r="L603" s="3">
        <v>0</v>
      </c>
      <c r="M603" s="3">
        <v>0</v>
      </c>
      <c r="N603" s="3">
        <v>0</v>
      </c>
    </row>
    <row r="604" spans="1:14" x14ac:dyDescent="0.2">
      <c r="A604" s="5" t="str">
        <f>HYPERLINK("http://www.ncbi.nlm.nih.gov/protein/125628659","Asph")</f>
        <v>Asph</v>
      </c>
      <c r="B604" s="4"/>
      <c r="C604" s="3">
        <v>22150</v>
      </c>
      <c r="D604" s="3">
        <v>1221</v>
      </c>
      <c r="E604" s="3">
        <v>3611</v>
      </c>
      <c r="F604" s="3">
        <v>0</v>
      </c>
      <c r="G604" s="3">
        <v>0</v>
      </c>
      <c r="H604" s="2">
        <f t="shared" si="18"/>
        <v>26982</v>
      </c>
      <c r="I604" t="str">
        <f t="shared" si="19"/>
        <v>Asph_26982</v>
      </c>
      <c r="J604" s="3">
        <v>22150</v>
      </c>
      <c r="K604" s="3">
        <v>1221</v>
      </c>
      <c r="L604" s="3">
        <v>3611</v>
      </c>
      <c r="M604" s="3">
        <v>0</v>
      </c>
      <c r="N604" s="3">
        <v>0</v>
      </c>
    </row>
    <row r="605" spans="1:14" x14ac:dyDescent="0.2">
      <c r="A605" s="5" t="str">
        <f>HYPERLINK("http://www.ncbi.nlm.nih.gov/protein/295390525","Asph")</f>
        <v>Asph</v>
      </c>
      <c r="B605" s="4"/>
      <c r="C605" s="3">
        <v>22150</v>
      </c>
      <c r="D605" s="3">
        <v>1221</v>
      </c>
      <c r="E605" s="3">
        <v>3611</v>
      </c>
      <c r="F605" s="3">
        <v>0</v>
      </c>
      <c r="G605" s="3">
        <v>0</v>
      </c>
      <c r="H605" s="2">
        <f t="shared" si="18"/>
        <v>26982</v>
      </c>
      <c r="I605" t="str">
        <f t="shared" si="19"/>
        <v>Asph_26982</v>
      </c>
      <c r="J605" s="3">
        <v>22150</v>
      </c>
      <c r="K605" s="3">
        <v>1221</v>
      </c>
      <c r="L605" s="3">
        <v>3611</v>
      </c>
      <c r="M605" s="3">
        <v>0</v>
      </c>
      <c r="N605" s="3">
        <v>0</v>
      </c>
    </row>
    <row r="606" spans="1:14" x14ac:dyDescent="0.2">
      <c r="A606" s="5" t="str">
        <f>HYPERLINK("http://www.ncbi.nlm.nih.gov/protein/295390538","Asph")</f>
        <v>Asph</v>
      </c>
      <c r="B606" s="4"/>
      <c r="C606" s="3">
        <v>641</v>
      </c>
      <c r="D606" s="3">
        <v>779</v>
      </c>
      <c r="E606" s="3">
        <v>3</v>
      </c>
      <c r="F606" s="3">
        <v>0</v>
      </c>
      <c r="G606" s="3">
        <v>0</v>
      </c>
      <c r="H606" s="2">
        <f t="shared" si="18"/>
        <v>1423</v>
      </c>
      <c r="I606" t="str">
        <f t="shared" si="19"/>
        <v>Asph_1423</v>
      </c>
      <c r="J606" s="3">
        <v>641</v>
      </c>
      <c r="K606" s="3">
        <v>779</v>
      </c>
      <c r="L606" s="3">
        <v>3</v>
      </c>
      <c r="M606" s="3">
        <v>0</v>
      </c>
      <c r="N606" s="3">
        <v>0</v>
      </c>
    </row>
    <row r="607" spans="1:14" x14ac:dyDescent="0.2">
      <c r="A607" s="5" t="str">
        <f>HYPERLINK("http://www.ncbi.nlm.nih.gov/protein/295390552","Asph")</f>
        <v>Asph</v>
      </c>
      <c r="B607" s="4"/>
      <c r="C607" s="3">
        <v>641</v>
      </c>
      <c r="D607" s="3">
        <v>779</v>
      </c>
      <c r="E607" s="3">
        <v>3</v>
      </c>
      <c r="F607" s="3">
        <v>0</v>
      </c>
      <c r="G607" s="3">
        <v>0</v>
      </c>
      <c r="H607" s="2">
        <f t="shared" si="18"/>
        <v>1423</v>
      </c>
      <c r="I607" t="str">
        <f t="shared" si="19"/>
        <v>Asph_1423</v>
      </c>
      <c r="J607" s="3">
        <v>641</v>
      </c>
      <c r="K607" s="3">
        <v>779</v>
      </c>
      <c r="L607" s="3">
        <v>3</v>
      </c>
      <c r="M607" s="3">
        <v>0</v>
      </c>
      <c r="N607" s="3">
        <v>0</v>
      </c>
    </row>
    <row r="608" spans="1:14" x14ac:dyDescent="0.2">
      <c r="A608" s="5" t="str">
        <f>HYPERLINK("http://www.ncbi.nlm.nih.gov/protein/295390613","Asph")</f>
        <v>Asph</v>
      </c>
      <c r="B608" s="4"/>
      <c r="C608" s="3">
        <v>641</v>
      </c>
      <c r="D608" s="3">
        <v>779</v>
      </c>
      <c r="E608" s="3">
        <v>3</v>
      </c>
      <c r="F608" s="3">
        <v>0</v>
      </c>
      <c r="G608" s="3">
        <v>0</v>
      </c>
      <c r="H608" s="2">
        <f t="shared" si="18"/>
        <v>1423</v>
      </c>
      <c r="I608" t="str">
        <f t="shared" si="19"/>
        <v>Asph_1423</v>
      </c>
      <c r="J608" s="3">
        <v>641</v>
      </c>
      <c r="K608" s="3">
        <v>779</v>
      </c>
      <c r="L608" s="3">
        <v>3</v>
      </c>
      <c r="M608" s="3">
        <v>0</v>
      </c>
      <c r="N608" s="3">
        <v>0</v>
      </c>
    </row>
    <row r="609" spans="1:14" x14ac:dyDescent="0.2">
      <c r="A609" s="5" t="str">
        <f>HYPERLINK("http://www.ncbi.nlm.nih.gov/protein/295390633","Asph")</f>
        <v>Asph</v>
      </c>
      <c r="B609" s="4"/>
      <c r="C609" s="3">
        <v>641</v>
      </c>
      <c r="D609" s="3">
        <v>779</v>
      </c>
      <c r="E609" s="3">
        <v>3</v>
      </c>
      <c r="F609" s="3">
        <v>0</v>
      </c>
      <c r="G609" s="3">
        <v>0</v>
      </c>
      <c r="H609" s="2">
        <f t="shared" si="18"/>
        <v>1423</v>
      </c>
      <c r="I609" t="str">
        <f t="shared" si="19"/>
        <v>Asph_1423</v>
      </c>
      <c r="J609" s="3">
        <v>641</v>
      </c>
      <c r="K609" s="3">
        <v>779</v>
      </c>
      <c r="L609" s="3">
        <v>3</v>
      </c>
      <c r="M609" s="3">
        <v>0</v>
      </c>
      <c r="N609" s="3">
        <v>0</v>
      </c>
    </row>
    <row r="610" spans="1:14" x14ac:dyDescent="0.2">
      <c r="A610" s="5" t="str">
        <f>HYPERLINK("http://www.ncbi.nlm.nih.gov/protein/87298845","Aspm")</f>
        <v>Aspm</v>
      </c>
      <c r="B610" s="4"/>
      <c r="C610" s="3">
        <v>0</v>
      </c>
      <c r="D610" s="3">
        <v>0</v>
      </c>
      <c r="E610" s="3">
        <v>9</v>
      </c>
      <c r="F610" s="3">
        <v>0</v>
      </c>
      <c r="G610" s="3">
        <v>0</v>
      </c>
      <c r="H610" s="2">
        <f t="shared" si="18"/>
        <v>9</v>
      </c>
      <c r="I610" t="str">
        <f t="shared" si="19"/>
        <v>Aspm_9</v>
      </c>
      <c r="J610" s="3">
        <v>0</v>
      </c>
      <c r="K610" s="3">
        <v>0</v>
      </c>
      <c r="L610" s="3">
        <v>9</v>
      </c>
      <c r="M610" s="3">
        <v>0</v>
      </c>
      <c r="N610" s="3">
        <v>0</v>
      </c>
    </row>
    <row r="611" spans="1:14" x14ac:dyDescent="0.2">
      <c r="A611" s="5" t="str">
        <f>HYPERLINK("http://www.ncbi.nlm.nih.gov/protein/255982537","Aspscr1")</f>
        <v>Aspscr1</v>
      </c>
      <c r="B611" s="4"/>
      <c r="C611" s="3">
        <v>0</v>
      </c>
      <c r="D611" s="3">
        <v>0</v>
      </c>
      <c r="E611" s="3">
        <v>0</v>
      </c>
      <c r="F611" s="3">
        <v>5771</v>
      </c>
      <c r="G611" s="3">
        <v>0</v>
      </c>
      <c r="H611" s="2">
        <f t="shared" si="18"/>
        <v>5771</v>
      </c>
      <c r="I611" t="str">
        <f t="shared" si="19"/>
        <v>Aspscr1_5771</v>
      </c>
      <c r="J611" s="3">
        <v>0</v>
      </c>
      <c r="K611" s="3">
        <v>0</v>
      </c>
      <c r="L611" s="3">
        <v>0</v>
      </c>
      <c r="M611" s="3">
        <v>5771</v>
      </c>
      <c r="N611" s="3">
        <v>0</v>
      </c>
    </row>
    <row r="612" spans="1:14" x14ac:dyDescent="0.2">
      <c r="A612" s="5" t="str">
        <f>HYPERLINK("http://www.ncbi.nlm.nih.gov/protein/38016200","Aspscr1")</f>
        <v>Aspscr1</v>
      </c>
      <c r="B612" s="4"/>
      <c r="C612" s="3">
        <v>0</v>
      </c>
      <c r="D612" s="3">
        <v>0</v>
      </c>
      <c r="E612" s="3">
        <v>0</v>
      </c>
      <c r="F612" s="3">
        <v>5771</v>
      </c>
      <c r="G612" s="3">
        <v>0</v>
      </c>
      <c r="H612" s="2">
        <f t="shared" si="18"/>
        <v>5771</v>
      </c>
      <c r="I612" t="str">
        <f t="shared" si="19"/>
        <v>Aspscr1_5771</v>
      </c>
      <c r="J612" s="3">
        <v>0</v>
      </c>
      <c r="K612" s="3">
        <v>0</v>
      </c>
      <c r="L612" s="3">
        <v>0</v>
      </c>
      <c r="M612" s="3">
        <v>5771</v>
      </c>
      <c r="N612" s="3">
        <v>0</v>
      </c>
    </row>
    <row r="613" spans="1:14" x14ac:dyDescent="0.2">
      <c r="A613" s="5" t="str">
        <f>HYPERLINK("http://www.ncbi.nlm.nih.gov/protein/30794438","Aspscr1")</f>
        <v>Aspscr1</v>
      </c>
      <c r="B613" s="4"/>
      <c r="C613" s="3">
        <v>0</v>
      </c>
      <c r="D613" s="3">
        <v>21</v>
      </c>
      <c r="E613" s="3">
        <v>0</v>
      </c>
      <c r="F613" s="3">
        <v>10347</v>
      </c>
      <c r="G613" s="3">
        <v>760</v>
      </c>
      <c r="H613" s="2">
        <f t="shared" si="18"/>
        <v>11128</v>
      </c>
      <c r="I613" t="str">
        <f t="shared" si="19"/>
        <v>Aspscr1_11128</v>
      </c>
      <c r="J613" s="3">
        <v>0</v>
      </c>
      <c r="K613" s="3">
        <v>21</v>
      </c>
      <c r="L613" s="3">
        <v>0</v>
      </c>
      <c r="M613" s="3">
        <v>10347</v>
      </c>
      <c r="N613" s="3">
        <v>760</v>
      </c>
    </row>
    <row r="614" spans="1:14" x14ac:dyDescent="0.2">
      <c r="A614" s="5" t="str">
        <f>HYPERLINK("http://www.ncbi.nlm.nih.gov/protein/6996911","Ass1")</f>
        <v>Ass1</v>
      </c>
      <c r="B614" s="4"/>
      <c r="C614" s="3">
        <v>0</v>
      </c>
      <c r="D614" s="3">
        <v>2497</v>
      </c>
      <c r="E614" s="3">
        <v>4605</v>
      </c>
      <c r="F614" s="3">
        <v>17247</v>
      </c>
      <c r="G614" s="3">
        <v>37858</v>
      </c>
      <c r="H614" s="2">
        <f t="shared" si="18"/>
        <v>62207</v>
      </c>
      <c r="I614" t="str">
        <f t="shared" si="19"/>
        <v>Ass1_62207</v>
      </c>
      <c r="J614" s="3">
        <v>0</v>
      </c>
      <c r="K614" s="3">
        <v>2497</v>
      </c>
      <c r="L614" s="3">
        <v>4605</v>
      </c>
      <c r="M614" s="3">
        <v>17247</v>
      </c>
      <c r="N614" s="3">
        <v>37858</v>
      </c>
    </row>
    <row r="615" spans="1:14" x14ac:dyDescent="0.2">
      <c r="A615" s="5" t="str">
        <f>HYPERLINK("http://www.ncbi.nlm.nih.gov/protein/31560168","Atad1")</f>
        <v>Atad1</v>
      </c>
      <c r="B615" s="4"/>
      <c r="C615" s="3">
        <v>0</v>
      </c>
      <c r="D615" s="3">
        <v>4647</v>
      </c>
      <c r="E615" s="3">
        <v>1029</v>
      </c>
      <c r="F615" s="3">
        <v>0</v>
      </c>
      <c r="G615" s="3">
        <v>0</v>
      </c>
      <c r="H615" s="2">
        <f t="shared" si="18"/>
        <v>5676</v>
      </c>
      <c r="I615" t="str">
        <f t="shared" si="19"/>
        <v>Atad1_5676</v>
      </c>
      <c r="J615" s="3">
        <v>0</v>
      </c>
      <c r="K615" s="3">
        <v>4647</v>
      </c>
      <c r="L615" s="3">
        <v>1029</v>
      </c>
      <c r="M615" s="3">
        <v>0</v>
      </c>
      <c r="N615" s="3">
        <v>0</v>
      </c>
    </row>
    <row r="616" spans="1:14" x14ac:dyDescent="0.2">
      <c r="A616" s="5" t="str">
        <f>HYPERLINK("http://www.ncbi.nlm.nih.gov/protein/91199557","Atad2")</f>
        <v>Atad2</v>
      </c>
      <c r="B616" s="4"/>
      <c r="C616" s="3">
        <v>421</v>
      </c>
      <c r="D616" s="3">
        <v>0</v>
      </c>
      <c r="E616" s="3">
        <v>0</v>
      </c>
      <c r="F616" s="3">
        <v>0</v>
      </c>
      <c r="G616" s="3">
        <v>0</v>
      </c>
      <c r="H616" s="2">
        <f t="shared" si="18"/>
        <v>421</v>
      </c>
      <c r="I616" t="str">
        <f t="shared" si="19"/>
        <v>Atad2_421</v>
      </c>
      <c r="J616" s="3">
        <v>421</v>
      </c>
      <c r="K616" s="3">
        <v>0</v>
      </c>
      <c r="L616" s="3">
        <v>0</v>
      </c>
      <c r="M616" s="3">
        <v>0</v>
      </c>
      <c r="N616" s="3">
        <v>0</v>
      </c>
    </row>
    <row r="617" spans="1:14" x14ac:dyDescent="0.2">
      <c r="A617" s="5" t="str">
        <f>HYPERLINK("http://www.ncbi.nlm.nih.gov/protein/239985513","Atad3a")</f>
        <v>Atad3a</v>
      </c>
      <c r="B617" s="4"/>
      <c r="C617" s="3">
        <v>4247</v>
      </c>
      <c r="D617" s="3">
        <v>3325</v>
      </c>
      <c r="E617" s="3">
        <v>241</v>
      </c>
      <c r="F617" s="3">
        <v>0</v>
      </c>
      <c r="G617" s="3">
        <v>0</v>
      </c>
      <c r="H617" s="2">
        <f t="shared" si="18"/>
        <v>7813</v>
      </c>
      <c r="I617" t="str">
        <f t="shared" si="19"/>
        <v>Atad3a_7813</v>
      </c>
      <c r="J617" s="3">
        <v>4247</v>
      </c>
      <c r="K617" s="3">
        <v>3325</v>
      </c>
      <c r="L617" s="3">
        <v>241</v>
      </c>
      <c r="M617" s="3">
        <v>0</v>
      </c>
      <c r="N617" s="3">
        <v>0</v>
      </c>
    </row>
    <row r="618" spans="1:14" x14ac:dyDescent="0.2">
      <c r="A618" s="5" t="str">
        <f>HYPERLINK("http://www.ncbi.nlm.nih.gov/protein/209862913","Ate1")</f>
        <v>Ate1</v>
      </c>
      <c r="B618" s="4"/>
      <c r="C618" s="3">
        <v>0</v>
      </c>
      <c r="D618" s="3">
        <v>0</v>
      </c>
      <c r="E618" s="3">
        <v>0</v>
      </c>
      <c r="F618" s="3">
        <v>0</v>
      </c>
      <c r="G618" s="3">
        <v>760</v>
      </c>
      <c r="H618" s="2">
        <f t="shared" si="18"/>
        <v>760</v>
      </c>
      <c r="I618" t="str">
        <f t="shared" si="19"/>
        <v>Ate1_760</v>
      </c>
      <c r="J618" s="3">
        <v>0</v>
      </c>
      <c r="K618" s="3">
        <v>0</v>
      </c>
      <c r="L618" s="3">
        <v>0</v>
      </c>
      <c r="M618" s="3">
        <v>0</v>
      </c>
      <c r="N618" s="3">
        <v>760</v>
      </c>
    </row>
    <row r="619" spans="1:14" x14ac:dyDescent="0.2">
      <c r="A619" s="5" t="str">
        <f>HYPERLINK("http://www.ncbi.nlm.nih.gov/protein/31542151","Ate1")</f>
        <v>Ate1</v>
      </c>
      <c r="B619" s="4"/>
      <c r="C619" s="3">
        <v>0</v>
      </c>
      <c r="D619" s="3">
        <v>0</v>
      </c>
      <c r="E619" s="3">
        <v>0</v>
      </c>
      <c r="F619" s="3">
        <v>0</v>
      </c>
      <c r="G619" s="3">
        <v>760</v>
      </c>
      <c r="H619" s="2">
        <f t="shared" si="18"/>
        <v>760</v>
      </c>
      <c r="I619" t="str">
        <f t="shared" si="19"/>
        <v>Ate1_760</v>
      </c>
      <c r="J619" s="3">
        <v>0</v>
      </c>
      <c r="K619" s="3">
        <v>0</v>
      </c>
      <c r="L619" s="3">
        <v>0</v>
      </c>
      <c r="M619" s="3">
        <v>0</v>
      </c>
      <c r="N619" s="3">
        <v>760</v>
      </c>
    </row>
    <row r="620" spans="1:14" x14ac:dyDescent="0.2">
      <c r="A620" s="5" t="str">
        <f>HYPERLINK("http://www.ncbi.nlm.nih.gov/protein/405113032","Ate1")</f>
        <v>Ate1</v>
      </c>
      <c r="B620" s="4"/>
      <c r="C620" s="3">
        <v>0</v>
      </c>
      <c r="D620" s="3">
        <v>0</v>
      </c>
      <c r="E620" s="3">
        <v>0</v>
      </c>
      <c r="F620" s="3">
        <v>0</v>
      </c>
      <c r="G620" s="3">
        <v>760</v>
      </c>
      <c r="H620" s="2">
        <f t="shared" si="18"/>
        <v>760</v>
      </c>
      <c r="I620" t="str">
        <f t="shared" si="19"/>
        <v>Ate1_760</v>
      </c>
      <c r="J620" s="3">
        <v>0</v>
      </c>
      <c r="K620" s="3">
        <v>0</v>
      </c>
      <c r="L620" s="3">
        <v>0</v>
      </c>
      <c r="M620" s="3">
        <v>0</v>
      </c>
      <c r="N620" s="3">
        <v>760</v>
      </c>
    </row>
    <row r="621" spans="1:14" x14ac:dyDescent="0.2">
      <c r="A621" s="5" t="str">
        <f>HYPERLINK("http://www.ncbi.nlm.nih.gov/protein/71274127","Ate1")</f>
        <v>Ate1</v>
      </c>
      <c r="B621" s="4"/>
      <c r="C621" s="3">
        <v>0</v>
      </c>
      <c r="D621" s="3">
        <v>0</v>
      </c>
      <c r="E621" s="3">
        <v>0</v>
      </c>
      <c r="F621" s="3">
        <v>0</v>
      </c>
      <c r="G621" s="3">
        <v>760</v>
      </c>
      <c r="H621" s="2">
        <f t="shared" si="18"/>
        <v>760</v>
      </c>
      <c r="I621" t="str">
        <f t="shared" si="19"/>
        <v>Ate1_760</v>
      </c>
      <c r="J621" s="3">
        <v>0</v>
      </c>
      <c r="K621" s="3">
        <v>0</v>
      </c>
      <c r="L621" s="3">
        <v>0</v>
      </c>
      <c r="M621" s="3">
        <v>0</v>
      </c>
      <c r="N621" s="3">
        <v>760</v>
      </c>
    </row>
    <row r="622" spans="1:14" x14ac:dyDescent="0.2">
      <c r="A622" s="5" t="str">
        <f>HYPERLINK("http://www.ncbi.nlm.nih.gov/protein/124486811","Atf6")</f>
        <v>Atf6</v>
      </c>
      <c r="B622" s="4"/>
      <c r="C622" s="3">
        <v>0</v>
      </c>
      <c r="D622" s="3">
        <v>0</v>
      </c>
      <c r="E622" s="3">
        <v>0</v>
      </c>
      <c r="F622" s="3">
        <v>0</v>
      </c>
      <c r="G622" s="3">
        <v>2677</v>
      </c>
      <c r="H622" s="2">
        <f t="shared" si="18"/>
        <v>2677</v>
      </c>
      <c r="I622" t="str">
        <f t="shared" si="19"/>
        <v>Atf6_2677</v>
      </c>
      <c r="J622" s="3">
        <v>0</v>
      </c>
      <c r="K622" s="3">
        <v>0</v>
      </c>
      <c r="L622" s="3">
        <v>0</v>
      </c>
      <c r="M622" s="3">
        <v>0</v>
      </c>
      <c r="N622" s="3">
        <v>2677</v>
      </c>
    </row>
    <row r="623" spans="1:14" x14ac:dyDescent="0.2">
      <c r="A623" s="5" t="str">
        <f>HYPERLINK("http://www.ncbi.nlm.nih.gov/protein/34328232","Atf7ip")</f>
        <v>Atf7ip</v>
      </c>
      <c r="B623" s="4"/>
      <c r="C623" s="3">
        <v>0</v>
      </c>
      <c r="D623" s="3">
        <v>0</v>
      </c>
      <c r="E623" s="3">
        <v>0</v>
      </c>
      <c r="F623" s="3">
        <v>0</v>
      </c>
      <c r="G623" s="3">
        <v>2506</v>
      </c>
      <c r="H623" s="2">
        <f t="shared" si="18"/>
        <v>2506</v>
      </c>
      <c r="I623" t="str">
        <f t="shared" si="19"/>
        <v>Atf7ip_2506</v>
      </c>
      <c r="J623" s="3">
        <v>0</v>
      </c>
      <c r="K623" s="3">
        <v>0</v>
      </c>
      <c r="L623" s="3">
        <v>0</v>
      </c>
      <c r="M623" s="3">
        <v>0</v>
      </c>
      <c r="N623" s="3">
        <v>2506</v>
      </c>
    </row>
    <row r="624" spans="1:14" x14ac:dyDescent="0.2">
      <c r="A624" s="5" t="str">
        <f>HYPERLINK("http://www.ncbi.nlm.nih.gov/protein/27777650","Atg16l1")</f>
        <v>Atg16l1</v>
      </c>
      <c r="B624" s="4"/>
      <c r="C624" s="3">
        <v>0</v>
      </c>
      <c r="D624" s="3">
        <v>0</v>
      </c>
      <c r="E624" s="3">
        <v>42</v>
      </c>
      <c r="F624" s="3">
        <v>0</v>
      </c>
      <c r="G624" s="3">
        <v>1039</v>
      </c>
      <c r="H624" s="2">
        <f t="shared" si="18"/>
        <v>1081</v>
      </c>
      <c r="I624" t="str">
        <f t="shared" si="19"/>
        <v>Atg16l1_1081</v>
      </c>
      <c r="J624" s="3">
        <v>0</v>
      </c>
      <c r="K624" s="3">
        <v>0</v>
      </c>
      <c r="L624" s="3">
        <v>42</v>
      </c>
      <c r="M624" s="3">
        <v>0</v>
      </c>
      <c r="N624" s="3">
        <v>1039</v>
      </c>
    </row>
    <row r="625" spans="1:14" x14ac:dyDescent="0.2">
      <c r="A625" s="5" t="str">
        <f>HYPERLINK("http://www.ncbi.nlm.nih.gov/protein/329663747","Atg16l1")</f>
        <v>Atg16l1</v>
      </c>
      <c r="B625" s="4"/>
      <c r="C625" s="3">
        <v>0</v>
      </c>
      <c r="D625" s="3">
        <v>0</v>
      </c>
      <c r="E625" s="3">
        <v>42</v>
      </c>
      <c r="F625" s="3">
        <v>0</v>
      </c>
      <c r="G625" s="3">
        <v>1039</v>
      </c>
      <c r="H625" s="2">
        <f t="shared" si="18"/>
        <v>1081</v>
      </c>
      <c r="I625" t="str">
        <f t="shared" si="19"/>
        <v>Atg16l1_1081</v>
      </c>
      <c r="J625" s="3">
        <v>0</v>
      </c>
      <c r="K625" s="3">
        <v>0</v>
      </c>
      <c r="L625" s="3">
        <v>42</v>
      </c>
      <c r="M625" s="3">
        <v>0</v>
      </c>
      <c r="N625" s="3">
        <v>1039</v>
      </c>
    </row>
    <row r="626" spans="1:14" x14ac:dyDescent="0.2">
      <c r="A626" s="5" t="str">
        <f>HYPERLINK("http://www.ncbi.nlm.nih.gov/protein/329663755","Atg16l1")</f>
        <v>Atg16l1</v>
      </c>
      <c r="B626" s="4"/>
      <c r="C626" s="3">
        <v>0</v>
      </c>
      <c r="D626" s="3">
        <v>0</v>
      </c>
      <c r="E626" s="3">
        <v>42</v>
      </c>
      <c r="F626" s="3">
        <v>0</v>
      </c>
      <c r="G626" s="3">
        <v>1039</v>
      </c>
      <c r="H626" s="2">
        <f t="shared" si="18"/>
        <v>1081</v>
      </c>
      <c r="I626" t="str">
        <f t="shared" si="19"/>
        <v>Atg16l1_1081</v>
      </c>
      <c r="J626" s="3">
        <v>0</v>
      </c>
      <c r="K626" s="3">
        <v>0</v>
      </c>
      <c r="L626" s="3">
        <v>42</v>
      </c>
      <c r="M626" s="3">
        <v>0</v>
      </c>
      <c r="N626" s="3">
        <v>1039</v>
      </c>
    </row>
    <row r="627" spans="1:14" x14ac:dyDescent="0.2">
      <c r="A627" s="5" t="str">
        <f>HYPERLINK("http://www.ncbi.nlm.nih.gov/protein/118197274","Atg2b")</f>
        <v>Atg2b</v>
      </c>
      <c r="B627" s="4"/>
      <c r="C627" s="3">
        <v>0</v>
      </c>
      <c r="D627" s="3">
        <v>0</v>
      </c>
      <c r="E627" s="3">
        <v>0</v>
      </c>
      <c r="F627" s="3">
        <v>0</v>
      </c>
      <c r="G627" s="3">
        <v>2367</v>
      </c>
      <c r="H627" s="2">
        <f t="shared" si="18"/>
        <v>2367</v>
      </c>
      <c r="I627" t="str">
        <f t="shared" si="19"/>
        <v>Atg2b_2367</v>
      </c>
      <c r="J627" s="3">
        <v>0</v>
      </c>
      <c r="K627" s="3">
        <v>0</v>
      </c>
      <c r="L627" s="3">
        <v>0</v>
      </c>
      <c r="M627" s="3">
        <v>0</v>
      </c>
      <c r="N627" s="3">
        <v>2367</v>
      </c>
    </row>
    <row r="628" spans="1:14" x14ac:dyDescent="0.2">
      <c r="A628" s="5" t="str">
        <f>HYPERLINK("http://www.ncbi.nlm.nih.gov/protein/13385890","Atg3")</f>
        <v>Atg3</v>
      </c>
      <c r="B628" s="4"/>
      <c r="C628" s="3">
        <v>0</v>
      </c>
      <c r="D628" s="3">
        <v>0</v>
      </c>
      <c r="E628" s="3">
        <v>130</v>
      </c>
      <c r="F628" s="3">
        <v>0</v>
      </c>
      <c r="G628" s="3">
        <v>32364</v>
      </c>
      <c r="H628" s="2">
        <f t="shared" si="18"/>
        <v>32494</v>
      </c>
      <c r="I628" t="str">
        <f t="shared" si="19"/>
        <v>Atg3_32494</v>
      </c>
      <c r="J628" s="3">
        <v>0</v>
      </c>
      <c r="K628" s="3">
        <v>0</v>
      </c>
      <c r="L628" s="3">
        <v>130</v>
      </c>
      <c r="M628" s="3">
        <v>0</v>
      </c>
      <c r="N628" s="3">
        <v>32364</v>
      </c>
    </row>
    <row r="629" spans="1:14" x14ac:dyDescent="0.2">
      <c r="A629" s="5" t="str">
        <f>HYPERLINK("http://www.ncbi.nlm.nih.gov/protein/27883848","Atg4b")</f>
        <v>Atg4b</v>
      </c>
      <c r="B629" s="4"/>
      <c r="C629" s="3">
        <v>0</v>
      </c>
      <c r="D629" s="3">
        <v>0</v>
      </c>
      <c r="E629" s="3">
        <v>0</v>
      </c>
      <c r="F629" s="3">
        <v>0</v>
      </c>
      <c r="G629" s="3">
        <v>5408</v>
      </c>
      <c r="H629" s="2">
        <f t="shared" si="18"/>
        <v>5408</v>
      </c>
      <c r="I629" t="str">
        <f t="shared" si="19"/>
        <v>Atg4b_5408</v>
      </c>
      <c r="J629" s="3">
        <v>0</v>
      </c>
      <c r="K629" s="3">
        <v>0</v>
      </c>
      <c r="L629" s="3">
        <v>0</v>
      </c>
      <c r="M629" s="3">
        <v>0</v>
      </c>
      <c r="N629" s="3">
        <v>5408</v>
      </c>
    </row>
    <row r="630" spans="1:14" x14ac:dyDescent="0.2">
      <c r="A630" s="5" t="str">
        <f>HYPERLINK("http://www.ncbi.nlm.nih.gov/protein/16716341","Atg5")</f>
        <v>Atg5</v>
      </c>
      <c r="B630" s="4"/>
      <c r="C630" s="3">
        <v>0</v>
      </c>
      <c r="D630" s="3">
        <v>0</v>
      </c>
      <c r="E630" s="3">
        <v>1349</v>
      </c>
      <c r="F630" s="3">
        <v>1162</v>
      </c>
      <c r="G630" s="3">
        <v>14736</v>
      </c>
      <c r="H630" s="2">
        <f t="shared" si="18"/>
        <v>17247</v>
      </c>
      <c r="I630" t="str">
        <f t="shared" si="19"/>
        <v>Atg5_17247</v>
      </c>
      <c r="J630" s="3">
        <v>0</v>
      </c>
      <c r="K630" s="3">
        <v>0</v>
      </c>
      <c r="L630" s="3">
        <v>1349</v>
      </c>
      <c r="M630" s="3">
        <v>1162</v>
      </c>
      <c r="N630" s="3">
        <v>14736</v>
      </c>
    </row>
    <row r="631" spans="1:14" x14ac:dyDescent="0.2">
      <c r="A631" s="5" t="str">
        <f>HYPERLINK("http://www.ncbi.nlm.nih.gov/protein/22550098","Atg7")</f>
        <v>Atg7</v>
      </c>
      <c r="B631" s="4"/>
      <c r="C631" s="3">
        <v>0</v>
      </c>
      <c r="D631" s="3">
        <v>248</v>
      </c>
      <c r="E631" s="3">
        <v>0</v>
      </c>
      <c r="F631" s="3">
        <v>0</v>
      </c>
      <c r="G631" s="3">
        <v>0</v>
      </c>
      <c r="H631" s="2">
        <f t="shared" si="18"/>
        <v>248</v>
      </c>
      <c r="I631" t="str">
        <f t="shared" si="19"/>
        <v>Atg7_248</v>
      </c>
      <c r="J631" s="3">
        <v>0</v>
      </c>
      <c r="K631" s="3">
        <v>248</v>
      </c>
      <c r="L631" s="3">
        <v>0</v>
      </c>
      <c r="M631" s="3">
        <v>0</v>
      </c>
      <c r="N631" s="3">
        <v>0</v>
      </c>
    </row>
    <row r="632" spans="1:14" x14ac:dyDescent="0.2">
      <c r="A632" s="5" t="str">
        <f>HYPERLINK("http://www.ncbi.nlm.nih.gov/protein/22550098;358679371","Atg7")</f>
        <v>Atg7</v>
      </c>
      <c r="B632" s="4"/>
      <c r="C632" s="3">
        <v>0</v>
      </c>
      <c r="D632" s="3">
        <v>0</v>
      </c>
      <c r="E632" s="3">
        <v>738</v>
      </c>
      <c r="F632" s="3">
        <v>2873</v>
      </c>
      <c r="G632" s="3">
        <v>9232</v>
      </c>
      <c r="H632" s="2">
        <f t="shared" si="18"/>
        <v>12843</v>
      </c>
      <c r="I632" t="str">
        <f t="shared" si="19"/>
        <v>Atg7_12843</v>
      </c>
      <c r="J632" s="3">
        <v>0</v>
      </c>
      <c r="K632" s="3">
        <v>0</v>
      </c>
      <c r="L632" s="3">
        <v>738</v>
      </c>
      <c r="M632" s="3">
        <v>2873</v>
      </c>
      <c r="N632" s="3">
        <v>9232</v>
      </c>
    </row>
    <row r="633" spans="1:14" x14ac:dyDescent="0.2">
      <c r="A633" s="5" t="str">
        <f>HYPERLINK("http://www.ncbi.nlm.nih.gov/protein/358679369","Atg7")</f>
        <v>Atg7</v>
      </c>
      <c r="B633" s="4"/>
      <c r="C633" s="3">
        <v>0</v>
      </c>
      <c r="D633" s="3">
        <v>248</v>
      </c>
      <c r="E633" s="3">
        <v>738</v>
      </c>
      <c r="F633" s="3">
        <v>2873</v>
      </c>
      <c r="G633" s="3">
        <v>9232</v>
      </c>
      <c r="H633" s="2">
        <f t="shared" si="18"/>
        <v>13091</v>
      </c>
      <c r="I633" t="str">
        <f t="shared" si="19"/>
        <v>Atg7_13091</v>
      </c>
      <c r="J633" s="3">
        <v>0</v>
      </c>
      <c r="K633" s="3">
        <v>248</v>
      </c>
      <c r="L633" s="3">
        <v>738</v>
      </c>
      <c r="M633" s="3">
        <v>2873</v>
      </c>
      <c r="N633" s="3">
        <v>9232</v>
      </c>
    </row>
    <row r="634" spans="1:14" x14ac:dyDescent="0.2">
      <c r="A634" s="5" t="str">
        <f>HYPERLINK("http://www.ncbi.nlm.nih.gov/protein/227908823","Atic")</f>
        <v>Atic</v>
      </c>
      <c r="B634" s="4"/>
      <c r="C634" s="3">
        <v>0</v>
      </c>
      <c r="D634" s="3">
        <v>6148</v>
      </c>
      <c r="E634" s="3">
        <v>24786</v>
      </c>
      <c r="F634" s="3">
        <v>55514</v>
      </c>
      <c r="G634" s="3">
        <v>65671</v>
      </c>
      <c r="H634" s="2">
        <f t="shared" si="18"/>
        <v>152119</v>
      </c>
      <c r="I634" t="str">
        <f t="shared" si="19"/>
        <v>Atic_152119</v>
      </c>
      <c r="J634" s="3">
        <v>0</v>
      </c>
      <c r="K634" s="3">
        <v>6148</v>
      </c>
      <c r="L634" s="3">
        <v>24786</v>
      </c>
      <c r="M634" s="3">
        <v>55514</v>
      </c>
      <c r="N634" s="3">
        <v>65671</v>
      </c>
    </row>
    <row r="635" spans="1:14" x14ac:dyDescent="0.2">
      <c r="A635" s="5" t="str">
        <f>HYPERLINK("http://www.ncbi.nlm.nih.gov/protein/30519971","Atl1")</f>
        <v>Atl1</v>
      </c>
      <c r="B635" s="4"/>
      <c r="C635" s="3">
        <v>0</v>
      </c>
      <c r="D635" s="3">
        <v>382</v>
      </c>
      <c r="E635" s="3">
        <v>0</v>
      </c>
      <c r="F635" s="3">
        <v>0</v>
      </c>
      <c r="G635" s="3">
        <v>0</v>
      </c>
      <c r="H635" s="2">
        <f t="shared" si="18"/>
        <v>382</v>
      </c>
      <c r="I635" t="str">
        <f t="shared" si="19"/>
        <v>Atl1_382</v>
      </c>
      <c r="J635" s="3">
        <v>0</v>
      </c>
      <c r="K635" s="3">
        <v>382</v>
      </c>
      <c r="L635" s="3">
        <v>0</v>
      </c>
      <c r="M635" s="3">
        <v>0</v>
      </c>
      <c r="N635" s="3">
        <v>0</v>
      </c>
    </row>
    <row r="636" spans="1:14" x14ac:dyDescent="0.2">
      <c r="A636" s="5" t="str">
        <f>HYPERLINK("http://www.ncbi.nlm.nih.gov/protein/557786119","Atl2")</f>
        <v>Atl2</v>
      </c>
      <c r="B636" s="4"/>
      <c r="C636" s="3">
        <v>879</v>
      </c>
      <c r="D636" s="3">
        <v>0</v>
      </c>
      <c r="E636" s="3">
        <v>0</v>
      </c>
      <c r="F636" s="3">
        <v>0</v>
      </c>
      <c r="G636" s="3">
        <v>0</v>
      </c>
      <c r="H636" s="2">
        <f t="shared" si="18"/>
        <v>879</v>
      </c>
      <c r="I636" t="str">
        <f t="shared" si="19"/>
        <v>Atl2_879</v>
      </c>
      <c r="J636" s="3">
        <v>879</v>
      </c>
      <c r="K636" s="3">
        <v>0</v>
      </c>
      <c r="L636" s="3">
        <v>0</v>
      </c>
      <c r="M636" s="3">
        <v>0</v>
      </c>
      <c r="N636" s="3">
        <v>0</v>
      </c>
    </row>
    <row r="637" spans="1:14" x14ac:dyDescent="0.2">
      <c r="A637" s="5" t="str">
        <f>HYPERLINK("http://www.ncbi.nlm.nih.gov/protein/119372300","Atl2")</f>
        <v>Atl2</v>
      </c>
      <c r="B637" s="4"/>
      <c r="C637" s="3">
        <v>879</v>
      </c>
      <c r="D637" s="3">
        <v>171</v>
      </c>
      <c r="E637" s="3">
        <v>184</v>
      </c>
      <c r="F637" s="3">
        <v>0</v>
      </c>
      <c r="G637" s="3">
        <v>0</v>
      </c>
      <c r="H637" s="2">
        <f t="shared" si="18"/>
        <v>1234</v>
      </c>
      <c r="I637" t="str">
        <f t="shared" si="19"/>
        <v>Atl2_1234</v>
      </c>
      <c r="J637" s="3">
        <v>879</v>
      </c>
      <c r="K637" s="3">
        <v>171</v>
      </c>
      <c r="L637" s="3">
        <v>184</v>
      </c>
      <c r="M637" s="3">
        <v>0</v>
      </c>
      <c r="N637" s="3">
        <v>0</v>
      </c>
    </row>
    <row r="638" spans="1:14" x14ac:dyDescent="0.2">
      <c r="A638" s="5" t="str">
        <f>HYPERLINK("http://www.ncbi.nlm.nih.gov/protein/119372304","Atl2")</f>
        <v>Atl2</v>
      </c>
      <c r="B638" s="4"/>
      <c r="C638" s="3">
        <v>879</v>
      </c>
      <c r="D638" s="3">
        <v>171</v>
      </c>
      <c r="E638" s="3">
        <v>184</v>
      </c>
      <c r="F638" s="3">
        <v>0</v>
      </c>
      <c r="G638" s="3">
        <v>0</v>
      </c>
      <c r="H638" s="2">
        <f t="shared" si="18"/>
        <v>1234</v>
      </c>
      <c r="I638" t="str">
        <f t="shared" si="19"/>
        <v>Atl2_1234</v>
      </c>
      <c r="J638" s="3">
        <v>879</v>
      </c>
      <c r="K638" s="3">
        <v>171</v>
      </c>
      <c r="L638" s="3">
        <v>184</v>
      </c>
      <c r="M638" s="3">
        <v>0</v>
      </c>
      <c r="N638" s="3">
        <v>0</v>
      </c>
    </row>
    <row r="639" spans="1:14" x14ac:dyDescent="0.2">
      <c r="A639" s="5" t="str">
        <f>HYPERLINK("http://www.ncbi.nlm.nih.gov/protein/254826716","Atl3")</f>
        <v>Atl3</v>
      </c>
      <c r="B639" s="4"/>
      <c r="C639" s="3">
        <v>50543</v>
      </c>
      <c r="D639" s="3">
        <v>7569</v>
      </c>
      <c r="E639" s="3">
        <v>7917</v>
      </c>
      <c r="F639" s="3">
        <v>6450</v>
      </c>
      <c r="G639" s="3">
        <v>0</v>
      </c>
      <c r="H639" s="2">
        <f t="shared" si="18"/>
        <v>72479</v>
      </c>
      <c r="I639" t="str">
        <f t="shared" si="19"/>
        <v>Atl3_72479</v>
      </c>
      <c r="J639" s="3">
        <v>50543</v>
      </c>
      <c r="K639" s="3">
        <v>7569</v>
      </c>
      <c r="L639" s="3">
        <v>7917</v>
      </c>
      <c r="M639" s="3">
        <v>6450</v>
      </c>
      <c r="N639" s="3">
        <v>0</v>
      </c>
    </row>
    <row r="640" spans="1:14" x14ac:dyDescent="0.2">
      <c r="A640" s="5" t="str">
        <f>HYPERLINK("http://www.ncbi.nlm.nih.gov/protein/254826718","Atl3")</f>
        <v>Atl3</v>
      </c>
      <c r="B640" s="4"/>
      <c r="C640" s="3">
        <v>50543</v>
      </c>
      <c r="D640" s="3">
        <v>7569</v>
      </c>
      <c r="E640" s="3">
        <v>8256</v>
      </c>
      <c r="F640" s="3">
        <v>6450</v>
      </c>
      <c r="G640" s="3">
        <v>0</v>
      </c>
      <c r="H640" s="2">
        <f t="shared" si="18"/>
        <v>72818</v>
      </c>
      <c r="I640" t="str">
        <f t="shared" si="19"/>
        <v>Atl3_72818</v>
      </c>
      <c r="J640" s="3">
        <v>50543</v>
      </c>
      <c r="K640" s="3">
        <v>7569</v>
      </c>
      <c r="L640" s="3">
        <v>8256</v>
      </c>
      <c r="M640" s="3">
        <v>6450</v>
      </c>
      <c r="N640" s="3">
        <v>0</v>
      </c>
    </row>
    <row r="641" spans="1:14" x14ac:dyDescent="0.2">
      <c r="A641" s="5" t="str">
        <f>HYPERLINK("http://www.ncbi.nlm.nih.gov/protein/163838660","Atm")</f>
        <v>Atm</v>
      </c>
      <c r="B641" s="4"/>
      <c r="C641" s="3">
        <v>0</v>
      </c>
      <c r="D641" s="3">
        <v>0</v>
      </c>
      <c r="E641" s="3">
        <v>60</v>
      </c>
      <c r="F641" s="3">
        <v>98</v>
      </c>
      <c r="G641" s="3">
        <v>0</v>
      </c>
      <c r="H641" s="2">
        <f t="shared" si="18"/>
        <v>158</v>
      </c>
      <c r="I641" t="str">
        <f t="shared" si="19"/>
        <v>Atm_158</v>
      </c>
      <c r="J641" s="3">
        <v>0</v>
      </c>
      <c r="K641" s="3">
        <v>0</v>
      </c>
      <c r="L641" s="3">
        <v>60</v>
      </c>
      <c r="M641" s="3">
        <v>98</v>
      </c>
      <c r="N641" s="3">
        <v>0</v>
      </c>
    </row>
    <row r="642" spans="1:14" x14ac:dyDescent="0.2">
      <c r="A642" s="5" t="str">
        <f>HYPERLINK("http://www.ncbi.nlm.nih.gov/protein/239049657","Atmin")</f>
        <v>Atmin</v>
      </c>
      <c r="B642" s="4"/>
      <c r="C642" s="3">
        <v>0</v>
      </c>
      <c r="D642" s="3">
        <v>0</v>
      </c>
      <c r="E642" s="3">
        <v>0</v>
      </c>
      <c r="F642" s="3">
        <v>0</v>
      </c>
      <c r="G642" s="3">
        <v>2335</v>
      </c>
      <c r="H642" s="2">
        <f t="shared" ref="H642:H705" si="20">SUM(C642:G642)</f>
        <v>2335</v>
      </c>
      <c r="I642" t="str">
        <f t="shared" ref="I642:I705" si="21">A642&amp;"_"&amp;H642</f>
        <v>Atmin_2335</v>
      </c>
      <c r="J642" s="3">
        <v>0</v>
      </c>
      <c r="K642" s="3">
        <v>0</v>
      </c>
      <c r="L642" s="3">
        <v>0</v>
      </c>
      <c r="M642" s="3">
        <v>0</v>
      </c>
      <c r="N642" s="3">
        <v>2335</v>
      </c>
    </row>
    <row r="643" spans="1:14" x14ac:dyDescent="0.2">
      <c r="A643" s="5" t="str">
        <f>HYPERLINK("http://www.ncbi.nlm.nih.gov/protein/6753136","Atox1")</f>
        <v>Atox1</v>
      </c>
      <c r="B643" s="4"/>
      <c r="C643" s="3">
        <v>494</v>
      </c>
      <c r="D643" s="3">
        <v>15</v>
      </c>
      <c r="E643" s="3">
        <v>945</v>
      </c>
      <c r="F643" s="3">
        <v>0</v>
      </c>
      <c r="G643" s="3">
        <v>0</v>
      </c>
      <c r="H643" s="2">
        <f t="shared" si="20"/>
        <v>1454</v>
      </c>
      <c r="I643" t="str">
        <f t="shared" si="21"/>
        <v>Atox1_1454</v>
      </c>
      <c r="J643" s="3">
        <v>494</v>
      </c>
      <c r="K643" s="3">
        <v>15</v>
      </c>
      <c r="L643" s="3">
        <v>945</v>
      </c>
      <c r="M643" s="3">
        <v>0</v>
      </c>
      <c r="N643" s="3">
        <v>0</v>
      </c>
    </row>
    <row r="644" spans="1:14" x14ac:dyDescent="0.2">
      <c r="A644" s="5" t="str">
        <f>HYPERLINK("http://www.ncbi.nlm.nih.gov/protein/7656914","Atp11a")</f>
        <v>Atp11a</v>
      </c>
      <c r="B644" s="4"/>
      <c r="C644" s="3">
        <v>0</v>
      </c>
      <c r="D644" s="3">
        <v>0</v>
      </c>
      <c r="E644" s="3">
        <v>3911</v>
      </c>
      <c r="F644" s="3">
        <v>0</v>
      </c>
      <c r="G644" s="3">
        <v>0</v>
      </c>
      <c r="H644" s="2">
        <f t="shared" si="20"/>
        <v>3911</v>
      </c>
      <c r="I644" t="str">
        <f t="shared" si="21"/>
        <v>Atp11a_3911</v>
      </c>
      <c r="J644" s="3">
        <v>0</v>
      </c>
      <c r="K644" s="3">
        <v>0</v>
      </c>
      <c r="L644" s="3">
        <v>3911</v>
      </c>
      <c r="M644" s="3">
        <v>0</v>
      </c>
      <c r="N644" s="3">
        <v>0</v>
      </c>
    </row>
    <row r="645" spans="1:14" x14ac:dyDescent="0.2">
      <c r="A645" s="5" t="str">
        <f>HYPERLINK("http://www.ncbi.nlm.nih.gov/protein/62632754","Atp11b")</f>
        <v>Atp11b</v>
      </c>
      <c r="B645" s="4"/>
      <c r="C645" s="3">
        <v>0</v>
      </c>
      <c r="D645" s="3">
        <v>0</v>
      </c>
      <c r="E645" s="3">
        <v>1062</v>
      </c>
      <c r="F645" s="3">
        <v>0</v>
      </c>
      <c r="G645" s="3">
        <v>0</v>
      </c>
      <c r="H645" s="2">
        <f t="shared" si="20"/>
        <v>1062</v>
      </c>
      <c r="I645" t="str">
        <f t="shared" si="21"/>
        <v>Atp11b_1062</v>
      </c>
      <c r="J645" s="3">
        <v>0</v>
      </c>
      <c r="K645" s="3">
        <v>0</v>
      </c>
      <c r="L645" s="3">
        <v>1062</v>
      </c>
      <c r="M645" s="3">
        <v>0</v>
      </c>
      <c r="N645" s="3">
        <v>0</v>
      </c>
    </row>
    <row r="646" spans="1:14" x14ac:dyDescent="0.2">
      <c r="A646" s="5" t="str">
        <f>HYPERLINK("http://www.ncbi.nlm.nih.gov/protein/157168326","Atp12a")</f>
        <v>Atp12a</v>
      </c>
      <c r="B646" s="4"/>
      <c r="C646" s="3">
        <v>22773</v>
      </c>
      <c r="D646" s="3">
        <v>62062</v>
      </c>
      <c r="E646" s="3">
        <v>84223</v>
      </c>
      <c r="F646" s="3">
        <v>8497</v>
      </c>
      <c r="G646" s="3">
        <v>0</v>
      </c>
      <c r="H646" s="2">
        <f t="shared" si="20"/>
        <v>177555</v>
      </c>
      <c r="I646" t="str">
        <f t="shared" si="21"/>
        <v>Atp12a_177555</v>
      </c>
      <c r="J646" s="3">
        <v>22773</v>
      </c>
      <c r="K646" s="3">
        <v>62062</v>
      </c>
      <c r="L646" s="3">
        <v>84223</v>
      </c>
      <c r="M646" s="3">
        <v>8497</v>
      </c>
      <c r="N646" s="3">
        <v>0</v>
      </c>
    </row>
    <row r="647" spans="1:14" x14ac:dyDescent="0.2">
      <c r="A647" s="5" t="str">
        <f>HYPERLINK("http://www.ncbi.nlm.nih.gov/protein/283135194","Atp13a1")</f>
        <v>Atp13a1</v>
      </c>
      <c r="B647" s="4"/>
      <c r="C647" s="3">
        <v>2618</v>
      </c>
      <c r="D647" s="3">
        <v>833</v>
      </c>
      <c r="E647" s="3">
        <v>4443</v>
      </c>
      <c r="F647" s="3">
        <v>0</v>
      </c>
      <c r="G647" s="3">
        <v>11963</v>
      </c>
      <c r="H647" s="2">
        <f t="shared" si="20"/>
        <v>19857</v>
      </c>
      <c r="I647" t="str">
        <f t="shared" si="21"/>
        <v>Atp13a1_19857</v>
      </c>
      <c r="J647" s="3">
        <v>2618</v>
      </c>
      <c r="K647" s="3">
        <v>833</v>
      </c>
      <c r="L647" s="3">
        <v>4443</v>
      </c>
      <c r="M647" s="3">
        <v>0</v>
      </c>
      <c r="N647" s="3">
        <v>11963</v>
      </c>
    </row>
    <row r="648" spans="1:14" x14ac:dyDescent="0.2">
      <c r="A648" s="5" t="str">
        <f>HYPERLINK("http://www.ncbi.nlm.nih.gov/protein/189339252","Atp13a3")</f>
        <v>Atp13a3</v>
      </c>
      <c r="B648" s="4"/>
      <c r="C648" s="3">
        <v>0</v>
      </c>
      <c r="D648" s="3">
        <v>0</v>
      </c>
      <c r="E648" s="3">
        <v>151</v>
      </c>
      <c r="F648" s="3">
        <v>0</v>
      </c>
      <c r="G648" s="3">
        <v>0</v>
      </c>
      <c r="H648" s="2">
        <f t="shared" si="20"/>
        <v>151</v>
      </c>
      <c r="I648" t="str">
        <f t="shared" si="21"/>
        <v>Atp13a3_151</v>
      </c>
      <c r="J648" s="3">
        <v>0</v>
      </c>
      <c r="K648" s="3">
        <v>0</v>
      </c>
      <c r="L648" s="3">
        <v>151</v>
      </c>
      <c r="M648" s="3">
        <v>0</v>
      </c>
      <c r="N648" s="3">
        <v>0</v>
      </c>
    </row>
    <row r="649" spans="1:14" x14ac:dyDescent="0.2">
      <c r="A649" s="5" t="str">
        <f>HYPERLINK("http://www.ncbi.nlm.nih.gov/protein/189339254","Atp13a3")</f>
        <v>Atp13a3</v>
      </c>
      <c r="B649" s="4"/>
      <c r="C649" s="3">
        <v>0</v>
      </c>
      <c r="D649" s="3">
        <v>0</v>
      </c>
      <c r="E649" s="3">
        <v>151</v>
      </c>
      <c r="F649" s="3">
        <v>0</v>
      </c>
      <c r="G649" s="3">
        <v>0</v>
      </c>
      <c r="H649" s="2">
        <f t="shared" si="20"/>
        <v>151</v>
      </c>
      <c r="I649" t="str">
        <f t="shared" si="21"/>
        <v>Atp13a3_151</v>
      </c>
      <c r="J649" s="3">
        <v>0</v>
      </c>
      <c r="K649" s="3">
        <v>0</v>
      </c>
      <c r="L649" s="3">
        <v>151</v>
      </c>
      <c r="M649" s="3">
        <v>0</v>
      </c>
      <c r="N649" s="3">
        <v>0</v>
      </c>
    </row>
    <row r="650" spans="1:14" x14ac:dyDescent="0.2">
      <c r="A650" s="5" t="str">
        <f>HYPERLINK("http://www.ncbi.nlm.nih.gov/protein/21450277","Atp1a1")</f>
        <v>Atp1a1</v>
      </c>
      <c r="B650" s="4"/>
      <c r="C650" s="3">
        <v>1620174</v>
      </c>
      <c r="D650" s="3">
        <v>316642</v>
      </c>
      <c r="E650" s="3">
        <v>737010</v>
      </c>
      <c r="F650" s="3">
        <v>104775</v>
      </c>
      <c r="G650" s="3">
        <v>0</v>
      </c>
      <c r="H650" s="2">
        <f t="shared" si="20"/>
        <v>2778601</v>
      </c>
      <c r="I650" t="str">
        <f t="shared" si="21"/>
        <v>Atp1a1_2778601</v>
      </c>
      <c r="J650" s="3">
        <v>1620174</v>
      </c>
      <c r="K650" s="3">
        <v>316642</v>
      </c>
      <c r="L650" s="3">
        <v>737010</v>
      </c>
      <c r="M650" s="3">
        <v>104775</v>
      </c>
      <c r="N650" s="3">
        <v>0</v>
      </c>
    </row>
    <row r="651" spans="1:14" x14ac:dyDescent="0.2">
      <c r="A651" s="5" t="str">
        <f>HYPERLINK("http://www.ncbi.nlm.nih.gov/protein/30409956","Atp1a2")</f>
        <v>Atp1a2</v>
      </c>
      <c r="B651" s="4"/>
      <c r="C651" s="3">
        <v>547295</v>
      </c>
      <c r="D651" s="3">
        <v>117402</v>
      </c>
      <c r="E651" s="3">
        <v>284077</v>
      </c>
      <c r="F651" s="3">
        <v>35730</v>
      </c>
      <c r="G651" s="3">
        <v>0</v>
      </c>
      <c r="H651" s="2">
        <f t="shared" si="20"/>
        <v>984504</v>
      </c>
      <c r="I651" t="str">
        <f t="shared" si="21"/>
        <v>Atp1a2_984504</v>
      </c>
      <c r="J651" s="3">
        <v>547295</v>
      </c>
      <c r="K651" s="3">
        <v>117402</v>
      </c>
      <c r="L651" s="3">
        <v>284077</v>
      </c>
      <c r="M651" s="3">
        <v>35730</v>
      </c>
      <c r="N651" s="3">
        <v>0</v>
      </c>
    </row>
    <row r="652" spans="1:14" x14ac:dyDescent="0.2">
      <c r="A652" s="5" t="str">
        <f>HYPERLINK("http://www.ncbi.nlm.nih.gov/protein/21450321","Atp1a3")</f>
        <v>Atp1a3</v>
      </c>
      <c r="B652" s="4"/>
      <c r="C652" s="3">
        <v>536311</v>
      </c>
      <c r="D652" s="3">
        <v>117358</v>
      </c>
      <c r="E652" s="3">
        <v>275596</v>
      </c>
      <c r="F652" s="3">
        <v>35730</v>
      </c>
      <c r="G652" s="3">
        <v>0</v>
      </c>
      <c r="H652" s="2">
        <f t="shared" si="20"/>
        <v>964995</v>
      </c>
      <c r="I652" t="str">
        <f t="shared" si="21"/>
        <v>Atp1a3_964995</v>
      </c>
      <c r="J652" s="3">
        <v>536311</v>
      </c>
      <c r="K652" s="3">
        <v>117358</v>
      </c>
      <c r="L652" s="3">
        <v>275596</v>
      </c>
      <c r="M652" s="3">
        <v>35730</v>
      </c>
      <c r="N652" s="3">
        <v>0</v>
      </c>
    </row>
    <row r="653" spans="1:14" x14ac:dyDescent="0.2">
      <c r="A653" s="5" t="str">
        <f>HYPERLINK("http://www.ncbi.nlm.nih.gov/protein/226958351","Atp1a4")</f>
        <v>Atp1a4</v>
      </c>
      <c r="B653" s="4"/>
      <c r="C653" s="3">
        <v>70972</v>
      </c>
      <c r="D653" s="3">
        <v>85237</v>
      </c>
      <c r="E653" s="3">
        <v>152719</v>
      </c>
      <c r="F653" s="3">
        <v>10829</v>
      </c>
      <c r="G653" s="3">
        <v>0</v>
      </c>
      <c r="H653" s="2">
        <f t="shared" si="20"/>
        <v>319757</v>
      </c>
      <c r="I653" t="str">
        <f t="shared" si="21"/>
        <v>Atp1a4_319757</v>
      </c>
      <c r="J653" s="3">
        <v>70972</v>
      </c>
      <c r="K653" s="3">
        <v>85237</v>
      </c>
      <c r="L653" s="3">
        <v>152719</v>
      </c>
      <c r="M653" s="3">
        <v>10829</v>
      </c>
      <c r="N653" s="3">
        <v>0</v>
      </c>
    </row>
    <row r="654" spans="1:14" x14ac:dyDescent="0.2">
      <c r="A654" s="5" t="str">
        <f>HYPERLINK("http://www.ncbi.nlm.nih.gov/protein/6753138","Atp1b1")</f>
        <v>Atp1b1</v>
      </c>
      <c r="B654" s="4"/>
      <c r="C654" s="3">
        <v>245923</v>
      </c>
      <c r="D654" s="3">
        <v>97994</v>
      </c>
      <c r="E654" s="3">
        <v>176656</v>
      </c>
      <c r="F654" s="3">
        <v>31916</v>
      </c>
      <c r="G654" s="3">
        <v>0</v>
      </c>
      <c r="H654" s="2">
        <f t="shared" si="20"/>
        <v>552489</v>
      </c>
      <c r="I654" t="str">
        <f t="shared" si="21"/>
        <v>Atp1b1_552489</v>
      </c>
      <c r="J654" s="3">
        <v>245923</v>
      </c>
      <c r="K654" s="3">
        <v>97994</v>
      </c>
      <c r="L654" s="3">
        <v>176656</v>
      </c>
      <c r="M654" s="3">
        <v>31916</v>
      </c>
      <c r="N654" s="3">
        <v>0</v>
      </c>
    </row>
    <row r="655" spans="1:14" x14ac:dyDescent="0.2">
      <c r="A655" s="5" t="str">
        <f>HYPERLINK("http://www.ncbi.nlm.nih.gov/protein/6680744","Atp1b3")</f>
        <v>Atp1b3</v>
      </c>
      <c r="B655" s="4"/>
      <c r="C655" s="3">
        <v>3130</v>
      </c>
      <c r="D655" s="3">
        <v>6561</v>
      </c>
      <c r="E655" s="3">
        <v>8341</v>
      </c>
      <c r="F655" s="3">
        <v>0</v>
      </c>
      <c r="G655" s="3">
        <v>0</v>
      </c>
      <c r="H655" s="2">
        <f t="shared" si="20"/>
        <v>18032</v>
      </c>
      <c r="I655" t="str">
        <f t="shared" si="21"/>
        <v>Atp1b3_18032</v>
      </c>
      <c r="J655" s="3">
        <v>3130</v>
      </c>
      <c r="K655" s="3">
        <v>6561</v>
      </c>
      <c r="L655" s="3">
        <v>8341</v>
      </c>
      <c r="M655" s="3">
        <v>0</v>
      </c>
      <c r="N655" s="3">
        <v>0</v>
      </c>
    </row>
    <row r="656" spans="1:14" x14ac:dyDescent="0.2">
      <c r="A656" s="5" t="str">
        <f>HYPERLINK("http://www.ncbi.nlm.nih.gov/protein/36031132","Atp2a1")</f>
        <v>Atp2a1</v>
      </c>
      <c r="B656" s="4"/>
      <c r="C656" s="3">
        <v>30553</v>
      </c>
      <c r="D656" s="3">
        <v>4327</v>
      </c>
      <c r="E656" s="3">
        <v>14225</v>
      </c>
      <c r="F656" s="3">
        <v>0</v>
      </c>
      <c r="G656" s="3">
        <v>0</v>
      </c>
      <c r="H656" s="2">
        <f t="shared" si="20"/>
        <v>49105</v>
      </c>
      <c r="I656" t="str">
        <f t="shared" si="21"/>
        <v>Atp2a1_49105</v>
      </c>
      <c r="J656" s="3">
        <v>30553</v>
      </c>
      <c r="K656" s="3">
        <v>4327</v>
      </c>
      <c r="L656" s="3">
        <v>14225</v>
      </c>
      <c r="M656" s="3">
        <v>0</v>
      </c>
      <c r="N656" s="3">
        <v>0</v>
      </c>
    </row>
    <row r="657" spans="1:14" x14ac:dyDescent="0.2">
      <c r="A657" s="5" t="str">
        <f>HYPERLINK("http://www.ncbi.nlm.nih.gov/protein/158635979","Atp2a2")</f>
        <v>Atp2a2</v>
      </c>
      <c r="B657" s="4"/>
      <c r="C657" s="3">
        <v>131089</v>
      </c>
      <c r="D657" s="3">
        <v>14256</v>
      </c>
      <c r="E657" s="3">
        <v>38234</v>
      </c>
      <c r="F657" s="3">
        <v>0</v>
      </c>
      <c r="G657" s="3">
        <v>0</v>
      </c>
      <c r="H657" s="2">
        <f t="shared" si="20"/>
        <v>183579</v>
      </c>
      <c r="I657" t="str">
        <f t="shared" si="21"/>
        <v>Atp2a2_183579</v>
      </c>
      <c r="J657" s="3">
        <v>131089</v>
      </c>
      <c r="K657" s="3">
        <v>14256</v>
      </c>
      <c r="L657" s="3">
        <v>38234</v>
      </c>
      <c r="M657" s="3">
        <v>0</v>
      </c>
      <c r="N657" s="3">
        <v>0</v>
      </c>
    </row>
    <row r="658" spans="1:14" x14ac:dyDescent="0.2">
      <c r="A658" s="5" t="str">
        <f>HYPERLINK("http://www.ncbi.nlm.nih.gov/protein/6806903","Atp2a2")</f>
        <v>Atp2a2</v>
      </c>
      <c r="B658" s="4"/>
      <c r="C658" s="3">
        <v>131089</v>
      </c>
      <c r="D658" s="3">
        <v>14256</v>
      </c>
      <c r="E658" s="3">
        <v>38140</v>
      </c>
      <c r="F658" s="3">
        <v>0</v>
      </c>
      <c r="G658" s="3">
        <v>0</v>
      </c>
      <c r="H658" s="2">
        <f t="shared" si="20"/>
        <v>183485</v>
      </c>
      <c r="I658" t="str">
        <f t="shared" si="21"/>
        <v>Atp2a2_183485</v>
      </c>
      <c r="J658" s="3">
        <v>131089</v>
      </c>
      <c r="K658" s="3">
        <v>14256</v>
      </c>
      <c r="L658" s="3">
        <v>38140</v>
      </c>
      <c r="M658" s="3">
        <v>0</v>
      </c>
      <c r="N658" s="3">
        <v>0</v>
      </c>
    </row>
    <row r="659" spans="1:14" x14ac:dyDescent="0.2">
      <c r="A659" s="5" t="str">
        <f>HYPERLINK("http://www.ncbi.nlm.nih.gov/protein/254039658","Atp2a3")</f>
        <v>Atp2a3</v>
      </c>
      <c r="B659" s="4"/>
      <c r="C659" s="3">
        <v>80766</v>
      </c>
      <c r="D659" s="3">
        <v>4889</v>
      </c>
      <c r="E659" s="3">
        <v>12664</v>
      </c>
      <c r="F659" s="3">
        <v>0</v>
      </c>
      <c r="G659" s="3">
        <v>0</v>
      </c>
      <c r="H659" s="2">
        <f t="shared" si="20"/>
        <v>98319</v>
      </c>
      <c r="I659" t="str">
        <f t="shared" si="21"/>
        <v>Atp2a3_98319</v>
      </c>
      <c r="J659" s="3">
        <v>80766</v>
      </c>
      <c r="K659" s="3">
        <v>4889</v>
      </c>
      <c r="L659" s="3">
        <v>12664</v>
      </c>
      <c r="M659" s="3">
        <v>0</v>
      </c>
      <c r="N659" s="3">
        <v>0</v>
      </c>
    </row>
    <row r="660" spans="1:14" x14ac:dyDescent="0.2">
      <c r="A660" s="5" t="str">
        <f>HYPERLINK("http://www.ncbi.nlm.nih.gov/protein/254039660","Atp2a3")</f>
        <v>Atp2a3</v>
      </c>
      <c r="B660" s="4"/>
      <c r="C660" s="3">
        <v>80766</v>
      </c>
      <c r="D660" s="3">
        <v>4889</v>
      </c>
      <c r="E660" s="3">
        <v>12664</v>
      </c>
      <c r="F660" s="3">
        <v>0</v>
      </c>
      <c r="G660" s="3">
        <v>0</v>
      </c>
      <c r="H660" s="2">
        <f t="shared" si="20"/>
        <v>98319</v>
      </c>
      <c r="I660" t="str">
        <f t="shared" si="21"/>
        <v>Atp2a3_98319</v>
      </c>
      <c r="J660" s="3">
        <v>80766</v>
      </c>
      <c r="K660" s="3">
        <v>4889</v>
      </c>
      <c r="L660" s="3">
        <v>12664</v>
      </c>
      <c r="M660" s="3">
        <v>0</v>
      </c>
      <c r="N660" s="3">
        <v>0</v>
      </c>
    </row>
    <row r="661" spans="1:14" x14ac:dyDescent="0.2">
      <c r="A661" s="5" t="str">
        <f>HYPERLINK("http://www.ncbi.nlm.nih.gov/protein/31542159","Atp2a3")</f>
        <v>Atp2a3</v>
      </c>
      <c r="B661" s="4"/>
      <c r="C661" s="3">
        <v>80766</v>
      </c>
      <c r="D661" s="3">
        <v>4889</v>
      </c>
      <c r="E661" s="3">
        <v>12664</v>
      </c>
      <c r="F661" s="3">
        <v>0</v>
      </c>
      <c r="G661" s="3">
        <v>0</v>
      </c>
      <c r="H661" s="2">
        <f t="shared" si="20"/>
        <v>98319</v>
      </c>
      <c r="I661" t="str">
        <f t="shared" si="21"/>
        <v>Atp2a3_98319</v>
      </c>
      <c r="J661" s="3">
        <v>80766</v>
      </c>
      <c r="K661" s="3">
        <v>4889</v>
      </c>
      <c r="L661" s="3">
        <v>12664</v>
      </c>
      <c r="M661" s="3">
        <v>0</v>
      </c>
      <c r="N661" s="3">
        <v>0</v>
      </c>
    </row>
    <row r="662" spans="1:14" x14ac:dyDescent="0.2">
      <c r="A662" s="5" t="str">
        <f>HYPERLINK("http://www.ncbi.nlm.nih.gov/protein/62234487","Atp2b1")</f>
        <v>Atp2b1</v>
      </c>
      <c r="B662" s="4"/>
      <c r="C662" s="3">
        <v>2966</v>
      </c>
      <c r="D662" s="3">
        <v>6521</v>
      </c>
      <c r="E662" s="3">
        <v>25094</v>
      </c>
      <c r="F662" s="3">
        <v>1179</v>
      </c>
      <c r="G662" s="3">
        <v>0</v>
      </c>
      <c r="H662" s="2">
        <f t="shared" si="20"/>
        <v>35760</v>
      </c>
      <c r="I662" t="str">
        <f t="shared" si="21"/>
        <v>Atp2b1_35760</v>
      </c>
      <c r="J662" s="3">
        <v>2966</v>
      </c>
      <c r="K662" s="3">
        <v>6521</v>
      </c>
      <c r="L662" s="3">
        <v>25094</v>
      </c>
      <c r="M662" s="3">
        <v>1179</v>
      </c>
      <c r="N662" s="3">
        <v>0</v>
      </c>
    </row>
    <row r="663" spans="1:14" x14ac:dyDescent="0.2">
      <c r="A663" s="5" t="str">
        <f>HYPERLINK("http://www.ncbi.nlm.nih.gov/protein/6753140","Atp2b2")</f>
        <v>Atp2b2</v>
      </c>
      <c r="B663" s="4"/>
      <c r="C663" s="3">
        <v>1812</v>
      </c>
      <c r="D663" s="3">
        <v>0</v>
      </c>
      <c r="E663" s="3">
        <v>0</v>
      </c>
      <c r="F663" s="3">
        <v>0</v>
      </c>
      <c r="G663" s="3">
        <v>0</v>
      </c>
      <c r="H663" s="2">
        <f t="shared" si="20"/>
        <v>1812</v>
      </c>
      <c r="I663" t="str">
        <f t="shared" si="21"/>
        <v>Atp2b2_1812</v>
      </c>
      <c r="J663" s="3">
        <v>1812</v>
      </c>
      <c r="K663" s="3">
        <v>0</v>
      </c>
      <c r="L663" s="3">
        <v>0</v>
      </c>
      <c r="M663" s="3">
        <v>0</v>
      </c>
      <c r="N663" s="3">
        <v>0</v>
      </c>
    </row>
    <row r="664" spans="1:14" x14ac:dyDescent="0.2">
      <c r="A664" s="5" t="str">
        <f>HYPERLINK("http://www.ncbi.nlm.nih.gov/protein/80861454","Atp2b2")</f>
        <v>Atp2b2</v>
      </c>
      <c r="B664" s="4"/>
      <c r="C664" s="3">
        <v>0</v>
      </c>
      <c r="D664" s="3">
        <v>2079</v>
      </c>
      <c r="E664" s="3">
        <v>11677</v>
      </c>
      <c r="F664" s="3">
        <v>1179</v>
      </c>
      <c r="G664" s="3">
        <v>0</v>
      </c>
      <c r="H664" s="2">
        <f t="shared" si="20"/>
        <v>14935</v>
      </c>
      <c r="I664" t="str">
        <f t="shared" si="21"/>
        <v>Atp2b2_14935</v>
      </c>
      <c r="J664" s="3">
        <v>0</v>
      </c>
      <c r="K664" s="3">
        <v>2079</v>
      </c>
      <c r="L664" s="3">
        <v>11677</v>
      </c>
      <c r="M664" s="3">
        <v>1179</v>
      </c>
      <c r="N664" s="3">
        <v>0</v>
      </c>
    </row>
    <row r="665" spans="1:14" x14ac:dyDescent="0.2">
      <c r="A665" s="5" t="str">
        <f>HYPERLINK("http://www.ncbi.nlm.nih.gov/protein/56699478","Atp2b3")</f>
        <v>Atp2b3</v>
      </c>
      <c r="B665" s="4"/>
      <c r="C665" s="3">
        <v>1812</v>
      </c>
      <c r="D665" s="3">
        <v>1812</v>
      </c>
      <c r="E665" s="3">
        <v>10283</v>
      </c>
      <c r="F665" s="3">
        <v>1179</v>
      </c>
      <c r="G665" s="3">
        <v>0</v>
      </c>
      <c r="H665" s="2">
        <f t="shared" si="20"/>
        <v>15086</v>
      </c>
      <c r="I665" t="str">
        <f t="shared" si="21"/>
        <v>Atp2b3_15086</v>
      </c>
      <c r="J665" s="3">
        <v>1812</v>
      </c>
      <c r="K665" s="3">
        <v>1812</v>
      </c>
      <c r="L665" s="3">
        <v>10283</v>
      </c>
      <c r="M665" s="3">
        <v>1179</v>
      </c>
      <c r="N665" s="3">
        <v>0</v>
      </c>
    </row>
    <row r="666" spans="1:14" x14ac:dyDescent="0.2">
      <c r="A666" s="5" t="str">
        <f>HYPERLINK("http://www.ncbi.nlm.nih.gov/protein/269784615","Atp2b4")</f>
        <v>Atp2b4</v>
      </c>
      <c r="B666" s="4"/>
      <c r="C666" s="3">
        <v>0</v>
      </c>
      <c r="D666" s="3">
        <v>1760</v>
      </c>
      <c r="E666" s="3">
        <v>4718</v>
      </c>
      <c r="F666" s="3">
        <v>1179</v>
      </c>
      <c r="G666" s="3">
        <v>0</v>
      </c>
      <c r="H666" s="2">
        <f t="shared" si="20"/>
        <v>7657</v>
      </c>
      <c r="I666" t="str">
        <f t="shared" si="21"/>
        <v>Atp2b4_7657</v>
      </c>
      <c r="J666" s="3">
        <v>0</v>
      </c>
      <c r="K666" s="3">
        <v>1760</v>
      </c>
      <c r="L666" s="3">
        <v>4718</v>
      </c>
      <c r="M666" s="3">
        <v>1179</v>
      </c>
      <c r="N666" s="3">
        <v>0</v>
      </c>
    </row>
    <row r="667" spans="1:14" x14ac:dyDescent="0.2">
      <c r="A667" s="5" t="str">
        <f>HYPERLINK("http://www.ncbi.nlm.nih.gov/protein/54261793","Atp2b4")</f>
        <v>Atp2b4</v>
      </c>
      <c r="B667" s="4"/>
      <c r="C667" s="3">
        <v>0</v>
      </c>
      <c r="D667" s="3">
        <v>1760</v>
      </c>
      <c r="E667" s="3">
        <v>4718</v>
      </c>
      <c r="F667" s="3">
        <v>1179</v>
      </c>
      <c r="G667" s="3">
        <v>0</v>
      </c>
      <c r="H667" s="2">
        <f t="shared" si="20"/>
        <v>7657</v>
      </c>
      <c r="I667" t="str">
        <f t="shared" si="21"/>
        <v>Atp2b4_7657</v>
      </c>
      <c r="J667" s="3">
        <v>0</v>
      </c>
      <c r="K667" s="3">
        <v>1760</v>
      </c>
      <c r="L667" s="3">
        <v>4718</v>
      </c>
      <c r="M667" s="3">
        <v>1179</v>
      </c>
      <c r="N667" s="3">
        <v>0</v>
      </c>
    </row>
    <row r="668" spans="1:14" x14ac:dyDescent="0.2">
      <c r="A668" s="5" t="str">
        <f>HYPERLINK("http://www.ncbi.nlm.nih.gov/protein/225690606","Atp2c1")</f>
        <v>Atp2c1</v>
      </c>
      <c r="B668" s="4"/>
      <c r="C668" s="3">
        <v>0</v>
      </c>
      <c r="D668" s="3">
        <v>850</v>
      </c>
      <c r="E668" s="3">
        <v>458</v>
      </c>
      <c r="F668" s="3">
        <v>0</v>
      </c>
      <c r="G668" s="3">
        <v>0</v>
      </c>
      <c r="H668" s="2">
        <f t="shared" si="20"/>
        <v>1308</v>
      </c>
      <c r="I668" t="str">
        <f t="shared" si="21"/>
        <v>Atp2c1_1308</v>
      </c>
      <c r="J668" s="3">
        <v>0</v>
      </c>
      <c r="K668" s="3">
        <v>850</v>
      </c>
      <c r="L668" s="3">
        <v>458</v>
      </c>
      <c r="M668" s="3">
        <v>0</v>
      </c>
      <c r="N668" s="3">
        <v>0</v>
      </c>
    </row>
    <row r="669" spans="1:14" x14ac:dyDescent="0.2">
      <c r="A669" s="5" t="str">
        <f>HYPERLINK("http://www.ncbi.nlm.nih.gov/protein/359465596","Atp2c1")</f>
        <v>Atp2c1</v>
      </c>
      <c r="B669" s="4"/>
      <c r="C669" s="3">
        <v>0</v>
      </c>
      <c r="D669" s="3">
        <v>850</v>
      </c>
      <c r="E669" s="3">
        <v>458</v>
      </c>
      <c r="F669" s="3">
        <v>0</v>
      </c>
      <c r="G669" s="3">
        <v>0</v>
      </c>
      <c r="H669" s="2">
        <f t="shared" si="20"/>
        <v>1308</v>
      </c>
      <c r="I669" t="str">
        <f t="shared" si="21"/>
        <v>Atp2c1_1308</v>
      </c>
      <c r="J669" s="3">
        <v>0</v>
      </c>
      <c r="K669" s="3">
        <v>850</v>
      </c>
      <c r="L669" s="3">
        <v>458</v>
      </c>
      <c r="M669" s="3">
        <v>0</v>
      </c>
      <c r="N669" s="3">
        <v>0</v>
      </c>
    </row>
    <row r="670" spans="1:14" x14ac:dyDescent="0.2">
      <c r="A670" s="5" t="str">
        <f>HYPERLINK("http://www.ncbi.nlm.nih.gov/protein/359465610","Atp2c1")</f>
        <v>Atp2c1</v>
      </c>
      <c r="B670" s="4"/>
      <c r="C670" s="3">
        <v>0</v>
      </c>
      <c r="D670" s="3">
        <v>850</v>
      </c>
      <c r="E670" s="3">
        <v>458</v>
      </c>
      <c r="F670" s="3">
        <v>0</v>
      </c>
      <c r="G670" s="3">
        <v>0</v>
      </c>
      <c r="H670" s="2">
        <f t="shared" si="20"/>
        <v>1308</v>
      </c>
      <c r="I670" t="str">
        <f t="shared" si="21"/>
        <v>Atp2c1_1308</v>
      </c>
      <c r="J670" s="3">
        <v>0</v>
      </c>
      <c r="K670" s="3">
        <v>850</v>
      </c>
      <c r="L670" s="3">
        <v>458</v>
      </c>
      <c r="M670" s="3">
        <v>0</v>
      </c>
      <c r="N670" s="3">
        <v>0</v>
      </c>
    </row>
    <row r="671" spans="1:14" x14ac:dyDescent="0.2">
      <c r="A671" s="5" t="str">
        <f>HYPERLINK("http://www.ncbi.nlm.nih.gov/protein/110225337","Atp4a")</f>
        <v>Atp4a</v>
      </c>
      <c r="B671" s="4"/>
      <c r="C671" s="3">
        <v>167171</v>
      </c>
      <c r="D671" s="3">
        <v>28492</v>
      </c>
      <c r="E671" s="3">
        <v>78378</v>
      </c>
      <c r="F671" s="3">
        <v>19285</v>
      </c>
      <c r="G671" s="3">
        <v>0</v>
      </c>
      <c r="H671" s="2">
        <f t="shared" si="20"/>
        <v>293326</v>
      </c>
      <c r="I671" t="str">
        <f t="shared" si="21"/>
        <v>Atp4a_293326</v>
      </c>
      <c r="J671" s="3">
        <v>167171</v>
      </c>
      <c r="K671" s="3">
        <v>28492</v>
      </c>
      <c r="L671" s="3">
        <v>78378</v>
      </c>
      <c r="M671" s="3">
        <v>19285</v>
      </c>
      <c r="N671" s="3">
        <v>0</v>
      </c>
    </row>
    <row r="672" spans="1:14" x14ac:dyDescent="0.2">
      <c r="A672" s="5" t="str">
        <f>HYPERLINK("http://www.ncbi.nlm.nih.gov/protein/6680748","Atp5a1")</f>
        <v>Atp5a1</v>
      </c>
      <c r="B672" s="4"/>
      <c r="C672" s="3">
        <v>3406255</v>
      </c>
      <c r="D672" s="3">
        <v>201777</v>
      </c>
      <c r="E672" s="3">
        <v>98612</v>
      </c>
      <c r="F672" s="3">
        <v>26448</v>
      </c>
      <c r="G672" s="3">
        <v>12712</v>
      </c>
      <c r="H672" s="2">
        <f t="shared" si="20"/>
        <v>3745804</v>
      </c>
      <c r="I672" t="str">
        <f t="shared" si="21"/>
        <v>Atp5a1_3745804</v>
      </c>
      <c r="J672" s="3">
        <v>3406255</v>
      </c>
      <c r="K672" s="3">
        <v>201777</v>
      </c>
      <c r="L672" s="3">
        <v>98612</v>
      </c>
      <c r="M672" s="3">
        <v>26448</v>
      </c>
      <c r="N672" s="3">
        <v>12712</v>
      </c>
    </row>
    <row r="673" spans="1:14" x14ac:dyDescent="0.2">
      <c r="A673" s="5" t="str">
        <f>HYPERLINK("http://www.ncbi.nlm.nih.gov/protein/31980648","Atp5b")</f>
        <v>Atp5b</v>
      </c>
      <c r="B673" s="4"/>
      <c r="C673" s="3">
        <v>3029224</v>
      </c>
      <c r="D673" s="3">
        <v>467904</v>
      </c>
      <c r="E673" s="3">
        <v>118280</v>
      </c>
      <c r="F673" s="3">
        <v>33135</v>
      </c>
      <c r="G673" s="3">
        <v>12744</v>
      </c>
      <c r="H673" s="2">
        <f t="shared" si="20"/>
        <v>3661287</v>
      </c>
      <c r="I673" t="str">
        <f t="shared" si="21"/>
        <v>Atp5b_3661287</v>
      </c>
      <c r="J673" s="3">
        <v>3029224</v>
      </c>
      <c r="K673" s="3">
        <v>467904</v>
      </c>
      <c r="L673" s="3">
        <v>118280</v>
      </c>
      <c r="M673" s="3">
        <v>33135</v>
      </c>
      <c r="N673" s="3">
        <v>12744</v>
      </c>
    </row>
    <row r="674" spans="1:14" x14ac:dyDescent="0.2">
      <c r="A674" s="5" t="str">
        <f>HYPERLINK("http://www.ncbi.nlm.nih.gov/protein/163838641","Atp5c1")</f>
        <v>Atp5c1</v>
      </c>
      <c r="B674" s="4"/>
      <c r="C674" s="3">
        <v>276457</v>
      </c>
      <c r="D674" s="3">
        <v>47426</v>
      </c>
      <c r="E674" s="3">
        <v>11860</v>
      </c>
      <c r="F674" s="3">
        <v>1244</v>
      </c>
      <c r="G674" s="3">
        <v>0</v>
      </c>
      <c r="H674" s="2">
        <f t="shared" si="20"/>
        <v>336987</v>
      </c>
      <c r="I674" t="str">
        <f t="shared" si="21"/>
        <v>Atp5c1_336987</v>
      </c>
      <c r="J674" s="3">
        <v>276457</v>
      </c>
      <c r="K674" s="3">
        <v>47426</v>
      </c>
      <c r="L674" s="3">
        <v>11860</v>
      </c>
      <c r="M674" s="3">
        <v>1244</v>
      </c>
      <c r="N674" s="3">
        <v>0</v>
      </c>
    </row>
    <row r="675" spans="1:14" x14ac:dyDescent="0.2">
      <c r="A675" s="5" t="str">
        <f>HYPERLINK("http://www.ncbi.nlm.nih.gov/protein/163838648","Atp5c1")</f>
        <v>Atp5c1</v>
      </c>
      <c r="B675" s="4"/>
      <c r="C675" s="3">
        <v>276457</v>
      </c>
      <c r="D675" s="3">
        <v>47426</v>
      </c>
      <c r="E675" s="3">
        <v>11860</v>
      </c>
      <c r="F675" s="3">
        <v>1244</v>
      </c>
      <c r="G675" s="3">
        <v>0</v>
      </c>
      <c r="H675" s="2">
        <f t="shared" si="20"/>
        <v>336987</v>
      </c>
      <c r="I675" t="str">
        <f t="shared" si="21"/>
        <v>Atp5c1_336987</v>
      </c>
      <c r="J675" s="3">
        <v>276457</v>
      </c>
      <c r="K675" s="3">
        <v>47426</v>
      </c>
      <c r="L675" s="3">
        <v>11860</v>
      </c>
      <c r="M675" s="3">
        <v>1244</v>
      </c>
      <c r="N675" s="3">
        <v>0</v>
      </c>
    </row>
    <row r="676" spans="1:14" x14ac:dyDescent="0.2">
      <c r="A676" s="5" t="str">
        <f>HYPERLINK("http://www.ncbi.nlm.nih.gov/protein/166851828","Atp5d")</f>
        <v>Atp5d</v>
      </c>
      <c r="B676" s="4"/>
      <c r="C676" s="3">
        <v>149615</v>
      </c>
      <c r="D676" s="3">
        <v>5254</v>
      </c>
      <c r="E676" s="3">
        <v>8938</v>
      </c>
      <c r="F676" s="3">
        <v>0</v>
      </c>
      <c r="G676" s="3">
        <v>1360</v>
      </c>
      <c r="H676" s="2">
        <f t="shared" si="20"/>
        <v>165167</v>
      </c>
      <c r="I676" t="str">
        <f t="shared" si="21"/>
        <v>Atp5d_165167</v>
      </c>
      <c r="J676" s="3">
        <v>149615</v>
      </c>
      <c r="K676" s="3">
        <v>5254</v>
      </c>
      <c r="L676" s="3">
        <v>8938</v>
      </c>
      <c r="M676" s="3">
        <v>0</v>
      </c>
      <c r="N676" s="3">
        <v>1360</v>
      </c>
    </row>
    <row r="677" spans="1:14" x14ac:dyDescent="0.2">
      <c r="A677" s="5" t="str">
        <f>HYPERLINK("http://www.ncbi.nlm.nih.gov/protein/13385484","Atp5e")</f>
        <v>Atp5e</v>
      </c>
      <c r="B677" s="4"/>
      <c r="C677" s="3">
        <v>45216</v>
      </c>
      <c r="D677" s="3">
        <v>21</v>
      </c>
      <c r="E677" s="3">
        <v>0</v>
      </c>
      <c r="F677" s="3">
        <v>0</v>
      </c>
      <c r="G677" s="3">
        <v>0</v>
      </c>
      <c r="H677" s="2">
        <f t="shared" si="20"/>
        <v>45237</v>
      </c>
      <c r="I677" t="str">
        <f t="shared" si="21"/>
        <v>Atp5e_45237</v>
      </c>
      <c r="J677" s="3">
        <v>45216</v>
      </c>
      <c r="K677" s="3">
        <v>21</v>
      </c>
      <c r="L677" s="3">
        <v>0</v>
      </c>
      <c r="M677" s="3">
        <v>0</v>
      </c>
      <c r="N677" s="3">
        <v>0</v>
      </c>
    </row>
    <row r="678" spans="1:14" x14ac:dyDescent="0.2">
      <c r="A678" s="5" t="str">
        <f>HYPERLINK("http://www.ncbi.nlm.nih.gov/protein/78214312","Atp5f1")</f>
        <v>Atp5f1</v>
      </c>
      <c r="B678" s="4"/>
      <c r="C678" s="3">
        <v>49316</v>
      </c>
      <c r="D678" s="3">
        <v>37053</v>
      </c>
      <c r="E678" s="3">
        <v>7093</v>
      </c>
      <c r="F678" s="3">
        <v>2611</v>
      </c>
      <c r="G678" s="3">
        <v>0</v>
      </c>
      <c r="H678" s="2">
        <f t="shared" si="20"/>
        <v>96073</v>
      </c>
      <c r="I678" t="str">
        <f t="shared" si="21"/>
        <v>Atp5f1_96073</v>
      </c>
      <c r="J678" s="3">
        <v>49316</v>
      </c>
      <c r="K678" s="3">
        <v>37053</v>
      </c>
      <c r="L678" s="3">
        <v>7093</v>
      </c>
      <c r="M678" s="3">
        <v>2611</v>
      </c>
      <c r="N678" s="3">
        <v>0</v>
      </c>
    </row>
    <row r="679" spans="1:14" x14ac:dyDescent="0.2">
      <c r="A679" s="5" t="str">
        <f>HYPERLINK("http://www.ncbi.nlm.nih.gov/protein/21313679","Atp5h")</f>
        <v>Atp5h</v>
      </c>
      <c r="B679" s="4"/>
      <c r="C679" s="3">
        <v>147675</v>
      </c>
      <c r="D679" s="3">
        <v>14178</v>
      </c>
      <c r="E679" s="3">
        <v>5909</v>
      </c>
      <c r="F679" s="3">
        <v>0</v>
      </c>
      <c r="G679" s="3">
        <v>0</v>
      </c>
      <c r="H679" s="2">
        <f t="shared" si="20"/>
        <v>167762</v>
      </c>
      <c r="I679" t="str">
        <f t="shared" si="21"/>
        <v>Atp5h_167762</v>
      </c>
      <c r="J679" s="3">
        <v>147675</v>
      </c>
      <c r="K679" s="3">
        <v>14178</v>
      </c>
      <c r="L679" s="3">
        <v>5909</v>
      </c>
      <c r="M679" s="3">
        <v>0</v>
      </c>
      <c r="N679" s="3">
        <v>0</v>
      </c>
    </row>
    <row r="680" spans="1:14" x14ac:dyDescent="0.2">
      <c r="A680" s="5" t="str">
        <f>HYPERLINK("http://www.ncbi.nlm.nih.gov/protein/7949005","Atp5j")</f>
        <v>Atp5j</v>
      </c>
      <c r="B680" s="4"/>
      <c r="C680" s="3">
        <v>366</v>
      </c>
      <c r="D680" s="3">
        <v>7110</v>
      </c>
      <c r="E680" s="3">
        <v>669</v>
      </c>
      <c r="F680" s="3">
        <v>0</v>
      </c>
      <c r="G680" s="3">
        <v>0</v>
      </c>
      <c r="H680" s="2">
        <f t="shared" si="20"/>
        <v>8145</v>
      </c>
      <c r="I680" t="str">
        <f t="shared" si="21"/>
        <v>Atp5j_8145</v>
      </c>
      <c r="J680" s="3">
        <v>366</v>
      </c>
      <c r="K680" s="3">
        <v>7110</v>
      </c>
      <c r="L680" s="3">
        <v>669</v>
      </c>
      <c r="M680" s="3">
        <v>0</v>
      </c>
      <c r="N680" s="3">
        <v>0</v>
      </c>
    </row>
    <row r="681" spans="1:14" x14ac:dyDescent="0.2">
      <c r="A681" s="5" t="str">
        <f>HYPERLINK("http://www.ncbi.nlm.nih.gov/protein/10181184","Atp5j2")</f>
        <v>Atp5j2</v>
      </c>
      <c r="B681" s="4"/>
      <c r="C681" s="3">
        <v>65828</v>
      </c>
      <c r="D681" s="3">
        <v>5824</v>
      </c>
      <c r="E681" s="3">
        <v>2248</v>
      </c>
      <c r="F681" s="3">
        <v>0</v>
      </c>
      <c r="G681" s="3">
        <v>0</v>
      </c>
      <c r="H681" s="2">
        <f t="shared" si="20"/>
        <v>73900</v>
      </c>
      <c r="I681" t="str">
        <f t="shared" si="21"/>
        <v>Atp5j2_73900</v>
      </c>
      <c r="J681" s="3">
        <v>65828</v>
      </c>
      <c r="K681" s="3">
        <v>5824</v>
      </c>
      <c r="L681" s="3">
        <v>2248</v>
      </c>
      <c r="M681" s="3">
        <v>0</v>
      </c>
      <c r="N681" s="3">
        <v>0</v>
      </c>
    </row>
    <row r="682" spans="1:14" x14ac:dyDescent="0.2">
      <c r="A682" s="5" t="str">
        <f>HYPERLINK("http://www.ncbi.nlm.nih.gov/protein/83715998","Atp5k")</f>
        <v>Atp5k</v>
      </c>
      <c r="B682" s="4"/>
      <c r="C682" s="3">
        <v>92720</v>
      </c>
      <c r="D682" s="3">
        <v>19489</v>
      </c>
      <c r="E682" s="3">
        <v>5340</v>
      </c>
      <c r="F682" s="3">
        <v>1744</v>
      </c>
      <c r="G682" s="3">
        <v>0</v>
      </c>
      <c r="H682" s="2">
        <f t="shared" si="20"/>
        <v>119293</v>
      </c>
      <c r="I682" t="str">
        <f t="shared" si="21"/>
        <v>Atp5k_119293</v>
      </c>
      <c r="J682" s="3">
        <v>92720</v>
      </c>
      <c r="K682" s="3">
        <v>19489</v>
      </c>
      <c r="L682" s="3">
        <v>5340</v>
      </c>
      <c r="M682" s="3">
        <v>1744</v>
      </c>
      <c r="N682" s="3">
        <v>0</v>
      </c>
    </row>
    <row r="683" spans="1:14" x14ac:dyDescent="0.2">
      <c r="A683" s="5" t="str">
        <f>HYPERLINK("http://www.ncbi.nlm.nih.gov/protein/31980744","Atp5l")</f>
        <v>Atp5l</v>
      </c>
      <c r="B683" s="4"/>
      <c r="C683" s="3">
        <v>11258</v>
      </c>
      <c r="D683" s="3">
        <v>13354</v>
      </c>
      <c r="E683" s="3">
        <v>1433</v>
      </c>
      <c r="F683" s="3">
        <v>0</v>
      </c>
      <c r="G683" s="3">
        <v>0</v>
      </c>
      <c r="H683" s="2">
        <f t="shared" si="20"/>
        <v>26045</v>
      </c>
      <c r="I683" t="str">
        <f t="shared" si="21"/>
        <v>Atp5l_26045</v>
      </c>
      <c r="J683" s="3">
        <v>11258</v>
      </c>
      <c r="K683" s="3">
        <v>13354</v>
      </c>
      <c r="L683" s="3">
        <v>1433</v>
      </c>
      <c r="M683" s="3">
        <v>0</v>
      </c>
      <c r="N683" s="3">
        <v>0</v>
      </c>
    </row>
    <row r="684" spans="1:14" x14ac:dyDescent="0.2">
      <c r="A684" s="5" t="str">
        <f>HYPERLINK("http://www.ncbi.nlm.nih.gov/protein/20070412;149251053","Atp5o")</f>
        <v>Atp5o</v>
      </c>
      <c r="B684" s="4"/>
      <c r="C684" s="3">
        <v>0</v>
      </c>
      <c r="D684" s="3">
        <v>59006</v>
      </c>
      <c r="E684" s="3">
        <v>0</v>
      </c>
      <c r="F684" s="3">
        <v>3512</v>
      </c>
      <c r="G684" s="3">
        <v>0</v>
      </c>
      <c r="H684" s="2">
        <f t="shared" si="20"/>
        <v>62518</v>
      </c>
      <c r="I684" t="str">
        <f t="shared" si="21"/>
        <v>Atp5o_62518</v>
      </c>
      <c r="J684" s="3">
        <v>0</v>
      </c>
      <c r="K684" s="3">
        <v>59006</v>
      </c>
      <c r="L684" s="3">
        <v>0</v>
      </c>
      <c r="M684" s="3">
        <v>3512</v>
      </c>
      <c r="N684" s="3">
        <v>0</v>
      </c>
    </row>
    <row r="685" spans="1:14" x14ac:dyDescent="0.2">
      <c r="A685" s="5" t="str">
        <f>HYPERLINK("http://www.ncbi.nlm.nih.gov/protein/13386040","Atp5s")</f>
        <v>Atp5s</v>
      </c>
      <c r="B685" s="4"/>
      <c r="C685" s="3">
        <v>0</v>
      </c>
      <c r="D685" s="3">
        <v>514</v>
      </c>
      <c r="E685" s="3">
        <v>0</v>
      </c>
      <c r="F685" s="3">
        <v>0</v>
      </c>
      <c r="G685" s="3">
        <v>0</v>
      </c>
      <c r="H685" s="2">
        <f t="shared" si="20"/>
        <v>514</v>
      </c>
      <c r="I685" t="str">
        <f t="shared" si="21"/>
        <v>Atp5s_514</v>
      </c>
      <c r="J685" s="3">
        <v>0</v>
      </c>
      <c r="K685" s="3">
        <v>514</v>
      </c>
      <c r="L685" s="3">
        <v>0</v>
      </c>
      <c r="M685" s="3">
        <v>0</v>
      </c>
      <c r="N685" s="3">
        <v>0</v>
      </c>
    </row>
    <row r="686" spans="1:14" x14ac:dyDescent="0.2">
      <c r="A686" s="5" t="str">
        <f>HYPERLINK("http://www.ncbi.nlm.nih.gov/protein/21361250","Atp6ap2")</f>
        <v>Atp6ap2</v>
      </c>
      <c r="B686" s="4"/>
      <c r="C686" s="3">
        <v>146</v>
      </c>
      <c r="D686" s="3">
        <v>564</v>
      </c>
      <c r="E686" s="3">
        <v>429</v>
      </c>
      <c r="F686" s="3">
        <v>49</v>
      </c>
      <c r="G686" s="3">
        <v>0</v>
      </c>
      <c r="H686" s="2">
        <f t="shared" si="20"/>
        <v>1188</v>
      </c>
      <c r="I686" t="str">
        <f t="shared" si="21"/>
        <v>Atp6ap2_1188</v>
      </c>
      <c r="J686" s="3">
        <v>146</v>
      </c>
      <c r="K686" s="3">
        <v>564</v>
      </c>
      <c r="L686" s="3">
        <v>429</v>
      </c>
      <c r="M686" s="3">
        <v>49</v>
      </c>
      <c r="N686" s="3">
        <v>0</v>
      </c>
    </row>
    <row r="687" spans="1:14" x14ac:dyDescent="0.2">
      <c r="A687" s="5" t="str">
        <f>HYPERLINK("http://www.ncbi.nlm.nih.gov/protein/12025532","Atp6v0a1")</f>
        <v>Atp6v0a1</v>
      </c>
      <c r="B687" s="4"/>
      <c r="C687" s="3">
        <v>0</v>
      </c>
      <c r="D687" s="3">
        <v>908</v>
      </c>
      <c r="E687" s="3">
        <v>6541</v>
      </c>
      <c r="F687" s="3">
        <v>188</v>
      </c>
      <c r="G687" s="3">
        <v>0</v>
      </c>
      <c r="H687" s="2">
        <f t="shared" si="20"/>
        <v>7637</v>
      </c>
      <c r="I687" t="str">
        <f t="shared" si="21"/>
        <v>Atp6v0a1_7637</v>
      </c>
      <c r="J687" s="3">
        <v>0</v>
      </c>
      <c r="K687" s="3">
        <v>908</v>
      </c>
      <c r="L687" s="3">
        <v>6541</v>
      </c>
      <c r="M687" s="3">
        <v>188</v>
      </c>
      <c r="N687" s="3">
        <v>0</v>
      </c>
    </row>
    <row r="688" spans="1:14" x14ac:dyDescent="0.2">
      <c r="A688" s="5" t="str">
        <f>HYPERLINK("http://www.ncbi.nlm.nih.gov/protein/340007375","Atp6v0a1")</f>
        <v>Atp6v0a1</v>
      </c>
      <c r="B688" s="4"/>
      <c r="C688" s="3">
        <v>0</v>
      </c>
      <c r="D688" s="3">
        <v>908</v>
      </c>
      <c r="E688" s="3">
        <v>6541</v>
      </c>
      <c r="F688" s="3">
        <v>188</v>
      </c>
      <c r="G688" s="3">
        <v>0</v>
      </c>
      <c r="H688" s="2">
        <f t="shared" si="20"/>
        <v>7637</v>
      </c>
      <c r="I688" t="str">
        <f t="shared" si="21"/>
        <v>Atp6v0a1_7637</v>
      </c>
      <c r="J688" s="3">
        <v>0</v>
      </c>
      <c r="K688" s="3">
        <v>908</v>
      </c>
      <c r="L688" s="3">
        <v>6541</v>
      </c>
      <c r="M688" s="3">
        <v>188</v>
      </c>
      <c r="N688" s="3">
        <v>0</v>
      </c>
    </row>
    <row r="689" spans="1:14" x14ac:dyDescent="0.2">
      <c r="A689" s="5" t="str">
        <f>HYPERLINK("http://www.ncbi.nlm.nih.gov/protein/340007377","Atp6v0a1")</f>
        <v>Atp6v0a1</v>
      </c>
      <c r="B689" s="4"/>
      <c r="C689" s="3">
        <v>0</v>
      </c>
      <c r="D689" s="3">
        <v>908</v>
      </c>
      <c r="E689" s="3">
        <v>6541</v>
      </c>
      <c r="F689" s="3">
        <v>188</v>
      </c>
      <c r="G689" s="3">
        <v>0</v>
      </c>
      <c r="H689" s="2">
        <f t="shared" si="20"/>
        <v>7637</v>
      </c>
      <c r="I689" t="str">
        <f t="shared" si="21"/>
        <v>Atp6v0a1_7637</v>
      </c>
      <c r="J689" s="3">
        <v>0</v>
      </c>
      <c r="K689" s="3">
        <v>908</v>
      </c>
      <c r="L689" s="3">
        <v>6541</v>
      </c>
      <c r="M689" s="3">
        <v>188</v>
      </c>
      <c r="N689" s="3">
        <v>0</v>
      </c>
    </row>
    <row r="690" spans="1:14" x14ac:dyDescent="0.2">
      <c r="A690" s="5" t="str">
        <f>HYPERLINK("http://www.ncbi.nlm.nih.gov/protein/340007379","Atp6v0a1")</f>
        <v>Atp6v0a1</v>
      </c>
      <c r="B690" s="4"/>
      <c r="C690" s="3">
        <v>0</v>
      </c>
      <c r="D690" s="3">
        <v>908</v>
      </c>
      <c r="E690" s="3">
        <v>6541</v>
      </c>
      <c r="F690" s="3">
        <v>188</v>
      </c>
      <c r="G690" s="3">
        <v>0</v>
      </c>
      <c r="H690" s="2">
        <f t="shared" si="20"/>
        <v>7637</v>
      </c>
      <c r="I690" t="str">
        <f t="shared" si="21"/>
        <v>Atp6v0a1_7637</v>
      </c>
      <c r="J690" s="3">
        <v>0</v>
      </c>
      <c r="K690" s="3">
        <v>908</v>
      </c>
      <c r="L690" s="3">
        <v>6541</v>
      </c>
      <c r="M690" s="3">
        <v>188</v>
      </c>
      <c r="N690" s="3">
        <v>0</v>
      </c>
    </row>
    <row r="691" spans="1:14" x14ac:dyDescent="0.2">
      <c r="A691" s="5" t="str">
        <f>HYPERLINK("http://www.ncbi.nlm.nih.gov/protein/83627707","Atp6v0a2")</f>
        <v>Atp6v0a2</v>
      </c>
      <c r="B691" s="4"/>
      <c r="C691" s="3">
        <v>0</v>
      </c>
      <c r="D691" s="3">
        <v>4956</v>
      </c>
      <c r="E691" s="3">
        <v>846</v>
      </c>
      <c r="F691" s="3">
        <v>0</v>
      </c>
      <c r="G691" s="3">
        <v>0</v>
      </c>
      <c r="H691" s="2">
        <f t="shared" si="20"/>
        <v>5802</v>
      </c>
      <c r="I691" t="str">
        <f t="shared" si="21"/>
        <v>Atp6v0a2_5802</v>
      </c>
      <c r="J691" s="3">
        <v>0</v>
      </c>
      <c r="K691" s="3">
        <v>4956</v>
      </c>
      <c r="L691" s="3">
        <v>846</v>
      </c>
      <c r="M691" s="3">
        <v>0</v>
      </c>
      <c r="N691" s="3">
        <v>0</v>
      </c>
    </row>
    <row r="692" spans="1:14" x14ac:dyDescent="0.2">
      <c r="A692" s="5" t="str">
        <f>HYPERLINK("http://www.ncbi.nlm.nih.gov/protein/171543866","Atp6v0a4")</f>
        <v>Atp6v0a4</v>
      </c>
      <c r="B692" s="4"/>
      <c r="C692" s="3">
        <v>0</v>
      </c>
      <c r="D692" s="3">
        <v>0</v>
      </c>
      <c r="E692" s="3">
        <v>710</v>
      </c>
      <c r="F692" s="3">
        <v>0</v>
      </c>
      <c r="G692" s="3">
        <v>0</v>
      </c>
      <c r="H692" s="2">
        <f t="shared" si="20"/>
        <v>710</v>
      </c>
      <c r="I692" t="str">
        <f t="shared" si="21"/>
        <v>Atp6v0a4_710</v>
      </c>
      <c r="J692" s="3">
        <v>0</v>
      </c>
      <c r="K692" s="3">
        <v>0</v>
      </c>
      <c r="L692" s="3">
        <v>710</v>
      </c>
      <c r="M692" s="3">
        <v>0</v>
      </c>
      <c r="N692" s="3">
        <v>0</v>
      </c>
    </row>
    <row r="693" spans="1:14" x14ac:dyDescent="0.2">
      <c r="A693" s="5" t="str">
        <f>HYPERLINK("http://www.ncbi.nlm.nih.gov/protein/6753144","Atp6v0c")</f>
        <v>Atp6v0c</v>
      </c>
      <c r="B693" s="4"/>
      <c r="C693" s="3">
        <v>1776</v>
      </c>
      <c r="D693" s="3">
        <v>7851</v>
      </c>
      <c r="E693" s="3">
        <v>7147</v>
      </c>
      <c r="F693" s="3">
        <v>10437</v>
      </c>
      <c r="G693" s="3">
        <v>0</v>
      </c>
      <c r="H693" s="2">
        <f t="shared" si="20"/>
        <v>27211</v>
      </c>
      <c r="I693" t="str">
        <f t="shared" si="21"/>
        <v>Atp6v0c_27211</v>
      </c>
      <c r="J693" s="3">
        <v>1776</v>
      </c>
      <c r="K693" s="3">
        <v>7851</v>
      </c>
      <c r="L693" s="3">
        <v>7147</v>
      </c>
      <c r="M693" s="3">
        <v>10437</v>
      </c>
      <c r="N693" s="3">
        <v>0</v>
      </c>
    </row>
    <row r="694" spans="1:14" x14ac:dyDescent="0.2">
      <c r="A694" s="5" t="str">
        <f>HYPERLINK("http://www.ncbi.nlm.nih.gov/protein/31981304","Atp6v0d1")</f>
        <v>Atp6v0d1</v>
      </c>
      <c r="B694" s="4"/>
      <c r="C694" s="3">
        <v>15798</v>
      </c>
      <c r="D694" s="3">
        <v>23981</v>
      </c>
      <c r="E694" s="3">
        <v>26258</v>
      </c>
      <c r="F694" s="3">
        <v>5812</v>
      </c>
      <c r="G694" s="3">
        <v>2228</v>
      </c>
      <c r="H694" s="2">
        <f t="shared" si="20"/>
        <v>74077</v>
      </c>
      <c r="I694" t="str">
        <f t="shared" si="21"/>
        <v>Atp6v0d1_74077</v>
      </c>
      <c r="J694" s="3">
        <v>15798</v>
      </c>
      <c r="K694" s="3">
        <v>23981</v>
      </c>
      <c r="L694" s="3">
        <v>26258</v>
      </c>
      <c r="M694" s="3">
        <v>5812</v>
      </c>
      <c r="N694" s="3">
        <v>2228</v>
      </c>
    </row>
    <row r="695" spans="1:14" x14ac:dyDescent="0.2">
      <c r="A695" s="5" t="str">
        <f>HYPERLINK("http://www.ncbi.nlm.nih.gov/protein/31560731","Atp6v1a")</f>
        <v>Atp6v1a</v>
      </c>
      <c r="B695" s="4"/>
      <c r="C695" s="3">
        <v>4448</v>
      </c>
      <c r="D695" s="3">
        <v>27983</v>
      </c>
      <c r="E695" s="3">
        <v>39094</v>
      </c>
      <c r="F695" s="3">
        <v>199294</v>
      </c>
      <c r="G695" s="3">
        <v>69537</v>
      </c>
      <c r="H695" s="2">
        <f t="shared" si="20"/>
        <v>340356</v>
      </c>
      <c r="I695" t="str">
        <f t="shared" si="21"/>
        <v>Atp6v1a_340356</v>
      </c>
      <c r="J695" s="3">
        <v>4448</v>
      </c>
      <c r="K695" s="3">
        <v>27983</v>
      </c>
      <c r="L695" s="3">
        <v>39094</v>
      </c>
      <c r="M695" s="3">
        <v>199294</v>
      </c>
      <c r="N695" s="3">
        <v>69537</v>
      </c>
    </row>
    <row r="696" spans="1:14" x14ac:dyDescent="0.2">
      <c r="A696" s="5" t="str">
        <f>HYPERLINK("http://www.ncbi.nlm.nih.gov/protein/19527064","Atp6v1b1")</f>
        <v>Atp6v1b1</v>
      </c>
      <c r="B696" s="4"/>
      <c r="C696" s="3">
        <v>15286</v>
      </c>
      <c r="D696" s="3">
        <v>12581</v>
      </c>
      <c r="E696" s="3">
        <v>18341</v>
      </c>
      <c r="F696" s="3">
        <v>13211</v>
      </c>
      <c r="G696" s="3">
        <v>55839</v>
      </c>
      <c r="H696" s="2">
        <f t="shared" si="20"/>
        <v>115258</v>
      </c>
      <c r="I696" t="str">
        <f t="shared" si="21"/>
        <v>Atp6v1b1_115258</v>
      </c>
      <c r="J696" s="3">
        <v>15286</v>
      </c>
      <c r="K696" s="3">
        <v>12581</v>
      </c>
      <c r="L696" s="3">
        <v>18341</v>
      </c>
      <c r="M696" s="3">
        <v>13211</v>
      </c>
      <c r="N696" s="3">
        <v>55839</v>
      </c>
    </row>
    <row r="697" spans="1:14" x14ac:dyDescent="0.2">
      <c r="A697" s="5" t="str">
        <f>HYPERLINK("http://www.ncbi.nlm.nih.gov/protein/19705578","Atp6v1b2")</f>
        <v>Atp6v1b2</v>
      </c>
      <c r="B697" s="4"/>
      <c r="C697" s="3">
        <v>15286</v>
      </c>
      <c r="D697" s="3">
        <v>32498</v>
      </c>
      <c r="E697" s="3">
        <v>40167</v>
      </c>
      <c r="F697" s="3">
        <v>55474</v>
      </c>
      <c r="G697" s="3">
        <v>73874</v>
      </c>
      <c r="H697" s="2">
        <f t="shared" si="20"/>
        <v>217299</v>
      </c>
      <c r="I697" t="str">
        <f t="shared" si="21"/>
        <v>Atp6v1b2_217299</v>
      </c>
      <c r="J697" s="3">
        <v>15286</v>
      </c>
      <c r="K697" s="3">
        <v>32498</v>
      </c>
      <c r="L697" s="3">
        <v>40167</v>
      </c>
      <c r="M697" s="3">
        <v>55474</v>
      </c>
      <c r="N697" s="3">
        <v>73874</v>
      </c>
    </row>
    <row r="698" spans="1:14" x14ac:dyDescent="0.2">
      <c r="A698" s="5" t="str">
        <f>HYPERLINK("http://www.ncbi.nlm.nih.gov/protein/189339262","Atp6v1c1")</f>
        <v>Atp6v1c1</v>
      </c>
      <c r="B698" s="4"/>
      <c r="C698" s="3">
        <v>0</v>
      </c>
      <c r="D698" s="3">
        <v>63</v>
      </c>
      <c r="E698" s="3">
        <v>13269</v>
      </c>
      <c r="F698" s="3">
        <v>19785</v>
      </c>
      <c r="G698" s="3">
        <v>53044</v>
      </c>
      <c r="H698" s="2">
        <f t="shared" si="20"/>
        <v>86161</v>
      </c>
      <c r="I698" t="str">
        <f t="shared" si="21"/>
        <v>Atp6v1c1_86161</v>
      </c>
      <c r="J698" s="3">
        <v>0</v>
      </c>
      <c r="K698" s="3">
        <v>63</v>
      </c>
      <c r="L698" s="3">
        <v>13269</v>
      </c>
      <c r="M698" s="3">
        <v>19785</v>
      </c>
      <c r="N698" s="3">
        <v>53044</v>
      </c>
    </row>
    <row r="699" spans="1:14" x14ac:dyDescent="0.2">
      <c r="A699" s="5" t="str">
        <f>HYPERLINK("http://www.ncbi.nlm.nih.gov/protein/19526870","Atp6v1c2")</f>
        <v>Atp6v1c2</v>
      </c>
      <c r="B699" s="4"/>
      <c r="C699" s="3">
        <v>0</v>
      </c>
      <c r="D699" s="3">
        <v>0</v>
      </c>
      <c r="E699" s="3">
        <v>1030</v>
      </c>
      <c r="F699" s="3">
        <v>0</v>
      </c>
      <c r="G699" s="3">
        <v>0</v>
      </c>
      <c r="H699" s="2">
        <f t="shared" si="20"/>
        <v>1030</v>
      </c>
      <c r="I699" t="str">
        <f t="shared" si="21"/>
        <v>Atp6v1c2_1030</v>
      </c>
      <c r="J699" s="3">
        <v>0</v>
      </c>
      <c r="K699" s="3">
        <v>0</v>
      </c>
      <c r="L699" s="3">
        <v>1030</v>
      </c>
      <c r="M699" s="3">
        <v>0</v>
      </c>
      <c r="N699" s="3">
        <v>0</v>
      </c>
    </row>
    <row r="700" spans="1:14" x14ac:dyDescent="0.2">
      <c r="A700" s="5" t="str">
        <f>HYPERLINK("http://www.ncbi.nlm.nih.gov/protein/227499977","Atp6v1c2")</f>
        <v>Atp6v1c2</v>
      </c>
      <c r="B700" s="4"/>
      <c r="C700" s="3">
        <v>0</v>
      </c>
      <c r="D700" s="3">
        <v>0</v>
      </c>
      <c r="E700" s="3">
        <v>1030</v>
      </c>
      <c r="F700" s="3">
        <v>0</v>
      </c>
      <c r="G700" s="3">
        <v>0</v>
      </c>
      <c r="H700" s="2">
        <f t="shared" si="20"/>
        <v>1030</v>
      </c>
      <c r="I700" t="str">
        <f t="shared" si="21"/>
        <v>Atp6v1c2_1030</v>
      </c>
      <c r="J700" s="3">
        <v>0</v>
      </c>
      <c r="K700" s="3">
        <v>0</v>
      </c>
      <c r="L700" s="3">
        <v>1030</v>
      </c>
      <c r="M700" s="3">
        <v>0</v>
      </c>
      <c r="N700" s="3">
        <v>0</v>
      </c>
    </row>
    <row r="701" spans="1:14" x14ac:dyDescent="0.2">
      <c r="A701" s="5" t="str">
        <f>HYPERLINK("http://www.ncbi.nlm.nih.gov/protein/12963799","Atp6v1d")</f>
        <v>Atp6v1d</v>
      </c>
      <c r="B701" s="4"/>
      <c r="C701" s="3">
        <v>146</v>
      </c>
      <c r="D701" s="3">
        <v>1428</v>
      </c>
      <c r="E701" s="3">
        <v>2931</v>
      </c>
      <c r="F701" s="3">
        <v>18475</v>
      </c>
      <c r="G701" s="3">
        <v>6319</v>
      </c>
      <c r="H701" s="2">
        <f t="shared" si="20"/>
        <v>29299</v>
      </c>
      <c r="I701" t="str">
        <f t="shared" si="21"/>
        <v>Atp6v1d_29299</v>
      </c>
      <c r="J701" s="3">
        <v>146</v>
      </c>
      <c r="K701" s="3">
        <v>1428</v>
      </c>
      <c r="L701" s="3">
        <v>2931</v>
      </c>
      <c r="M701" s="3">
        <v>18475</v>
      </c>
      <c r="N701" s="3">
        <v>6319</v>
      </c>
    </row>
    <row r="702" spans="1:14" x14ac:dyDescent="0.2">
      <c r="A702" s="5" t="str">
        <f>HYPERLINK("http://www.ncbi.nlm.nih.gov/protein/45504359","Atp6v1e1")</f>
        <v>Atp6v1e1</v>
      </c>
      <c r="B702" s="4"/>
      <c r="C702" s="3">
        <v>11075</v>
      </c>
      <c r="D702" s="3">
        <v>4979</v>
      </c>
      <c r="E702" s="3">
        <v>5565</v>
      </c>
      <c r="F702" s="3">
        <v>27094</v>
      </c>
      <c r="G702" s="3">
        <v>20305</v>
      </c>
      <c r="H702" s="2">
        <f t="shared" si="20"/>
        <v>69018</v>
      </c>
      <c r="I702" t="str">
        <f t="shared" si="21"/>
        <v>Atp6v1e1_69018</v>
      </c>
      <c r="J702" s="3">
        <v>11075</v>
      </c>
      <c r="K702" s="3">
        <v>4979</v>
      </c>
      <c r="L702" s="3">
        <v>5565</v>
      </c>
      <c r="M702" s="3">
        <v>27094</v>
      </c>
      <c r="N702" s="3">
        <v>20305</v>
      </c>
    </row>
    <row r="703" spans="1:14" x14ac:dyDescent="0.2">
      <c r="A703" s="5" t="str">
        <f>HYPERLINK("http://www.ncbi.nlm.nih.gov/protein/254911018","Atp6v1e2")</f>
        <v>Atp6v1e2</v>
      </c>
      <c r="B703" s="4"/>
      <c r="C703" s="3">
        <v>0</v>
      </c>
      <c r="D703" s="3">
        <v>219</v>
      </c>
      <c r="E703" s="3">
        <v>688</v>
      </c>
      <c r="F703" s="3">
        <v>3004</v>
      </c>
      <c r="G703" s="3">
        <v>2388</v>
      </c>
      <c r="H703" s="2">
        <f t="shared" si="20"/>
        <v>6299</v>
      </c>
      <c r="I703" t="str">
        <f t="shared" si="21"/>
        <v>Atp6v1e2_6299</v>
      </c>
      <c r="J703" s="3">
        <v>0</v>
      </c>
      <c r="K703" s="3">
        <v>219</v>
      </c>
      <c r="L703" s="3">
        <v>688</v>
      </c>
      <c r="M703" s="3">
        <v>3004</v>
      </c>
      <c r="N703" s="3">
        <v>2388</v>
      </c>
    </row>
    <row r="704" spans="1:14" x14ac:dyDescent="0.2">
      <c r="A704" s="5" t="str">
        <f>HYPERLINK("http://www.ncbi.nlm.nih.gov/protein/21314824","Atp6v1f")</f>
        <v>Atp6v1f</v>
      </c>
      <c r="B704" s="4"/>
      <c r="C704" s="3">
        <v>0</v>
      </c>
      <c r="D704" s="3">
        <v>735</v>
      </c>
      <c r="E704" s="3">
        <v>689</v>
      </c>
      <c r="F704" s="3">
        <v>696</v>
      </c>
      <c r="G704" s="3">
        <v>2656</v>
      </c>
      <c r="H704" s="2">
        <f t="shared" si="20"/>
        <v>4776</v>
      </c>
      <c r="I704" t="str">
        <f t="shared" si="21"/>
        <v>Atp6v1f_4776</v>
      </c>
      <c r="J704" s="3">
        <v>0</v>
      </c>
      <c r="K704" s="3">
        <v>735</v>
      </c>
      <c r="L704" s="3">
        <v>689</v>
      </c>
      <c r="M704" s="3">
        <v>696</v>
      </c>
      <c r="N704" s="3">
        <v>2656</v>
      </c>
    </row>
    <row r="705" spans="1:14" x14ac:dyDescent="0.2">
      <c r="A705" s="5" t="str">
        <f>HYPERLINK("http://www.ncbi.nlm.nih.gov/protein/15617197","Atp6v1g1")</f>
        <v>Atp6v1g1</v>
      </c>
      <c r="B705" s="4"/>
      <c r="C705" s="3">
        <v>1867</v>
      </c>
      <c r="D705" s="3">
        <v>1067</v>
      </c>
      <c r="E705" s="3">
        <v>4089</v>
      </c>
      <c r="F705" s="3">
        <v>2595</v>
      </c>
      <c r="G705" s="3">
        <v>5280</v>
      </c>
      <c r="H705" s="2">
        <f t="shared" si="20"/>
        <v>14898</v>
      </c>
      <c r="I705" t="str">
        <f t="shared" si="21"/>
        <v>Atp6v1g1_14898</v>
      </c>
      <c r="J705" s="3">
        <v>1867</v>
      </c>
      <c r="K705" s="3">
        <v>1067</v>
      </c>
      <c r="L705" s="3">
        <v>4089</v>
      </c>
      <c r="M705" s="3">
        <v>2595</v>
      </c>
      <c r="N705" s="3">
        <v>5280</v>
      </c>
    </row>
    <row r="706" spans="1:14" x14ac:dyDescent="0.2">
      <c r="A706" s="5" t="str">
        <f>HYPERLINK("http://www.ncbi.nlm.nih.gov/protein/31981588","Atp6v1h")</f>
        <v>Atp6v1h</v>
      </c>
      <c r="B706" s="4"/>
      <c r="C706" s="3">
        <v>2123</v>
      </c>
      <c r="D706" s="3">
        <v>7551</v>
      </c>
      <c r="E706" s="3">
        <v>3951</v>
      </c>
      <c r="F706" s="3">
        <v>15356</v>
      </c>
      <c r="G706" s="3">
        <v>5751</v>
      </c>
      <c r="H706" s="2">
        <f t="shared" ref="H706:H769" si="22">SUM(C706:G706)</f>
        <v>34732</v>
      </c>
      <c r="I706" t="str">
        <f t="shared" ref="I706:I769" si="23">A706&amp;"_"&amp;H706</f>
        <v>Atp6v1h_34732</v>
      </c>
      <c r="J706" s="3">
        <v>2123</v>
      </c>
      <c r="K706" s="3">
        <v>7551</v>
      </c>
      <c r="L706" s="3">
        <v>3951</v>
      </c>
      <c r="M706" s="3">
        <v>15356</v>
      </c>
      <c r="N706" s="3">
        <v>5751</v>
      </c>
    </row>
    <row r="707" spans="1:14" x14ac:dyDescent="0.2">
      <c r="A707" s="5" t="str">
        <f>HYPERLINK("http://www.ncbi.nlm.nih.gov/protein/157951680","Atp7a")</f>
        <v>Atp7a</v>
      </c>
      <c r="B707" s="4"/>
      <c r="C707" s="3">
        <v>0</v>
      </c>
      <c r="D707" s="3">
        <v>19</v>
      </c>
      <c r="E707" s="3">
        <v>319</v>
      </c>
      <c r="F707" s="3">
        <v>0</v>
      </c>
      <c r="G707" s="3">
        <v>0</v>
      </c>
      <c r="H707" s="2">
        <f t="shared" si="22"/>
        <v>338</v>
      </c>
      <c r="I707" t="str">
        <f t="shared" si="23"/>
        <v>Atp7a_338</v>
      </c>
      <c r="J707" s="3">
        <v>0</v>
      </c>
      <c r="K707" s="3">
        <v>19</v>
      </c>
      <c r="L707" s="3">
        <v>319</v>
      </c>
      <c r="M707" s="3">
        <v>0</v>
      </c>
      <c r="N707" s="3">
        <v>0</v>
      </c>
    </row>
    <row r="708" spans="1:14" x14ac:dyDescent="0.2">
      <c r="A708" s="5" t="str">
        <f>HYPERLINK("http://www.ncbi.nlm.nih.gov/protein/157951682","Atp7a")</f>
        <v>Atp7a</v>
      </c>
      <c r="B708" s="4"/>
      <c r="C708" s="3">
        <v>0</v>
      </c>
      <c r="D708" s="3">
        <v>19</v>
      </c>
      <c r="E708" s="3">
        <v>319</v>
      </c>
      <c r="F708" s="3">
        <v>0</v>
      </c>
      <c r="G708" s="3">
        <v>0</v>
      </c>
      <c r="H708" s="2">
        <f t="shared" si="22"/>
        <v>338</v>
      </c>
      <c r="I708" t="str">
        <f t="shared" si="23"/>
        <v>Atp7a_338</v>
      </c>
      <c r="J708" s="3">
        <v>0</v>
      </c>
      <c r="K708" s="3">
        <v>19</v>
      </c>
      <c r="L708" s="3">
        <v>319</v>
      </c>
      <c r="M708" s="3">
        <v>0</v>
      </c>
      <c r="N708" s="3">
        <v>0</v>
      </c>
    </row>
    <row r="709" spans="1:14" x14ac:dyDescent="0.2">
      <c r="A709" s="5" t="str">
        <f>HYPERLINK("http://www.ncbi.nlm.nih.gov/protein/167716841","ATP8")</f>
        <v>ATP8</v>
      </c>
      <c r="B709" s="4"/>
      <c r="C709" s="3">
        <v>11130</v>
      </c>
      <c r="D709" s="3">
        <v>1580</v>
      </c>
      <c r="E709" s="3">
        <v>596</v>
      </c>
      <c r="F709" s="3">
        <v>205</v>
      </c>
      <c r="G709" s="3">
        <v>0</v>
      </c>
      <c r="H709" s="2">
        <f t="shared" si="22"/>
        <v>13511</v>
      </c>
      <c r="I709" t="str">
        <f t="shared" si="23"/>
        <v>ATP8_13511</v>
      </c>
      <c r="J709" s="3">
        <v>11130</v>
      </c>
      <c r="K709" s="3">
        <v>1580</v>
      </c>
      <c r="L709" s="3">
        <v>596</v>
      </c>
      <c r="M709" s="3">
        <v>205</v>
      </c>
      <c r="N709" s="3">
        <v>0</v>
      </c>
    </row>
    <row r="710" spans="1:14" x14ac:dyDescent="0.2">
      <c r="A710" s="5" t="str">
        <f>HYPERLINK("http://www.ncbi.nlm.nih.gov/protein/34538602","ATP8")</f>
        <v>ATP8</v>
      </c>
      <c r="B710" s="4"/>
      <c r="C710" s="3">
        <v>11130</v>
      </c>
      <c r="D710" s="3">
        <v>1580</v>
      </c>
      <c r="E710" s="3">
        <v>596</v>
      </c>
      <c r="F710" s="3">
        <v>205</v>
      </c>
      <c r="G710" s="3">
        <v>0</v>
      </c>
      <c r="H710" s="2">
        <f t="shared" si="22"/>
        <v>13511</v>
      </c>
      <c r="I710" t="str">
        <f t="shared" si="23"/>
        <v>ATP8_13511</v>
      </c>
      <c r="J710" s="3">
        <v>11130</v>
      </c>
      <c r="K710" s="3">
        <v>1580</v>
      </c>
      <c r="L710" s="3">
        <v>596</v>
      </c>
      <c r="M710" s="3">
        <v>205</v>
      </c>
      <c r="N710" s="3">
        <v>0</v>
      </c>
    </row>
    <row r="711" spans="1:14" x14ac:dyDescent="0.2">
      <c r="A711" s="5" t="str">
        <f>HYPERLINK("http://www.ncbi.nlm.nih.gov/protein/7656912","Atp8a2")</f>
        <v>Atp8a2</v>
      </c>
      <c r="B711" s="4"/>
      <c r="C711" s="3">
        <v>604</v>
      </c>
      <c r="D711" s="3">
        <v>0</v>
      </c>
      <c r="E711" s="3">
        <v>0</v>
      </c>
      <c r="F711" s="3">
        <v>0</v>
      </c>
      <c r="G711" s="3">
        <v>0</v>
      </c>
      <c r="H711" s="2">
        <f t="shared" si="22"/>
        <v>604</v>
      </c>
      <c r="I711" t="str">
        <f t="shared" si="23"/>
        <v>Atp8a2_604</v>
      </c>
      <c r="J711" s="3">
        <v>604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2">
      <c r="A712" s="5" t="str">
        <f>HYPERLINK("http://www.ncbi.nlm.nih.gov/protein/80861460","Atp8b1")</f>
        <v>Atp8b1</v>
      </c>
      <c r="B712" s="4"/>
      <c r="C712" s="3">
        <v>0</v>
      </c>
      <c r="D712" s="3">
        <v>0</v>
      </c>
      <c r="E712" s="3">
        <v>19</v>
      </c>
      <c r="F712" s="3">
        <v>0</v>
      </c>
      <c r="G712" s="3">
        <v>0</v>
      </c>
      <c r="H712" s="2">
        <f t="shared" si="22"/>
        <v>19</v>
      </c>
      <c r="I712" t="str">
        <f t="shared" si="23"/>
        <v>Atp8b1_19</v>
      </c>
      <c r="J712" s="3">
        <v>0</v>
      </c>
      <c r="K712" s="3">
        <v>0</v>
      </c>
      <c r="L712" s="3">
        <v>19</v>
      </c>
      <c r="M712" s="3">
        <v>0</v>
      </c>
      <c r="N712" s="3">
        <v>0</v>
      </c>
    </row>
    <row r="713" spans="1:14" x14ac:dyDescent="0.2">
      <c r="A713" s="5" t="str">
        <f>HYPERLINK("http://www.ncbi.nlm.nih.gov/protein/46358405","Atp8b3")</f>
        <v>Atp8b3</v>
      </c>
      <c r="B713" s="4"/>
      <c r="C713" s="3">
        <v>0</v>
      </c>
      <c r="D713" s="3">
        <v>0</v>
      </c>
      <c r="E713" s="3">
        <v>19</v>
      </c>
      <c r="F713" s="3">
        <v>0</v>
      </c>
      <c r="G713" s="3">
        <v>0</v>
      </c>
      <c r="H713" s="2">
        <f t="shared" si="22"/>
        <v>19</v>
      </c>
      <c r="I713" t="str">
        <f t="shared" si="23"/>
        <v>Atp8b3_19</v>
      </c>
      <c r="J713" s="3">
        <v>0</v>
      </c>
      <c r="K713" s="3">
        <v>0</v>
      </c>
      <c r="L713" s="3">
        <v>19</v>
      </c>
      <c r="M713" s="3">
        <v>0</v>
      </c>
      <c r="N713" s="3">
        <v>0</v>
      </c>
    </row>
    <row r="714" spans="1:14" x14ac:dyDescent="0.2">
      <c r="A714" s="5" t="str">
        <f>HYPERLINK("http://www.ncbi.nlm.nih.gov/protein/157671921","Atp8b4")</f>
        <v>Atp8b4</v>
      </c>
      <c r="B714" s="4"/>
      <c r="C714" s="3">
        <v>0</v>
      </c>
      <c r="D714" s="3">
        <v>0</v>
      </c>
      <c r="E714" s="3">
        <v>19</v>
      </c>
      <c r="F714" s="3">
        <v>0</v>
      </c>
      <c r="G714" s="3">
        <v>0</v>
      </c>
      <c r="H714" s="2">
        <f t="shared" si="22"/>
        <v>19</v>
      </c>
      <c r="I714" t="str">
        <f t="shared" si="23"/>
        <v>Atp8b4_19</v>
      </c>
      <c r="J714" s="3">
        <v>0</v>
      </c>
      <c r="K714" s="3">
        <v>0</v>
      </c>
      <c r="L714" s="3">
        <v>19</v>
      </c>
      <c r="M714" s="3">
        <v>0</v>
      </c>
      <c r="N714" s="3">
        <v>0</v>
      </c>
    </row>
    <row r="715" spans="1:14" x14ac:dyDescent="0.2">
      <c r="A715" s="5" t="str">
        <f>HYPERLINK("http://www.ncbi.nlm.nih.gov/protein/40795674","Atp9a")</f>
        <v>Atp9a</v>
      </c>
      <c r="B715" s="4"/>
      <c r="C715" s="3">
        <v>0</v>
      </c>
      <c r="D715" s="3">
        <v>0</v>
      </c>
      <c r="E715" s="3">
        <v>1112</v>
      </c>
      <c r="F715" s="3">
        <v>0</v>
      </c>
      <c r="G715" s="3">
        <v>0</v>
      </c>
      <c r="H715" s="2">
        <f t="shared" si="22"/>
        <v>1112</v>
      </c>
      <c r="I715" t="str">
        <f t="shared" si="23"/>
        <v>Atp9a_1112</v>
      </c>
      <c r="J715" s="3">
        <v>0</v>
      </c>
      <c r="K715" s="3">
        <v>0</v>
      </c>
      <c r="L715" s="3">
        <v>1112</v>
      </c>
      <c r="M715" s="3">
        <v>0</v>
      </c>
      <c r="N715" s="3">
        <v>0</v>
      </c>
    </row>
    <row r="716" spans="1:14" x14ac:dyDescent="0.2">
      <c r="A716" s="5" t="str">
        <f>HYPERLINK("http://www.ncbi.nlm.nih.gov/protein/320089590","Atp9b")</f>
        <v>Atp9b</v>
      </c>
      <c r="B716" s="4"/>
      <c r="C716" s="3">
        <v>0</v>
      </c>
      <c r="D716" s="3">
        <v>0</v>
      </c>
      <c r="E716" s="3">
        <v>222</v>
      </c>
      <c r="F716" s="3">
        <v>0</v>
      </c>
      <c r="G716" s="3">
        <v>0</v>
      </c>
      <c r="H716" s="2">
        <f t="shared" si="22"/>
        <v>222</v>
      </c>
      <c r="I716" t="str">
        <f t="shared" si="23"/>
        <v>Atp9b_222</v>
      </c>
      <c r="J716" s="3">
        <v>0</v>
      </c>
      <c r="K716" s="3">
        <v>0</v>
      </c>
      <c r="L716" s="3">
        <v>222</v>
      </c>
      <c r="M716" s="3">
        <v>0</v>
      </c>
      <c r="N716" s="3">
        <v>0</v>
      </c>
    </row>
    <row r="717" spans="1:14" x14ac:dyDescent="0.2">
      <c r="A717" s="5" t="str">
        <f>HYPERLINK("http://www.ncbi.nlm.nih.gov/protein/40807502","Atp9b")</f>
        <v>Atp9b</v>
      </c>
      <c r="B717" s="4"/>
      <c r="C717" s="3">
        <v>0</v>
      </c>
      <c r="D717" s="3">
        <v>0</v>
      </c>
      <c r="E717" s="3">
        <v>222</v>
      </c>
      <c r="F717" s="3">
        <v>0</v>
      </c>
      <c r="G717" s="3">
        <v>0</v>
      </c>
      <c r="H717" s="2">
        <f t="shared" si="22"/>
        <v>222</v>
      </c>
      <c r="I717" t="str">
        <f t="shared" si="23"/>
        <v>Atp9b_222</v>
      </c>
      <c r="J717" s="3">
        <v>0</v>
      </c>
      <c r="K717" s="3">
        <v>0</v>
      </c>
      <c r="L717" s="3">
        <v>222</v>
      </c>
      <c r="M717" s="3">
        <v>0</v>
      </c>
      <c r="N717" s="3">
        <v>0</v>
      </c>
    </row>
    <row r="718" spans="1:14" x14ac:dyDescent="0.2">
      <c r="A718" s="5" t="str">
        <f>HYPERLINK("http://www.ncbi.nlm.nih.gov/protein/344925843","Atpaf1")</f>
        <v>Atpaf1</v>
      </c>
      <c r="B718" s="4"/>
      <c r="C718" s="3">
        <v>0</v>
      </c>
      <c r="D718" s="3">
        <v>593</v>
      </c>
      <c r="E718" s="3">
        <v>0</v>
      </c>
      <c r="F718" s="3">
        <v>0</v>
      </c>
      <c r="G718" s="3">
        <v>0</v>
      </c>
      <c r="H718" s="2">
        <f t="shared" si="22"/>
        <v>593</v>
      </c>
      <c r="I718" t="str">
        <f t="shared" si="23"/>
        <v>Atpaf1_593</v>
      </c>
      <c r="J718" s="3">
        <v>0</v>
      </c>
      <c r="K718" s="3">
        <v>593</v>
      </c>
      <c r="L718" s="3">
        <v>0</v>
      </c>
      <c r="M718" s="3">
        <v>0</v>
      </c>
      <c r="N718" s="3">
        <v>0</v>
      </c>
    </row>
    <row r="719" spans="1:14" x14ac:dyDescent="0.2">
      <c r="A719" s="5" t="str">
        <f>HYPERLINK("http://www.ncbi.nlm.nih.gov/protein/238776839","Atpaf2")</f>
        <v>Atpaf2</v>
      </c>
      <c r="B719" s="4"/>
      <c r="C719" s="3">
        <v>1153</v>
      </c>
      <c r="D719" s="3">
        <v>2603</v>
      </c>
      <c r="E719" s="3">
        <v>0</v>
      </c>
      <c r="F719" s="3">
        <v>0</v>
      </c>
      <c r="G719" s="3">
        <v>0</v>
      </c>
      <c r="H719" s="2">
        <f t="shared" si="22"/>
        <v>3756</v>
      </c>
      <c r="I719" t="str">
        <f t="shared" si="23"/>
        <v>Atpaf2_3756</v>
      </c>
      <c r="J719" s="3">
        <v>1153</v>
      </c>
      <c r="K719" s="3">
        <v>2603</v>
      </c>
      <c r="L719" s="3">
        <v>0</v>
      </c>
      <c r="M719" s="3">
        <v>0</v>
      </c>
      <c r="N719" s="3">
        <v>0</v>
      </c>
    </row>
    <row r="720" spans="1:14" x14ac:dyDescent="0.2">
      <c r="A720" s="5" t="str">
        <f>HYPERLINK("http://www.ncbi.nlm.nih.gov/protein/31982864","Atpif1")</f>
        <v>Atpif1</v>
      </c>
      <c r="B720" s="4"/>
      <c r="C720" s="3">
        <v>0</v>
      </c>
      <c r="D720" s="3">
        <v>198</v>
      </c>
      <c r="E720" s="3">
        <v>66</v>
      </c>
      <c r="F720" s="3">
        <v>0</v>
      </c>
      <c r="G720" s="3">
        <v>0</v>
      </c>
      <c r="H720" s="2">
        <f t="shared" si="22"/>
        <v>264</v>
      </c>
      <c r="I720" t="str">
        <f t="shared" si="23"/>
        <v>Atpif1_264</v>
      </c>
      <c r="J720" s="3">
        <v>0</v>
      </c>
      <c r="K720" s="3">
        <v>198</v>
      </c>
      <c r="L720" s="3">
        <v>66</v>
      </c>
      <c r="M720" s="3">
        <v>0</v>
      </c>
      <c r="N720" s="3">
        <v>0</v>
      </c>
    </row>
    <row r="721" spans="1:14" x14ac:dyDescent="0.2">
      <c r="A721" s="5" t="str">
        <f>HYPERLINK("http://www.ncbi.nlm.nih.gov/protein/189339266","Atr")</f>
        <v>Atr</v>
      </c>
      <c r="B721" s="4"/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2">
        <f t="shared" si="22"/>
        <v>1</v>
      </c>
      <c r="I721" t="str">
        <f t="shared" si="23"/>
        <v>Atr_1</v>
      </c>
      <c r="J721" s="3">
        <v>0</v>
      </c>
      <c r="K721" s="3">
        <v>0</v>
      </c>
      <c r="L721" s="3">
        <v>1</v>
      </c>
      <c r="M721" s="3">
        <v>0</v>
      </c>
      <c r="N721" s="3">
        <v>0</v>
      </c>
    </row>
    <row r="722" spans="1:14" x14ac:dyDescent="0.2">
      <c r="A722" s="5" t="str">
        <f>HYPERLINK("http://www.ncbi.nlm.nih.gov/protein/47087146","Atraid")</f>
        <v>Atraid</v>
      </c>
      <c r="B722" s="4"/>
      <c r="C722" s="3">
        <v>0</v>
      </c>
      <c r="D722" s="3">
        <v>0</v>
      </c>
      <c r="E722" s="3">
        <v>37</v>
      </c>
      <c r="F722" s="3">
        <v>0</v>
      </c>
      <c r="G722" s="3">
        <v>0</v>
      </c>
      <c r="H722" s="2">
        <f t="shared" si="22"/>
        <v>37</v>
      </c>
      <c r="I722" t="str">
        <f t="shared" si="23"/>
        <v>Atraid_37</v>
      </c>
      <c r="J722" s="3">
        <v>0</v>
      </c>
      <c r="K722" s="3">
        <v>0</v>
      </c>
      <c r="L722" s="3">
        <v>37</v>
      </c>
      <c r="M722" s="3">
        <v>0</v>
      </c>
      <c r="N722" s="3">
        <v>0</v>
      </c>
    </row>
    <row r="723" spans="1:14" x14ac:dyDescent="0.2">
      <c r="A723" s="5" t="str">
        <f>HYPERLINK("http://www.ncbi.nlm.nih.gov/protein/83649709","Atxn10")</f>
        <v>Atxn10</v>
      </c>
      <c r="B723" s="4"/>
      <c r="C723" s="3">
        <v>0</v>
      </c>
      <c r="D723" s="3">
        <v>8939</v>
      </c>
      <c r="E723" s="3">
        <v>18938</v>
      </c>
      <c r="F723" s="3">
        <v>58756</v>
      </c>
      <c r="G723" s="3">
        <v>83780</v>
      </c>
      <c r="H723" s="2">
        <f t="shared" si="22"/>
        <v>170413</v>
      </c>
      <c r="I723" t="str">
        <f t="shared" si="23"/>
        <v>Atxn10_170413</v>
      </c>
      <c r="J723" s="3">
        <v>0</v>
      </c>
      <c r="K723" s="3">
        <v>8939</v>
      </c>
      <c r="L723" s="3">
        <v>18938</v>
      </c>
      <c r="M723" s="3">
        <v>58756</v>
      </c>
      <c r="N723" s="3">
        <v>83780</v>
      </c>
    </row>
    <row r="724" spans="1:14" x14ac:dyDescent="0.2">
      <c r="A724" s="5" t="str">
        <f>HYPERLINK("http://www.ncbi.nlm.nih.gov/protein/124244104","Atxn2")</f>
        <v>Atxn2</v>
      </c>
      <c r="B724" s="4"/>
      <c r="C724" s="3">
        <v>0</v>
      </c>
      <c r="D724" s="3">
        <v>0</v>
      </c>
      <c r="E724" s="3">
        <v>272</v>
      </c>
      <c r="F724" s="3">
        <v>704</v>
      </c>
      <c r="G724" s="3">
        <v>0</v>
      </c>
      <c r="H724" s="2">
        <f t="shared" si="22"/>
        <v>976</v>
      </c>
      <c r="I724" t="str">
        <f t="shared" si="23"/>
        <v>Atxn2_976</v>
      </c>
      <c r="J724" s="3">
        <v>0</v>
      </c>
      <c r="K724" s="3">
        <v>0</v>
      </c>
      <c r="L724" s="3">
        <v>272</v>
      </c>
      <c r="M724" s="3">
        <v>704</v>
      </c>
      <c r="N724" s="3">
        <v>0</v>
      </c>
    </row>
    <row r="725" spans="1:14" x14ac:dyDescent="0.2">
      <c r="A725" s="5" t="str">
        <f>HYPERLINK("http://www.ncbi.nlm.nih.gov/protein/33942089","Atxn2l")</f>
        <v>Atxn2l</v>
      </c>
      <c r="B725" s="4"/>
      <c r="C725" s="3">
        <v>0</v>
      </c>
      <c r="D725" s="3">
        <v>0</v>
      </c>
      <c r="E725" s="3">
        <v>2594</v>
      </c>
      <c r="F725" s="3">
        <v>0</v>
      </c>
      <c r="G725" s="3">
        <v>1028</v>
      </c>
      <c r="H725" s="2">
        <f t="shared" si="22"/>
        <v>3622</v>
      </c>
      <c r="I725" t="str">
        <f t="shared" si="23"/>
        <v>Atxn2l_3622</v>
      </c>
      <c r="J725" s="3">
        <v>0</v>
      </c>
      <c r="K725" s="3">
        <v>0</v>
      </c>
      <c r="L725" s="3">
        <v>2594</v>
      </c>
      <c r="M725" s="3">
        <v>0</v>
      </c>
      <c r="N725" s="3">
        <v>1028</v>
      </c>
    </row>
    <row r="726" spans="1:14" x14ac:dyDescent="0.2">
      <c r="A726" s="5" t="str">
        <f>HYPERLINK("http://www.ncbi.nlm.nih.gov/protein/268837077","Atxn3")</f>
        <v>Atxn3</v>
      </c>
      <c r="B726" s="4"/>
      <c r="C726" s="3">
        <v>0</v>
      </c>
      <c r="D726" s="3">
        <v>0</v>
      </c>
      <c r="E726" s="3">
        <v>0</v>
      </c>
      <c r="F726" s="3">
        <v>0</v>
      </c>
      <c r="G726" s="3">
        <v>6618</v>
      </c>
      <c r="H726" s="2">
        <f t="shared" si="22"/>
        <v>6618</v>
      </c>
      <c r="I726" t="str">
        <f t="shared" si="23"/>
        <v>Atxn3_6618</v>
      </c>
      <c r="J726" s="3">
        <v>0</v>
      </c>
      <c r="K726" s="3">
        <v>0</v>
      </c>
      <c r="L726" s="3">
        <v>0</v>
      </c>
      <c r="M726" s="3">
        <v>0</v>
      </c>
      <c r="N726" s="3">
        <v>6618</v>
      </c>
    </row>
    <row r="727" spans="1:14" x14ac:dyDescent="0.2">
      <c r="A727" s="5" t="str">
        <f>HYPERLINK("http://www.ncbi.nlm.nih.gov/protein/268837154","Atxn3")</f>
        <v>Atxn3</v>
      </c>
      <c r="B727" s="4"/>
      <c r="C727" s="3">
        <v>0</v>
      </c>
      <c r="D727" s="3">
        <v>0</v>
      </c>
      <c r="E727" s="3">
        <v>0</v>
      </c>
      <c r="F727" s="3">
        <v>0</v>
      </c>
      <c r="G727" s="3">
        <v>2817</v>
      </c>
      <c r="H727" s="2">
        <f t="shared" si="22"/>
        <v>2817</v>
      </c>
      <c r="I727" t="str">
        <f t="shared" si="23"/>
        <v>Atxn3_2817</v>
      </c>
      <c r="J727" s="3">
        <v>0</v>
      </c>
      <c r="K727" s="3">
        <v>0</v>
      </c>
      <c r="L727" s="3">
        <v>0</v>
      </c>
      <c r="M727" s="3">
        <v>0</v>
      </c>
      <c r="N727" s="3">
        <v>2817</v>
      </c>
    </row>
    <row r="728" spans="1:14" x14ac:dyDescent="0.2">
      <c r="A728" s="5" t="str">
        <f>HYPERLINK("http://www.ncbi.nlm.nih.gov/protein/113930747","Atxn7l3b")</f>
        <v>Atxn7l3b</v>
      </c>
      <c r="B728" s="4"/>
      <c r="C728" s="3">
        <v>0</v>
      </c>
      <c r="D728" s="3">
        <v>334</v>
      </c>
      <c r="E728" s="3">
        <v>666</v>
      </c>
      <c r="F728" s="3">
        <v>237</v>
      </c>
      <c r="G728" s="3">
        <v>6490</v>
      </c>
      <c r="H728" s="2">
        <f t="shared" si="22"/>
        <v>7727</v>
      </c>
      <c r="I728" t="str">
        <f t="shared" si="23"/>
        <v>Atxn7l3b_7727</v>
      </c>
      <c r="J728" s="3">
        <v>0</v>
      </c>
      <c r="K728" s="3">
        <v>334</v>
      </c>
      <c r="L728" s="3">
        <v>666</v>
      </c>
      <c r="M728" s="3">
        <v>237</v>
      </c>
      <c r="N728" s="3">
        <v>6490</v>
      </c>
    </row>
    <row r="729" spans="1:14" x14ac:dyDescent="0.2">
      <c r="A729" s="5" t="str">
        <f>HYPERLINK("http://www.ncbi.nlm.nih.gov/protein/85701612","AU015228")</f>
        <v>AU015228</v>
      </c>
      <c r="B729" s="4"/>
      <c r="C729" s="3">
        <v>0</v>
      </c>
      <c r="D729" s="3">
        <v>127</v>
      </c>
      <c r="E729" s="3">
        <v>59</v>
      </c>
      <c r="F729" s="3">
        <v>1703</v>
      </c>
      <c r="G729" s="3">
        <v>0</v>
      </c>
      <c r="H729" s="2">
        <f t="shared" si="22"/>
        <v>1889</v>
      </c>
      <c r="I729" t="str">
        <f t="shared" si="23"/>
        <v>AU015228_1889</v>
      </c>
      <c r="J729" s="3">
        <v>0</v>
      </c>
      <c r="K729" s="3">
        <v>127</v>
      </c>
      <c r="L729" s="3">
        <v>59</v>
      </c>
      <c r="M729" s="3">
        <v>1703</v>
      </c>
      <c r="N729" s="3">
        <v>0</v>
      </c>
    </row>
    <row r="730" spans="1:14" x14ac:dyDescent="0.2">
      <c r="A730" s="5" t="str">
        <f>HYPERLINK("http://www.ncbi.nlm.nih.gov/protein/201025409","AU019823")</f>
        <v>AU019823</v>
      </c>
      <c r="B730" s="4"/>
      <c r="C730" s="3">
        <v>0</v>
      </c>
      <c r="D730" s="3">
        <v>194</v>
      </c>
      <c r="E730" s="3">
        <v>18</v>
      </c>
      <c r="F730" s="3">
        <v>0</v>
      </c>
      <c r="G730" s="3">
        <v>0</v>
      </c>
      <c r="H730" s="2">
        <f t="shared" si="22"/>
        <v>212</v>
      </c>
      <c r="I730" t="str">
        <f t="shared" si="23"/>
        <v>AU019823_212</v>
      </c>
      <c r="J730" s="3">
        <v>0</v>
      </c>
      <c r="K730" s="3">
        <v>194</v>
      </c>
      <c r="L730" s="3">
        <v>18</v>
      </c>
      <c r="M730" s="3">
        <v>0</v>
      </c>
      <c r="N730" s="3">
        <v>0</v>
      </c>
    </row>
    <row r="731" spans="1:14" x14ac:dyDescent="0.2">
      <c r="A731" s="5" t="str">
        <f>HYPERLINK("http://www.ncbi.nlm.nih.gov/protein/116268115","Auh")</f>
        <v>Auh</v>
      </c>
      <c r="B731" s="4"/>
      <c r="C731" s="3">
        <v>0</v>
      </c>
      <c r="D731" s="3">
        <v>1123</v>
      </c>
      <c r="E731" s="3">
        <v>0</v>
      </c>
      <c r="F731" s="3">
        <v>0</v>
      </c>
      <c r="G731" s="3">
        <v>0</v>
      </c>
      <c r="H731" s="2">
        <f t="shared" si="22"/>
        <v>1123</v>
      </c>
      <c r="I731" t="str">
        <f t="shared" si="23"/>
        <v>Auh_1123</v>
      </c>
      <c r="J731" s="3">
        <v>0</v>
      </c>
      <c r="K731" s="3">
        <v>1123</v>
      </c>
      <c r="L731" s="3">
        <v>0</v>
      </c>
      <c r="M731" s="3">
        <v>0</v>
      </c>
      <c r="N731" s="3">
        <v>0</v>
      </c>
    </row>
    <row r="732" spans="1:14" x14ac:dyDescent="0.2">
      <c r="A732" s="5" t="str">
        <f>HYPERLINK("http://www.ncbi.nlm.nih.gov/protein/90403601","Aup1")</f>
        <v>Aup1</v>
      </c>
      <c r="B732" s="4"/>
      <c r="C732" s="3">
        <v>1776</v>
      </c>
      <c r="D732" s="3">
        <v>2181</v>
      </c>
      <c r="E732" s="3">
        <v>481</v>
      </c>
      <c r="F732" s="3">
        <v>0</v>
      </c>
      <c r="G732" s="3">
        <v>0</v>
      </c>
      <c r="H732" s="2">
        <f t="shared" si="22"/>
        <v>4438</v>
      </c>
      <c r="I732" t="str">
        <f t="shared" si="23"/>
        <v>Aup1_4438</v>
      </c>
      <c r="J732" s="3">
        <v>1776</v>
      </c>
      <c r="K732" s="3">
        <v>2181</v>
      </c>
      <c r="L732" s="3">
        <v>481</v>
      </c>
      <c r="M732" s="3">
        <v>0</v>
      </c>
      <c r="N732" s="3">
        <v>0</v>
      </c>
    </row>
    <row r="733" spans="1:14" x14ac:dyDescent="0.2">
      <c r="A733" s="5" t="str">
        <f>HYPERLINK("http://www.ncbi.nlm.nih.gov/protein/46358064","Aurka")</f>
        <v>Aurka</v>
      </c>
      <c r="B733" s="4"/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2">
        <f t="shared" si="22"/>
        <v>0</v>
      </c>
      <c r="I733" t="str">
        <f t="shared" si="23"/>
        <v>Aurka_0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</row>
    <row r="734" spans="1:14" x14ac:dyDescent="0.2">
      <c r="A734" s="5" t="str">
        <f>HYPERLINK("http://www.ncbi.nlm.nih.gov/protein/260099645","Aven")</f>
        <v>Aven</v>
      </c>
      <c r="B734" s="4"/>
      <c r="C734" s="3">
        <v>0</v>
      </c>
      <c r="D734" s="3">
        <v>0</v>
      </c>
      <c r="E734" s="3">
        <v>0</v>
      </c>
      <c r="F734" s="3">
        <v>737</v>
      </c>
      <c r="G734" s="3">
        <v>0</v>
      </c>
      <c r="H734" s="2">
        <f t="shared" si="22"/>
        <v>737</v>
      </c>
      <c r="I734" t="str">
        <f t="shared" si="23"/>
        <v>Aven_737</v>
      </c>
      <c r="J734" s="3">
        <v>0</v>
      </c>
      <c r="K734" s="3">
        <v>0</v>
      </c>
      <c r="L734" s="3">
        <v>0</v>
      </c>
      <c r="M734" s="3">
        <v>737</v>
      </c>
      <c r="N734" s="3">
        <v>0</v>
      </c>
    </row>
    <row r="735" spans="1:14" x14ac:dyDescent="0.2">
      <c r="A735" s="5" t="str">
        <f>HYPERLINK("http://www.ncbi.nlm.nih.gov/protein/260099647","Aven")</f>
        <v>Aven</v>
      </c>
      <c r="B735" s="4"/>
      <c r="C735" s="3">
        <v>0</v>
      </c>
      <c r="D735" s="3">
        <v>0</v>
      </c>
      <c r="E735" s="3">
        <v>0</v>
      </c>
      <c r="F735" s="3">
        <v>737</v>
      </c>
      <c r="G735" s="3">
        <v>0</v>
      </c>
      <c r="H735" s="2">
        <f t="shared" si="22"/>
        <v>737</v>
      </c>
      <c r="I735" t="str">
        <f t="shared" si="23"/>
        <v>Aven_737</v>
      </c>
      <c r="J735" s="3">
        <v>0</v>
      </c>
      <c r="K735" s="3">
        <v>0</v>
      </c>
      <c r="L735" s="3">
        <v>0</v>
      </c>
      <c r="M735" s="3">
        <v>737</v>
      </c>
      <c r="N735" s="3">
        <v>0</v>
      </c>
    </row>
    <row r="736" spans="1:14" x14ac:dyDescent="0.2">
      <c r="A736" s="5" t="str">
        <f>HYPERLINK("http://www.ncbi.nlm.nih.gov/protein/226529032","Avl9")</f>
        <v>Avl9</v>
      </c>
      <c r="B736" s="4"/>
      <c r="C736" s="3">
        <v>0</v>
      </c>
      <c r="D736" s="3">
        <v>0</v>
      </c>
      <c r="E736" s="3">
        <v>1945</v>
      </c>
      <c r="F736" s="3">
        <v>8325</v>
      </c>
      <c r="G736" s="3">
        <v>332</v>
      </c>
      <c r="H736" s="2">
        <f t="shared" si="22"/>
        <v>10602</v>
      </c>
      <c r="I736" t="str">
        <f t="shared" si="23"/>
        <v>Avl9_10602</v>
      </c>
      <c r="J736" s="3">
        <v>0</v>
      </c>
      <c r="K736" s="3">
        <v>0</v>
      </c>
      <c r="L736" s="3">
        <v>1945</v>
      </c>
      <c r="M736" s="3">
        <v>8325</v>
      </c>
      <c r="N736" s="3">
        <v>332</v>
      </c>
    </row>
    <row r="737" spans="1:14" x14ac:dyDescent="0.2">
      <c r="A737" s="5" t="str">
        <f>HYPERLINK("http://www.ncbi.nlm.nih.gov/protein/19526465","Avpi1")</f>
        <v>Avpi1</v>
      </c>
      <c r="B737" s="4"/>
      <c r="C737" s="3">
        <v>0</v>
      </c>
      <c r="D737" s="3">
        <v>0</v>
      </c>
      <c r="E737" s="3">
        <v>0</v>
      </c>
      <c r="F737" s="3">
        <v>147</v>
      </c>
      <c r="G737" s="3">
        <v>0</v>
      </c>
      <c r="H737" s="2">
        <f t="shared" si="22"/>
        <v>147</v>
      </c>
      <c r="I737" t="str">
        <f t="shared" si="23"/>
        <v>Avpi1_147</v>
      </c>
      <c r="J737" s="3">
        <v>0</v>
      </c>
      <c r="K737" s="3">
        <v>0</v>
      </c>
      <c r="L737" s="3">
        <v>0</v>
      </c>
      <c r="M737" s="3">
        <v>147</v>
      </c>
      <c r="N737" s="3">
        <v>0</v>
      </c>
    </row>
    <row r="738" spans="1:14" x14ac:dyDescent="0.2">
      <c r="A738" s="5" t="str">
        <f>HYPERLINK("http://www.ncbi.nlm.nih.gov/protein/157388985","AW209491")</f>
        <v>AW209491</v>
      </c>
      <c r="B738" s="4"/>
      <c r="C738" s="3">
        <v>494</v>
      </c>
      <c r="D738" s="3">
        <v>0</v>
      </c>
      <c r="E738" s="3">
        <v>354</v>
      </c>
      <c r="F738" s="3">
        <v>0</v>
      </c>
      <c r="G738" s="3">
        <v>0</v>
      </c>
      <c r="H738" s="2">
        <f t="shared" si="22"/>
        <v>848</v>
      </c>
      <c r="I738" t="str">
        <f t="shared" si="23"/>
        <v>AW209491_848</v>
      </c>
      <c r="J738" s="3">
        <v>494</v>
      </c>
      <c r="K738" s="3">
        <v>0</v>
      </c>
      <c r="L738" s="3">
        <v>354</v>
      </c>
      <c r="M738" s="3">
        <v>0</v>
      </c>
      <c r="N738" s="3">
        <v>0</v>
      </c>
    </row>
    <row r="739" spans="1:14" x14ac:dyDescent="0.2">
      <c r="A739" s="5" t="str">
        <f>HYPERLINK("http://www.ncbi.nlm.nih.gov/protein/52630434","AW549877")</f>
        <v>AW549877</v>
      </c>
      <c r="B739" s="4"/>
      <c r="C739" s="3">
        <v>0</v>
      </c>
      <c r="D739" s="3">
        <v>219</v>
      </c>
      <c r="E739" s="3">
        <v>0</v>
      </c>
      <c r="F739" s="3">
        <v>499</v>
      </c>
      <c r="G739" s="3">
        <v>2024</v>
      </c>
      <c r="H739" s="2">
        <f t="shared" si="22"/>
        <v>2742</v>
      </c>
      <c r="I739" t="str">
        <f t="shared" si="23"/>
        <v>AW549877_2742</v>
      </c>
      <c r="J739" s="3">
        <v>0</v>
      </c>
      <c r="K739" s="3">
        <v>219</v>
      </c>
      <c r="L739" s="3">
        <v>0</v>
      </c>
      <c r="M739" s="3">
        <v>499</v>
      </c>
      <c r="N739" s="3">
        <v>2024</v>
      </c>
    </row>
    <row r="740" spans="1:14" x14ac:dyDescent="0.2">
      <c r="A740" s="5" t="str">
        <f>HYPERLINK("http://www.ncbi.nlm.nih.gov/protein/30520173","AW551984")</f>
        <v>AW551984</v>
      </c>
      <c r="B740" s="4"/>
      <c r="C740" s="3">
        <v>0</v>
      </c>
      <c r="D740" s="3">
        <v>311</v>
      </c>
      <c r="E740" s="3">
        <v>0</v>
      </c>
      <c r="F740" s="3">
        <v>0</v>
      </c>
      <c r="G740" s="3">
        <v>0</v>
      </c>
      <c r="H740" s="2">
        <f t="shared" si="22"/>
        <v>311</v>
      </c>
      <c r="I740" t="str">
        <f t="shared" si="23"/>
        <v>AW551984_311</v>
      </c>
      <c r="J740" s="3">
        <v>0</v>
      </c>
      <c r="K740" s="3">
        <v>311</v>
      </c>
      <c r="L740" s="3">
        <v>0</v>
      </c>
      <c r="M740" s="3">
        <v>0</v>
      </c>
      <c r="N740" s="3">
        <v>0</v>
      </c>
    </row>
    <row r="741" spans="1:14" x14ac:dyDescent="0.2">
      <c r="A741" s="5" t="str">
        <f>HYPERLINK("http://www.ncbi.nlm.nih.gov/protein/39930561","AY358078")</f>
        <v>AY358078</v>
      </c>
      <c r="B741" s="4"/>
      <c r="C741" s="3">
        <v>0</v>
      </c>
      <c r="D741" s="3">
        <v>0</v>
      </c>
      <c r="E741" s="3">
        <v>0</v>
      </c>
      <c r="F741" s="3">
        <v>0</v>
      </c>
      <c r="G741" s="3">
        <v>86</v>
      </c>
      <c r="H741" s="2">
        <f t="shared" si="22"/>
        <v>86</v>
      </c>
      <c r="I741" t="str">
        <f t="shared" si="23"/>
        <v>AY358078_86</v>
      </c>
      <c r="J741" s="3">
        <v>0</v>
      </c>
      <c r="K741" s="3">
        <v>0</v>
      </c>
      <c r="L741" s="3">
        <v>0</v>
      </c>
      <c r="M741" s="3">
        <v>0</v>
      </c>
      <c r="N741" s="3">
        <v>86</v>
      </c>
    </row>
    <row r="742" spans="1:14" x14ac:dyDescent="0.2">
      <c r="A742" s="5" t="str">
        <f>HYPERLINK("http://www.ncbi.nlm.nih.gov/protein/294345409","Azi1")</f>
        <v>Azi1</v>
      </c>
      <c r="B742" s="4"/>
      <c r="C742" s="3">
        <v>0</v>
      </c>
      <c r="D742" s="3">
        <v>0</v>
      </c>
      <c r="E742" s="3">
        <v>334</v>
      </c>
      <c r="F742" s="3">
        <v>0</v>
      </c>
      <c r="G742" s="3">
        <v>0</v>
      </c>
      <c r="H742" s="2">
        <f t="shared" si="22"/>
        <v>334</v>
      </c>
      <c r="I742" t="str">
        <f t="shared" si="23"/>
        <v>Azi1_334</v>
      </c>
      <c r="J742" s="3">
        <v>0</v>
      </c>
      <c r="K742" s="3">
        <v>0</v>
      </c>
      <c r="L742" s="3">
        <v>334</v>
      </c>
      <c r="M742" s="3">
        <v>0</v>
      </c>
      <c r="N742" s="3">
        <v>0</v>
      </c>
    </row>
    <row r="743" spans="1:14" x14ac:dyDescent="0.2">
      <c r="A743" s="5" t="str">
        <f>HYPERLINK("http://www.ncbi.nlm.nih.gov/protein/31981890","B2m")</f>
        <v>B2m</v>
      </c>
      <c r="B743" s="4"/>
      <c r="C743" s="3">
        <v>0</v>
      </c>
      <c r="D743" s="3">
        <v>0</v>
      </c>
      <c r="E743" s="3">
        <v>1020</v>
      </c>
      <c r="F743" s="3">
        <v>0</v>
      </c>
      <c r="G743" s="3">
        <v>0</v>
      </c>
      <c r="H743" s="2">
        <f t="shared" si="22"/>
        <v>1020</v>
      </c>
      <c r="I743" t="str">
        <f t="shared" si="23"/>
        <v>B2m_1020</v>
      </c>
      <c r="J743" s="3">
        <v>0</v>
      </c>
      <c r="K743" s="3">
        <v>0</v>
      </c>
      <c r="L743" s="3">
        <v>1020</v>
      </c>
      <c r="M743" s="3">
        <v>0</v>
      </c>
      <c r="N743" s="3">
        <v>0</v>
      </c>
    </row>
    <row r="744" spans="1:14" x14ac:dyDescent="0.2">
      <c r="A744" s="5" t="str">
        <f>HYPERLINK("http://www.ncbi.nlm.nih.gov/protein/17978260","B3galt6")</f>
        <v>B3galt6</v>
      </c>
      <c r="B744" s="4"/>
      <c r="C744" s="3">
        <v>0</v>
      </c>
      <c r="D744" s="3">
        <v>1359</v>
      </c>
      <c r="E744" s="3">
        <v>0</v>
      </c>
      <c r="F744" s="3">
        <v>0</v>
      </c>
      <c r="G744" s="3">
        <v>0</v>
      </c>
      <c r="H744" s="2">
        <f t="shared" si="22"/>
        <v>1359</v>
      </c>
      <c r="I744" t="str">
        <f t="shared" si="23"/>
        <v>B3galt6_1359</v>
      </c>
      <c r="J744" s="3">
        <v>0</v>
      </c>
      <c r="K744" s="3">
        <v>1359</v>
      </c>
      <c r="L744" s="3">
        <v>0</v>
      </c>
      <c r="M744" s="3">
        <v>0</v>
      </c>
      <c r="N744" s="3">
        <v>0</v>
      </c>
    </row>
    <row r="745" spans="1:14" x14ac:dyDescent="0.2">
      <c r="A745" s="5" t="str">
        <f>HYPERLINK("http://www.ncbi.nlm.nih.gov/protein/13195672","B3gat3")</f>
        <v>B3gat3</v>
      </c>
      <c r="B745" s="4"/>
      <c r="C745" s="3">
        <v>0</v>
      </c>
      <c r="D745" s="3">
        <v>0</v>
      </c>
      <c r="E745" s="3">
        <v>12</v>
      </c>
      <c r="F745" s="3">
        <v>0</v>
      </c>
      <c r="G745" s="3">
        <v>0</v>
      </c>
      <c r="H745" s="2">
        <f t="shared" si="22"/>
        <v>12</v>
      </c>
      <c r="I745" t="str">
        <f t="shared" si="23"/>
        <v>B3gat3_12</v>
      </c>
      <c r="J745" s="3">
        <v>0</v>
      </c>
      <c r="K745" s="3">
        <v>0</v>
      </c>
      <c r="L745" s="3">
        <v>12</v>
      </c>
      <c r="M745" s="3">
        <v>0</v>
      </c>
      <c r="N745" s="3">
        <v>0</v>
      </c>
    </row>
    <row r="746" spans="1:14" x14ac:dyDescent="0.2">
      <c r="A746" s="5" t="str">
        <f>HYPERLINK("http://www.ncbi.nlm.nih.gov/protein/170784852","B3gnt3")</f>
        <v>B3gnt3</v>
      </c>
      <c r="B746" s="4"/>
      <c r="C746" s="3">
        <v>0</v>
      </c>
      <c r="D746" s="3">
        <v>10</v>
      </c>
      <c r="E746" s="3">
        <v>0</v>
      </c>
      <c r="F746" s="3">
        <v>0</v>
      </c>
      <c r="G746" s="3">
        <v>0</v>
      </c>
      <c r="H746" s="2">
        <f t="shared" si="22"/>
        <v>10</v>
      </c>
      <c r="I746" t="str">
        <f t="shared" si="23"/>
        <v>B3gnt3_10</v>
      </c>
      <c r="J746" s="3">
        <v>0</v>
      </c>
      <c r="K746" s="3">
        <v>10</v>
      </c>
      <c r="L746" s="3">
        <v>0</v>
      </c>
      <c r="M746" s="3">
        <v>0</v>
      </c>
      <c r="N746" s="3">
        <v>0</v>
      </c>
    </row>
    <row r="747" spans="1:14" x14ac:dyDescent="0.2">
      <c r="A747" s="5" t="str">
        <f>HYPERLINK("http://www.ncbi.nlm.nih.gov/protein/347543755","B4galnt1")</f>
        <v>B4galnt1</v>
      </c>
      <c r="B747" s="4"/>
      <c r="C747" s="3">
        <v>0</v>
      </c>
      <c r="D747" s="3">
        <v>5526</v>
      </c>
      <c r="E747" s="3">
        <v>2233</v>
      </c>
      <c r="F747" s="3">
        <v>0</v>
      </c>
      <c r="G747" s="3">
        <v>0</v>
      </c>
      <c r="H747" s="2">
        <f t="shared" si="22"/>
        <v>7759</v>
      </c>
      <c r="I747" t="str">
        <f t="shared" si="23"/>
        <v>B4galnt1_7759</v>
      </c>
      <c r="J747" s="3">
        <v>0</v>
      </c>
      <c r="K747" s="3">
        <v>5526</v>
      </c>
      <c r="L747" s="3">
        <v>2233</v>
      </c>
      <c r="M747" s="3">
        <v>0</v>
      </c>
      <c r="N747" s="3">
        <v>0</v>
      </c>
    </row>
    <row r="748" spans="1:14" x14ac:dyDescent="0.2">
      <c r="A748" s="5" t="str">
        <f>HYPERLINK("http://www.ncbi.nlm.nih.gov/protein/347543757","B4galnt1")</f>
        <v>B4galnt1</v>
      </c>
      <c r="B748" s="4"/>
      <c r="C748" s="3">
        <v>0</v>
      </c>
      <c r="D748" s="3">
        <v>2209</v>
      </c>
      <c r="E748" s="3">
        <v>123</v>
      </c>
      <c r="F748" s="3">
        <v>0</v>
      </c>
      <c r="G748" s="3">
        <v>0</v>
      </c>
      <c r="H748" s="2">
        <f t="shared" si="22"/>
        <v>2332</v>
      </c>
      <c r="I748" t="str">
        <f t="shared" si="23"/>
        <v>B4galnt1_2332</v>
      </c>
      <c r="J748" s="3">
        <v>0</v>
      </c>
      <c r="K748" s="3">
        <v>2209</v>
      </c>
      <c r="L748" s="3">
        <v>123</v>
      </c>
      <c r="M748" s="3">
        <v>0</v>
      </c>
      <c r="N748" s="3">
        <v>0</v>
      </c>
    </row>
    <row r="749" spans="1:14" x14ac:dyDescent="0.2">
      <c r="A749" s="5" t="str">
        <f>HYPERLINK("http://www.ncbi.nlm.nih.gov/protein/347543759","B4galnt1")</f>
        <v>B4galnt1</v>
      </c>
      <c r="B749" s="4"/>
      <c r="C749" s="3">
        <v>0</v>
      </c>
      <c r="D749" s="3">
        <v>2209</v>
      </c>
      <c r="E749" s="3">
        <v>123</v>
      </c>
      <c r="F749" s="3">
        <v>0</v>
      </c>
      <c r="G749" s="3">
        <v>0</v>
      </c>
      <c r="H749" s="2">
        <f t="shared" si="22"/>
        <v>2332</v>
      </c>
      <c r="I749" t="str">
        <f t="shared" si="23"/>
        <v>B4galnt1_2332</v>
      </c>
      <c r="J749" s="3">
        <v>0</v>
      </c>
      <c r="K749" s="3">
        <v>2209</v>
      </c>
      <c r="L749" s="3">
        <v>123</v>
      </c>
      <c r="M749" s="3">
        <v>0</v>
      </c>
      <c r="N749" s="3">
        <v>0</v>
      </c>
    </row>
    <row r="750" spans="1:14" x14ac:dyDescent="0.2">
      <c r="A750" s="5" t="str">
        <f>HYPERLINK("http://www.ncbi.nlm.nih.gov/protein/6679929","B4galnt1")</f>
        <v>B4galnt1</v>
      </c>
      <c r="B750" s="4"/>
      <c r="C750" s="3">
        <v>0</v>
      </c>
      <c r="D750" s="3">
        <v>5526</v>
      </c>
      <c r="E750" s="3">
        <v>2233</v>
      </c>
      <c r="F750" s="3">
        <v>0</v>
      </c>
      <c r="G750" s="3">
        <v>0</v>
      </c>
      <c r="H750" s="2">
        <f t="shared" si="22"/>
        <v>7759</v>
      </c>
      <c r="I750" t="str">
        <f t="shared" si="23"/>
        <v>B4galnt1_7759</v>
      </c>
      <c r="J750" s="3">
        <v>0</v>
      </c>
      <c r="K750" s="3">
        <v>5526</v>
      </c>
      <c r="L750" s="3">
        <v>2233</v>
      </c>
      <c r="M750" s="3">
        <v>0</v>
      </c>
      <c r="N750" s="3">
        <v>0</v>
      </c>
    </row>
    <row r="751" spans="1:14" x14ac:dyDescent="0.2">
      <c r="A751" s="5" t="str">
        <f>HYPERLINK("http://www.ncbi.nlm.nih.gov/protein/6679931","B4galnt2")</f>
        <v>B4galnt2</v>
      </c>
      <c r="B751" s="4"/>
      <c r="C751" s="3">
        <v>0</v>
      </c>
      <c r="D751" s="3">
        <v>0</v>
      </c>
      <c r="E751" s="3">
        <v>0</v>
      </c>
      <c r="F751" s="3">
        <v>0</v>
      </c>
      <c r="G751" s="3">
        <v>5248</v>
      </c>
      <c r="H751" s="2">
        <f t="shared" si="22"/>
        <v>5248</v>
      </c>
      <c r="I751" t="str">
        <f t="shared" si="23"/>
        <v>B4galnt2_5248</v>
      </c>
      <c r="J751" s="3">
        <v>0</v>
      </c>
      <c r="K751" s="3">
        <v>0</v>
      </c>
      <c r="L751" s="3">
        <v>0</v>
      </c>
      <c r="M751" s="3">
        <v>0</v>
      </c>
      <c r="N751" s="3">
        <v>5248</v>
      </c>
    </row>
    <row r="752" spans="1:14" x14ac:dyDescent="0.2">
      <c r="A752" s="5" t="str">
        <f>HYPERLINK("http://www.ncbi.nlm.nih.gov/protein/11602910","B4galt1")</f>
        <v>B4galt1</v>
      </c>
      <c r="B752" s="4"/>
      <c r="C752" s="3">
        <v>0</v>
      </c>
      <c r="D752" s="3">
        <v>152</v>
      </c>
      <c r="E752" s="3">
        <v>177</v>
      </c>
      <c r="F752" s="3">
        <v>0</v>
      </c>
      <c r="G752" s="3">
        <v>0</v>
      </c>
      <c r="H752" s="2">
        <f t="shared" si="22"/>
        <v>329</v>
      </c>
      <c r="I752" t="str">
        <f t="shared" si="23"/>
        <v>B4galt1_329</v>
      </c>
      <c r="J752" s="3">
        <v>0</v>
      </c>
      <c r="K752" s="3">
        <v>152</v>
      </c>
      <c r="L752" s="3">
        <v>177</v>
      </c>
      <c r="M752" s="3">
        <v>0</v>
      </c>
      <c r="N752" s="3">
        <v>0</v>
      </c>
    </row>
    <row r="753" spans="1:14" x14ac:dyDescent="0.2">
      <c r="A753" s="5" t="str">
        <f>HYPERLINK("http://www.ncbi.nlm.nih.gov/protein/188528672","B4galt4")</f>
        <v>B4galt4</v>
      </c>
      <c r="B753" s="4"/>
      <c r="C753" s="3">
        <v>0</v>
      </c>
      <c r="D753" s="3">
        <v>382</v>
      </c>
      <c r="E753" s="3">
        <v>0</v>
      </c>
      <c r="F753" s="3">
        <v>0</v>
      </c>
      <c r="G753" s="3">
        <v>0</v>
      </c>
      <c r="H753" s="2">
        <f t="shared" si="22"/>
        <v>382</v>
      </c>
      <c r="I753" t="str">
        <f t="shared" si="23"/>
        <v>B4galt4_382</v>
      </c>
      <c r="J753" s="3">
        <v>0</v>
      </c>
      <c r="K753" s="3">
        <v>382</v>
      </c>
      <c r="L753" s="3">
        <v>0</v>
      </c>
      <c r="M753" s="3">
        <v>0</v>
      </c>
      <c r="N753" s="3">
        <v>0</v>
      </c>
    </row>
    <row r="754" spans="1:14" x14ac:dyDescent="0.2">
      <c r="A754" s="5" t="str">
        <f>HYPERLINK("http://www.ncbi.nlm.nih.gov/protein/116089306","B4galt5")</f>
        <v>B4galt5</v>
      </c>
      <c r="B754" s="4"/>
      <c r="C754" s="3">
        <v>0</v>
      </c>
      <c r="D754" s="3">
        <v>152</v>
      </c>
      <c r="E754" s="3">
        <v>177</v>
      </c>
      <c r="F754" s="3">
        <v>0</v>
      </c>
      <c r="G754" s="3">
        <v>0</v>
      </c>
      <c r="H754" s="2">
        <f t="shared" si="22"/>
        <v>329</v>
      </c>
      <c r="I754" t="str">
        <f t="shared" si="23"/>
        <v>B4galt5_329</v>
      </c>
      <c r="J754" s="3">
        <v>0</v>
      </c>
      <c r="K754" s="3">
        <v>152</v>
      </c>
      <c r="L754" s="3">
        <v>177</v>
      </c>
      <c r="M754" s="3">
        <v>0</v>
      </c>
      <c r="N754" s="3">
        <v>0</v>
      </c>
    </row>
    <row r="755" spans="1:14" x14ac:dyDescent="0.2">
      <c r="A755" s="5" t="str">
        <f>HYPERLINK("http://www.ncbi.nlm.nih.gov/protein/268838948","Babam1")</f>
        <v>Babam1</v>
      </c>
      <c r="B755" s="4"/>
      <c r="C755" s="3">
        <v>0</v>
      </c>
      <c r="D755" s="3">
        <v>0</v>
      </c>
      <c r="E755" s="3">
        <v>60</v>
      </c>
      <c r="F755" s="3">
        <v>0</v>
      </c>
      <c r="G755" s="3">
        <v>0</v>
      </c>
      <c r="H755" s="2">
        <f t="shared" si="22"/>
        <v>60</v>
      </c>
      <c r="I755" t="str">
        <f t="shared" si="23"/>
        <v>Babam1_60</v>
      </c>
      <c r="J755" s="3">
        <v>0</v>
      </c>
      <c r="K755" s="3">
        <v>0</v>
      </c>
      <c r="L755" s="3">
        <v>60</v>
      </c>
      <c r="M755" s="3">
        <v>0</v>
      </c>
      <c r="N755" s="3">
        <v>0</v>
      </c>
    </row>
    <row r="756" spans="1:14" x14ac:dyDescent="0.2">
      <c r="A756" s="5" t="str">
        <f>HYPERLINK("http://www.ncbi.nlm.nih.gov/protein/6671610","Bad")</f>
        <v>Bad</v>
      </c>
      <c r="B756" s="4"/>
      <c r="C756" s="3">
        <v>0</v>
      </c>
      <c r="D756" s="3">
        <v>0</v>
      </c>
      <c r="E756" s="3">
        <v>0</v>
      </c>
      <c r="F756" s="3">
        <v>0</v>
      </c>
      <c r="G756" s="3">
        <v>332</v>
      </c>
      <c r="H756" s="2">
        <f t="shared" si="22"/>
        <v>332</v>
      </c>
      <c r="I756" t="str">
        <f t="shared" si="23"/>
        <v>Bad_332</v>
      </c>
      <c r="J756" s="3">
        <v>0</v>
      </c>
      <c r="K756" s="3">
        <v>0</v>
      </c>
      <c r="L756" s="3">
        <v>0</v>
      </c>
      <c r="M756" s="3">
        <v>0</v>
      </c>
      <c r="N756" s="3">
        <v>332</v>
      </c>
    </row>
    <row r="757" spans="1:14" x14ac:dyDescent="0.2">
      <c r="A757" s="5" t="str">
        <f>HYPERLINK("http://www.ncbi.nlm.nih.gov/protein/157952206","Bag1")</f>
        <v>Bag1</v>
      </c>
      <c r="B757" s="4"/>
      <c r="C757" s="3">
        <v>0</v>
      </c>
      <c r="D757" s="3">
        <v>0</v>
      </c>
      <c r="E757" s="3">
        <v>168</v>
      </c>
      <c r="F757" s="3">
        <v>352</v>
      </c>
      <c r="G757" s="3">
        <v>10474</v>
      </c>
      <c r="H757" s="2">
        <f t="shared" si="22"/>
        <v>10994</v>
      </c>
      <c r="I757" t="str">
        <f t="shared" si="23"/>
        <v>Bag1_10994</v>
      </c>
      <c r="J757" s="3">
        <v>0</v>
      </c>
      <c r="K757" s="3">
        <v>0</v>
      </c>
      <c r="L757" s="3">
        <v>168</v>
      </c>
      <c r="M757" s="3">
        <v>352</v>
      </c>
      <c r="N757" s="3">
        <v>10474</v>
      </c>
    </row>
    <row r="758" spans="1:14" x14ac:dyDescent="0.2">
      <c r="A758" s="5" t="str">
        <f>HYPERLINK("http://www.ncbi.nlm.nih.gov/protein/284507286","Bag1")</f>
        <v>Bag1</v>
      </c>
      <c r="B758" s="4"/>
      <c r="C758" s="3">
        <v>0</v>
      </c>
      <c r="D758" s="3">
        <v>0</v>
      </c>
      <c r="E758" s="3">
        <v>168</v>
      </c>
      <c r="F758" s="3">
        <v>352</v>
      </c>
      <c r="G758" s="3">
        <v>10474</v>
      </c>
      <c r="H758" s="2">
        <f t="shared" si="22"/>
        <v>10994</v>
      </c>
      <c r="I758" t="str">
        <f t="shared" si="23"/>
        <v>Bag1_10994</v>
      </c>
      <c r="J758" s="3">
        <v>0</v>
      </c>
      <c r="K758" s="3">
        <v>0</v>
      </c>
      <c r="L758" s="3">
        <v>168</v>
      </c>
      <c r="M758" s="3">
        <v>352</v>
      </c>
      <c r="N758" s="3">
        <v>10474</v>
      </c>
    </row>
    <row r="759" spans="1:14" x14ac:dyDescent="0.2">
      <c r="A759" s="5" t="str">
        <f>HYPERLINK("http://www.ncbi.nlm.nih.gov/protein/21703784","Bag2")</f>
        <v>Bag2</v>
      </c>
      <c r="B759" s="4"/>
      <c r="C759" s="3">
        <v>9666</v>
      </c>
      <c r="D759" s="3">
        <v>1163</v>
      </c>
      <c r="E759" s="3">
        <v>3907</v>
      </c>
      <c r="F759" s="3">
        <v>19105</v>
      </c>
      <c r="G759" s="3">
        <v>2838</v>
      </c>
      <c r="H759" s="2">
        <f t="shared" si="22"/>
        <v>36679</v>
      </c>
      <c r="I759" t="str">
        <f t="shared" si="23"/>
        <v>Bag2_36679</v>
      </c>
      <c r="J759" s="3">
        <v>9666</v>
      </c>
      <c r="K759" s="3">
        <v>1163</v>
      </c>
      <c r="L759" s="3">
        <v>3907</v>
      </c>
      <c r="M759" s="3">
        <v>19105</v>
      </c>
      <c r="N759" s="3">
        <v>2838</v>
      </c>
    </row>
    <row r="760" spans="1:14" x14ac:dyDescent="0.2">
      <c r="A760" s="5" t="str">
        <f>HYPERLINK("http://www.ncbi.nlm.nih.gov/protein/17975504","Bag4")</f>
        <v>Bag4</v>
      </c>
      <c r="B760" s="4"/>
      <c r="C760" s="3">
        <v>0</v>
      </c>
      <c r="D760" s="3">
        <v>0</v>
      </c>
      <c r="E760" s="3">
        <v>0</v>
      </c>
      <c r="F760" s="3">
        <v>0</v>
      </c>
      <c r="G760" s="3">
        <v>1028</v>
      </c>
      <c r="H760" s="2">
        <f t="shared" si="22"/>
        <v>1028</v>
      </c>
      <c r="I760" t="str">
        <f t="shared" si="23"/>
        <v>Bag4_1028</v>
      </c>
      <c r="J760" s="3">
        <v>0</v>
      </c>
      <c r="K760" s="3">
        <v>0</v>
      </c>
      <c r="L760" s="3">
        <v>0</v>
      </c>
      <c r="M760" s="3">
        <v>0</v>
      </c>
      <c r="N760" s="3">
        <v>1028</v>
      </c>
    </row>
    <row r="761" spans="1:14" x14ac:dyDescent="0.2">
      <c r="A761" s="5" t="str">
        <f>HYPERLINK("http://www.ncbi.nlm.nih.gov/protein/58037205","Bag5")</f>
        <v>Bag5</v>
      </c>
      <c r="B761" s="4"/>
      <c r="C761" s="3">
        <v>0</v>
      </c>
      <c r="D761" s="3">
        <v>689</v>
      </c>
      <c r="E761" s="3">
        <v>776</v>
      </c>
      <c r="F761" s="3">
        <v>966</v>
      </c>
      <c r="G761" s="3">
        <v>42281</v>
      </c>
      <c r="H761" s="2">
        <f t="shared" si="22"/>
        <v>44712</v>
      </c>
      <c r="I761" t="str">
        <f t="shared" si="23"/>
        <v>Bag5_44712</v>
      </c>
      <c r="J761" s="3">
        <v>0</v>
      </c>
      <c r="K761" s="3">
        <v>689</v>
      </c>
      <c r="L761" s="3">
        <v>776</v>
      </c>
      <c r="M761" s="3">
        <v>966</v>
      </c>
      <c r="N761" s="3">
        <v>42281</v>
      </c>
    </row>
    <row r="762" spans="1:14" x14ac:dyDescent="0.2">
      <c r="A762" s="5" t="str">
        <f>HYPERLINK("http://www.ncbi.nlm.nih.gov/protein/33147082","Bag6")</f>
        <v>Bag6</v>
      </c>
      <c r="B762" s="4"/>
      <c r="C762" s="3">
        <v>0</v>
      </c>
      <c r="D762" s="3">
        <v>357</v>
      </c>
      <c r="E762" s="3">
        <v>2498</v>
      </c>
      <c r="F762" s="3">
        <v>32644</v>
      </c>
      <c r="G762" s="3">
        <v>46158</v>
      </c>
      <c r="H762" s="2">
        <f t="shared" si="22"/>
        <v>81657</v>
      </c>
      <c r="I762" t="str">
        <f t="shared" si="23"/>
        <v>Bag6_81657</v>
      </c>
      <c r="J762" s="3">
        <v>0</v>
      </c>
      <c r="K762" s="3">
        <v>357</v>
      </c>
      <c r="L762" s="3">
        <v>2498</v>
      </c>
      <c r="M762" s="3">
        <v>32644</v>
      </c>
      <c r="N762" s="3">
        <v>46158</v>
      </c>
    </row>
    <row r="763" spans="1:14" x14ac:dyDescent="0.2">
      <c r="A763" s="5" t="str">
        <f>HYPERLINK("http://www.ncbi.nlm.nih.gov/protein/357197137","Bag6")</f>
        <v>Bag6</v>
      </c>
      <c r="B763" s="4"/>
      <c r="C763" s="3">
        <v>0</v>
      </c>
      <c r="D763" s="3">
        <v>357</v>
      </c>
      <c r="E763" s="3">
        <v>2498</v>
      </c>
      <c r="F763" s="3">
        <v>32644</v>
      </c>
      <c r="G763" s="3">
        <v>46158</v>
      </c>
      <c r="H763" s="2">
        <f t="shared" si="22"/>
        <v>81657</v>
      </c>
      <c r="I763" t="str">
        <f t="shared" si="23"/>
        <v>Bag6_81657</v>
      </c>
      <c r="J763" s="3">
        <v>0</v>
      </c>
      <c r="K763" s="3">
        <v>357</v>
      </c>
      <c r="L763" s="3">
        <v>2498</v>
      </c>
      <c r="M763" s="3">
        <v>32644</v>
      </c>
      <c r="N763" s="3">
        <v>46158</v>
      </c>
    </row>
    <row r="764" spans="1:14" x14ac:dyDescent="0.2">
      <c r="A764" s="5" t="str">
        <f>HYPERLINK("http://www.ncbi.nlm.nih.gov/protein/357197139","Bag6")</f>
        <v>Bag6</v>
      </c>
      <c r="B764" s="4"/>
      <c r="C764" s="3">
        <v>0</v>
      </c>
      <c r="D764" s="3">
        <v>357</v>
      </c>
      <c r="E764" s="3">
        <v>2498</v>
      </c>
      <c r="F764" s="3">
        <v>30123</v>
      </c>
      <c r="G764" s="3">
        <v>52016</v>
      </c>
      <c r="H764" s="2">
        <f t="shared" si="22"/>
        <v>84994</v>
      </c>
      <c r="I764" t="str">
        <f t="shared" si="23"/>
        <v>Bag6_84994</v>
      </c>
      <c r="J764" s="3">
        <v>0</v>
      </c>
      <c r="K764" s="3">
        <v>357</v>
      </c>
      <c r="L764" s="3">
        <v>2498</v>
      </c>
      <c r="M764" s="3">
        <v>30123</v>
      </c>
      <c r="N764" s="3">
        <v>52016</v>
      </c>
    </row>
    <row r="765" spans="1:14" x14ac:dyDescent="0.2">
      <c r="A765" s="5" t="str">
        <f>HYPERLINK("http://www.ncbi.nlm.nih.gov/protein/262231776","Baiap2")</f>
        <v>Baiap2</v>
      </c>
      <c r="B765" s="4"/>
      <c r="C765" s="3">
        <v>586</v>
      </c>
      <c r="D765" s="3">
        <v>5229</v>
      </c>
      <c r="E765" s="3">
        <v>54318</v>
      </c>
      <c r="F765" s="3">
        <v>0</v>
      </c>
      <c r="G765" s="3">
        <v>43</v>
      </c>
      <c r="H765" s="2">
        <f t="shared" si="22"/>
        <v>60176</v>
      </c>
      <c r="I765" t="str">
        <f t="shared" si="23"/>
        <v>Baiap2_60176</v>
      </c>
      <c r="J765" s="3">
        <v>586</v>
      </c>
      <c r="K765" s="3">
        <v>5229</v>
      </c>
      <c r="L765" s="3">
        <v>54318</v>
      </c>
      <c r="M765" s="3">
        <v>0</v>
      </c>
      <c r="N765" s="3">
        <v>43</v>
      </c>
    </row>
    <row r="766" spans="1:14" x14ac:dyDescent="0.2">
      <c r="A766" s="5" t="str">
        <f>HYPERLINK("http://www.ncbi.nlm.nih.gov/protein/83642836","Baiap2")</f>
        <v>Baiap2</v>
      </c>
      <c r="B766" s="4"/>
      <c r="C766" s="3">
        <v>586</v>
      </c>
      <c r="D766" s="3">
        <v>5229</v>
      </c>
      <c r="E766" s="3">
        <v>54318</v>
      </c>
      <c r="F766" s="3">
        <v>0</v>
      </c>
      <c r="G766" s="3">
        <v>43</v>
      </c>
      <c r="H766" s="2">
        <f t="shared" si="22"/>
        <v>60176</v>
      </c>
      <c r="I766" t="str">
        <f t="shared" si="23"/>
        <v>Baiap2_60176</v>
      </c>
      <c r="J766" s="3">
        <v>586</v>
      </c>
      <c r="K766" s="3">
        <v>5229</v>
      </c>
      <c r="L766" s="3">
        <v>54318</v>
      </c>
      <c r="M766" s="3">
        <v>0</v>
      </c>
      <c r="N766" s="3">
        <v>43</v>
      </c>
    </row>
    <row r="767" spans="1:14" x14ac:dyDescent="0.2">
      <c r="A767" s="5" t="str">
        <f>HYPERLINK("http://www.ncbi.nlm.nih.gov/protein/83649713","Baiap2")</f>
        <v>Baiap2</v>
      </c>
      <c r="B767" s="4"/>
      <c r="C767" s="3">
        <v>586</v>
      </c>
      <c r="D767" s="3">
        <v>5229</v>
      </c>
      <c r="E767" s="3">
        <v>54318</v>
      </c>
      <c r="F767" s="3">
        <v>0</v>
      </c>
      <c r="G767" s="3">
        <v>43</v>
      </c>
      <c r="H767" s="2">
        <f t="shared" si="22"/>
        <v>60176</v>
      </c>
      <c r="I767" t="str">
        <f t="shared" si="23"/>
        <v>Baiap2_60176</v>
      </c>
      <c r="J767" s="3">
        <v>586</v>
      </c>
      <c r="K767" s="3">
        <v>5229</v>
      </c>
      <c r="L767" s="3">
        <v>54318</v>
      </c>
      <c r="M767" s="3">
        <v>0</v>
      </c>
      <c r="N767" s="3">
        <v>43</v>
      </c>
    </row>
    <row r="768" spans="1:14" x14ac:dyDescent="0.2">
      <c r="A768" s="5" t="str">
        <f>HYPERLINK("http://www.ncbi.nlm.nih.gov/protein/21313234","Baiap2l1")</f>
        <v>Baiap2l1</v>
      </c>
      <c r="B768" s="4"/>
      <c r="C768" s="3">
        <v>0</v>
      </c>
      <c r="D768" s="3">
        <v>0</v>
      </c>
      <c r="E768" s="3">
        <v>8260</v>
      </c>
      <c r="F768" s="3">
        <v>0</v>
      </c>
      <c r="G768" s="3">
        <v>0</v>
      </c>
      <c r="H768" s="2">
        <f t="shared" si="22"/>
        <v>8260</v>
      </c>
      <c r="I768" t="str">
        <f t="shared" si="23"/>
        <v>Baiap2l1_8260</v>
      </c>
      <c r="J768" s="3">
        <v>0</v>
      </c>
      <c r="K768" s="3">
        <v>0</v>
      </c>
      <c r="L768" s="3">
        <v>8260</v>
      </c>
      <c r="M768" s="3">
        <v>0</v>
      </c>
      <c r="N768" s="3">
        <v>0</v>
      </c>
    </row>
    <row r="769" spans="1:14" x14ac:dyDescent="0.2">
      <c r="A769" s="5" t="str">
        <f>HYPERLINK("http://www.ncbi.nlm.nih.gov/protein/111955302","Bak1")</f>
        <v>Bak1</v>
      </c>
      <c r="B769" s="4"/>
      <c r="C769" s="3">
        <v>1904</v>
      </c>
      <c r="D769" s="3">
        <v>4565</v>
      </c>
      <c r="E769" s="3">
        <v>181</v>
      </c>
      <c r="F769" s="3">
        <v>131</v>
      </c>
      <c r="G769" s="3">
        <v>0</v>
      </c>
      <c r="H769" s="2">
        <f t="shared" si="22"/>
        <v>6781</v>
      </c>
      <c r="I769" t="str">
        <f t="shared" si="23"/>
        <v>Bak1_6781</v>
      </c>
      <c r="J769" s="3">
        <v>1904</v>
      </c>
      <c r="K769" s="3">
        <v>4565</v>
      </c>
      <c r="L769" s="3">
        <v>181</v>
      </c>
      <c r="M769" s="3">
        <v>131</v>
      </c>
      <c r="N769" s="3">
        <v>0</v>
      </c>
    </row>
    <row r="770" spans="1:14" x14ac:dyDescent="0.2">
      <c r="A770" s="5" t="str">
        <f>HYPERLINK("http://www.ncbi.nlm.nih.gov/protein/6753178;84042521","Banf1")</f>
        <v>Banf1</v>
      </c>
      <c r="B770" s="4"/>
      <c r="C770" s="3">
        <v>0</v>
      </c>
      <c r="D770" s="3">
        <v>0</v>
      </c>
      <c r="E770" s="3">
        <v>3963</v>
      </c>
      <c r="F770" s="3">
        <v>0</v>
      </c>
      <c r="G770" s="3">
        <v>0</v>
      </c>
      <c r="H770" s="2">
        <f t="shared" ref="H770:H833" si="24">SUM(C770:G770)</f>
        <v>3963</v>
      </c>
      <c r="I770" t="str">
        <f t="shared" ref="I770:I833" si="25">A770&amp;"_"&amp;H770</f>
        <v>Banf1_3963</v>
      </c>
      <c r="J770" s="3">
        <v>0</v>
      </c>
      <c r="K770" s="3">
        <v>0</v>
      </c>
      <c r="L770" s="3">
        <v>3963</v>
      </c>
      <c r="M770" s="3">
        <v>0</v>
      </c>
      <c r="N770" s="3">
        <v>0</v>
      </c>
    </row>
    <row r="771" spans="1:14" x14ac:dyDescent="0.2">
      <c r="A771" s="5" t="str">
        <f>HYPERLINK("http://www.ncbi.nlm.nih.gov/protein/84042521","Banf1")</f>
        <v>Banf1</v>
      </c>
      <c r="B771" s="4"/>
      <c r="C771" s="3">
        <v>28777</v>
      </c>
      <c r="D771" s="3">
        <v>0</v>
      </c>
      <c r="E771" s="3">
        <v>0</v>
      </c>
      <c r="F771" s="3">
        <v>2087</v>
      </c>
      <c r="G771" s="3">
        <v>0</v>
      </c>
      <c r="H771" s="2">
        <f t="shared" si="24"/>
        <v>30864</v>
      </c>
      <c r="I771" t="str">
        <f t="shared" si="25"/>
        <v>Banf1_30864</v>
      </c>
      <c r="J771" s="3">
        <v>28777</v>
      </c>
      <c r="K771" s="3">
        <v>0</v>
      </c>
      <c r="L771" s="3">
        <v>0</v>
      </c>
      <c r="M771" s="3">
        <v>2087</v>
      </c>
      <c r="N771" s="3">
        <v>0</v>
      </c>
    </row>
    <row r="772" spans="1:14" x14ac:dyDescent="0.2">
      <c r="A772" s="5" t="str">
        <f>HYPERLINK("http://www.ncbi.nlm.nih.gov/protein/45598372","Basp1")</f>
        <v>Basp1</v>
      </c>
      <c r="B772" s="4"/>
      <c r="C772" s="3">
        <v>39925</v>
      </c>
      <c r="D772" s="3">
        <v>7903</v>
      </c>
      <c r="E772" s="3">
        <v>43102</v>
      </c>
      <c r="F772" s="3">
        <v>41648</v>
      </c>
      <c r="G772" s="3">
        <v>3920</v>
      </c>
      <c r="H772" s="2">
        <f t="shared" si="24"/>
        <v>136498</v>
      </c>
      <c r="I772" t="str">
        <f t="shared" si="25"/>
        <v>Basp1_136498</v>
      </c>
      <c r="J772" s="3">
        <v>39925</v>
      </c>
      <c r="K772" s="3">
        <v>7903</v>
      </c>
      <c r="L772" s="3">
        <v>43102</v>
      </c>
      <c r="M772" s="3">
        <v>41648</v>
      </c>
      <c r="N772" s="3">
        <v>3920</v>
      </c>
    </row>
    <row r="773" spans="1:14" x14ac:dyDescent="0.2">
      <c r="A773" s="5" t="str">
        <f>HYPERLINK("http://www.ncbi.nlm.nih.gov/protein/6680770","Bax")</f>
        <v>Bax</v>
      </c>
      <c r="B773" s="4"/>
      <c r="C773" s="3">
        <v>659</v>
      </c>
      <c r="D773" s="3">
        <v>4649</v>
      </c>
      <c r="E773" s="3">
        <v>5012</v>
      </c>
      <c r="F773" s="3">
        <v>24401</v>
      </c>
      <c r="G773" s="3">
        <v>5987</v>
      </c>
      <c r="H773" s="2">
        <f t="shared" si="24"/>
        <v>40708</v>
      </c>
      <c r="I773" t="str">
        <f t="shared" si="25"/>
        <v>Bax_40708</v>
      </c>
      <c r="J773" s="3">
        <v>659</v>
      </c>
      <c r="K773" s="3">
        <v>4649</v>
      </c>
      <c r="L773" s="3">
        <v>5012</v>
      </c>
      <c r="M773" s="3">
        <v>24401</v>
      </c>
      <c r="N773" s="3">
        <v>5987</v>
      </c>
    </row>
    <row r="774" spans="1:14" x14ac:dyDescent="0.2">
      <c r="A774" s="5" t="str">
        <f>HYPERLINK("http://www.ncbi.nlm.nih.gov/protein/170295818","Baz1b")</f>
        <v>Baz1b</v>
      </c>
      <c r="B774" s="4"/>
      <c r="C774" s="3">
        <v>6554</v>
      </c>
      <c r="D774" s="3">
        <v>0</v>
      </c>
      <c r="E774" s="3">
        <v>0</v>
      </c>
      <c r="F774" s="3">
        <v>0</v>
      </c>
      <c r="G774" s="3">
        <v>0</v>
      </c>
      <c r="H774" s="2">
        <f t="shared" si="24"/>
        <v>6554</v>
      </c>
      <c r="I774" t="str">
        <f t="shared" si="25"/>
        <v>Baz1b_6554</v>
      </c>
      <c r="J774" s="3">
        <v>6554</v>
      </c>
      <c r="K774" s="3">
        <v>0</v>
      </c>
      <c r="L774" s="3">
        <v>0</v>
      </c>
      <c r="M774" s="3">
        <v>0</v>
      </c>
      <c r="N774" s="3">
        <v>0</v>
      </c>
    </row>
    <row r="775" spans="1:14" x14ac:dyDescent="0.2">
      <c r="A775" s="5" t="str">
        <f>HYPERLINK("http://www.ncbi.nlm.nih.gov/protein/294774603","BB287469")</f>
        <v>BB287469</v>
      </c>
      <c r="B775" s="4"/>
      <c r="C775" s="3">
        <v>0</v>
      </c>
      <c r="D775" s="3">
        <v>253</v>
      </c>
      <c r="E775" s="3">
        <v>0</v>
      </c>
      <c r="F775" s="3">
        <v>6090</v>
      </c>
      <c r="G775" s="3">
        <v>750</v>
      </c>
      <c r="H775" s="2">
        <f t="shared" si="24"/>
        <v>7093</v>
      </c>
      <c r="I775" t="str">
        <f t="shared" si="25"/>
        <v>BB287469_7093</v>
      </c>
      <c r="J775" s="3">
        <v>0</v>
      </c>
      <c r="K775" s="3">
        <v>253</v>
      </c>
      <c r="L775" s="3">
        <v>0</v>
      </c>
      <c r="M775" s="3">
        <v>6090</v>
      </c>
      <c r="N775" s="3">
        <v>750</v>
      </c>
    </row>
    <row r="776" spans="1:14" x14ac:dyDescent="0.2">
      <c r="A776" s="5" t="str">
        <f>HYPERLINK("http://www.ncbi.nlm.nih.gov/protein/305855096","Bbip1")</f>
        <v>Bbip1</v>
      </c>
      <c r="B776" s="4"/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2">
        <f t="shared" si="24"/>
        <v>0</v>
      </c>
      <c r="I776" t="str">
        <f t="shared" si="25"/>
        <v>Bbip1_0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</row>
    <row r="777" spans="1:14" x14ac:dyDescent="0.2">
      <c r="A777" s="5" t="str">
        <f>HYPERLINK("http://www.ncbi.nlm.nih.gov/protein/84370025","Bbs1")</f>
        <v>Bbs1</v>
      </c>
      <c r="B777" s="4"/>
      <c r="C777" s="3">
        <v>0</v>
      </c>
      <c r="D777" s="3">
        <v>0</v>
      </c>
      <c r="E777" s="3">
        <v>19</v>
      </c>
      <c r="F777" s="3">
        <v>475</v>
      </c>
      <c r="G777" s="3">
        <v>0</v>
      </c>
      <c r="H777" s="2">
        <f t="shared" si="24"/>
        <v>494</v>
      </c>
      <c r="I777" t="str">
        <f t="shared" si="25"/>
        <v>Bbs1_494</v>
      </c>
      <c r="J777" s="3">
        <v>0</v>
      </c>
      <c r="K777" s="3">
        <v>0</v>
      </c>
      <c r="L777" s="3">
        <v>19</v>
      </c>
      <c r="M777" s="3">
        <v>475</v>
      </c>
      <c r="N777" s="3">
        <v>0</v>
      </c>
    </row>
    <row r="778" spans="1:14" x14ac:dyDescent="0.2">
      <c r="A778" s="5" t="str">
        <f>HYPERLINK("http://www.ncbi.nlm.nih.gov/protein/116805315","BC003331")</f>
        <v>BC003331</v>
      </c>
      <c r="B778" s="4"/>
      <c r="C778" s="3">
        <v>0</v>
      </c>
      <c r="D778" s="3">
        <v>192</v>
      </c>
      <c r="E778" s="3">
        <v>0</v>
      </c>
      <c r="F778" s="3">
        <v>0</v>
      </c>
      <c r="G778" s="3">
        <v>0</v>
      </c>
      <c r="H778" s="2">
        <f t="shared" si="24"/>
        <v>192</v>
      </c>
      <c r="I778" t="str">
        <f t="shared" si="25"/>
        <v>BC003331_192</v>
      </c>
      <c r="J778" s="3">
        <v>0</v>
      </c>
      <c r="K778" s="3">
        <v>192</v>
      </c>
      <c r="L778" s="3">
        <v>0</v>
      </c>
      <c r="M778" s="3">
        <v>0</v>
      </c>
      <c r="N778" s="3">
        <v>0</v>
      </c>
    </row>
    <row r="779" spans="1:14" x14ac:dyDescent="0.2">
      <c r="A779" s="5" t="str">
        <f>HYPERLINK("http://www.ncbi.nlm.nih.gov/protein/116805317","BC003331")</f>
        <v>BC003331</v>
      </c>
      <c r="B779" s="4"/>
      <c r="C779" s="3">
        <v>0</v>
      </c>
      <c r="D779" s="3">
        <v>192</v>
      </c>
      <c r="E779" s="3">
        <v>0</v>
      </c>
      <c r="F779" s="3">
        <v>0</v>
      </c>
      <c r="G779" s="3">
        <v>0</v>
      </c>
      <c r="H779" s="2">
        <f t="shared" si="24"/>
        <v>192</v>
      </c>
      <c r="I779" t="str">
        <f t="shared" si="25"/>
        <v>BC003331_192</v>
      </c>
      <c r="J779" s="3">
        <v>0</v>
      </c>
      <c r="K779" s="3">
        <v>192</v>
      </c>
      <c r="L779" s="3">
        <v>0</v>
      </c>
      <c r="M779" s="3">
        <v>0</v>
      </c>
      <c r="N779" s="3">
        <v>0</v>
      </c>
    </row>
    <row r="780" spans="1:14" x14ac:dyDescent="0.2">
      <c r="A780" s="5" t="str">
        <f>HYPERLINK("http://www.ncbi.nlm.nih.gov/protein/268607692","BC003965")</f>
        <v>BC003965</v>
      </c>
      <c r="B780" s="4"/>
      <c r="C780" s="3">
        <v>110</v>
      </c>
      <c r="D780" s="3">
        <v>845</v>
      </c>
      <c r="E780" s="3">
        <v>0</v>
      </c>
      <c r="F780" s="3">
        <v>0</v>
      </c>
      <c r="G780" s="3">
        <v>0</v>
      </c>
      <c r="H780" s="2">
        <f t="shared" si="24"/>
        <v>955</v>
      </c>
      <c r="I780" t="str">
        <f t="shared" si="25"/>
        <v>BC003965_955</v>
      </c>
      <c r="J780" s="3">
        <v>110</v>
      </c>
      <c r="K780" s="3">
        <v>845</v>
      </c>
      <c r="L780" s="3">
        <v>0</v>
      </c>
      <c r="M780" s="3">
        <v>0</v>
      </c>
      <c r="N780" s="3">
        <v>0</v>
      </c>
    </row>
    <row r="781" spans="1:14" x14ac:dyDescent="0.2">
      <c r="A781" s="5" t="str">
        <f>HYPERLINK("http://www.ncbi.nlm.nih.gov/protein/262205179","BC005561")</f>
        <v>BC005561</v>
      </c>
      <c r="B781" s="4"/>
      <c r="C781" s="3">
        <v>165</v>
      </c>
      <c r="D781" s="3">
        <v>0</v>
      </c>
      <c r="E781" s="3">
        <v>4</v>
      </c>
      <c r="F781" s="3">
        <v>0</v>
      </c>
      <c r="G781" s="3">
        <v>0</v>
      </c>
      <c r="H781" s="2">
        <f t="shared" si="24"/>
        <v>169</v>
      </c>
      <c r="I781" t="str">
        <f t="shared" si="25"/>
        <v>BC005561_169</v>
      </c>
      <c r="J781" s="3">
        <v>165</v>
      </c>
      <c r="K781" s="3">
        <v>0</v>
      </c>
      <c r="L781" s="3">
        <v>4</v>
      </c>
      <c r="M781" s="3">
        <v>0</v>
      </c>
      <c r="N781" s="3">
        <v>0</v>
      </c>
    </row>
    <row r="782" spans="1:14" x14ac:dyDescent="0.2">
      <c r="A782" s="5" t="str">
        <f>HYPERLINK("http://www.ncbi.nlm.nih.gov/protein/21450249","BC005624")</f>
        <v>BC005624</v>
      </c>
      <c r="B782" s="4"/>
      <c r="C782" s="3">
        <v>0</v>
      </c>
      <c r="D782" s="3">
        <v>0</v>
      </c>
      <c r="E782" s="3">
        <v>0</v>
      </c>
      <c r="F782" s="3">
        <v>0</v>
      </c>
      <c r="G782" s="3">
        <v>1242</v>
      </c>
      <c r="H782" s="2">
        <f t="shared" si="24"/>
        <v>1242</v>
      </c>
      <c r="I782" t="str">
        <f t="shared" si="25"/>
        <v>BC005624_1242</v>
      </c>
      <c r="J782" s="3">
        <v>0</v>
      </c>
      <c r="K782" s="3">
        <v>0</v>
      </c>
      <c r="L782" s="3">
        <v>0</v>
      </c>
      <c r="M782" s="3">
        <v>0</v>
      </c>
      <c r="N782" s="3">
        <v>1242</v>
      </c>
    </row>
    <row r="783" spans="1:14" x14ac:dyDescent="0.2">
      <c r="A783" s="5" t="str">
        <f>HYPERLINK("http://www.ncbi.nlm.nih.gov/protein/357527359","BC017643")</f>
        <v>BC017643</v>
      </c>
      <c r="B783" s="4"/>
      <c r="C783" s="3">
        <v>0</v>
      </c>
      <c r="D783" s="3">
        <v>0</v>
      </c>
      <c r="E783" s="3">
        <v>192</v>
      </c>
      <c r="F783" s="3">
        <v>0</v>
      </c>
      <c r="G783" s="3">
        <v>0</v>
      </c>
      <c r="H783" s="2">
        <f t="shared" si="24"/>
        <v>192</v>
      </c>
      <c r="I783" t="str">
        <f t="shared" si="25"/>
        <v>BC017643_192</v>
      </c>
      <c r="J783" s="3">
        <v>0</v>
      </c>
      <c r="K783" s="3">
        <v>0</v>
      </c>
      <c r="L783" s="3">
        <v>192</v>
      </c>
      <c r="M783" s="3">
        <v>0</v>
      </c>
      <c r="N783" s="3">
        <v>0</v>
      </c>
    </row>
    <row r="784" spans="1:14" x14ac:dyDescent="0.2">
      <c r="A784" s="5" t="str">
        <f>HYPERLINK("http://www.ncbi.nlm.nih.gov/protein/21450219","BC017643")</f>
        <v>BC017643</v>
      </c>
      <c r="B784" s="4"/>
      <c r="C784" s="3">
        <v>0</v>
      </c>
      <c r="D784" s="3">
        <v>1131</v>
      </c>
      <c r="E784" s="3">
        <v>746</v>
      </c>
      <c r="F784" s="3">
        <v>0</v>
      </c>
      <c r="G784" s="3">
        <v>0</v>
      </c>
      <c r="H784" s="2">
        <f t="shared" si="24"/>
        <v>1877</v>
      </c>
      <c r="I784" t="str">
        <f t="shared" si="25"/>
        <v>BC017643_1877</v>
      </c>
      <c r="J784" s="3">
        <v>0</v>
      </c>
      <c r="K784" s="3">
        <v>1131</v>
      </c>
      <c r="L784" s="3">
        <v>746</v>
      </c>
      <c r="M784" s="3">
        <v>0</v>
      </c>
      <c r="N784" s="3">
        <v>0</v>
      </c>
    </row>
    <row r="785" spans="1:14" x14ac:dyDescent="0.2">
      <c r="A785" s="5" t="str">
        <f>HYPERLINK("http://www.ncbi.nlm.nih.gov/protein/361050365","BC017643")</f>
        <v>BC017643</v>
      </c>
      <c r="B785" s="4"/>
      <c r="C785" s="3">
        <v>0</v>
      </c>
      <c r="D785" s="3">
        <v>1131</v>
      </c>
      <c r="E785" s="3">
        <v>746</v>
      </c>
      <c r="F785" s="3">
        <v>0</v>
      </c>
      <c r="G785" s="3">
        <v>0</v>
      </c>
      <c r="H785" s="2">
        <f t="shared" si="24"/>
        <v>1877</v>
      </c>
      <c r="I785" t="str">
        <f t="shared" si="25"/>
        <v>BC017643_1877</v>
      </c>
      <c r="J785" s="3">
        <v>0</v>
      </c>
      <c r="K785" s="3">
        <v>1131</v>
      </c>
      <c r="L785" s="3">
        <v>746</v>
      </c>
      <c r="M785" s="3">
        <v>0</v>
      </c>
      <c r="N785" s="3">
        <v>0</v>
      </c>
    </row>
    <row r="786" spans="1:14" x14ac:dyDescent="0.2">
      <c r="A786" s="5" t="str">
        <f>HYPERLINK("http://www.ncbi.nlm.nih.gov/protein/21450105","BC021614")</f>
        <v>BC021614</v>
      </c>
      <c r="B786" s="4"/>
      <c r="C786" s="3">
        <v>31541</v>
      </c>
      <c r="D786" s="3">
        <v>9411</v>
      </c>
      <c r="E786" s="3">
        <v>17776</v>
      </c>
      <c r="F786" s="3">
        <v>27397</v>
      </c>
      <c r="G786" s="3">
        <v>9060</v>
      </c>
      <c r="H786" s="2">
        <f t="shared" si="24"/>
        <v>95185</v>
      </c>
      <c r="I786" t="str">
        <f t="shared" si="25"/>
        <v>BC021614_95185</v>
      </c>
      <c r="J786" s="3">
        <v>31541</v>
      </c>
      <c r="K786" s="3">
        <v>9411</v>
      </c>
      <c r="L786" s="3">
        <v>17776</v>
      </c>
      <c r="M786" s="3">
        <v>27397</v>
      </c>
      <c r="N786" s="3">
        <v>9060</v>
      </c>
    </row>
    <row r="787" spans="1:14" x14ac:dyDescent="0.2">
      <c r="A787" s="5" t="str">
        <f>HYPERLINK("http://www.ncbi.nlm.nih.gov/protein/119637821","BC021891")</f>
        <v>BC021891</v>
      </c>
      <c r="B787" s="4"/>
      <c r="C787" s="3">
        <v>0</v>
      </c>
      <c r="D787" s="3">
        <v>0</v>
      </c>
      <c r="E787" s="3">
        <v>1351</v>
      </c>
      <c r="F787" s="3">
        <v>0</v>
      </c>
      <c r="G787" s="3">
        <v>0</v>
      </c>
      <c r="H787" s="2">
        <f t="shared" si="24"/>
        <v>1351</v>
      </c>
      <c r="I787" t="str">
        <f t="shared" si="25"/>
        <v>BC021891_1351</v>
      </c>
      <c r="J787" s="3">
        <v>0</v>
      </c>
      <c r="K787" s="3">
        <v>0</v>
      </c>
      <c r="L787" s="3">
        <v>1351</v>
      </c>
      <c r="M787" s="3">
        <v>0</v>
      </c>
      <c r="N787" s="3">
        <v>0</v>
      </c>
    </row>
    <row r="788" spans="1:14" x14ac:dyDescent="0.2">
      <c r="A788" s="5" t="str">
        <f>HYPERLINK("http://www.ncbi.nlm.nih.gov/protein/124487245","BC026590")</f>
        <v>BC026590</v>
      </c>
      <c r="B788" s="4"/>
      <c r="C788" s="3">
        <v>0</v>
      </c>
      <c r="D788" s="3">
        <v>129</v>
      </c>
      <c r="E788" s="3">
        <v>0</v>
      </c>
      <c r="F788" s="3">
        <v>98</v>
      </c>
      <c r="G788" s="3">
        <v>6608</v>
      </c>
      <c r="H788" s="2">
        <f t="shared" si="24"/>
        <v>6835</v>
      </c>
      <c r="I788" t="str">
        <f t="shared" si="25"/>
        <v>BC026590_6835</v>
      </c>
      <c r="J788" s="3">
        <v>0</v>
      </c>
      <c r="K788" s="3">
        <v>129</v>
      </c>
      <c r="L788" s="3">
        <v>0</v>
      </c>
      <c r="M788" s="3">
        <v>98</v>
      </c>
      <c r="N788" s="3">
        <v>6608</v>
      </c>
    </row>
    <row r="789" spans="1:14" x14ac:dyDescent="0.2">
      <c r="A789" s="5" t="str">
        <f>HYPERLINK("http://www.ncbi.nlm.nih.gov/protein/22122411","BC027231")</f>
        <v>BC027231</v>
      </c>
      <c r="B789" s="4"/>
      <c r="C789" s="3">
        <v>0</v>
      </c>
      <c r="D789" s="3">
        <v>0</v>
      </c>
      <c r="E789" s="3">
        <v>0</v>
      </c>
      <c r="F789" s="3">
        <v>377</v>
      </c>
      <c r="G789" s="3">
        <v>0</v>
      </c>
      <c r="H789" s="2">
        <f t="shared" si="24"/>
        <v>377</v>
      </c>
      <c r="I789" t="str">
        <f t="shared" si="25"/>
        <v>BC027231_377</v>
      </c>
      <c r="J789" s="3">
        <v>0</v>
      </c>
      <c r="K789" s="3">
        <v>0</v>
      </c>
      <c r="L789" s="3">
        <v>0</v>
      </c>
      <c r="M789" s="3">
        <v>377</v>
      </c>
      <c r="N789" s="3">
        <v>0</v>
      </c>
    </row>
    <row r="790" spans="1:14" x14ac:dyDescent="0.2">
      <c r="A790" s="5" t="str">
        <f>HYPERLINK("http://www.ncbi.nlm.nih.gov/protein/47564127","BC048507")</f>
        <v>BC048507</v>
      </c>
      <c r="B790" s="4"/>
      <c r="C790" s="3">
        <v>14535</v>
      </c>
      <c r="D790" s="3">
        <v>1912</v>
      </c>
      <c r="E790" s="3">
        <v>1664</v>
      </c>
      <c r="F790" s="3">
        <v>1735</v>
      </c>
      <c r="G790" s="3">
        <v>0</v>
      </c>
      <c r="H790" s="2">
        <f t="shared" si="24"/>
        <v>19846</v>
      </c>
      <c r="I790" t="str">
        <f t="shared" si="25"/>
        <v>BC048507_19846</v>
      </c>
      <c r="J790" s="3">
        <v>14535</v>
      </c>
      <c r="K790" s="3">
        <v>1912</v>
      </c>
      <c r="L790" s="3">
        <v>1664</v>
      </c>
      <c r="M790" s="3">
        <v>1735</v>
      </c>
      <c r="N790" s="3">
        <v>0</v>
      </c>
    </row>
    <row r="791" spans="1:14" x14ac:dyDescent="0.2">
      <c r="A791" s="5" t="str">
        <f>HYPERLINK("http://www.ncbi.nlm.nih.gov/protein/255522839","BC051142")</f>
        <v>BC051142</v>
      </c>
      <c r="B791" s="4"/>
      <c r="C791" s="3">
        <v>0</v>
      </c>
      <c r="D791" s="3">
        <v>0</v>
      </c>
      <c r="E791" s="3">
        <v>0</v>
      </c>
      <c r="F791" s="3">
        <v>0</v>
      </c>
      <c r="G791" s="3">
        <v>37890</v>
      </c>
      <c r="H791" s="2">
        <f t="shared" si="24"/>
        <v>37890</v>
      </c>
      <c r="I791" t="str">
        <f t="shared" si="25"/>
        <v>BC051142_37890</v>
      </c>
      <c r="J791" s="3">
        <v>0</v>
      </c>
      <c r="K791" s="3">
        <v>0</v>
      </c>
      <c r="L791" s="3">
        <v>0</v>
      </c>
      <c r="M791" s="3">
        <v>0</v>
      </c>
      <c r="N791" s="3">
        <v>37890</v>
      </c>
    </row>
    <row r="792" spans="1:14" x14ac:dyDescent="0.2">
      <c r="A792" s="5" t="str">
        <f>HYPERLINK("http://www.ncbi.nlm.nih.gov/protein/283046767","BC068281")</f>
        <v>BC068281</v>
      </c>
      <c r="B792" s="4"/>
      <c r="C792" s="3">
        <v>0</v>
      </c>
      <c r="D792" s="3">
        <v>0</v>
      </c>
      <c r="E792" s="3">
        <v>0</v>
      </c>
      <c r="F792" s="3">
        <v>123</v>
      </c>
      <c r="G792" s="3">
        <v>0</v>
      </c>
      <c r="H792" s="2">
        <f t="shared" si="24"/>
        <v>123</v>
      </c>
      <c r="I792" t="str">
        <f t="shared" si="25"/>
        <v>BC068281_123</v>
      </c>
      <c r="J792" s="3">
        <v>0</v>
      </c>
      <c r="K792" s="3">
        <v>0</v>
      </c>
      <c r="L792" s="3">
        <v>0</v>
      </c>
      <c r="M792" s="3">
        <v>123</v>
      </c>
      <c r="N792" s="3">
        <v>0</v>
      </c>
    </row>
    <row r="793" spans="1:14" x14ac:dyDescent="0.2">
      <c r="A793" s="5" t="str">
        <f>HYPERLINK("http://www.ncbi.nlm.nih.gov/protein/283046769","BC068281")</f>
        <v>BC068281</v>
      </c>
      <c r="B793" s="4"/>
      <c r="C793" s="3">
        <v>0</v>
      </c>
      <c r="D793" s="3">
        <v>0</v>
      </c>
      <c r="E793" s="3">
        <v>0</v>
      </c>
      <c r="F793" s="3">
        <v>123</v>
      </c>
      <c r="G793" s="3">
        <v>0</v>
      </c>
      <c r="H793" s="2">
        <f t="shared" si="24"/>
        <v>123</v>
      </c>
      <c r="I793" t="str">
        <f t="shared" si="25"/>
        <v>BC068281_123</v>
      </c>
      <c r="J793" s="3">
        <v>0</v>
      </c>
      <c r="K793" s="3">
        <v>0</v>
      </c>
      <c r="L793" s="3">
        <v>0</v>
      </c>
      <c r="M793" s="3">
        <v>123</v>
      </c>
      <c r="N793" s="3">
        <v>0</v>
      </c>
    </row>
    <row r="794" spans="1:14" x14ac:dyDescent="0.2">
      <c r="A794" s="5" t="str">
        <f>HYPERLINK("http://www.ncbi.nlm.nih.gov/protein/76781476","BC089491")</f>
        <v>BC089491</v>
      </c>
      <c r="B794" s="4"/>
      <c r="C794" s="3">
        <v>0</v>
      </c>
      <c r="D794" s="3">
        <v>0</v>
      </c>
      <c r="E794" s="3">
        <v>0</v>
      </c>
      <c r="F794" s="3">
        <v>1203</v>
      </c>
      <c r="G794" s="3">
        <v>0</v>
      </c>
      <c r="H794" s="2">
        <f t="shared" si="24"/>
        <v>1203</v>
      </c>
      <c r="I794" t="str">
        <f t="shared" si="25"/>
        <v>BC089491_1203</v>
      </c>
      <c r="J794" s="3">
        <v>0</v>
      </c>
      <c r="K794" s="3">
        <v>0</v>
      </c>
      <c r="L794" s="3">
        <v>0</v>
      </c>
      <c r="M794" s="3">
        <v>1203</v>
      </c>
      <c r="N794" s="3">
        <v>0</v>
      </c>
    </row>
    <row r="795" spans="1:14" x14ac:dyDescent="0.2">
      <c r="A795" s="5" t="str">
        <f>HYPERLINK("http://www.ncbi.nlm.nih.gov/protein/10048460","Bcam")</f>
        <v>Bcam</v>
      </c>
      <c r="B795" s="4"/>
      <c r="C795" s="3">
        <v>22498</v>
      </c>
      <c r="D795" s="3">
        <v>2209</v>
      </c>
      <c r="E795" s="3">
        <v>9127</v>
      </c>
      <c r="F795" s="3">
        <v>82</v>
      </c>
      <c r="G795" s="3">
        <v>27513</v>
      </c>
      <c r="H795" s="2">
        <f t="shared" si="24"/>
        <v>61429</v>
      </c>
      <c r="I795" t="str">
        <f t="shared" si="25"/>
        <v>Bcam_61429</v>
      </c>
      <c r="J795" s="3">
        <v>22498</v>
      </c>
      <c r="K795" s="3">
        <v>2209</v>
      </c>
      <c r="L795" s="3">
        <v>9127</v>
      </c>
      <c r="M795" s="3">
        <v>82</v>
      </c>
      <c r="N795" s="3">
        <v>27513</v>
      </c>
    </row>
    <row r="796" spans="1:14" x14ac:dyDescent="0.2">
      <c r="A796" s="5" t="str">
        <f>HYPERLINK("http://www.ncbi.nlm.nih.gov/protein/6671620","Bcap29")</f>
        <v>Bcap29</v>
      </c>
      <c r="B796" s="4"/>
      <c r="C796" s="3">
        <v>0</v>
      </c>
      <c r="D796" s="3">
        <v>75</v>
      </c>
      <c r="E796" s="3">
        <v>12</v>
      </c>
      <c r="F796" s="3">
        <v>0</v>
      </c>
      <c r="G796" s="3">
        <v>0</v>
      </c>
      <c r="H796" s="2">
        <f t="shared" si="24"/>
        <v>87</v>
      </c>
      <c r="I796" t="str">
        <f t="shared" si="25"/>
        <v>Bcap29_87</v>
      </c>
      <c r="J796" s="3">
        <v>0</v>
      </c>
      <c r="K796" s="3">
        <v>75</v>
      </c>
      <c r="L796" s="3">
        <v>12</v>
      </c>
      <c r="M796" s="3">
        <v>0</v>
      </c>
      <c r="N796" s="3">
        <v>0</v>
      </c>
    </row>
    <row r="797" spans="1:14" x14ac:dyDescent="0.2">
      <c r="A797" s="5" t="str">
        <f>HYPERLINK("http://www.ncbi.nlm.nih.gov/protein/31981310","Bcap31")</f>
        <v>Bcap31</v>
      </c>
      <c r="B797" s="4"/>
      <c r="C797" s="3">
        <v>11386</v>
      </c>
      <c r="D797" s="3">
        <v>4119</v>
      </c>
      <c r="E797" s="3">
        <v>7606</v>
      </c>
      <c r="F797" s="3">
        <v>1072</v>
      </c>
      <c r="G797" s="3">
        <v>0</v>
      </c>
      <c r="H797" s="2">
        <f t="shared" si="24"/>
        <v>24183</v>
      </c>
      <c r="I797" t="str">
        <f t="shared" si="25"/>
        <v>Bcap31_24183</v>
      </c>
      <c r="J797" s="3">
        <v>11386</v>
      </c>
      <c r="K797" s="3">
        <v>4119</v>
      </c>
      <c r="L797" s="3">
        <v>7606</v>
      </c>
      <c r="M797" s="3">
        <v>1072</v>
      </c>
      <c r="N797" s="3">
        <v>0</v>
      </c>
    </row>
    <row r="798" spans="1:14" x14ac:dyDescent="0.2">
      <c r="A798" s="5" t="str">
        <f>HYPERLINK("http://www.ncbi.nlm.nih.gov/protein/311771530","Bcar1")</f>
        <v>Bcar1</v>
      </c>
      <c r="B798" s="4"/>
      <c r="C798" s="3">
        <v>0</v>
      </c>
      <c r="D798" s="3">
        <v>0</v>
      </c>
      <c r="E798" s="3">
        <v>4</v>
      </c>
      <c r="F798" s="3">
        <v>0</v>
      </c>
      <c r="G798" s="3">
        <v>11341</v>
      </c>
      <c r="H798" s="2">
        <f t="shared" si="24"/>
        <v>11345</v>
      </c>
      <c r="I798" t="str">
        <f t="shared" si="25"/>
        <v>Bcar1_11345</v>
      </c>
      <c r="J798" s="3">
        <v>0</v>
      </c>
      <c r="K798" s="3">
        <v>0</v>
      </c>
      <c r="L798" s="3">
        <v>4</v>
      </c>
      <c r="M798" s="3">
        <v>0</v>
      </c>
      <c r="N798" s="3">
        <v>11341</v>
      </c>
    </row>
    <row r="799" spans="1:14" x14ac:dyDescent="0.2">
      <c r="A799" s="5" t="str">
        <f>HYPERLINK("http://www.ncbi.nlm.nih.gov/protein/40254593","Bcar1")</f>
        <v>Bcar1</v>
      </c>
      <c r="B799" s="4"/>
      <c r="C799" s="3">
        <v>0</v>
      </c>
      <c r="D799" s="3">
        <v>0</v>
      </c>
      <c r="E799" s="3">
        <v>4</v>
      </c>
      <c r="F799" s="3">
        <v>0</v>
      </c>
      <c r="G799" s="3">
        <v>11341</v>
      </c>
      <c r="H799" s="2">
        <f t="shared" si="24"/>
        <v>11345</v>
      </c>
      <c r="I799" t="str">
        <f t="shared" si="25"/>
        <v>Bcar1_11345</v>
      </c>
      <c r="J799" s="3">
        <v>0</v>
      </c>
      <c r="K799" s="3">
        <v>0</v>
      </c>
      <c r="L799" s="3">
        <v>4</v>
      </c>
      <c r="M799" s="3">
        <v>0</v>
      </c>
      <c r="N799" s="3">
        <v>11341</v>
      </c>
    </row>
    <row r="800" spans="1:14" x14ac:dyDescent="0.2">
      <c r="A800" s="5" t="str">
        <f>HYPERLINK("http://www.ncbi.nlm.nih.gov/protein/70906453","Bcas2")</f>
        <v>Bcas2</v>
      </c>
      <c r="B800" s="4"/>
      <c r="C800" s="3">
        <v>5437</v>
      </c>
      <c r="D800" s="3">
        <v>33</v>
      </c>
      <c r="E800" s="3">
        <v>278</v>
      </c>
      <c r="F800" s="3">
        <v>393</v>
      </c>
      <c r="G800" s="3">
        <v>396</v>
      </c>
      <c r="H800" s="2">
        <f t="shared" si="24"/>
        <v>6537</v>
      </c>
      <c r="I800" t="str">
        <f t="shared" si="25"/>
        <v>Bcas2_6537</v>
      </c>
      <c r="J800" s="3">
        <v>5437</v>
      </c>
      <c r="K800" s="3">
        <v>33</v>
      </c>
      <c r="L800" s="3">
        <v>278</v>
      </c>
      <c r="M800" s="3">
        <v>393</v>
      </c>
      <c r="N800" s="3">
        <v>396</v>
      </c>
    </row>
    <row r="801" spans="1:14" x14ac:dyDescent="0.2">
      <c r="A801" s="5" t="str">
        <f>HYPERLINK("http://www.ncbi.nlm.nih.gov/protein/161016828","Bcat1")</f>
        <v>Bcat1</v>
      </c>
      <c r="B801" s="4"/>
      <c r="C801" s="3">
        <v>0</v>
      </c>
      <c r="D801" s="3">
        <v>0</v>
      </c>
      <c r="E801" s="3">
        <v>38</v>
      </c>
      <c r="F801" s="3">
        <v>213</v>
      </c>
      <c r="G801" s="3">
        <v>10410</v>
      </c>
      <c r="H801" s="2">
        <f t="shared" si="24"/>
        <v>10661</v>
      </c>
      <c r="I801" t="str">
        <f t="shared" si="25"/>
        <v>Bcat1_10661</v>
      </c>
      <c r="J801" s="3">
        <v>0</v>
      </c>
      <c r="K801" s="3">
        <v>0</v>
      </c>
      <c r="L801" s="3">
        <v>38</v>
      </c>
      <c r="M801" s="3">
        <v>213</v>
      </c>
      <c r="N801" s="3">
        <v>10410</v>
      </c>
    </row>
    <row r="802" spans="1:14" x14ac:dyDescent="0.2">
      <c r="A802" s="5" t="str">
        <f>HYPERLINK("http://www.ncbi.nlm.nih.gov/protein/66792792","Bcat1")</f>
        <v>Bcat1</v>
      </c>
      <c r="B802" s="4"/>
      <c r="C802" s="3">
        <v>0</v>
      </c>
      <c r="D802" s="3">
        <v>0</v>
      </c>
      <c r="E802" s="3">
        <v>38</v>
      </c>
      <c r="F802" s="3">
        <v>213</v>
      </c>
      <c r="G802" s="3">
        <v>3759</v>
      </c>
      <c r="H802" s="2">
        <f t="shared" si="24"/>
        <v>4010</v>
      </c>
      <c r="I802" t="str">
        <f t="shared" si="25"/>
        <v>Bcat1_4010</v>
      </c>
      <c r="J802" s="3">
        <v>0</v>
      </c>
      <c r="K802" s="3">
        <v>0</v>
      </c>
      <c r="L802" s="3">
        <v>38</v>
      </c>
      <c r="M802" s="3">
        <v>213</v>
      </c>
      <c r="N802" s="3">
        <v>3759</v>
      </c>
    </row>
    <row r="803" spans="1:14" x14ac:dyDescent="0.2">
      <c r="A803" s="5" t="str">
        <f>HYPERLINK("http://www.ncbi.nlm.nih.gov/protein/33859514","Bcat2")</f>
        <v>Bcat2</v>
      </c>
      <c r="B803" s="4"/>
      <c r="C803" s="3">
        <v>0</v>
      </c>
      <c r="D803" s="3">
        <v>822</v>
      </c>
      <c r="E803" s="3">
        <v>0</v>
      </c>
      <c r="F803" s="3">
        <v>0</v>
      </c>
      <c r="G803" s="3">
        <v>0</v>
      </c>
      <c r="H803" s="2">
        <f t="shared" si="24"/>
        <v>822</v>
      </c>
      <c r="I803" t="str">
        <f t="shared" si="25"/>
        <v>Bcat2_822</v>
      </c>
      <c r="J803" s="3">
        <v>0</v>
      </c>
      <c r="K803" s="3">
        <v>822</v>
      </c>
      <c r="L803" s="3">
        <v>0</v>
      </c>
      <c r="M803" s="3">
        <v>0</v>
      </c>
      <c r="N803" s="3">
        <v>0</v>
      </c>
    </row>
    <row r="804" spans="1:14" x14ac:dyDescent="0.2">
      <c r="A804" s="5" t="str">
        <f>HYPERLINK("http://www.ncbi.nlm.nih.gov/protein/340007384","Bcat2")</f>
        <v>Bcat2</v>
      </c>
      <c r="B804" s="4"/>
      <c r="C804" s="3">
        <v>0</v>
      </c>
      <c r="D804" s="3">
        <v>822</v>
      </c>
      <c r="E804" s="3">
        <v>0</v>
      </c>
      <c r="F804" s="3">
        <v>0</v>
      </c>
      <c r="G804" s="3">
        <v>0</v>
      </c>
      <c r="H804" s="2">
        <f t="shared" si="24"/>
        <v>822</v>
      </c>
      <c r="I804" t="str">
        <f t="shared" si="25"/>
        <v>Bcat2_822</v>
      </c>
      <c r="J804" s="3">
        <v>0</v>
      </c>
      <c r="K804" s="3">
        <v>822</v>
      </c>
      <c r="L804" s="3">
        <v>0</v>
      </c>
      <c r="M804" s="3">
        <v>0</v>
      </c>
      <c r="N804" s="3">
        <v>0</v>
      </c>
    </row>
    <row r="805" spans="1:14" x14ac:dyDescent="0.2">
      <c r="A805" s="5" t="str">
        <f>HYPERLINK("http://www.ncbi.nlm.nih.gov/protein/134031957","Bccip")</f>
        <v>Bccip</v>
      </c>
      <c r="B805" s="4"/>
      <c r="C805" s="3">
        <v>0</v>
      </c>
      <c r="D805" s="3">
        <v>0</v>
      </c>
      <c r="E805" s="3">
        <v>247</v>
      </c>
      <c r="F805" s="3">
        <v>0</v>
      </c>
      <c r="G805" s="3">
        <v>7839</v>
      </c>
      <c r="H805" s="2">
        <f t="shared" si="24"/>
        <v>8086</v>
      </c>
      <c r="I805" t="str">
        <f t="shared" si="25"/>
        <v>Bccip_8086</v>
      </c>
      <c r="J805" s="3">
        <v>0</v>
      </c>
      <c r="K805" s="3">
        <v>0</v>
      </c>
      <c r="L805" s="3">
        <v>247</v>
      </c>
      <c r="M805" s="3">
        <v>0</v>
      </c>
      <c r="N805" s="3">
        <v>7839</v>
      </c>
    </row>
    <row r="806" spans="1:14" x14ac:dyDescent="0.2">
      <c r="A806" s="5" t="str">
        <f>HYPERLINK("http://www.ncbi.nlm.nih.gov/protein/183396774","Bckdha")</f>
        <v>Bckdha</v>
      </c>
      <c r="B806" s="4"/>
      <c r="C806" s="3">
        <v>0</v>
      </c>
      <c r="D806" s="3">
        <v>198</v>
      </c>
      <c r="E806" s="3">
        <v>0</v>
      </c>
      <c r="F806" s="3">
        <v>0</v>
      </c>
      <c r="G806" s="3">
        <v>0</v>
      </c>
      <c r="H806" s="2">
        <f t="shared" si="24"/>
        <v>198</v>
      </c>
      <c r="I806" t="str">
        <f t="shared" si="25"/>
        <v>Bckdha_198</v>
      </c>
      <c r="J806" s="3">
        <v>0</v>
      </c>
      <c r="K806" s="3">
        <v>198</v>
      </c>
      <c r="L806" s="3">
        <v>0</v>
      </c>
      <c r="M806" s="3">
        <v>0</v>
      </c>
      <c r="N806" s="3">
        <v>0</v>
      </c>
    </row>
    <row r="807" spans="1:14" x14ac:dyDescent="0.2">
      <c r="A807" s="5" t="str">
        <f>HYPERLINK("http://www.ncbi.nlm.nih.gov/protein/40353220","Bckdhb")</f>
        <v>Bckdhb</v>
      </c>
      <c r="B807" s="4"/>
      <c r="C807" s="3">
        <v>0</v>
      </c>
      <c r="D807" s="3">
        <v>2662</v>
      </c>
      <c r="E807" s="3">
        <v>0</v>
      </c>
      <c r="F807" s="3">
        <v>0</v>
      </c>
      <c r="G807" s="3">
        <v>0</v>
      </c>
      <c r="H807" s="2">
        <f t="shared" si="24"/>
        <v>2662</v>
      </c>
      <c r="I807" t="str">
        <f t="shared" si="25"/>
        <v>Bckdhb_2662</v>
      </c>
      <c r="J807" s="3">
        <v>0</v>
      </c>
      <c r="K807" s="3">
        <v>2662</v>
      </c>
      <c r="L807" s="3">
        <v>0</v>
      </c>
      <c r="M807" s="3">
        <v>0</v>
      </c>
      <c r="N807" s="3">
        <v>0</v>
      </c>
    </row>
    <row r="808" spans="1:14" x14ac:dyDescent="0.2">
      <c r="A808" s="5" t="str">
        <f>HYPERLINK("http://www.ncbi.nlm.nih.gov/protein/6753166","Bcl10")</f>
        <v>Bcl10</v>
      </c>
      <c r="B808" s="4"/>
      <c r="C808" s="3">
        <v>0</v>
      </c>
      <c r="D808" s="3">
        <v>0</v>
      </c>
      <c r="E808" s="3">
        <v>0</v>
      </c>
      <c r="F808" s="3">
        <v>0</v>
      </c>
      <c r="G808" s="3">
        <v>1253</v>
      </c>
      <c r="H808" s="2">
        <f t="shared" si="24"/>
        <v>1253</v>
      </c>
      <c r="I808" t="str">
        <f t="shared" si="25"/>
        <v>Bcl10_1253</v>
      </c>
      <c r="J808" s="3">
        <v>0</v>
      </c>
      <c r="K808" s="3">
        <v>0</v>
      </c>
      <c r="L808" s="3">
        <v>0</v>
      </c>
      <c r="M808" s="3">
        <v>0</v>
      </c>
      <c r="N808" s="3">
        <v>1253</v>
      </c>
    </row>
    <row r="809" spans="1:14" x14ac:dyDescent="0.2">
      <c r="A809" s="5" t="str">
        <f>HYPERLINK("http://www.ncbi.nlm.nih.gov/protein/58037550","Bcl2l1")</f>
        <v>Bcl2l1</v>
      </c>
      <c r="B809" s="4"/>
      <c r="C809" s="3">
        <v>0</v>
      </c>
      <c r="D809" s="3">
        <v>0</v>
      </c>
      <c r="E809" s="3">
        <v>6</v>
      </c>
      <c r="F809" s="3">
        <v>0</v>
      </c>
      <c r="G809" s="3">
        <v>0</v>
      </c>
      <c r="H809" s="2">
        <f t="shared" si="24"/>
        <v>6</v>
      </c>
      <c r="I809" t="str">
        <f t="shared" si="25"/>
        <v>Bcl2l1_6</v>
      </c>
      <c r="J809" s="3">
        <v>0</v>
      </c>
      <c r="K809" s="3">
        <v>0</v>
      </c>
      <c r="L809" s="3">
        <v>6</v>
      </c>
      <c r="M809" s="3">
        <v>0</v>
      </c>
      <c r="N809" s="3">
        <v>0</v>
      </c>
    </row>
    <row r="810" spans="1:14" x14ac:dyDescent="0.2">
      <c r="A810" s="5" t="str">
        <f>HYPERLINK("http://www.ncbi.nlm.nih.gov/protein/46592786","Bcl2l11")</f>
        <v>Bcl2l11</v>
      </c>
      <c r="B810" s="4"/>
      <c r="C810" s="3">
        <v>0</v>
      </c>
      <c r="D810" s="3">
        <v>257</v>
      </c>
      <c r="E810" s="3">
        <v>0</v>
      </c>
      <c r="F810" s="3">
        <v>0</v>
      </c>
      <c r="G810" s="3">
        <v>0</v>
      </c>
      <c r="H810" s="2">
        <f t="shared" si="24"/>
        <v>257</v>
      </c>
      <c r="I810" t="str">
        <f t="shared" si="25"/>
        <v>Bcl2l11_257</v>
      </c>
      <c r="J810" s="3">
        <v>0</v>
      </c>
      <c r="K810" s="3">
        <v>257</v>
      </c>
      <c r="L810" s="3">
        <v>0</v>
      </c>
      <c r="M810" s="3">
        <v>0</v>
      </c>
      <c r="N810" s="3">
        <v>0</v>
      </c>
    </row>
    <row r="811" spans="1:14" x14ac:dyDescent="0.2">
      <c r="A811" s="5" t="str">
        <f>HYPERLINK("http://www.ncbi.nlm.nih.gov/protein/23943828","Bcl2l13")</f>
        <v>Bcl2l13</v>
      </c>
      <c r="B811" s="4"/>
      <c r="C811" s="3">
        <v>3478</v>
      </c>
      <c r="D811" s="3">
        <v>1378</v>
      </c>
      <c r="E811" s="3">
        <v>896</v>
      </c>
      <c r="F811" s="3">
        <v>0</v>
      </c>
      <c r="G811" s="3">
        <v>0</v>
      </c>
      <c r="H811" s="2">
        <f t="shared" si="24"/>
        <v>5752</v>
      </c>
      <c r="I811" t="str">
        <f t="shared" si="25"/>
        <v>Bcl2l13_5752</v>
      </c>
      <c r="J811" s="3">
        <v>3478</v>
      </c>
      <c r="K811" s="3">
        <v>1378</v>
      </c>
      <c r="L811" s="3">
        <v>896</v>
      </c>
      <c r="M811" s="3">
        <v>0</v>
      </c>
      <c r="N811" s="3">
        <v>0</v>
      </c>
    </row>
    <row r="812" spans="1:14" x14ac:dyDescent="0.2">
      <c r="A812" s="5" t="str">
        <f>HYPERLINK("http://www.ncbi.nlm.nih.gov/protein/38194232","Bcl2l14")</f>
        <v>Bcl2l14</v>
      </c>
      <c r="B812" s="4"/>
      <c r="C812" s="3">
        <v>0</v>
      </c>
      <c r="D812" s="3">
        <v>0</v>
      </c>
      <c r="E812" s="3">
        <v>82</v>
      </c>
      <c r="F812" s="3">
        <v>688</v>
      </c>
      <c r="G812" s="3">
        <v>0</v>
      </c>
      <c r="H812" s="2">
        <f t="shared" si="24"/>
        <v>770</v>
      </c>
      <c r="I812" t="str">
        <f t="shared" si="25"/>
        <v>Bcl2l14_770</v>
      </c>
      <c r="J812" s="3">
        <v>0</v>
      </c>
      <c r="K812" s="3">
        <v>0</v>
      </c>
      <c r="L812" s="3">
        <v>82</v>
      </c>
      <c r="M812" s="3">
        <v>688</v>
      </c>
      <c r="N812" s="3">
        <v>0</v>
      </c>
    </row>
    <row r="813" spans="1:14" x14ac:dyDescent="0.2">
      <c r="A813" s="5" t="str">
        <f>HYPERLINK("http://www.ncbi.nlm.nih.gov/protein/22296593","Bcl7a")</f>
        <v>Bcl7a</v>
      </c>
      <c r="B813" s="4"/>
      <c r="C813" s="3">
        <v>0</v>
      </c>
      <c r="D813" s="3">
        <v>0</v>
      </c>
      <c r="E813" s="3">
        <v>0</v>
      </c>
      <c r="F813" s="3">
        <v>352</v>
      </c>
      <c r="G813" s="3">
        <v>86</v>
      </c>
      <c r="H813" s="2">
        <f t="shared" si="24"/>
        <v>438</v>
      </c>
      <c r="I813" t="str">
        <f t="shared" si="25"/>
        <v>Bcl7a_438</v>
      </c>
      <c r="J813" s="3">
        <v>0</v>
      </c>
      <c r="K813" s="3">
        <v>0</v>
      </c>
      <c r="L813" s="3">
        <v>0</v>
      </c>
      <c r="M813" s="3">
        <v>352</v>
      </c>
      <c r="N813" s="3">
        <v>86</v>
      </c>
    </row>
    <row r="814" spans="1:14" x14ac:dyDescent="0.2">
      <c r="A814" s="5" t="str">
        <f>HYPERLINK("http://www.ncbi.nlm.nih.gov/protein/91206400","Bcl9l")</f>
        <v>Bcl9l</v>
      </c>
      <c r="B814" s="4"/>
      <c r="C814" s="3">
        <v>0</v>
      </c>
      <c r="D814" s="3">
        <v>0</v>
      </c>
      <c r="E814" s="3">
        <v>0</v>
      </c>
      <c r="F814" s="3">
        <v>0</v>
      </c>
      <c r="G814" s="3">
        <v>161</v>
      </c>
      <c r="H814" s="2">
        <f t="shared" si="24"/>
        <v>161</v>
      </c>
      <c r="I814" t="str">
        <f t="shared" si="25"/>
        <v>Bcl9l_161</v>
      </c>
      <c r="J814" s="3">
        <v>0</v>
      </c>
      <c r="K814" s="3">
        <v>0</v>
      </c>
      <c r="L814" s="3">
        <v>0</v>
      </c>
      <c r="M814" s="3">
        <v>0</v>
      </c>
      <c r="N814" s="3">
        <v>161</v>
      </c>
    </row>
    <row r="815" spans="1:14" x14ac:dyDescent="0.2">
      <c r="A815" s="5" t="str">
        <f>HYPERLINK("http://www.ncbi.nlm.nih.gov/protein/24496776","Bclaf1")</f>
        <v>Bclaf1</v>
      </c>
      <c r="B815" s="4"/>
      <c r="C815" s="3">
        <v>0</v>
      </c>
      <c r="D815" s="3">
        <v>2559</v>
      </c>
      <c r="E815" s="3">
        <v>704</v>
      </c>
      <c r="F815" s="3">
        <v>3209</v>
      </c>
      <c r="G815" s="3">
        <v>0</v>
      </c>
      <c r="H815" s="2">
        <f t="shared" si="24"/>
        <v>6472</v>
      </c>
      <c r="I815" t="str">
        <f t="shared" si="25"/>
        <v>Bclaf1_6472</v>
      </c>
      <c r="J815" s="3">
        <v>0</v>
      </c>
      <c r="K815" s="3">
        <v>2559</v>
      </c>
      <c r="L815" s="3">
        <v>704</v>
      </c>
      <c r="M815" s="3">
        <v>3209</v>
      </c>
      <c r="N815" s="3">
        <v>0</v>
      </c>
    </row>
    <row r="816" spans="1:14" x14ac:dyDescent="0.2">
      <c r="A816" s="5" t="str">
        <f>HYPERLINK("http://www.ncbi.nlm.nih.gov/protein/70906447","Bclaf1")</f>
        <v>Bclaf1</v>
      </c>
      <c r="B816" s="4"/>
      <c r="C816" s="3">
        <v>0</v>
      </c>
      <c r="D816" s="3">
        <v>2559</v>
      </c>
      <c r="E816" s="3">
        <v>704</v>
      </c>
      <c r="F816" s="3">
        <v>3209</v>
      </c>
      <c r="G816" s="3">
        <v>0</v>
      </c>
      <c r="H816" s="2">
        <f t="shared" si="24"/>
        <v>6472</v>
      </c>
      <c r="I816" t="str">
        <f t="shared" si="25"/>
        <v>Bclaf1_6472</v>
      </c>
      <c r="J816" s="3">
        <v>0</v>
      </c>
      <c r="K816" s="3">
        <v>2559</v>
      </c>
      <c r="L816" s="3">
        <v>704</v>
      </c>
      <c r="M816" s="3">
        <v>3209</v>
      </c>
      <c r="N816" s="3">
        <v>0</v>
      </c>
    </row>
    <row r="817" spans="1:14" x14ac:dyDescent="0.2">
      <c r="A817" s="5" t="str">
        <f>HYPERLINK("http://www.ncbi.nlm.nih.gov/protein/70906449","Bclaf1")</f>
        <v>Bclaf1</v>
      </c>
      <c r="B817" s="4"/>
      <c r="C817" s="3">
        <v>0</v>
      </c>
      <c r="D817" s="3">
        <v>2559</v>
      </c>
      <c r="E817" s="3">
        <v>704</v>
      </c>
      <c r="F817" s="3">
        <v>3209</v>
      </c>
      <c r="G817" s="3">
        <v>0</v>
      </c>
      <c r="H817" s="2">
        <f t="shared" si="24"/>
        <v>6472</v>
      </c>
      <c r="I817" t="str">
        <f t="shared" si="25"/>
        <v>Bclaf1_6472</v>
      </c>
      <c r="J817" s="3">
        <v>0</v>
      </c>
      <c r="K817" s="3">
        <v>2559</v>
      </c>
      <c r="L817" s="3">
        <v>704</v>
      </c>
      <c r="M817" s="3">
        <v>3209</v>
      </c>
      <c r="N817" s="3">
        <v>0</v>
      </c>
    </row>
    <row r="818" spans="1:14" x14ac:dyDescent="0.2">
      <c r="A818" s="5" t="str">
        <f>HYPERLINK("http://www.ncbi.nlm.nih.gov/protein/124487229","Bcr")</f>
        <v>Bcr</v>
      </c>
      <c r="B818" s="4"/>
      <c r="C818" s="3">
        <v>0</v>
      </c>
      <c r="D818" s="3">
        <v>0</v>
      </c>
      <c r="E818" s="3">
        <v>0</v>
      </c>
      <c r="F818" s="3">
        <v>0</v>
      </c>
      <c r="G818" s="3">
        <v>867</v>
      </c>
      <c r="H818" s="2">
        <f t="shared" si="24"/>
        <v>867</v>
      </c>
      <c r="I818" t="str">
        <f t="shared" si="25"/>
        <v>Bcr_867</v>
      </c>
      <c r="J818" s="3">
        <v>0</v>
      </c>
      <c r="K818" s="3">
        <v>0</v>
      </c>
      <c r="L818" s="3">
        <v>0</v>
      </c>
      <c r="M818" s="3">
        <v>0</v>
      </c>
      <c r="N818" s="3">
        <v>867</v>
      </c>
    </row>
    <row r="819" spans="1:14" x14ac:dyDescent="0.2">
      <c r="A819" s="5" t="str">
        <f>HYPERLINK("http://www.ncbi.nlm.nih.gov/protein/21313544","Bcs1l")</f>
        <v>Bcs1l</v>
      </c>
      <c r="B819" s="4"/>
      <c r="C819" s="3">
        <v>0</v>
      </c>
      <c r="D819" s="3">
        <v>459</v>
      </c>
      <c r="E819" s="3">
        <v>0</v>
      </c>
      <c r="F819" s="3">
        <v>0</v>
      </c>
      <c r="G819" s="3">
        <v>0</v>
      </c>
      <c r="H819" s="2">
        <f t="shared" si="24"/>
        <v>459</v>
      </c>
      <c r="I819" t="str">
        <f t="shared" si="25"/>
        <v>Bcs1l_459</v>
      </c>
      <c r="J819" s="3">
        <v>0</v>
      </c>
      <c r="K819" s="3">
        <v>459</v>
      </c>
      <c r="L819" s="3">
        <v>0</v>
      </c>
      <c r="M819" s="3">
        <v>0</v>
      </c>
      <c r="N819" s="3">
        <v>0</v>
      </c>
    </row>
    <row r="820" spans="1:14" x14ac:dyDescent="0.2">
      <c r="A820" s="5" t="str">
        <f>HYPERLINK("http://www.ncbi.nlm.nih.gov/protein/170014720","Bdh1")</f>
        <v>Bdh1</v>
      </c>
      <c r="B820" s="4"/>
      <c r="C820" s="3">
        <v>1831</v>
      </c>
      <c r="D820" s="3">
        <v>3722</v>
      </c>
      <c r="E820" s="3">
        <v>54</v>
      </c>
      <c r="F820" s="3">
        <v>0</v>
      </c>
      <c r="G820" s="3">
        <v>0</v>
      </c>
      <c r="H820" s="2">
        <f t="shared" si="24"/>
        <v>5607</v>
      </c>
      <c r="I820" t="str">
        <f t="shared" si="25"/>
        <v>Bdh1_5607</v>
      </c>
      <c r="J820" s="3">
        <v>1831</v>
      </c>
      <c r="K820" s="3">
        <v>3722</v>
      </c>
      <c r="L820" s="3">
        <v>54</v>
      </c>
      <c r="M820" s="3">
        <v>0</v>
      </c>
      <c r="N820" s="3">
        <v>0</v>
      </c>
    </row>
    <row r="821" spans="1:14" x14ac:dyDescent="0.2">
      <c r="A821" s="5" t="str">
        <f>HYPERLINK("http://www.ncbi.nlm.nih.gov/protein/27764875","Becn1")</f>
        <v>Becn1</v>
      </c>
      <c r="B821" s="4"/>
      <c r="C821" s="3">
        <v>0</v>
      </c>
      <c r="D821" s="3">
        <v>4</v>
      </c>
      <c r="E821" s="3">
        <v>53</v>
      </c>
      <c r="F821" s="3">
        <v>0</v>
      </c>
      <c r="G821" s="3">
        <v>953</v>
      </c>
      <c r="H821" s="2">
        <f t="shared" si="24"/>
        <v>1010</v>
      </c>
      <c r="I821" t="str">
        <f t="shared" si="25"/>
        <v>Becn1_1010</v>
      </c>
      <c r="J821" s="3">
        <v>0</v>
      </c>
      <c r="K821" s="3">
        <v>4</v>
      </c>
      <c r="L821" s="3">
        <v>53</v>
      </c>
      <c r="M821" s="3">
        <v>0</v>
      </c>
      <c r="N821" s="3">
        <v>953</v>
      </c>
    </row>
    <row r="822" spans="1:14" x14ac:dyDescent="0.2">
      <c r="A822" s="5" t="str">
        <f>HYPERLINK("http://www.ncbi.nlm.nih.gov/protein/6753182","Bet1")</f>
        <v>Bet1</v>
      </c>
      <c r="B822" s="4"/>
      <c r="C822" s="3">
        <v>0</v>
      </c>
      <c r="D822" s="3">
        <v>269</v>
      </c>
      <c r="E822" s="3">
        <v>0</v>
      </c>
      <c r="F822" s="3">
        <v>196</v>
      </c>
      <c r="G822" s="3">
        <v>0</v>
      </c>
      <c r="H822" s="2">
        <f t="shared" si="24"/>
        <v>465</v>
      </c>
      <c r="I822" t="str">
        <f t="shared" si="25"/>
        <v>Bet1_465</v>
      </c>
      <c r="J822" s="3">
        <v>0</v>
      </c>
      <c r="K822" s="3">
        <v>269</v>
      </c>
      <c r="L822" s="3">
        <v>0</v>
      </c>
      <c r="M822" s="3">
        <v>196</v>
      </c>
      <c r="N822" s="3">
        <v>0</v>
      </c>
    </row>
    <row r="823" spans="1:14" x14ac:dyDescent="0.2">
      <c r="A823" s="5" t="str">
        <f>HYPERLINK("http://www.ncbi.nlm.nih.gov/protein/170287745","Bet1l")</f>
        <v>Bet1l</v>
      </c>
      <c r="B823" s="4"/>
      <c r="C823" s="3">
        <v>0</v>
      </c>
      <c r="D823" s="3">
        <v>633</v>
      </c>
      <c r="E823" s="3">
        <v>0</v>
      </c>
      <c r="F823" s="3">
        <v>0</v>
      </c>
      <c r="G823" s="3">
        <v>0</v>
      </c>
      <c r="H823" s="2">
        <f t="shared" si="24"/>
        <v>633</v>
      </c>
      <c r="I823" t="str">
        <f t="shared" si="25"/>
        <v>Bet1l_633</v>
      </c>
      <c r="J823" s="3">
        <v>0</v>
      </c>
      <c r="K823" s="3">
        <v>633</v>
      </c>
      <c r="L823" s="3">
        <v>0</v>
      </c>
      <c r="M823" s="3">
        <v>0</v>
      </c>
      <c r="N823" s="3">
        <v>0</v>
      </c>
    </row>
    <row r="824" spans="1:14" x14ac:dyDescent="0.2">
      <c r="A824" s="5" t="str">
        <f>HYPERLINK("http://www.ncbi.nlm.nih.gov/protein/13994223","Bicc1")</f>
        <v>Bicc1</v>
      </c>
      <c r="B824" s="4"/>
      <c r="C824" s="3">
        <v>0</v>
      </c>
      <c r="D824" s="3">
        <v>0</v>
      </c>
      <c r="E824" s="3">
        <v>329</v>
      </c>
      <c r="F824" s="3">
        <v>1097</v>
      </c>
      <c r="G824" s="3">
        <v>557</v>
      </c>
      <c r="H824" s="2">
        <f t="shared" si="24"/>
        <v>1983</v>
      </c>
      <c r="I824" t="str">
        <f t="shared" si="25"/>
        <v>Bicc1_1983</v>
      </c>
      <c r="J824" s="3">
        <v>0</v>
      </c>
      <c r="K824" s="3">
        <v>0</v>
      </c>
      <c r="L824" s="3">
        <v>329</v>
      </c>
      <c r="M824" s="3">
        <v>1097</v>
      </c>
      <c r="N824" s="3">
        <v>557</v>
      </c>
    </row>
    <row r="825" spans="1:14" x14ac:dyDescent="0.2">
      <c r="A825" s="5" t="str">
        <f>HYPERLINK("http://www.ncbi.nlm.nih.gov/protein/163838764","Bicd1")</f>
        <v>Bicd1</v>
      </c>
      <c r="B825" s="4"/>
      <c r="C825" s="3">
        <v>0</v>
      </c>
      <c r="D825" s="3">
        <v>27</v>
      </c>
      <c r="E825" s="3">
        <v>120</v>
      </c>
      <c r="F825" s="3">
        <v>0</v>
      </c>
      <c r="G825" s="3">
        <v>236</v>
      </c>
      <c r="H825" s="2">
        <f t="shared" si="24"/>
        <v>383</v>
      </c>
      <c r="I825" t="str">
        <f t="shared" si="25"/>
        <v>Bicd1_383</v>
      </c>
      <c r="J825" s="3">
        <v>0</v>
      </c>
      <c r="K825" s="3">
        <v>27</v>
      </c>
      <c r="L825" s="3">
        <v>120</v>
      </c>
      <c r="M825" s="3">
        <v>0</v>
      </c>
      <c r="N825" s="3">
        <v>236</v>
      </c>
    </row>
    <row r="826" spans="1:14" x14ac:dyDescent="0.2">
      <c r="A826" s="5" t="str">
        <f>HYPERLINK("http://www.ncbi.nlm.nih.gov/protein/163838766","Bicd1")</f>
        <v>Bicd1</v>
      </c>
      <c r="B826" s="4"/>
      <c r="C826" s="3">
        <v>0</v>
      </c>
      <c r="D826" s="3">
        <v>27</v>
      </c>
      <c r="E826" s="3">
        <v>120</v>
      </c>
      <c r="F826" s="3">
        <v>0</v>
      </c>
      <c r="G826" s="3">
        <v>236</v>
      </c>
      <c r="H826" s="2">
        <f t="shared" si="24"/>
        <v>383</v>
      </c>
      <c r="I826" t="str">
        <f t="shared" si="25"/>
        <v>Bicd1_383</v>
      </c>
      <c r="J826" s="3">
        <v>0</v>
      </c>
      <c r="K826" s="3">
        <v>27</v>
      </c>
      <c r="L826" s="3">
        <v>120</v>
      </c>
      <c r="M826" s="3">
        <v>0</v>
      </c>
      <c r="N826" s="3">
        <v>236</v>
      </c>
    </row>
    <row r="827" spans="1:14" x14ac:dyDescent="0.2">
      <c r="A827" s="5" t="str">
        <f>HYPERLINK("http://www.ncbi.nlm.nih.gov/protein/18139547","Bicd2")</f>
        <v>Bicd2</v>
      </c>
      <c r="B827" s="4"/>
      <c r="C827" s="3">
        <v>0</v>
      </c>
      <c r="D827" s="3">
        <v>0</v>
      </c>
      <c r="E827" s="3">
        <v>89</v>
      </c>
      <c r="F827" s="3">
        <v>0</v>
      </c>
      <c r="G827" s="3">
        <v>7722</v>
      </c>
      <c r="H827" s="2">
        <f t="shared" si="24"/>
        <v>7811</v>
      </c>
      <c r="I827" t="str">
        <f t="shared" si="25"/>
        <v>Bicd2_7811</v>
      </c>
      <c r="J827" s="3">
        <v>0</v>
      </c>
      <c r="K827" s="3">
        <v>0</v>
      </c>
      <c r="L827" s="3">
        <v>89</v>
      </c>
      <c r="M827" s="3">
        <v>0</v>
      </c>
      <c r="N827" s="3">
        <v>7722</v>
      </c>
    </row>
    <row r="828" spans="1:14" x14ac:dyDescent="0.2">
      <c r="A828" s="5" t="str">
        <f>HYPERLINK("http://www.ncbi.nlm.nih.gov/protein/85702355","Bicd2")</f>
        <v>Bicd2</v>
      </c>
      <c r="B828" s="4"/>
      <c r="C828" s="3">
        <v>0</v>
      </c>
      <c r="D828" s="3">
        <v>0</v>
      </c>
      <c r="E828" s="3">
        <v>89</v>
      </c>
      <c r="F828" s="3">
        <v>0</v>
      </c>
      <c r="G828" s="3">
        <v>7722</v>
      </c>
      <c r="H828" s="2">
        <f t="shared" si="24"/>
        <v>7811</v>
      </c>
      <c r="I828" t="str">
        <f t="shared" si="25"/>
        <v>Bicd2_7811</v>
      </c>
      <c r="J828" s="3">
        <v>0</v>
      </c>
      <c r="K828" s="3">
        <v>0</v>
      </c>
      <c r="L828" s="3">
        <v>89</v>
      </c>
      <c r="M828" s="3">
        <v>0</v>
      </c>
      <c r="N828" s="3">
        <v>7722</v>
      </c>
    </row>
    <row r="829" spans="1:14" x14ac:dyDescent="0.2">
      <c r="A829" s="5" t="str">
        <f>HYPERLINK("http://www.ncbi.nlm.nih.gov/protein/85702359","Bicd2")</f>
        <v>Bicd2</v>
      </c>
      <c r="B829" s="4"/>
      <c r="C829" s="3">
        <v>0</v>
      </c>
      <c r="D829" s="3">
        <v>0</v>
      </c>
      <c r="E829" s="3">
        <v>89</v>
      </c>
      <c r="F829" s="3">
        <v>0</v>
      </c>
      <c r="G829" s="3">
        <v>7625</v>
      </c>
      <c r="H829" s="2">
        <f t="shared" si="24"/>
        <v>7714</v>
      </c>
      <c r="I829" t="str">
        <f t="shared" si="25"/>
        <v>Bicd2_7714</v>
      </c>
      <c r="J829" s="3">
        <v>0</v>
      </c>
      <c r="K829" s="3">
        <v>0</v>
      </c>
      <c r="L829" s="3">
        <v>89</v>
      </c>
      <c r="M829" s="3">
        <v>0</v>
      </c>
      <c r="N829" s="3">
        <v>7625</v>
      </c>
    </row>
    <row r="830" spans="1:14" x14ac:dyDescent="0.2">
      <c r="A830" s="5" t="str">
        <f>HYPERLINK("http://www.ncbi.nlm.nih.gov/protein/31542228","Bid")</f>
        <v>Bid</v>
      </c>
      <c r="B830" s="4"/>
      <c r="C830" s="3">
        <v>0</v>
      </c>
      <c r="D830" s="3">
        <v>453</v>
      </c>
      <c r="E830" s="3">
        <v>0</v>
      </c>
      <c r="F830" s="3">
        <v>0</v>
      </c>
      <c r="G830" s="3">
        <v>8054</v>
      </c>
      <c r="H830" s="2">
        <f t="shared" si="24"/>
        <v>8507</v>
      </c>
      <c r="I830" t="str">
        <f t="shared" si="25"/>
        <v>Bid_8507</v>
      </c>
      <c r="J830" s="3">
        <v>0</v>
      </c>
      <c r="K830" s="3">
        <v>453</v>
      </c>
      <c r="L830" s="3">
        <v>0</v>
      </c>
      <c r="M830" s="3">
        <v>0</v>
      </c>
      <c r="N830" s="3">
        <v>8054</v>
      </c>
    </row>
    <row r="831" spans="1:14" x14ac:dyDescent="0.2">
      <c r="A831" s="5" t="str">
        <f>HYPERLINK("http://www.ncbi.nlm.nih.gov/protein/134053947","Bin1")</f>
        <v>Bin1</v>
      </c>
      <c r="B831" s="4"/>
      <c r="C831" s="3">
        <v>0</v>
      </c>
      <c r="D831" s="3">
        <v>0</v>
      </c>
      <c r="E831" s="3">
        <v>0</v>
      </c>
      <c r="F831" s="3">
        <v>4543</v>
      </c>
      <c r="G831" s="3">
        <v>0</v>
      </c>
      <c r="H831" s="2">
        <f t="shared" si="24"/>
        <v>4543</v>
      </c>
      <c r="I831" t="str">
        <f t="shared" si="25"/>
        <v>Bin1_4543</v>
      </c>
      <c r="J831" s="3">
        <v>0</v>
      </c>
      <c r="K831" s="3">
        <v>0</v>
      </c>
      <c r="L831" s="3">
        <v>0</v>
      </c>
      <c r="M831" s="3">
        <v>4543</v>
      </c>
      <c r="N831" s="3">
        <v>0</v>
      </c>
    </row>
    <row r="832" spans="1:14" x14ac:dyDescent="0.2">
      <c r="A832" s="5" t="str">
        <f>HYPERLINK("http://www.ncbi.nlm.nih.gov/protein/6753050","Bin1")</f>
        <v>Bin1</v>
      </c>
      <c r="B832" s="4"/>
      <c r="C832" s="3">
        <v>0</v>
      </c>
      <c r="D832" s="3">
        <v>0</v>
      </c>
      <c r="E832" s="3">
        <v>0</v>
      </c>
      <c r="F832" s="3">
        <v>4543</v>
      </c>
      <c r="G832" s="3">
        <v>0</v>
      </c>
      <c r="H832" s="2">
        <f t="shared" si="24"/>
        <v>4543</v>
      </c>
      <c r="I832" t="str">
        <f t="shared" si="25"/>
        <v>Bin1_4543</v>
      </c>
      <c r="J832" s="3">
        <v>0</v>
      </c>
      <c r="K832" s="3">
        <v>0</v>
      </c>
      <c r="L832" s="3">
        <v>0</v>
      </c>
      <c r="M832" s="3">
        <v>4543</v>
      </c>
      <c r="N832" s="3">
        <v>0</v>
      </c>
    </row>
    <row r="833" spans="1:14" x14ac:dyDescent="0.2">
      <c r="A833" s="5" t="str">
        <f>HYPERLINK("http://www.ncbi.nlm.nih.gov/protein/10946638","Bin3")</f>
        <v>Bin3</v>
      </c>
      <c r="B833" s="4"/>
      <c r="C833" s="3">
        <v>0</v>
      </c>
      <c r="D833" s="3">
        <v>440</v>
      </c>
      <c r="E833" s="3">
        <v>66</v>
      </c>
      <c r="F833" s="3">
        <v>638</v>
      </c>
      <c r="G833" s="3">
        <v>610</v>
      </c>
      <c r="H833" s="2">
        <f t="shared" si="24"/>
        <v>1754</v>
      </c>
      <c r="I833" t="str">
        <f t="shared" si="25"/>
        <v>Bin3_1754</v>
      </c>
      <c r="J833" s="3">
        <v>0</v>
      </c>
      <c r="K833" s="3">
        <v>440</v>
      </c>
      <c r="L833" s="3">
        <v>66</v>
      </c>
      <c r="M833" s="3">
        <v>638</v>
      </c>
      <c r="N833" s="3">
        <v>610</v>
      </c>
    </row>
    <row r="834" spans="1:14" x14ac:dyDescent="0.2">
      <c r="A834" s="5" t="str">
        <f>HYPERLINK("http://www.ncbi.nlm.nih.gov/protein/409971427","Birc6")</f>
        <v>Birc6</v>
      </c>
      <c r="B834" s="4"/>
      <c r="C834" s="3">
        <v>0</v>
      </c>
      <c r="D834" s="3">
        <v>829</v>
      </c>
      <c r="E834" s="3">
        <v>1987</v>
      </c>
      <c r="F834" s="3">
        <v>136445</v>
      </c>
      <c r="G834" s="3">
        <v>2474</v>
      </c>
      <c r="H834" s="2">
        <f t="shared" ref="H834:H897" si="26">SUM(C834:G834)</f>
        <v>141735</v>
      </c>
      <c r="I834" t="str">
        <f t="shared" ref="I834:I897" si="27">A834&amp;"_"&amp;H834</f>
        <v>Birc6_141735</v>
      </c>
      <c r="J834" s="3">
        <v>0</v>
      </c>
      <c r="K834" s="3">
        <v>829</v>
      </c>
      <c r="L834" s="3">
        <v>1987</v>
      </c>
      <c r="M834" s="3">
        <v>136445</v>
      </c>
      <c r="N834" s="3">
        <v>2474</v>
      </c>
    </row>
    <row r="835" spans="1:14" x14ac:dyDescent="0.2">
      <c r="A835" s="5" t="str">
        <f>HYPERLINK("http://www.ncbi.nlm.nih.gov/protein/31982490","Blk")</f>
        <v>Blk</v>
      </c>
      <c r="B835" s="4"/>
      <c r="C835" s="3">
        <v>0</v>
      </c>
      <c r="D835" s="3">
        <v>2261</v>
      </c>
      <c r="E835" s="3">
        <v>3440</v>
      </c>
      <c r="F835" s="3">
        <v>4330</v>
      </c>
      <c r="G835" s="3">
        <v>34420</v>
      </c>
      <c r="H835" s="2">
        <f t="shared" si="26"/>
        <v>44451</v>
      </c>
      <c r="I835" t="str">
        <f t="shared" si="27"/>
        <v>Blk_44451</v>
      </c>
      <c r="J835" s="3">
        <v>0</v>
      </c>
      <c r="K835" s="3">
        <v>2261</v>
      </c>
      <c r="L835" s="3">
        <v>3440</v>
      </c>
      <c r="M835" s="3">
        <v>4330</v>
      </c>
      <c r="N835" s="3">
        <v>34420</v>
      </c>
    </row>
    <row r="836" spans="1:14" x14ac:dyDescent="0.2">
      <c r="A836" s="5" t="str">
        <f>HYPERLINK("http://www.ncbi.nlm.nih.gov/protein/30519997","Blmh")</f>
        <v>Blmh</v>
      </c>
      <c r="B836" s="4"/>
      <c r="C836" s="3">
        <v>0</v>
      </c>
      <c r="D836" s="3">
        <v>6093</v>
      </c>
      <c r="E836" s="3">
        <v>11494</v>
      </c>
      <c r="F836" s="3">
        <v>133105</v>
      </c>
      <c r="G836" s="3">
        <v>93805</v>
      </c>
      <c r="H836" s="2">
        <f t="shared" si="26"/>
        <v>244497</v>
      </c>
      <c r="I836" t="str">
        <f t="shared" si="27"/>
        <v>Blmh_244497</v>
      </c>
      <c r="J836" s="3">
        <v>0</v>
      </c>
      <c r="K836" s="3">
        <v>6093</v>
      </c>
      <c r="L836" s="3">
        <v>11494</v>
      </c>
      <c r="M836" s="3">
        <v>133105</v>
      </c>
      <c r="N836" s="3">
        <v>93805</v>
      </c>
    </row>
    <row r="837" spans="1:14" x14ac:dyDescent="0.2">
      <c r="A837" s="5" t="str">
        <f>HYPERLINK("http://www.ncbi.nlm.nih.gov/protein/31982209","Blnk")</f>
        <v>Blnk</v>
      </c>
      <c r="B837" s="4"/>
      <c r="C837" s="3">
        <v>0</v>
      </c>
      <c r="D837" s="3">
        <v>0</v>
      </c>
      <c r="E837" s="3">
        <v>34</v>
      </c>
      <c r="F837" s="3">
        <v>0</v>
      </c>
      <c r="G837" s="3">
        <v>0</v>
      </c>
      <c r="H837" s="2">
        <f t="shared" si="26"/>
        <v>34</v>
      </c>
      <c r="I837" t="str">
        <f t="shared" si="27"/>
        <v>Blnk_34</v>
      </c>
      <c r="J837" s="3">
        <v>0</v>
      </c>
      <c r="K837" s="3">
        <v>0</v>
      </c>
      <c r="L837" s="3">
        <v>34</v>
      </c>
      <c r="M837" s="3">
        <v>0</v>
      </c>
      <c r="N837" s="3">
        <v>0</v>
      </c>
    </row>
    <row r="838" spans="1:14" x14ac:dyDescent="0.2">
      <c r="A838" s="5" t="str">
        <f>HYPERLINK("http://www.ncbi.nlm.nih.gov/protein/31980697","Bloc1s1")</f>
        <v>Bloc1s1</v>
      </c>
      <c r="B838" s="4"/>
      <c r="C838" s="3">
        <v>293</v>
      </c>
      <c r="D838" s="3">
        <v>1351</v>
      </c>
      <c r="E838" s="3">
        <v>1147</v>
      </c>
      <c r="F838" s="3">
        <v>5100</v>
      </c>
      <c r="G838" s="3">
        <v>3277</v>
      </c>
      <c r="H838" s="2">
        <f t="shared" si="26"/>
        <v>11168</v>
      </c>
      <c r="I838" t="str">
        <f t="shared" si="27"/>
        <v>Bloc1s1_11168</v>
      </c>
      <c r="J838" s="3">
        <v>293</v>
      </c>
      <c r="K838" s="3">
        <v>1351</v>
      </c>
      <c r="L838" s="3">
        <v>1147</v>
      </c>
      <c r="M838" s="3">
        <v>5100</v>
      </c>
      <c r="N838" s="3">
        <v>3277</v>
      </c>
    </row>
    <row r="839" spans="1:14" x14ac:dyDescent="0.2">
      <c r="A839" s="5" t="str">
        <f>HYPERLINK("http://www.ncbi.nlm.nih.gov/protein/19526908","Bloc1s4")</f>
        <v>Bloc1s4</v>
      </c>
      <c r="B839" s="4"/>
      <c r="C839" s="3">
        <v>0</v>
      </c>
      <c r="D839" s="3">
        <v>0</v>
      </c>
      <c r="E839" s="3">
        <v>0</v>
      </c>
      <c r="F839" s="3">
        <v>57</v>
      </c>
      <c r="G839" s="3">
        <v>0</v>
      </c>
      <c r="H839" s="2">
        <f t="shared" si="26"/>
        <v>57</v>
      </c>
      <c r="I839" t="str">
        <f t="shared" si="27"/>
        <v>Bloc1s4_57</v>
      </c>
      <c r="J839" s="3">
        <v>0</v>
      </c>
      <c r="K839" s="3">
        <v>0</v>
      </c>
      <c r="L839" s="3">
        <v>0</v>
      </c>
      <c r="M839" s="3">
        <v>57</v>
      </c>
      <c r="N839" s="3">
        <v>0</v>
      </c>
    </row>
    <row r="840" spans="1:14" x14ac:dyDescent="0.2">
      <c r="A840" s="5" t="str">
        <f>HYPERLINK("http://www.ncbi.nlm.nih.gov/protein/20532342","Bloc1s5")</f>
        <v>Bloc1s5</v>
      </c>
      <c r="B840" s="4"/>
      <c r="C840" s="3">
        <v>0</v>
      </c>
      <c r="D840" s="3">
        <v>0</v>
      </c>
      <c r="E840" s="3">
        <v>72</v>
      </c>
      <c r="F840" s="3">
        <v>0</v>
      </c>
      <c r="G840" s="3">
        <v>1981</v>
      </c>
      <c r="H840" s="2">
        <f t="shared" si="26"/>
        <v>2053</v>
      </c>
      <c r="I840" t="str">
        <f t="shared" si="27"/>
        <v>Bloc1s5_2053</v>
      </c>
      <c r="J840" s="3">
        <v>0</v>
      </c>
      <c r="K840" s="3">
        <v>0</v>
      </c>
      <c r="L840" s="3">
        <v>72</v>
      </c>
      <c r="M840" s="3">
        <v>0</v>
      </c>
      <c r="N840" s="3">
        <v>1981</v>
      </c>
    </row>
    <row r="841" spans="1:14" x14ac:dyDescent="0.2">
      <c r="A841" s="5" t="str">
        <f>HYPERLINK("http://www.ncbi.nlm.nih.gov/protein/124487331","Blvra")</f>
        <v>Blvra</v>
      </c>
      <c r="B841" s="4"/>
      <c r="C841" s="3">
        <v>476</v>
      </c>
      <c r="D841" s="3">
        <v>10807</v>
      </c>
      <c r="E841" s="3">
        <v>4958</v>
      </c>
      <c r="F841" s="3">
        <v>10617</v>
      </c>
      <c r="G841" s="3">
        <v>134394</v>
      </c>
      <c r="H841" s="2">
        <f t="shared" si="26"/>
        <v>161252</v>
      </c>
      <c r="I841" t="str">
        <f t="shared" si="27"/>
        <v>Blvra_161252</v>
      </c>
      <c r="J841" s="3">
        <v>476</v>
      </c>
      <c r="K841" s="3">
        <v>10807</v>
      </c>
      <c r="L841" s="3">
        <v>4958</v>
      </c>
      <c r="M841" s="3">
        <v>10617</v>
      </c>
      <c r="N841" s="3">
        <v>134394</v>
      </c>
    </row>
    <row r="842" spans="1:14" x14ac:dyDescent="0.2">
      <c r="A842" s="5" t="str">
        <f>HYPERLINK("http://www.ncbi.nlm.nih.gov/protein/21450325","Blvrb")</f>
        <v>Blvrb</v>
      </c>
      <c r="B842" s="4"/>
      <c r="C842" s="3">
        <v>0</v>
      </c>
      <c r="D842" s="3">
        <v>2626</v>
      </c>
      <c r="E842" s="3">
        <v>698</v>
      </c>
      <c r="F842" s="3">
        <v>663</v>
      </c>
      <c r="G842" s="3">
        <v>35834</v>
      </c>
      <c r="H842" s="2">
        <f t="shared" si="26"/>
        <v>39821</v>
      </c>
      <c r="I842" t="str">
        <f t="shared" si="27"/>
        <v>Blvrb_39821</v>
      </c>
      <c r="J842" s="3">
        <v>0</v>
      </c>
      <c r="K842" s="3">
        <v>2626</v>
      </c>
      <c r="L842" s="3">
        <v>698</v>
      </c>
      <c r="M842" s="3">
        <v>663</v>
      </c>
      <c r="N842" s="3">
        <v>35834</v>
      </c>
    </row>
    <row r="843" spans="1:14" x14ac:dyDescent="0.2">
      <c r="A843" s="5" t="str">
        <f>HYPERLINK("http://www.ncbi.nlm.nih.gov/protein/31982487","Bmp7")</f>
        <v>Bmp7</v>
      </c>
      <c r="B843" s="4"/>
      <c r="C843" s="3">
        <v>0</v>
      </c>
      <c r="D843" s="3">
        <v>0</v>
      </c>
      <c r="E843" s="3">
        <v>1772</v>
      </c>
      <c r="F843" s="3">
        <v>0</v>
      </c>
      <c r="G843" s="3">
        <v>0</v>
      </c>
      <c r="H843" s="2">
        <f t="shared" si="26"/>
        <v>1772</v>
      </c>
      <c r="I843" t="str">
        <f t="shared" si="27"/>
        <v>Bmp7_1772</v>
      </c>
      <c r="J843" s="3">
        <v>0</v>
      </c>
      <c r="K843" s="3">
        <v>0</v>
      </c>
      <c r="L843" s="3">
        <v>1772</v>
      </c>
      <c r="M843" s="3">
        <v>0</v>
      </c>
      <c r="N843" s="3">
        <v>0</v>
      </c>
    </row>
    <row r="844" spans="1:14" x14ac:dyDescent="0.2">
      <c r="A844" s="5" t="str">
        <f>HYPERLINK("http://www.ncbi.nlm.nih.gov/protein/255003752","Bnip1")</f>
        <v>Bnip1</v>
      </c>
      <c r="B844" s="4"/>
      <c r="C844" s="3">
        <v>0</v>
      </c>
      <c r="D844" s="3">
        <v>405</v>
      </c>
      <c r="E844" s="3">
        <v>290</v>
      </c>
      <c r="F844" s="3">
        <v>0</v>
      </c>
      <c r="G844" s="3">
        <v>0</v>
      </c>
      <c r="H844" s="2">
        <f t="shared" si="26"/>
        <v>695</v>
      </c>
      <c r="I844" t="str">
        <f t="shared" si="27"/>
        <v>Bnip1_695</v>
      </c>
      <c r="J844" s="3">
        <v>0</v>
      </c>
      <c r="K844" s="3">
        <v>405</v>
      </c>
      <c r="L844" s="3">
        <v>290</v>
      </c>
      <c r="M844" s="3">
        <v>0</v>
      </c>
      <c r="N844" s="3">
        <v>0</v>
      </c>
    </row>
    <row r="845" spans="1:14" x14ac:dyDescent="0.2">
      <c r="A845" s="5" t="str">
        <f>HYPERLINK("http://www.ncbi.nlm.nih.gov/protein/67906187","Bod1")</f>
        <v>Bod1</v>
      </c>
      <c r="B845" s="4"/>
      <c r="C845" s="3">
        <v>0</v>
      </c>
      <c r="D845" s="3">
        <v>0</v>
      </c>
      <c r="E845" s="3">
        <v>0</v>
      </c>
      <c r="F845" s="3">
        <v>0</v>
      </c>
      <c r="G845" s="3">
        <v>1382</v>
      </c>
      <c r="H845" s="2">
        <f t="shared" si="26"/>
        <v>1382</v>
      </c>
      <c r="I845" t="str">
        <f t="shared" si="27"/>
        <v>Bod1_1382</v>
      </c>
      <c r="J845" s="3">
        <v>0</v>
      </c>
      <c r="K845" s="3">
        <v>0</v>
      </c>
      <c r="L845" s="3">
        <v>0</v>
      </c>
      <c r="M845" s="3">
        <v>0</v>
      </c>
      <c r="N845" s="3">
        <v>1382</v>
      </c>
    </row>
    <row r="846" spans="1:14" x14ac:dyDescent="0.2">
      <c r="A846" s="5" t="str">
        <f>HYPERLINK("http://www.ncbi.nlm.nih.gov/protein/124487265","Bod1l")</f>
        <v>Bod1l</v>
      </c>
      <c r="B846" s="4"/>
      <c r="C846" s="3">
        <v>0</v>
      </c>
      <c r="D846" s="3">
        <v>0</v>
      </c>
      <c r="E846" s="3">
        <v>0</v>
      </c>
      <c r="F846" s="3">
        <v>0</v>
      </c>
      <c r="G846" s="3">
        <v>3973</v>
      </c>
      <c r="H846" s="2">
        <f t="shared" si="26"/>
        <v>3973</v>
      </c>
      <c r="I846" t="str">
        <f t="shared" si="27"/>
        <v>Bod1l_3973</v>
      </c>
      <c r="J846" s="3">
        <v>0</v>
      </c>
      <c r="K846" s="3">
        <v>0</v>
      </c>
      <c r="L846" s="3">
        <v>0</v>
      </c>
      <c r="M846" s="3">
        <v>0</v>
      </c>
      <c r="N846" s="3">
        <v>3973</v>
      </c>
    </row>
    <row r="847" spans="1:14" x14ac:dyDescent="0.2">
      <c r="A847" s="5" t="str">
        <f>HYPERLINK("http://www.ncbi.nlm.nih.gov/protein/7949082","Bok")</f>
        <v>Bok</v>
      </c>
      <c r="B847" s="4"/>
      <c r="C847" s="3">
        <v>0</v>
      </c>
      <c r="D847" s="3">
        <v>845</v>
      </c>
      <c r="E847" s="3">
        <v>135</v>
      </c>
      <c r="F847" s="3">
        <v>0</v>
      </c>
      <c r="G847" s="3">
        <v>0</v>
      </c>
      <c r="H847" s="2">
        <f t="shared" si="26"/>
        <v>980</v>
      </c>
      <c r="I847" t="str">
        <f t="shared" si="27"/>
        <v>Bok_980</v>
      </c>
      <c r="J847" s="3">
        <v>0</v>
      </c>
      <c r="K847" s="3">
        <v>845</v>
      </c>
      <c r="L847" s="3">
        <v>135</v>
      </c>
      <c r="M847" s="3">
        <v>0</v>
      </c>
      <c r="N847" s="3">
        <v>0</v>
      </c>
    </row>
    <row r="848" spans="1:14" x14ac:dyDescent="0.2">
      <c r="A848" s="5" t="str">
        <f>HYPERLINK("http://www.ncbi.nlm.nih.gov/protein/58037151","Bola1")</f>
        <v>Bola1</v>
      </c>
      <c r="B848" s="4"/>
      <c r="C848" s="3">
        <v>0</v>
      </c>
      <c r="D848" s="3">
        <v>643</v>
      </c>
      <c r="E848" s="3">
        <v>19</v>
      </c>
      <c r="F848" s="3">
        <v>156</v>
      </c>
      <c r="G848" s="3">
        <v>18078</v>
      </c>
      <c r="H848" s="2">
        <f t="shared" si="26"/>
        <v>18896</v>
      </c>
      <c r="I848" t="str">
        <f t="shared" si="27"/>
        <v>Bola1_18896</v>
      </c>
      <c r="J848" s="3">
        <v>0</v>
      </c>
      <c r="K848" s="3">
        <v>643</v>
      </c>
      <c r="L848" s="3">
        <v>19</v>
      </c>
      <c r="M848" s="3">
        <v>156</v>
      </c>
      <c r="N848" s="3">
        <v>18078</v>
      </c>
    </row>
    <row r="849" spans="1:14" x14ac:dyDescent="0.2">
      <c r="A849" s="5" t="str">
        <f>HYPERLINK("http://www.ncbi.nlm.nih.gov/protein/29171318","Bola2")</f>
        <v>Bola2</v>
      </c>
      <c r="B849" s="4"/>
      <c r="C849" s="3">
        <v>0</v>
      </c>
      <c r="D849" s="3">
        <v>27</v>
      </c>
      <c r="E849" s="3">
        <v>0</v>
      </c>
      <c r="F849" s="3">
        <v>0</v>
      </c>
      <c r="G849" s="3">
        <v>2710</v>
      </c>
      <c r="H849" s="2">
        <f t="shared" si="26"/>
        <v>2737</v>
      </c>
      <c r="I849" t="str">
        <f t="shared" si="27"/>
        <v>Bola2_2737</v>
      </c>
      <c r="J849" s="3">
        <v>0</v>
      </c>
      <c r="K849" s="3">
        <v>27</v>
      </c>
      <c r="L849" s="3">
        <v>0</v>
      </c>
      <c r="M849" s="3">
        <v>0</v>
      </c>
      <c r="N849" s="3">
        <v>2710</v>
      </c>
    </row>
    <row r="850" spans="1:14" x14ac:dyDescent="0.2">
      <c r="A850" s="5" t="str">
        <f>HYPERLINK("http://www.ncbi.nlm.nih.gov/protein/7304931","Bop1")</f>
        <v>Bop1</v>
      </c>
      <c r="B850" s="4"/>
      <c r="C850" s="3">
        <v>0</v>
      </c>
      <c r="D850" s="3">
        <v>0</v>
      </c>
      <c r="E850" s="3">
        <v>0</v>
      </c>
      <c r="F850" s="3">
        <v>2767</v>
      </c>
      <c r="G850" s="3">
        <v>0</v>
      </c>
      <c r="H850" s="2">
        <f t="shared" si="26"/>
        <v>2767</v>
      </c>
      <c r="I850" t="str">
        <f t="shared" si="27"/>
        <v>Bop1_2767</v>
      </c>
      <c r="J850" s="3">
        <v>0</v>
      </c>
      <c r="K850" s="3">
        <v>0</v>
      </c>
      <c r="L850" s="3">
        <v>0</v>
      </c>
      <c r="M850" s="3">
        <v>2767</v>
      </c>
      <c r="N850" s="3">
        <v>0</v>
      </c>
    </row>
    <row r="851" spans="1:14" x14ac:dyDescent="0.2">
      <c r="A851" s="5" t="str">
        <f>HYPERLINK("http://www.ncbi.nlm.nih.gov/protein/6680806","Bpgm")</f>
        <v>Bpgm</v>
      </c>
      <c r="B851" s="4"/>
      <c r="C851" s="3">
        <v>3661</v>
      </c>
      <c r="D851" s="3">
        <v>0</v>
      </c>
      <c r="E851" s="3">
        <v>2919</v>
      </c>
      <c r="F851" s="3">
        <v>5984</v>
      </c>
      <c r="G851" s="3">
        <v>0</v>
      </c>
      <c r="H851" s="2">
        <f t="shared" si="26"/>
        <v>12564</v>
      </c>
      <c r="I851" t="str">
        <f t="shared" si="27"/>
        <v>Bpgm_12564</v>
      </c>
      <c r="J851" s="3">
        <v>3661</v>
      </c>
      <c r="K851" s="3">
        <v>0</v>
      </c>
      <c r="L851" s="3">
        <v>2919</v>
      </c>
      <c r="M851" s="3">
        <v>5984</v>
      </c>
      <c r="N851" s="3">
        <v>0</v>
      </c>
    </row>
    <row r="852" spans="1:14" x14ac:dyDescent="0.2">
      <c r="A852" s="5" t="str">
        <f>HYPERLINK("http://www.ncbi.nlm.nih.gov/protein/21624609","Bphl")</f>
        <v>Bphl</v>
      </c>
      <c r="B852" s="4"/>
      <c r="C852" s="3">
        <v>29198</v>
      </c>
      <c r="D852" s="3">
        <v>15251</v>
      </c>
      <c r="E852" s="3">
        <v>0</v>
      </c>
      <c r="F852" s="3">
        <v>0</v>
      </c>
      <c r="G852" s="3">
        <v>1092</v>
      </c>
      <c r="H852" s="2">
        <f t="shared" si="26"/>
        <v>45541</v>
      </c>
      <c r="I852" t="str">
        <f t="shared" si="27"/>
        <v>Bphl_45541</v>
      </c>
      <c r="J852" s="3">
        <v>29198</v>
      </c>
      <c r="K852" s="3">
        <v>15251</v>
      </c>
      <c r="L852" s="3">
        <v>0</v>
      </c>
      <c r="M852" s="3">
        <v>0</v>
      </c>
      <c r="N852" s="3">
        <v>1092</v>
      </c>
    </row>
    <row r="853" spans="1:14" x14ac:dyDescent="0.2">
      <c r="A853" s="5" t="str">
        <f>HYPERLINK("http://www.ncbi.nlm.nih.gov/protein/39652626","Bpnt1")</f>
        <v>Bpnt1</v>
      </c>
      <c r="B853" s="4"/>
      <c r="C853" s="3">
        <v>0</v>
      </c>
      <c r="D853" s="3">
        <v>142</v>
      </c>
      <c r="E853" s="3">
        <v>6174</v>
      </c>
      <c r="F853" s="3">
        <v>1997</v>
      </c>
      <c r="G853" s="3">
        <v>293033</v>
      </c>
      <c r="H853" s="2">
        <f t="shared" si="26"/>
        <v>301346</v>
      </c>
      <c r="I853" t="str">
        <f t="shared" si="27"/>
        <v>Bpnt1_301346</v>
      </c>
      <c r="J853" s="3">
        <v>0</v>
      </c>
      <c r="K853" s="3">
        <v>142</v>
      </c>
      <c r="L853" s="3">
        <v>6174</v>
      </c>
      <c r="M853" s="3">
        <v>1997</v>
      </c>
      <c r="N853" s="3">
        <v>293033</v>
      </c>
    </row>
    <row r="854" spans="1:14" x14ac:dyDescent="0.2">
      <c r="A854" s="5" t="str">
        <f>HYPERLINK("http://www.ncbi.nlm.nih.gov/protein/153791904","Braf")</f>
        <v>Braf</v>
      </c>
      <c r="B854" s="4"/>
      <c r="C854" s="3">
        <v>0</v>
      </c>
      <c r="D854" s="3">
        <v>0</v>
      </c>
      <c r="E854" s="3">
        <v>0</v>
      </c>
      <c r="F854" s="3">
        <v>2562</v>
      </c>
      <c r="G854" s="3">
        <v>0</v>
      </c>
      <c r="H854" s="2">
        <f t="shared" si="26"/>
        <v>2562</v>
      </c>
      <c r="I854" t="str">
        <f t="shared" si="27"/>
        <v>Braf_2562</v>
      </c>
      <c r="J854" s="3">
        <v>0</v>
      </c>
      <c r="K854" s="3">
        <v>0</v>
      </c>
      <c r="L854" s="3">
        <v>0</v>
      </c>
      <c r="M854" s="3">
        <v>2562</v>
      </c>
      <c r="N854" s="3">
        <v>0</v>
      </c>
    </row>
    <row r="855" spans="1:14" x14ac:dyDescent="0.2">
      <c r="A855" s="5" t="str">
        <f>HYPERLINK("http://www.ncbi.nlm.nih.gov/protein/70608139","Brap")</f>
        <v>Brap</v>
      </c>
      <c r="B855" s="4"/>
      <c r="C855" s="3">
        <v>0</v>
      </c>
      <c r="D855" s="3">
        <v>0</v>
      </c>
      <c r="E855" s="3">
        <v>1386</v>
      </c>
      <c r="F855" s="3">
        <v>0</v>
      </c>
      <c r="G855" s="3">
        <v>107</v>
      </c>
      <c r="H855" s="2">
        <f t="shared" si="26"/>
        <v>1493</v>
      </c>
      <c r="I855" t="str">
        <f t="shared" si="27"/>
        <v>Brap_1493</v>
      </c>
      <c r="J855" s="3">
        <v>0</v>
      </c>
      <c r="K855" s="3">
        <v>0</v>
      </c>
      <c r="L855" s="3">
        <v>1386</v>
      </c>
      <c r="M855" s="3">
        <v>0</v>
      </c>
      <c r="N855" s="3">
        <v>107</v>
      </c>
    </row>
    <row r="856" spans="1:14" x14ac:dyDescent="0.2">
      <c r="A856" s="5" t="str">
        <f>HYPERLINK("http://www.ncbi.nlm.nih.gov/protein/30841004","Brat1")</f>
        <v>Brat1</v>
      </c>
      <c r="B856" s="4"/>
      <c r="C856" s="3">
        <v>0</v>
      </c>
      <c r="D856" s="3">
        <v>0</v>
      </c>
      <c r="E856" s="3">
        <v>0</v>
      </c>
      <c r="F856" s="3">
        <v>589</v>
      </c>
      <c r="G856" s="3">
        <v>0</v>
      </c>
      <c r="H856" s="2">
        <f t="shared" si="26"/>
        <v>589</v>
      </c>
      <c r="I856" t="str">
        <f t="shared" si="27"/>
        <v>Brat1_589</v>
      </c>
      <c r="J856" s="3">
        <v>0</v>
      </c>
      <c r="K856" s="3">
        <v>0</v>
      </c>
      <c r="L856" s="3">
        <v>0</v>
      </c>
      <c r="M856" s="3">
        <v>589</v>
      </c>
      <c r="N856" s="3">
        <v>0</v>
      </c>
    </row>
    <row r="857" spans="1:14" x14ac:dyDescent="0.2">
      <c r="A857" s="5" t="str">
        <f>HYPERLINK("http://www.ncbi.nlm.nih.gov/protein/443609479","Brat1")</f>
        <v>Brat1</v>
      </c>
      <c r="B857" s="4"/>
      <c r="C857" s="3">
        <v>0</v>
      </c>
      <c r="D857" s="3">
        <v>0</v>
      </c>
      <c r="E857" s="3">
        <v>0</v>
      </c>
      <c r="F857" s="3">
        <v>589</v>
      </c>
      <c r="G857" s="3">
        <v>0</v>
      </c>
      <c r="H857" s="2">
        <f t="shared" si="26"/>
        <v>589</v>
      </c>
      <c r="I857" t="str">
        <f t="shared" si="27"/>
        <v>Brat1_589</v>
      </c>
      <c r="J857" s="3">
        <v>0</v>
      </c>
      <c r="K857" s="3">
        <v>0</v>
      </c>
      <c r="L857" s="3">
        <v>0</v>
      </c>
      <c r="M857" s="3">
        <v>589</v>
      </c>
      <c r="N857" s="3">
        <v>0</v>
      </c>
    </row>
    <row r="858" spans="1:14" x14ac:dyDescent="0.2">
      <c r="A858" s="5" t="str">
        <f>HYPERLINK("http://www.ncbi.nlm.nih.gov/protein/262050563","Brcc3")</f>
        <v>Brcc3</v>
      </c>
      <c r="B858" s="4"/>
      <c r="C858" s="3">
        <v>0</v>
      </c>
      <c r="D858" s="3">
        <v>449</v>
      </c>
      <c r="E858" s="3">
        <v>60</v>
      </c>
      <c r="F858" s="3">
        <v>16821</v>
      </c>
      <c r="G858" s="3">
        <v>17489</v>
      </c>
      <c r="H858" s="2">
        <f t="shared" si="26"/>
        <v>34819</v>
      </c>
      <c r="I858" t="str">
        <f t="shared" si="27"/>
        <v>Brcc3_34819</v>
      </c>
      <c r="J858" s="3">
        <v>0</v>
      </c>
      <c r="K858" s="3">
        <v>449</v>
      </c>
      <c r="L858" s="3">
        <v>60</v>
      </c>
      <c r="M858" s="3">
        <v>16821</v>
      </c>
      <c r="N858" s="3">
        <v>17489</v>
      </c>
    </row>
    <row r="859" spans="1:14" x14ac:dyDescent="0.2">
      <c r="A859" s="5" t="str">
        <f>HYPERLINK("http://www.ncbi.nlm.nih.gov/protein/71067345","Brd2")</f>
        <v>Brd2</v>
      </c>
      <c r="B859" s="4"/>
      <c r="C859" s="3">
        <v>0</v>
      </c>
      <c r="D859" s="3">
        <v>148</v>
      </c>
      <c r="E859" s="3">
        <v>0</v>
      </c>
      <c r="F859" s="3">
        <v>0</v>
      </c>
      <c r="G859" s="3">
        <v>0</v>
      </c>
      <c r="H859" s="2">
        <f t="shared" si="26"/>
        <v>148</v>
      </c>
      <c r="I859" t="str">
        <f t="shared" si="27"/>
        <v>Brd2_148</v>
      </c>
      <c r="J859" s="3">
        <v>0</v>
      </c>
      <c r="K859" s="3">
        <v>148</v>
      </c>
      <c r="L859" s="3">
        <v>0</v>
      </c>
      <c r="M859" s="3">
        <v>0</v>
      </c>
      <c r="N859" s="3">
        <v>0</v>
      </c>
    </row>
    <row r="860" spans="1:14" x14ac:dyDescent="0.2">
      <c r="A860" s="5" t="str">
        <f>HYPERLINK("http://www.ncbi.nlm.nih.gov/protein/165972331","Brd3")</f>
        <v>Brd3</v>
      </c>
      <c r="B860" s="4"/>
      <c r="C860" s="3">
        <v>0</v>
      </c>
      <c r="D860" s="3">
        <v>850</v>
      </c>
      <c r="E860" s="3">
        <v>79</v>
      </c>
      <c r="F860" s="3">
        <v>0</v>
      </c>
      <c r="G860" s="3">
        <v>0</v>
      </c>
      <c r="H860" s="2">
        <f t="shared" si="26"/>
        <v>929</v>
      </c>
      <c r="I860" t="str">
        <f t="shared" si="27"/>
        <v>Brd3_929</v>
      </c>
      <c r="J860" s="3">
        <v>0</v>
      </c>
      <c r="K860" s="3">
        <v>850</v>
      </c>
      <c r="L860" s="3">
        <v>79</v>
      </c>
      <c r="M860" s="3">
        <v>0</v>
      </c>
      <c r="N860" s="3">
        <v>0</v>
      </c>
    </row>
    <row r="861" spans="1:14" x14ac:dyDescent="0.2">
      <c r="A861" s="5" t="str">
        <f>HYPERLINK("http://www.ncbi.nlm.nih.gov/protein/165972335","Brd3")</f>
        <v>Brd3</v>
      </c>
      <c r="B861" s="4"/>
      <c r="C861" s="3">
        <v>0</v>
      </c>
      <c r="D861" s="3">
        <v>549</v>
      </c>
      <c r="E861" s="3">
        <v>42</v>
      </c>
      <c r="F861" s="3">
        <v>0</v>
      </c>
      <c r="G861" s="3">
        <v>0</v>
      </c>
      <c r="H861" s="2">
        <f t="shared" si="26"/>
        <v>591</v>
      </c>
      <c r="I861" t="str">
        <f t="shared" si="27"/>
        <v>Brd3_591</v>
      </c>
      <c r="J861" s="3">
        <v>0</v>
      </c>
      <c r="K861" s="3">
        <v>549</v>
      </c>
      <c r="L861" s="3">
        <v>42</v>
      </c>
      <c r="M861" s="3">
        <v>0</v>
      </c>
      <c r="N861" s="3">
        <v>0</v>
      </c>
    </row>
    <row r="862" spans="1:14" x14ac:dyDescent="0.2">
      <c r="A862" s="5" t="str">
        <f>HYPERLINK("http://www.ncbi.nlm.nih.gov/protein/226246640","Brd4")</f>
        <v>Brd4</v>
      </c>
      <c r="B862" s="4"/>
      <c r="C862" s="3">
        <v>0</v>
      </c>
      <c r="D862" s="3">
        <v>301</v>
      </c>
      <c r="E862" s="3">
        <v>37</v>
      </c>
      <c r="F862" s="3">
        <v>0</v>
      </c>
      <c r="G862" s="3">
        <v>0</v>
      </c>
      <c r="H862" s="2">
        <f t="shared" si="26"/>
        <v>338</v>
      </c>
      <c r="I862" t="str">
        <f t="shared" si="27"/>
        <v>Brd4_338</v>
      </c>
      <c r="J862" s="3">
        <v>0</v>
      </c>
      <c r="K862" s="3">
        <v>301</v>
      </c>
      <c r="L862" s="3">
        <v>37</v>
      </c>
      <c r="M862" s="3">
        <v>0</v>
      </c>
      <c r="N862" s="3">
        <v>0</v>
      </c>
    </row>
    <row r="863" spans="1:14" x14ac:dyDescent="0.2">
      <c r="A863" s="5" t="str">
        <f>HYPERLINK("http://www.ncbi.nlm.nih.gov/protein/226342873","Brd4")</f>
        <v>Brd4</v>
      </c>
      <c r="B863" s="4"/>
      <c r="C863" s="3">
        <v>0</v>
      </c>
      <c r="D863" s="3">
        <v>301</v>
      </c>
      <c r="E863" s="3">
        <v>37</v>
      </c>
      <c r="F863" s="3">
        <v>0</v>
      </c>
      <c r="G863" s="3">
        <v>0</v>
      </c>
      <c r="H863" s="2">
        <f t="shared" si="26"/>
        <v>338</v>
      </c>
      <c r="I863" t="str">
        <f t="shared" si="27"/>
        <v>Brd4_338</v>
      </c>
      <c r="J863" s="3">
        <v>0</v>
      </c>
      <c r="K863" s="3">
        <v>301</v>
      </c>
      <c r="L863" s="3">
        <v>37</v>
      </c>
      <c r="M863" s="3">
        <v>0</v>
      </c>
      <c r="N863" s="3">
        <v>0</v>
      </c>
    </row>
    <row r="864" spans="1:14" x14ac:dyDescent="0.2">
      <c r="A864" s="5" t="str">
        <f>HYPERLINK("http://www.ncbi.nlm.nih.gov/protein/21617851","Bre")</f>
        <v>Bre</v>
      </c>
      <c r="B864" s="4"/>
      <c r="C864" s="3">
        <v>0</v>
      </c>
      <c r="D864" s="3">
        <v>484</v>
      </c>
      <c r="E864" s="3">
        <v>2141</v>
      </c>
      <c r="F864" s="3">
        <v>4322</v>
      </c>
      <c r="G864" s="3">
        <v>18303</v>
      </c>
      <c r="H864" s="2">
        <f t="shared" si="26"/>
        <v>25250</v>
      </c>
      <c r="I864" t="str">
        <f t="shared" si="27"/>
        <v>Bre_25250</v>
      </c>
      <c r="J864" s="3">
        <v>0</v>
      </c>
      <c r="K864" s="3">
        <v>484</v>
      </c>
      <c r="L864" s="3">
        <v>2141</v>
      </c>
      <c r="M864" s="3">
        <v>4322</v>
      </c>
      <c r="N864" s="3">
        <v>18303</v>
      </c>
    </row>
    <row r="865" spans="1:14" x14ac:dyDescent="0.2">
      <c r="A865" s="5" t="str">
        <f>HYPERLINK("http://www.ncbi.nlm.nih.gov/protein/41281924","Bre")</f>
        <v>Bre</v>
      </c>
      <c r="B865" s="4"/>
      <c r="C865" s="3">
        <v>0</v>
      </c>
      <c r="D865" s="3">
        <v>409</v>
      </c>
      <c r="E865" s="3">
        <v>648</v>
      </c>
      <c r="F865" s="3">
        <v>1719</v>
      </c>
      <c r="G865" s="3">
        <v>5012</v>
      </c>
      <c r="H865" s="2">
        <f t="shared" si="26"/>
        <v>7788</v>
      </c>
      <c r="I865" t="str">
        <f t="shared" si="27"/>
        <v>Bre_7788</v>
      </c>
      <c r="J865" s="3">
        <v>0</v>
      </c>
      <c r="K865" s="3">
        <v>409</v>
      </c>
      <c r="L865" s="3">
        <v>648</v>
      </c>
      <c r="M865" s="3">
        <v>1719</v>
      </c>
      <c r="N865" s="3">
        <v>5012</v>
      </c>
    </row>
    <row r="866" spans="1:14" x14ac:dyDescent="0.2">
      <c r="A866" s="5" t="str">
        <f>HYPERLINK("http://www.ncbi.nlm.nih.gov/protein/41281930","Bre")</f>
        <v>Bre</v>
      </c>
      <c r="B866" s="4"/>
      <c r="C866" s="3">
        <v>0</v>
      </c>
      <c r="D866" s="3">
        <v>409</v>
      </c>
      <c r="E866" s="3">
        <v>487</v>
      </c>
      <c r="F866" s="3">
        <v>1719</v>
      </c>
      <c r="G866" s="3">
        <v>5012</v>
      </c>
      <c r="H866" s="2">
        <f t="shared" si="26"/>
        <v>7627</v>
      </c>
      <c r="I866" t="str">
        <f t="shared" si="27"/>
        <v>Bre_7627</v>
      </c>
      <c r="J866" s="3">
        <v>0</v>
      </c>
      <c r="K866" s="3">
        <v>409</v>
      </c>
      <c r="L866" s="3">
        <v>487</v>
      </c>
      <c r="M866" s="3">
        <v>1719</v>
      </c>
      <c r="N866" s="3">
        <v>5012</v>
      </c>
    </row>
    <row r="867" spans="1:14" x14ac:dyDescent="0.2">
      <c r="A867" s="5" t="str">
        <f>HYPERLINK("http://www.ncbi.nlm.nih.gov/protein/41281940","Bre")</f>
        <v>Bre</v>
      </c>
      <c r="B867" s="4"/>
      <c r="C867" s="3">
        <v>0</v>
      </c>
      <c r="D867" s="3">
        <v>409</v>
      </c>
      <c r="E867" s="3">
        <v>487</v>
      </c>
      <c r="F867" s="3">
        <v>1719</v>
      </c>
      <c r="G867" s="3">
        <v>5012</v>
      </c>
      <c r="H867" s="2">
        <f t="shared" si="26"/>
        <v>7627</v>
      </c>
      <c r="I867" t="str">
        <f t="shared" si="27"/>
        <v>Bre_7627</v>
      </c>
      <c r="J867" s="3">
        <v>0</v>
      </c>
      <c r="K867" s="3">
        <v>409</v>
      </c>
      <c r="L867" s="3">
        <v>487</v>
      </c>
      <c r="M867" s="3">
        <v>1719</v>
      </c>
      <c r="N867" s="3">
        <v>5012</v>
      </c>
    </row>
    <row r="868" spans="1:14" x14ac:dyDescent="0.2">
      <c r="A868" s="5" t="str">
        <f>HYPERLINK("http://www.ncbi.nlm.nih.gov/protein/41281945","Bre")</f>
        <v>Bre</v>
      </c>
      <c r="B868" s="4"/>
      <c r="C868" s="3">
        <v>0</v>
      </c>
      <c r="D868" s="3">
        <v>342</v>
      </c>
      <c r="E868" s="3">
        <v>203</v>
      </c>
      <c r="F868" s="3">
        <v>221</v>
      </c>
      <c r="G868" s="3">
        <v>2656</v>
      </c>
      <c r="H868" s="2">
        <f t="shared" si="26"/>
        <v>3422</v>
      </c>
      <c r="I868" t="str">
        <f t="shared" si="27"/>
        <v>Bre_3422</v>
      </c>
      <c r="J868" s="3">
        <v>0</v>
      </c>
      <c r="K868" s="3">
        <v>342</v>
      </c>
      <c r="L868" s="3">
        <v>203</v>
      </c>
      <c r="M868" s="3">
        <v>221</v>
      </c>
      <c r="N868" s="3">
        <v>2656</v>
      </c>
    </row>
    <row r="869" spans="1:14" x14ac:dyDescent="0.2">
      <c r="A869" s="5" t="str">
        <f>HYPERLINK("http://www.ncbi.nlm.nih.gov/protein/255683449","Bri3")</f>
        <v>Bri3</v>
      </c>
      <c r="B869" s="4"/>
      <c r="C869" s="3">
        <v>0</v>
      </c>
      <c r="D869" s="3">
        <v>288</v>
      </c>
      <c r="E869" s="3">
        <v>0</v>
      </c>
      <c r="F869" s="3">
        <v>74</v>
      </c>
      <c r="G869" s="3">
        <v>0</v>
      </c>
      <c r="H869" s="2">
        <f t="shared" si="26"/>
        <v>362</v>
      </c>
      <c r="I869" t="str">
        <f t="shared" si="27"/>
        <v>Bri3_362</v>
      </c>
      <c r="J869" s="3">
        <v>0</v>
      </c>
      <c r="K869" s="3">
        <v>288</v>
      </c>
      <c r="L869" s="3">
        <v>0</v>
      </c>
      <c r="M869" s="3">
        <v>74</v>
      </c>
      <c r="N869" s="3">
        <v>0</v>
      </c>
    </row>
    <row r="870" spans="1:14" x14ac:dyDescent="0.2">
      <c r="A870" s="5" t="str">
        <f>HYPERLINK("http://www.ncbi.nlm.nih.gov/protein/255683451","Bri3")</f>
        <v>Bri3</v>
      </c>
      <c r="B870" s="4"/>
      <c r="C870" s="3">
        <v>0</v>
      </c>
      <c r="D870" s="3">
        <v>288</v>
      </c>
      <c r="E870" s="3">
        <v>0</v>
      </c>
      <c r="F870" s="3">
        <v>74</v>
      </c>
      <c r="G870" s="3">
        <v>0</v>
      </c>
      <c r="H870" s="2">
        <f t="shared" si="26"/>
        <v>362</v>
      </c>
      <c r="I870" t="str">
        <f t="shared" si="27"/>
        <v>Bri3_362</v>
      </c>
      <c r="J870" s="3">
        <v>0</v>
      </c>
      <c r="K870" s="3">
        <v>288</v>
      </c>
      <c r="L870" s="3">
        <v>0</v>
      </c>
      <c r="M870" s="3">
        <v>74</v>
      </c>
      <c r="N870" s="3">
        <v>0</v>
      </c>
    </row>
    <row r="871" spans="1:14" x14ac:dyDescent="0.2">
      <c r="A871" s="5" t="str">
        <f>HYPERLINK("http://www.ncbi.nlm.nih.gov/protein/58037467","Bri3bp")</f>
        <v>Bri3bp</v>
      </c>
      <c r="B871" s="4"/>
      <c r="C871" s="3">
        <v>18507</v>
      </c>
      <c r="D871" s="3">
        <v>2060</v>
      </c>
      <c r="E871" s="3">
        <v>2657</v>
      </c>
      <c r="F871" s="3">
        <v>180</v>
      </c>
      <c r="G871" s="3">
        <v>0</v>
      </c>
      <c r="H871" s="2">
        <f t="shared" si="26"/>
        <v>23404</v>
      </c>
      <c r="I871" t="str">
        <f t="shared" si="27"/>
        <v>Bri3bp_23404</v>
      </c>
      <c r="J871" s="3">
        <v>18507</v>
      </c>
      <c r="K871" s="3">
        <v>2060</v>
      </c>
      <c r="L871" s="3">
        <v>2657</v>
      </c>
      <c r="M871" s="3">
        <v>180</v>
      </c>
      <c r="N871" s="3">
        <v>0</v>
      </c>
    </row>
    <row r="872" spans="1:14" x14ac:dyDescent="0.2">
      <c r="A872" s="5" t="str">
        <f>HYPERLINK("http://www.ncbi.nlm.nih.gov/protein/141802630","Brix1")</f>
        <v>Brix1</v>
      </c>
      <c r="B872" s="4"/>
      <c r="C872" s="3">
        <v>0</v>
      </c>
      <c r="D872" s="3">
        <v>0</v>
      </c>
      <c r="E872" s="3">
        <v>0</v>
      </c>
      <c r="F872" s="3">
        <v>6008</v>
      </c>
      <c r="G872" s="3">
        <v>0</v>
      </c>
      <c r="H872" s="2">
        <f t="shared" si="26"/>
        <v>6008</v>
      </c>
      <c r="I872" t="str">
        <f t="shared" si="27"/>
        <v>Brix1_6008</v>
      </c>
      <c r="J872" s="3">
        <v>0</v>
      </c>
      <c r="K872" s="3">
        <v>0</v>
      </c>
      <c r="L872" s="3">
        <v>0</v>
      </c>
      <c r="M872" s="3">
        <v>6008</v>
      </c>
      <c r="N872" s="3">
        <v>0</v>
      </c>
    </row>
    <row r="873" spans="1:14" x14ac:dyDescent="0.2">
      <c r="A873" s="5" t="str">
        <f>HYPERLINK("http://www.ncbi.nlm.nih.gov/protein/19527154","Brk1")</f>
        <v>Brk1</v>
      </c>
      <c r="B873" s="4"/>
      <c r="C873" s="3">
        <v>73</v>
      </c>
      <c r="D873" s="3">
        <v>722</v>
      </c>
      <c r="E873" s="3">
        <v>1241</v>
      </c>
      <c r="F873" s="3">
        <v>123</v>
      </c>
      <c r="G873" s="3">
        <v>1478</v>
      </c>
      <c r="H873" s="2">
        <f t="shared" si="26"/>
        <v>3637</v>
      </c>
      <c r="I873" t="str">
        <f t="shared" si="27"/>
        <v>Brk1_3637</v>
      </c>
      <c r="J873" s="3">
        <v>73</v>
      </c>
      <c r="K873" s="3">
        <v>722</v>
      </c>
      <c r="L873" s="3">
        <v>1241</v>
      </c>
      <c r="M873" s="3">
        <v>123</v>
      </c>
      <c r="N873" s="3">
        <v>1478</v>
      </c>
    </row>
    <row r="874" spans="1:14" x14ac:dyDescent="0.2">
      <c r="A874" s="5" t="str">
        <f>HYPERLINK("http://www.ncbi.nlm.nih.gov/protein/58037255","Brox")</f>
        <v>Brox</v>
      </c>
      <c r="B874" s="4"/>
      <c r="C874" s="3">
        <v>0</v>
      </c>
      <c r="D874" s="3">
        <v>3870</v>
      </c>
      <c r="E874" s="3">
        <v>4093</v>
      </c>
      <c r="F874" s="3">
        <v>0</v>
      </c>
      <c r="G874" s="3">
        <v>3598</v>
      </c>
      <c r="H874" s="2">
        <f t="shared" si="26"/>
        <v>11561</v>
      </c>
      <c r="I874" t="str">
        <f t="shared" si="27"/>
        <v>Brox_11561</v>
      </c>
      <c r="J874" s="3">
        <v>0</v>
      </c>
      <c r="K874" s="3">
        <v>3870</v>
      </c>
      <c r="L874" s="3">
        <v>4093</v>
      </c>
      <c r="M874" s="3">
        <v>0</v>
      </c>
      <c r="N874" s="3">
        <v>3598</v>
      </c>
    </row>
    <row r="875" spans="1:14" x14ac:dyDescent="0.2">
      <c r="A875" s="5" t="str">
        <f>HYPERLINK("http://www.ncbi.nlm.nih.gov/protein/31542236","Brs3")</f>
        <v>Brs3</v>
      </c>
      <c r="B875" s="4"/>
      <c r="C875" s="3">
        <v>0</v>
      </c>
      <c r="D875" s="3">
        <v>0</v>
      </c>
      <c r="E875" s="3">
        <v>0</v>
      </c>
      <c r="F875" s="3">
        <v>5959</v>
      </c>
      <c r="G875" s="3">
        <v>0</v>
      </c>
      <c r="H875" s="2">
        <f t="shared" si="26"/>
        <v>5959</v>
      </c>
      <c r="I875" t="str">
        <f t="shared" si="27"/>
        <v>Brs3_5959</v>
      </c>
      <c r="J875" s="3">
        <v>0</v>
      </c>
      <c r="K875" s="3">
        <v>0</v>
      </c>
      <c r="L875" s="3">
        <v>0</v>
      </c>
      <c r="M875" s="3">
        <v>5959</v>
      </c>
      <c r="N875" s="3">
        <v>0</v>
      </c>
    </row>
    <row r="876" spans="1:14" x14ac:dyDescent="0.2">
      <c r="A876" s="5" t="str">
        <f>HYPERLINK("http://www.ncbi.nlm.nih.gov/protein/31981603","Bsdc1")</f>
        <v>Bsdc1</v>
      </c>
      <c r="B876" s="4"/>
      <c r="C876" s="3">
        <v>0</v>
      </c>
      <c r="D876" s="3">
        <v>0</v>
      </c>
      <c r="E876" s="3">
        <v>4</v>
      </c>
      <c r="F876" s="3">
        <v>0</v>
      </c>
      <c r="G876" s="3">
        <v>0</v>
      </c>
      <c r="H876" s="2">
        <f t="shared" si="26"/>
        <v>4</v>
      </c>
      <c r="I876" t="str">
        <f t="shared" si="27"/>
        <v>Bsdc1_4</v>
      </c>
      <c r="J876" s="3">
        <v>0</v>
      </c>
      <c r="K876" s="3">
        <v>0</v>
      </c>
      <c r="L876" s="3">
        <v>4</v>
      </c>
      <c r="M876" s="3">
        <v>0</v>
      </c>
      <c r="N876" s="3">
        <v>0</v>
      </c>
    </row>
    <row r="877" spans="1:14" x14ac:dyDescent="0.2">
      <c r="A877" s="5" t="str">
        <f>HYPERLINK("http://www.ncbi.nlm.nih.gov/protein/116014342","Bsg")</f>
        <v>Bsg</v>
      </c>
      <c r="B877" s="4"/>
      <c r="C877" s="3">
        <v>32127</v>
      </c>
      <c r="D877" s="3">
        <v>34640</v>
      </c>
      <c r="E877" s="3">
        <v>108804</v>
      </c>
      <c r="F877" s="3">
        <v>9929</v>
      </c>
      <c r="G877" s="3">
        <v>0</v>
      </c>
      <c r="H877" s="2">
        <f t="shared" si="26"/>
        <v>185500</v>
      </c>
      <c r="I877" t="str">
        <f t="shared" si="27"/>
        <v>Bsg_185500</v>
      </c>
      <c r="J877" s="3">
        <v>32127</v>
      </c>
      <c r="K877" s="3">
        <v>34640</v>
      </c>
      <c r="L877" s="3">
        <v>108804</v>
      </c>
      <c r="M877" s="3">
        <v>9929</v>
      </c>
      <c r="N877" s="3">
        <v>0</v>
      </c>
    </row>
    <row r="878" spans="1:14" x14ac:dyDescent="0.2">
      <c r="A878" s="5" t="str">
        <f>HYPERLINK("http://www.ncbi.nlm.nih.gov/protein/34915988","Bsg")</f>
        <v>Bsg</v>
      </c>
      <c r="B878" s="4"/>
      <c r="C878" s="3">
        <v>32127</v>
      </c>
      <c r="D878" s="3">
        <v>34640</v>
      </c>
      <c r="E878" s="3">
        <v>108804</v>
      </c>
      <c r="F878" s="3">
        <v>9929</v>
      </c>
      <c r="G878" s="3">
        <v>0</v>
      </c>
      <c r="H878" s="2">
        <f t="shared" si="26"/>
        <v>185500</v>
      </c>
      <c r="I878" t="str">
        <f t="shared" si="27"/>
        <v>Bsg_185500</v>
      </c>
      <c r="J878" s="3">
        <v>32127</v>
      </c>
      <c r="K878" s="3">
        <v>34640</v>
      </c>
      <c r="L878" s="3">
        <v>108804</v>
      </c>
      <c r="M878" s="3">
        <v>9929</v>
      </c>
      <c r="N878" s="3">
        <v>0</v>
      </c>
    </row>
    <row r="879" spans="1:14" x14ac:dyDescent="0.2">
      <c r="A879" s="5" t="str">
        <f>HYPERLINK("http://www.ncbi.nlm.nih.gov/protein/91598894","Bsnd")</f>
        <v>Bsnd</v>
      </c>
      <c r="B879" s="4"/>
      <c r="C879" s="3">
        <v>0</v>
      </c>
      <c r="D879" s="3">
        <v>0</v>
      </c>
      <c r="E879" s="3">
        <v>60</v>
      </c>
      <c r="F879" s="3">
        <v>0</v>
      </c>
      <c r="G879" s="3">
        <v>0</v>
      </c>
      <c r="H879" s="2">
        <f t="shared" si="26"/>
        <v>60</v>
      </c>
      <c r="I879" t="str">
        <f t="shared" si="27"/>
        <v>Bsnd_60</v>
      </c>
      <c r="J879" s="3">
        <v>0</v>
      </c>
      <c r="K879" s="3">
        <v>0</v>
      </c>
      <c r="L879" s="3">
        <v>60</v>
      </c>
      <c r="M879" s="3">
        <v>0</v>
      </c>
      <c r="N879" s="3">
        <v>0</v>
      </c>
    </row>
    <row r="880" spans="1:14" x14ac:dyDescent="0.2">
      <c r="A880" s="5" t="str">
        <f>HYPERLINK("http://www.ncbi.nlm.nih.gov/protein/20149730","Bspry")</f>
        <v>Bspry</v>
      </c>
      <c r="B880" s="4"/>
      <c r="C880" s="3">
        <v>0</v>
      </c>
      <c r="D880" s="3">
        <v>0</v>
      </c>
      <c r="E880" s="3">
        <v>3137</v>
      </c>
      <c r="F880" s="3">
        <v>0</v>
      </c>
      <c r="G880" s="3">
        <v>0</v>
      </c>
      <c r="H880" s="2">
        <f t="shared" si="26"/>
        <v>3137</v>
      </c>
      <c r="I880" t="str">
        <f t="shared" si="27"/>
        <v>Bspry_3137</v>
      </c>
      <c r="J880" s="3">
        <v>0</v>
      </c>
      <c r="K880" s="3">
        <v>0</v>
      </c>
      <c r="L880" s="3">
        <v>3137</v>
      </c>
      <c r="M880" s="3">
        <v>0</v>
      </c>
      <c r="N880" s="3">
        <v>0</v>
      </c>
    </row>
    <row r="881" spans="1:14" x14ac:dyDescent="0.2">
      <c r="A881" s="5" t="str">
        <f>HYPERLINK("http://www.ncbi.nlm.nih.gov/protein/134288869","Bst1")</f>
        <v>Bst1</v>
      </c>
      <c r="B881" s="4"/>
      <c r="C881" s="3">
        <v>0</v>
      </c>
      <c r="D881" s="3">
        <v>0</v>
      </c>
      <c r="E881" s="3">
        <v>29</v>
      </c>
      <c r="F881" s="3">
        <v>0</v>
      </c>
      <c r="G881" s="3">
        <v>0</v>
      </c>
      <c r="H881" s="2">
        <f t="shared" si="26"/>
        <v>29</v>
      </c>
      <c r="I881" t="str">
        <f t="shared" si="27"/>
        <v>Bst1_29</v>
      </c>
      <c r="J881" s="3">
        <v>0</v>
      </c>
      <c r="K881" s="3">
        <v>0</v>
      </c>
      <c r="L881" s="3">
        <v>29</v>
      </c>
      <c r="M881" s="3">
        <v>0</v>
      </c>
      <c r="N881" s="3">
        <v>0</v>
      </c>
    </row>
    <row r="882" spans="1:14" x14ac:dyDescent="0.2">
      <c r="A882" s="5" t="str">
        <f>HYPERLINK("http://www.ncbi.nlm.nih.gov/protein/37674242","Bst2")</f>
        <v>Bst2</v>
      </c>
      <c r="B882" s="4"/>
      <c r="C882" s="3">
        <v>0</v>
      </c>
      <c r="D882" s="3">
        <v>614</v>
      </c>
      <c r="E882" s="3">
        <v>0</v>
      </c>
      <c r="F882" s="3">
        <v>0</v>
      </c>
      <c r="G882" s="3">
        <v>0</v>
      </c>
      <c r="H882" s="2">
        <f t="shared" si="26"/>
        <v>614</v>
      </c>
      <c r="I882" t="str">
        <f t="shared" si="27"/>
        <v>Bst2_614</v>
      </c>
      <c r="J882" s="3">
        <v>0</v>
      </c>
      <c r="K882" s="3">
        <v>614</v>
      </c>
      <c r="L882" s="3">
        <v>0</v>
      </c>
      <c r="M882" s="3">
        <v>0</v>
      </c>
      <c r="N882" s="3">
        <v>0</v>
      </c>
    </row>
    <row r="883" spans="1:14" x14ac:dyDescent="0.2">
      <c r="A883" s="5" t="str">
        <f>HYPERLINK("http://www.ncbi.nlm.nih.gov/protein/123858774","Btaf1")</f>
        <v>Btaf1</v>
      </c>
      <c r="B883" s="4"/>
      <c r="C883" s="3">
        <v>0</v>
      </c>
      <c r="D883" s="3">
        <v>0</v>
      </c>
      <c r="E883" s="3">
        <v>1172</v>
      </c>
      <c r="F883" s="3">
        <v>819</v>
      </c>
      <c r="G883" s="3">
        <v>23764</v>
      </c>
      <c r="H883" s="2">
        <f t="shared" si="26"/>
        <v>25755</v>
      </c>
      <c r="I883" t="str">
        <f t="shared" si="27"/>
        <v>Btaf1_25755</v>
      </c>
      <c r="J883" s="3">
        <v>0</v>
      </c>
      <c r="K883" s="3">
        <v>0</v>
      </c>
      <c r="L883" s="3">
        <v>1172</v>
      </c>
      <c r="M883" s="3">
        <v>819</v>
      </c>
      <c r="N883" s="3">
        <v>23764</v>
      </c>
    </row>
    <row r="884" spans="1:14" x14ac:dyDescent="0.2">
      <c r="A884" s="5" t="str">
        <f>HYPERLINK("http://www.ncbi.nlm.nih.gov/protein/83649719","Btbd1")</f>
        <v>Btbd1</v>
      </c>
      <c r="B884" s="4"/>
      <c r="C884" s="3">
        <v>0</v>
      </c>
      <c r="D884" s="3">
        <v>0</v>
      </c>
      <c r="E884" s="3">
        <v>60</v>
      </c>
      <c r="F884" s="3">
        <v>0</v>
      </c>
      <c r="G884" s="3">
        <v>0</v>
      </c>
      <c r="H884" s="2">
        <f t="shared" si="26"/>
        <v>60</v>
      </c>
      <c r="I884" t="str">
        <f t="shared" si="27"/>
        <v>Btbd1_60</v>
      </c>
      <c r="J884" s="3">
        <v>0</v>
      </c>
      <c r="K884" s="3">
        <v>0</v>
      </c>
      <c r="L884" s="3">
        <v>60</v>
      </c>
      <c r="M884" s="3">
        <v>0</v>
      </c>
      <c r="N884" s="3">
        <v>0</v>
      </c>
    </row>
    <row r="885" spans="1:14" x14ac:dyDescent="0.2">
      <c r="A885" s="5" t="str">
        <f>HYPERLINK("http://www.ncbi.nlm.nih.gov/protein/163965446","Btbd2")</f>
        <v>Btbd2</v>
      </c>
      <c r="B885" s="4"/>
      <c r="C885" s="3">
        <v>0</v>
      </c>
      <c r="D885" s="3">
        <v>0</v>
      </c>
      <c r="E885" s="3">
        <v>60</v>
      </c>
      <c r="F885" s="3">
        <v>417</v>
      </c>
      <c r="G885" s="3">
        <v>0</v>
      </c>
      <c r="H885" s="2">
        <f t="shared" si="26"/>
        <v>477</v>
      </c>
      <c r="I885" t="str">
        <f t="shared" si="27"/>
        <v>Btbd2_477</v>
      </c>
      <c r="J885" s="3">
        <v>0</v>
      </c>
      <c r="K885" s="3">
        <v>0</v>
      </c>
      <c r="L885" s="3">
        <v>60</v>
      </c>
      <c r="M885" s="3">
        <v>417</v>
      </c>
      <c r="N885" s="3">
        <v>0</v>
      </c>
    </row>
    <row r="886" spans="1:14" x14ac:dyDescent="0.2">
      <c r="A886" s="5" t="str">
        <f>HYPERLINK("http://www.ncbi.nlm.nih.gov/protein/13384648","Btd")</f>
        <v>Btd</v>
      </c>
      <c r="B886" s="4"/>
      <c r="C886" s="3">
        <v>0</v>
      </c>
      <c r="D886" s="3">
        <v>121</v>
      </c>
      <c r="E886" s="3">
        <v>0</v>
      </c>
      <c r="F886" s="3">
        <v>0</v>
      </c>
      <c r="G886" s="3">
        <v>0</v>
      </c>
      <c r="H886" s="2">
        <f t="shared" si="26"/>
        <v>121</v>
      </c>
      <c r="I886" t="str">
        <f t="shared" si="27"/>
        <v>Btd_121</v>
      </c>
      <c r="J886" s="3">
        <v>0</v>
      </c>
      <c r="K886" s="3">
        <v>121</v>
      </c>
      <c r="L886" s="3">
        <v>0</v>
      </c>
      <c r="M886" s="3">
        <v>0</v>
      </c>
      <c r="N886" s="3">
        <v>0</v>
      </c>
    </row>
    <row r="887" spans="1:14" x14ac:dyDescent="0.2">
      <c r="A887" s="5" t="str">
        <f>HYPERLINK("http://www.ncbi.nlm.nih.gov/protein/281485611","Btf3")</f>
        <v>Btf3</v>
      </c>
      <c r="B887" s="4"/>
      <c r="C887" s="3">
        <v>0</v>
      </c>
      <c r="D887" s="3">
        <v>2478</v>
      </c>
      <c r="E887" s="3">
        <v>20467</v>
      </c>
      <c r="F887" s="3">
        <v>113575</v>
      </c>
      <c r="G887" s="3">
        <v>15871</v>
      </c>
      <c r="H887" s="2">
        <f t="shared" si="26"/>
        <v>152391</v>
      </c>
      <c r="I887" t="str">
        <f t="shared" si="27"/>
        <v>Btf3_152391</v>
      </c>
      <c r="J887" s="3">
        <v>0</v>
      </c>
      <c r="K887" s="3">
        <v>2478</v>
      </c>
      <c r="L887" s="3">
        <v>20467</v>
      </c>
      <c r="M887" s="3">
        <v>113575</v>
      </c>
      <c r="N887" s="3">
        <v>15871</v>
      </c>
    </row>
    <row r="888" spans="1:14" x14ac:dyDescent="0.2">
      <c r="A888" s="5" t="str">
        <f>HYPERLINK("http://www.ncbi.nlm.nih.gov/protein/56605979","Btf3")</f>
        <v>Btf3</v>
      </c>
      <c r="B888" s="4"/>
      <c r="C888" s="3">
        <v>0</v>
      </c>
      <c r="D888" s="3">
        <v>2430</v>
      </c>
      <c r="E888" s="3">
        <v>17058</v>
      </c>
      <c r="F888" s="3">
        <v>113403</v>
      </c>
      <c r="G888" s="3">
        <v>15722</v>
      </c>
      <c r="H888" s="2">
        <f t="shared" si="26"/>
        <v>148613</v>
      </c>
      <c r="I888" t="str">
        <f t="shared" si="27"/>
        <v>Btf3_148613</v>
      </c>
      <c r="J888" s="3">
        <v>0</v>
      </c>
      <c r="K888" s="3">
        <v>2430</v>
      </c>
      <c r="L888" s="3">
        <v>17058</v>
      </c>
      <c r="M888" s="3">
        <v>113403</v>
      </c>
      <c r="N888" s="3">
        <v>15722</v>
      </c>
    </row>
    <row r="889" spans="1:14" x14ac:dyDescent="0.2">
      <c r="A889" s="5" t="str">
        <f>HYPERLINK("http://www.ncbi.nlm.nih.gov/protein/29789195","Btf3l4")</f>
        <v>Btf3l4</v>
      </c>
      <c r="B889" s="4"/>
      <c r="C889" s="3">
        <v>275</v>
      </c>
      <c r="D889" s="3">
        <v>169</v>
      </c>
      <c r="E889" s="3">
        <v>2849</v>
      </c>
      <c r="F889" s="3">
        <v>16641</v>
      </c>
      <c r="G889" s="3">
        <v>13612</v>
      </c>
      <c r="H889" s="2">
        <f t="shared" si="26"/>
        <v>33546</v>
      </c>
      <c r="I889" t="str">
        <f t="shared" si="27"/>
        <v>Btf3l4_33546</v>
      </c>
      <c r="J889" s="3">
        <v>275</v>
      </c>
      <c r="K889" s="3">
        <v>169</v>
      </c>
      <c r="L889" s="3">
        <v>2849</v>
      </c>
      <c r="M889" s="3">
        <v>16641</v>
      </c>
      <c r="N889" s="3">
        <v>13612</v>
      </c>
    </row>
    <row r="890" spans="1:14" x14ac:dyDescent="0.2">
      <c r="A890" s="5" t="str">
        <f>HYPERLINK("http://www.ncbi.nlm.nih.gov/protein/161086887","Btrc")</f>
        <v>Btrc</v>
      </c>
      <c r="B890" s="4"/>
      <c r="C890" s="3">
        <v>0</v>
      </c>
      <c r="D890" s="3">
        <v>0</v>
      </c>
      <c r="E890" s="3">
        <v>0</v>
      </c>
      <c r="F890" s="3">
        <v>229</v>
      </c>
      <c r="G890" s="3">
        <v>0</v>
      </c>
      <c r="H890" s="2">
        <f t="shared" si="26"/>
        <v>229</v>
      </c>
      <c r="I890" t="str">
        <f t="shared" si="27"/>
        <v>Btrc_229</v>
      </c>
      <c r="J890" s="3">
        <v>0</v>
      </c>
      <c r="K890" s="3">
        <v>0</v>
      </c>
      <c r="L890" s="3">
        <v>0</v>
      </c>
      <c r="M890" s="3">
        <v>229</v>
      </c>
      <c r="N890" s="3">
        <v>0</v>
      </c>
    </row>
    <row r="891" spans="1:14" x14ac:dyDescent="0.2">
      <c r="A891" s="5" t="str">
        <f>HYPERLINK("http://www.ncbi.nlm.nih.gov/protein/6753210","Btrc")</f>
        <v>Btrc</v>
      </c>
      <c r="B891" s="4"/>
      <c r="C891" s="3">
        <v>0</v>
      </c>
      <c r="D891" s="3">
        <v>0</v>
      </c>
      <c r="E891" s="3">
        <v>0</v>
      </c>
      <c r="F891" s="3">
        <v>229</v>
      </c>
      <c r="G891" s="3">
        <v>0</v>
      </c>
      <c r="H891" s="2">
        <f t="shared" si="26"/>
        <v>229</v>
      </c>
      <c r="I891" t="str">
        <f t="shared" si="27"/>
        <v>Btrc_229</v>
      </c>
      <c r="J891" s="3">
        <v>0</v>
      </c>
      <c r="K891" s="3">
        <v>0</v>
      </c>
      <c r="L891" s="3">
        <v>0</v>
      </c>
      <c r="M891" s="3">
        <v>229</v>
      </c>
      <c r="N891" s="3">
        <v>0</v>
      </c>
    </row>
    <row r="892" spans="1:14" x14ac:dyDescent="0.2">
      <c r="A892" s="5" t="str">
        <f>HYPERLINK("http://www.ncbi.nlm.nih.gov/protein/163937845","Bub1")</f>
        <v>Bub1</v>
      </c>
      <c r="B892" s="4"/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2">
        <f t="shared" si="26"/>
        <v>0</v>
      </c>
      <c r="I892" t="str">
        <f t="shared" si="27"/>
        <v>Bub1_0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</row>
    <row r="893" spans="1:14" x14ac:dyDescent="0.2">
      <c r="A893" s="5" t="str">
        <f>HYPERLINK("http://www.ncbi.nlm.nih.gov/protein/163937847","Bub1")</f>
        <v>Bub1</v>
      </c>
      <c r="B893" s="4"/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2">
        <f t="shared" si="26"/>
        <v>0</v>
      </c>
      <c r="I893" t="str">
        <f t="shared" si="27"/>
        <v>Bub1_0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</row>
    <row r="894" spans="1:14" x14ac:dyDescent="0.2">
      <c r="A894" s="5" t="str">
        <f>HYPERLINK("http://www.ncbi.nlm.nih.gov/protein/157951692","Bub1b")</f>
        <v>Bub1b</v>
      </c>
      <c r="B894" s="4"/>
      <c r="C894" s="3">
        <v>3661</v>
      </c>
      <c r="D894" s="3">
        <v>668</v>
      </c>
      <c r="E894" s="3">
        <v>5201</v>
      </c>
      <c r="F894" s="3">
        <v>6917</v>
      </c>
      <c r="G894" s="3">
        <v>17360</v>
      </c>
      <c r="H894" s="2">
        <f t="shared" si="26"/>
        <v>33807</v>
      </c>
      <c r="I894" t="str">
        <f t="shared" si="27"/>
        <v>Bub1b_33807</v>
      </c>
      <c r="J894" s="3">
        <v>3661</v>
      </c>
      <c r="K894" s="3">
        <v>668</v>
      </c>
      <c r="L894" s="3">
        <v>5201</v>
      </c>
      <c r="M894" s="3">
        <v>6917</v>
      </c>
      <c r="N894" s="3">
        <v>17360</v>
      </c>
    </row>
    <row r="895" spans="1:14" x14ac:dyDescent="0.2">
      <c r="A895" s="5" t="str">
        <f>HYPERLINK("http://www.ncbi.nlm.nih.gov/protein/31560618","Bub3")</f>
        <v>Bub3</v>
      </c>
      <c r="B895" s="4"/>
      <c r="C895" s="3">
        <v>77764</v>
      </c>
      <c r="D895" s="3">
        <v>349</v>
      </c>
      <c r="E895" s="3">
        <v>28426</v>
      </c>
      <c r="F895" s="3">
        <v>38276</v>
      </c>
      <c r="G895" s="3">
        <v>57756</v>
      </c>
      <c r="H895" s="2">
        <f t="shared" si="26"/>
        <v>202571</v>
      </c>
      <c r="I895" t="str">
        <f t="shared" si="27"/>
        <v>Bub3_202571</v>
      </c>
      <c r="J895" s="3">
        <v>77764</v>
      </c>
      <c r="K895" s="3">
        <v>349</v>
      </c>
      <c r="L895" s="3">
        <v>28426</v>
      </c>
      <c r="M895" s="3">
        <v>38276</v>
      </c>
      <c r="N895" s="3">
        <v>57756</v>
      </c>
    </row>
    <row r="896" spans="1:14" x14ac:dyDescent="0.2">
      <c r="A896" s="5" t="str">
        <f>HYPERLINK("http://www.ncbi.nlm.nih.gov/protein/57222238","Bud31")</f>
        <v>Bud31</v>
      </c>
      <c r="B896" s="4"/>
      <c r="C896" s="3">
        <v>7908</v>
      </c>
      <c r="D896" s="3">
        <v>616</v>
      </c>
      <c r="E896" s="3">
        <v>838</v>
      </c>
      <c r="F896" s="3">
        <v>1678</v>
      </c>
      <c r="G896" s="3">
        <v>2592</v>
      </c>
      <c r="H896" s="2">
        <f t="shared" si="26"/>
        <v>13632</v>
      </c>
      <c r="I896" t="str">
        <f t="shared" si="27"/>
        <v>Bud31_13632</v>
      </c>
      <c r="J896" s="3">
        <v>7908</v>
      </c>
      <c r="K896" s="3">
        <v>616</v>
      </c>
      <c r="L896" s="3">
        <v>838</v>
      </c>
      <c r="M896" s="3">
        <v>1678</v>
      </c>
      <c r="N896" s="3">
        <v>2592</v>
      </c>
    </row>
    <row r="897" spans="1:14" x14ac:dyDescent="0.2">
      <c r="A897" s="5" t="str">
        <f>HYPERLINK("http://www.ncbi.nlm.nih.gov/protein/164698440","Bysl")</f>
        <v>Bysl</v>
      </c>
      <c r="B897" s="4"/>
      <c r="C897" s="3">
        <v>0</v>
      </c>
      <c r="D897" s="3">
        <v>0</v>
      </c>
      <c r="E897" s="3">
        <v>269</v>
      </c>
      <c r="F897" s="3">
        <v>6933</v>
      </c>
      <c r="G897" s="3">
        <v>0</v>
      </c>
      <c r="H897" s="2">
        <f t="shared" si="26"/>
        <v>7202</v>
      </c>
      <c r="I897" t="str">
        <f t="shared" si="27"/>
        <v>Bysl_7202</v>
      </c>
      <c r="J897" s="3">
        <v>0</v>
      </c>
      <c r="K897" s="3">
        <v>0</v>
      </c>
      <c r="L897" s="3">
        <v>269</v>
      </c>
      <c r="M897" s="3">
        <v>6933</v>
      </c>
      <c r="N897" s="3">
        <v>0</v>
      </c>
    </row>
    <row r="898" spans="1:14" x14ac:dyDescent="0.2">
      <c r="A898" s="5" t="str">
        <f>HYPERLINK("http://www.ncbi.nlm.nih.gov/protein/157909774","Bzrap1")</f>
        <v>Bzrap1</v>
      </c>
      <c r="B898" s="4"/>
      <c r="C898" s="3">
        <v>0</v>
      </c>
      <c r="D898" s="3">
        <v>0</v>
      </c>
      <c r="E898" s="3">
        <v>6</v>
      </c>
      <c r="F898" s="3">
        <v>0</v>
      </c>
      <c r="G898" s="3">
        <v>0</v>
      </c>
      <c r="H898" s="2">
        <f t="shared" ref="H898:H961" si="28">SUM(C898:G898)</f>
        <v>6</v>
      </c>
      <c r="I898" t="str">
        <f t="shared" ref="I898:I961" si="29">A898&amp;"_"&amp;H898</f>
        <v>Bzrap1_6</v>
      </c>
      <c r="J898" s="3">
        <v>0</v>
      </c>
      <c r="K898" s="3">
        <v>0</v>
      </c>
      <c r="L898" s="3">
        <v>6</v>
      </c>
      <c r="M898" s="3">
        <v>0</v>
      </c>
      <c r="N898" s="3">
        <v>0</v>
      </c>
    </row>
    <row r="899" spans="1:14" x14ac:dyDescent="0.2">
      <c r="A899" s="5" t="str">
        <f>HYPERLINK("http://www.ncbi.nlm.nih.gov/protein/13385296","Bzw1")</f>
        <v>Bzw1</v>
      </c>
      <c r="B899" s="4"/>
      <c r="C899" s="3">
        <v>10617</v>
      </c>
      <c r="D899" s="3">
        <v>5739</v>
      </c>
      <c r="E899" s="3">
        <v>75019</v>
      </c>
      <c r="F899" s="3">
        <v>1130</v>
      </c>
      <c r="G899" s="3">
        <v>76937</v>
      </c>
      <c r="H899" s="2">
        <f t="shared" si="28"/>
        <v>169442</v>
      </c>
      <c r="I899" t="str">
        <f t="shared" si="29"/>
        <v>Bzw1_169442</v>
      </c>
      <c r="J899" s="3">
        <v>10617</v>
      </c>
      <c r="K899" s="3">
        <v>5739</v>
      </c>
      <c r="L899" s="3">
        <v>75019</v>
      </c>
      <c r="M899" s="3">
        <v>1130</v>
      </c>
      <c r="N899" s="3">
        <v>76937</v>
      </c>
    </row>
    <row r="900" spans="1:14" x14ac:dyDescent="0.2">
      <c r="A900" s="5" t="str">
        <f>HYPERLINK("http://www.ncbi.nlm.nih.gov/protein/31981160","Bzw2")</f>
        <v>Bzw2</v>
      </c>
      <c r="B900" s="4"/>
      <c r="C900" s="3">
        <v>13638</v>
      </c>
      <c r="D900" s="3">
        <v>8058</v>
      </c>
      <c r="E900" s="3">
        <v>55638</v>
      </c>
      <c r="F900" s="3">
        <v>1130</v>
      </c>
      <c r="G900" s="3">
        <v>46404</v>
      </c>
      <c r="H900" s="2">
        <f t="shared" si="28"/>
        <v>124868</v>
      </c>
      <c r="I900" t="str">
        <f t="shared" si="29"/>
        <v>Bzw2_124868</v>
      </c>
      <c r="J900" s="3">
        <v>13638</v>
      </c>
      <c r="K900" s="3">
        <v>8058</v>
      </c>
      <c r="L900" s="3">
        <v>55638</v>
      </c>
      <c r="M900" s="3">
        <v>1130</v>
      </c>
      <c r="N900" s="3">
        <v>46404</v>
      </c>
    </row>
    <row r="901" spans="1:14" x14ac:dyDescent="0.2">
      <c r="A901" s="5" t="str">
        <f>HYPERLINK("http://www.ncbi.nlm.nih.gov/protein/210147428","C030006K11Rik")</f>
        <v>C030006K11Rik</v>
      </c>
      <c r="B901" s="4"/>
      <c r="C901" s="3">
        <v>513</v>
      </c>
      <c r="D901" s="3">
        <v>0</v>
      </c>
      <c r="E901" s="3">
        <v>0</v>
      </c>
      <c r="F901" s="3">
        <v>0</v>
      </c>
      <c r="G901" s="3">
        <v>257</v>
      </c>
      <c r="H901" s="2">
        <f t="shared" si="28"/>
        <v>770</v>
      </c>
      <c r="I901" t="str">
        <f t="shared" si="29"/>
        <v>C030006K11Rik_770</v>
      </c>
      <c r="J901" s="3">
        <v>513</v>
      </c>
      <c r="K901" s="3">
        <v>0</v>
      </c>
      <c r="L901" s="3">
        <v>0</v>
      </c>
      <c r="M901" s="3">
        <v>0</v>
      </c>
      <c r="N901" s="3">
        <v>257</v>
      </c>
    </row>
    <row r="902" spans="1:14" x14ac:dyDescent="0.2">
      <c r="A902" s="5" t="str">
        <f>HYPERLINK("http://www.ncbi.nlm.nih.gov/protein/21735489","C030006K11Rik")</f>
        <v>C030006K11Rik</v>
      </c>
      <c r="B902" s="4"/>
      <c r="C902" s="3">
        <v>549</v>
      </c>
      <c r="D902" s="3">
        <v>0</v>
      </c>
      <c r="E902" s="3">
        <v>0</v>
      </c>
      <c r="F902" s="3">
        <v>0</v>
      </c>
      <c r="G902" s="3">
        <v>257</v>
      </c>
      <c r="H902" s="2">
        <f t="shared" si="28"/>
        <v>806</v>
      </c>
      <c r="I902" t="str">
        <f t="shared" si="29"/>
        <v>C030006K11Rik_806</v>
      </c>
      <c r="J902" s="3">
        <v>549</v>
      </c>
      <c r="K902" s="3">
        <v>0</v>
      </c>
      <c r="L902" s="3">
        <v>0</v>
      </c>
      <c r="M902" s="3">
        <v>0</v>
      </c>
      <c r="N902" s="3">
        <v>257</v>
      </c>
    </row>
    <row r="903" spans="1:14" x14ac:dyDescent="0.2">
      <c r="A903" s="5" t="str">
        <f>HYPERLINK("http://www.ncbi.nlm.nih.gov/protein/112181167","C1qbp")</f>
        <v>C1qbp</v>
      </c>
      <c r="B903" s="4"/>
      <c r="C903" s="3">
        <v>106742</v>
      </c>
      <c r="D903" s="3">
        <v>14552</v>
      </c>
      <c r="E903" s="3">
        <v>0</v>
      </c>
      <c r="F903" s="3">
        <v>614</v>
      </c>
      <c r="G903" s="3">
        <v>0</v>
      </c>
      <c r="H903" s="2">
        <f t="shared" si="28"/>
        <v>121908</v>
      </c>
      <c r="I903" t="str">
        <f t="shared" si="29"/>
        <v>C1qbp_121908</v>
      </c>
      <c r="J903" s="3">
        <v>106742</v>
      </c>
      <c r="K903" s="3">
        <v>14552</v>
      </c>
      <c r="L903" s="3">
        <v>0</v>
      </c>
      <c r="M903" s="3">
        <v>614</v>
      </c>
      <c r="N903" s="3">
        <v>0</v>
      </c>
    </row>
    <row r="904" spans="1:14" x14ac:dyDescent="0.2">
      <c r="A904" s="5" t="str">
        <f>HYPERLINK("http://www.ncbi.nlm.nih.gov/protein/157838011","C2cd5")</f>
        <v>C2cd5</v>
      </c>
      <c r="B904" s="4"/>
      <c r="C904" s="3">
        <v>0</v>
      </c>
      <c r="D904" s="3">
        <v>0</v>
      </c>
      <c r="E904" s="3">
        <v>0</v>
      </c>
      <c r="F904" s="3">
        <v>82</v>
      </c>
      <c r="G904" s="3">
        <v>0</v>
      </c>
      <c r="H904" s="2">
        <f t="shared" si="28"/>
        <v>82</v>
      </c>
      <c r="I904" t="str">
        <f t="shared" si="29"/>
        <v>C2cd5_82</v>
      </c>
      <c r="J904" s="3">
        <v>0</v>
      </c>
      <c r="K904" s="3">
        <v>0</v>
      </c>
      <c r="L904" s="3">
        <v>0</v>
      </c>
      <c r="M904" s="3">
        <v>82</v>
      </c>
      <c r="N904" s="3">
        <v>0</v>
      </c>
    </row>
    <row r="905" spans="1:14" x14ac:dyDescent="0.2">
      <c r="A905" s="5" t="str">
        <f>HYPERLINK("http://www.ncbi.nlm.nih.gov/protein/157838013","C2cd5")</f>
        <v>C2cd5</v>
      </c>
      <c r="B905" s="4"/>
      <c r="C905" s="3">
        <v>0</v>
      </c>
      <c r="D905" s="3">
        <v>0</v>
      </c>
      <c r="E905" s="3">
        <v>0</v>
      </c>
      <c r="F905" s="3">
        <v>82</v>
      </c>
      <c r="G905" s="3">
        <v>0</v>
      </c>
      <c r="H905" s="2">
        <f t="shared" si="28"/>
        <v>82</v>
      </c>
      <c r="I905" t="str">
        <f t="shared" si="29"/>
        <v>C2cd5_82</v>
      </c>
      <c r="J905" s="3">
        <v>0</v>
      </c>
      <c r="K905" s="3">
        <v>0</v>
      </c>
      <c r="L905" s="3">
        <v>0</v>
      </c>
      <c r="M905" s="3">
        <v>82</v>
      </c>
      <c r="N905" s="3">
        <v>0</v>
      </c>
    </row>
    <row r="906" spans="1:14" x14ac:dyDescent="0.2">
      <c r="A906" s="5" t="str">
        <f>HYPERLINK("http://www.ncbi.nlm.nih.gov/protein/157838015","C2cd5")</f>
        <v>C2cd5</v>
      </c>
      <c r="B906" s="4"/>
      <c r="C906" s="3">
        <v>0</v>
      </c>
      <c r="D906" s="3">
        <v>0</v>
      </c>
      <c r="E906" s="3">
        <v>0</v>
      </c>
      <c r="F906" s="3">
        <v>82</v>
      </c>
      <c r="G906" s="3">
        <v>0</v>
      </c>
      <c r="H906" s="2">
        <f t="shared" si="28"/>
        <v>82</v>
      </c>
      <c r="I906" t="str">
        <f t="shared" si="29"/>
        <v>C2cd5_82</v>
      </c>
      <c r="J906" s="3">
        <v>0</v>
      </c>
      <c r="K906" s="3">
        <v>0</v>
      </c>
      <c r="L906" s="3">
        <v>0</v>
      </c>
      <c r="M906" s="3">
        <v>82</v>
      </c>
      <c r="N906" s="3">
        <v>0</v>
      </c>
    </row>
    <row r="907" spans="1:14" x14ac:dyDescent="0.2">
      <c r="A907" s="5" t="str">
        <f>HYPERLINK("http://www.ncbi.nlm.nih.gov/protein/166063959","C330007P06Rik")</f>
        <v>C330007P06Rik</v>
      </c>
      <c r="B907" s="4"/>
      <c r="C907" s="3">
        <v>0</v>
      </c>
      <c r="D907" s="3">
        <v>1134</v>
      </c>
      <c r="E907" s="3">
        <v>1340</v>
      </c>
      <c r="F907" s="3">
        <v>1523</v>
      </c>
      <c r="G907" s="3">
        <v>54</v>
      </c>
      <c r="H907" s="2">
        <f t="shared" si="28"/>
        <v>4051</v>
      </c>
      <c r="I907" t="str">
        <f t="shared" si="29"/>
        <v>C330007P06Rik_4051</v>
      </c>
      <c r="J907" s="3">
        <v>0</v>
      </c>
      <c r="K907" s="3">
        <v>1134</v>
      </c>
      <c r="L907" s="3">
        <v>1340</v>
      </c>
      <c r="M907" s="3">
        <v>1523</v>
      </c>
      <c r="N907" s="3">
        <v>54</v>
      </c>
    </row>
    <row r="908" spans="1:14" x14ac:dyDescent="0.2">
      <c r="A908" s="5" t="str">
        <f>HYPERLINK("http://www.ncbi.nlm.nih.gov/protein/75677516","C77080")</f>
        <v>C77080</v>
      </c>
      <c r="B908" s="4"/>
      <c r="C908" s="3">
        <v>0</v>
      </c>
      <c r="D908" s="3">
        <v>19</v>
      </c>
      <c r="E908" s="3">
        <v>344</v>
      </c>
      <c r="F908" s="3">
        <v>0</v>
      </c>
      <c r="G908" s="3">
        <v>0</v>
      </c>
      <c r="H908" s="2">
        <f t="shared" si="28"/>
        <v>363</v>
      </c>
      <c r="I908" t="str">
        <f t="shared" si="29"/>
        <v>C77080_363</v>
      </c>
      <c r="J908" s="3">
        <v>0</v>
      </c>
      <c r="K908" s="3">
        <v>19</v>
      </c>
      <c r="L908" s="3">
        <v>344</v>
      </c>
      <c r="M908" s="3">
        <v>0</v>
      </c>
      <c r="N908" s="3">
        <v>0</v>
      </c>
    </row>
    <row r="909" spans="1:14" x14ac:dyDescent="0.2">
      <c r="A909" s="5" t="str">
        <f>HYPERLINK("http://www.ncbi.nlm.nih.gov/protein/401871063","C920025E04Rik")</f>
        <v>C920025E04Rik</v>
      </c>
      <c r="B909" s="4"/>
      <c r="C909" s="3">
        <v>0</v>
      </c>
      <c r="D909" s="3">
        <v>0</v>
      </c>
      <c r="E909" s="3">
        <v>234</v>
      </c>
      <c r="F909" s="3">
        <v>0</v>
      </c>
      <c r="G909" s="3">
        <v>0</v>
      </c>
      <c r="H909" s="2">
        <f t="shared" si="28"/>
        <v>234</v>
      </c>
      <c r="I909" t="str">
        <f t="shared" si="29"/>
        <v>C920025E04Rik_234</v>
      </c>
      <c r="J909" s="3">
        <v>0</v>
      </c>
      <c r="K909" s="3">
        <v>0</v>
      </c>
      <c r="L909" s="3">
        <v>234</v>
      </c>
      <c r="M909" s="3">
        <v>0</v>
      </c>
      <c r="N909" s="3">
        <v>0</v>
      </c>
    </row>
    <row r="910" spans="1:14" x14ac:dyDescent="0.2">
      <c r="A910" s="5" t="str">
        <f>HYPERLINK("http://www.ncbi.nlm.nih.gov/protein/161086893","Cab39")</f>
        <v>Cab39</v>
      </c>
      <c r="B910" s="4"/>
      <c r="C910" s="3">
        <v>2801</v>
      </c>
      <c r="D910" s="3">
        <v>5661</v>
      </c>
      <c r="E910" s="3">
        <v>5372</v>
      </c>
      <c r="F910" s="3">
        <v>9250</v>
      </c>
      <c r="G910" s="3">
        <v>9478</v>
      </c>
      <c r="H910" s="2">
        <f t="shared" si="28"/>
        <v>32562</v>
      </c>
      <c r="I910" t="str">
        <f t="shared" si="29"/>
        <v>Cab39_32562</v>
      </c>
      <c r="J910" s="3">
        <v>2801</v>
      </c>
      <c r="K910" s="3">
        <v>5661</v>
      </c>
      <c r="L910" s="3">
        <v>5372</v>
      </c>
      <c r="M910" s="3">
        <v>9250</v>
      </c>
      <c r="N910" s="3">
        <v>9478</v>
      </c>
    </row>
    <row r="911" spans="1:14" x14ac:dyDescent="0.2">
      <c r="A911" s="5" t="str">
        <f>HYPERLINK("http://www.ncbi.nlm.nih.gov/protein/31541826","Cab39l")</f>
        <v>Cab39l</v>
      </c>
      <c r="B911" s="4"/>
      <c r="C911" s="3">
        <v>0</v>
      </c>
      <c r="D911" s="3">
        <v>4405</v>
      </c>
      <c r="E911" s="3">
        <v>5795</v>
      </c>
      <c r="F911" s="3">
        <v>11362</v>
      </c>
      <c r="G911" s="3">
        <v>16096</v>
      </c>
      <c r="H911" s="2">
        <f t="shared" si="28"/>
        <v>37658</v>
      </c>
      <c r="I911" t="str">
        <f t="shared" si="29"/>
        <v>Cab39l_37658</v>
      </c>
      <c r="J911" s="3">
        <v>0</v>
      </c>
      <c r="K911" s="3">
        <v>4405</v>
      </c>
      <c r="L911" s="3">
        <v>5795</v>
      </c>
      <c r="M911" s="3">
        <v>11362</v>
      </c>
      <c r="N911" s="3">
        <v>16096</v>
      </c>
    </row>
    <row r="912" spans="1:14" x14ac:dyDescent="0.2">
      <c r="A912" s="5" t="str">
        <f>HYPERLINK("http://www.ncbi.nlm.nih.gov/protein/58037485","Cacfd1")</f>
        <v>Cacfd1</v>
      </c>
      <c r="B912" s="4"/>
      <c r="C912" s="3">
        <v>0</v>
      </c>
      <c r="D912" s="3">
        <v>0</v>
      </c>
      <c r="E912" s="3">
        <v>37</v>
      </c>
      <c r="F912" s="3">
        <v>0</v>
      </c>
      <c r="G912" s="3">
        <v>0</v>
      </c>
      <c r="H912" s="2">
        <f t="shared" si="28"/>
        <v>37</v>
      </c>
      <c r="I912" t="str">
        <f t="shared" si="29"/>
        <v>Cacfd1_37</v>
      </c>
      <c r="J912" s="3">
        <v>0</v>
      </c>
      <c r="K912" s="3">
        <v>0</v>
      </c>
      <c r="L912" s="3">
        <v>37</v>
      </c>
      <c r="M912" s="3">
        <v>0</v>
      </c>
      <c r="N912" s="3">
        <v>0</v>
      </c>
    </row>
    <row r="913" spans="1:14" x14ac:dyDescent="0.2">
      <c r="A913" s="5" t="str">
        <f>HYPERLINK("http://www.ncbi.nlm.nih.gov/protein/121583673","Cactin")</f>
        <v>Cactin</v>
      </c>
      <c r="B913" s="4"/>
      <c r="C913" s="3">
        <v>0</v>
      </c>
      <c r="D913" s="3">
        <v>196</v>
      </c>
      <c r="E913" s="3">
        <v>170</v>
      </c>
      <c r="F913" s="3">
        <v>0</v>
      </c>
      <c r="G913" s="3">
        <v>0</v>
      </c>
      <c r="H913" s="2">
        <f t="shared" si="28"/>
        <v>366</v>
      </c>
      <c r="I913" t="str">
        <f t="shared" si="29"/>
        <v>Cactin_366</v>
      </c>
      <c r="J913" s="3">
        <v>0</v>
      </c>
      <c r="K913" s="3">
        <v>196</v>
      </c>
      <c r="L913" s="3">
        <v>170</v>
      </c>
      <c r="M913" s="3">
        <v>0</v>
      </c>
      <c r="N913" s="3">
        <v>0</v>
      </c>
    </row>
    <row r="914" spans="1:14" x14ac:dyDescent="0.2">
      <c r="A914" s="5" t="str">
        <f>HYPERLINK("http://www.ncbi.nlm.nih.gov/protein/285402212","Cacul1")</f>
        <v>Cacul1</v>
      </c>
      <c r="B914" s="4"/>
      <c r="C914" s="3">
        <v>0</v>
      </c>
      <c r="D914" s="3">
        <v>0</v>
      </c>
      <c r="E914" s="3">
        <v>0</v>
      </c>
      <c r="F914" s="3">
        <v>0</v>
      </c>
      <c r="G914" s="3">
        <v>3213</v>
      </c>
      <c r="H914" s="2">
        <f t="shared" si="28"/>
        <v>3213</v>
      </c>
      <c r="I914" t="str">
        <f t="shared" si="29"/>
        <v>Cacul1_3213</v>
      </c>
      <c r="J914" s="3">
        <v>0</v>
      </c>
      <c r="K914" s="3">
        <v>0</v>
      </c>
      <c r="L914" s="3">
        <v>0</v>
      </c>
      <c r="M914" s="3">
        <v>0</v>
      </c>
      <c r="N914" s="3">
        <v>3213</v>
      </c>
    </row>
    <row r="915" spans="1:14" x14ac:dyDescent="0.2">
      <c r="A915" s="5" t="str">
        <f>HYPERLINK("http://www.ncbi.nlm.nih.gov/protein/285402250","Cacul1")</f>
        <v>Cacul1</v>
      </c>
      <c r="B915" s="4"/>
      <c r="C915" s="3">
        <v>0</v>
      </c>
      <c r="D915" s="3">
        <v>0</v>
      </c>
      <c r="E915" s="3">
        <v>0</v>
      </c>
      <c r="F915" s="3">
        <v>0</v>
      </c>
      <c r="G915" s="3">
        <v>1114</v>
      </c>
      <c r="H915" s="2">
        <f t="shared" si="28"/>
        <v>1114</v>
      </c>
      <c r="I915" t="str">
        <f t="shared" si="29"/>
        <v>Cacul1_1114</v>
      </c>
      <c r="J915" s="3">
        <v>0</v>
      </c>
      <c r="K915" s="3">
        <v>0</v>
      </c>
      <c r="L915" s="3">
        <v>0</v>
      </c>
      <c r="M915" s="3">
        <v>0</v>
      </c>
      <c r="N915" s="3">
        <v>1114</v>
      </c>
    </row>
    <row r="916" spans="1:14" x14ac:dyDescent="0.2">
      <c r="A916" s="5" t="str">
        <f>HYPERLINK("http://www.ncbi.nlm.nih.gov/protein/58037533","Cacul1")</f>
        <v>Cacul1</v>
      </c>
      <c r="B916" s="4"/>
      <c r="C916" s="3">
        <v>0</v>
      </c>
      <c r="D916" s="3">
        <v>0</v>
      </c>
      <c r="E916" s="3">
        <v>0</v>
      </c>
      <c r="F916" s="3">
        <v>0</v>
      </c>
      <c r="G916" s="3">
        <v>3213</v>
      </c>
      <c r="H916" s="2">
        <f t="shared" si="28"/>
        <v>3213</v>
      </c>
      <c r="I916" t="str">
        <f t="shared" si="29"/>
        <v>Cacul1_3213</v>
      </c>
      <c r="J916" s="3">
        <v>0</v>
      </c>
      <c r="K916" s="3">
        <v>0</v>
      </c>
      <c r="L916" s="3">
        <v>0</v>
      </c>
      <c r="M916" s="3">
        <v>0</v>
      </c>
      <c r="N916" s="3">
        <v>3213</v>
      </c>
    </row>
    <row r="917" spans="1:14" x14ac:dyDescent="0.2">
      <c r="A917" s="5" t="str">
        <f>HYPERLINK("http://www.ncbi.nlm.nih.gov/protein/33468885","Cacybp")</f>
        <v>Cacybp</v>
      </c>
      <c r="B917" s="4"/>
      <c r="C917" s="3">
        <v>0</v>
      </c>
      <c r="D917" s="3">
        <v>7626</v>
      </c>
      <c r="E917" s="3">
        <v>4991</v>
      </c>
      <c r="F917" s="3">
        <v>34011</v>
      </c>
      <c r="G917" s="3">
        <v>51395</v>
      </c>
      <c r="H917" s="2">
        <f t="shared" si="28"/>
        <v>98023</v>
      </c>
      <c r="I917" t="str">
        <f t="shared" si="29"/>
        <v>Cacybp_98023</v>
      </c>
      <c r="J917" s="3">
        <v>0</v>
      </c>
      <c r="K917" s="3">
        <v>7626</v>
      </c>
      <c r="L917" s="3">
        <v>4991</v>
      </c>
      <c r="M917" s="3">
        <v>34011</v>
      </c>
      <c r="N917" s="3">
        <v>51395</v>
      </c>
    </row>
    <row r="918" spans="1:14" x14ac:dyDescent="0.2">
      <c r="A918" s="5" t="str">
        <f>HYPERLINK("http://www.ncbi.nlm.nih.gov/protein/51093867","Cad")</f>
        <v>Cad</v>
      </c>
      <c r="B918" s="4"/>
      <c r="C918" s="3">
        <v>0</v>
      </c>
      <c r="D918" s="3">
        <v>1783</v>
      </c>
      <c r="E918" s="3">
        <v>3247</v>
      </c>
      <c r="F918" s="3">
        <v>181572</v>
      </c>
      <c r="G918" s="3">
        <v>26303</v>
      </c>
      <c r="H918" s="2">
        <f t="shared" si="28"/>
        <v>212905</v>
      </c>
      <c r="I918" t="str">
        <f t="shared" si="29"/>
        <v>Cad_212905</v>
      </c>
      <c r="J918" s="3">
        <v>0</v>
      </c>
      <c r="K918" s="3">
        <v>1783</v>
      </c>
      <c r="L918" s="3">
        <v>3247</v>
      </c>
      <c r="M918" s="3">
        <v>181572</v>
      </c>
      <c r="N918" s="3">
        <v>26303</v>
      </c>
    </row>
    <row r="919" spans="1:14" x14ac:dyDescent="0.2">
      <c r="A919" s="5" t="str">
        <f>HYPERLINK("http://www.ncbi.nlm.nih.gov/protein/46575940","Cadm1")</f>
        <v>Cadm1</v>
      </c>
      <c r="B919" s="4"/>
      <c r="C919" s="3">
        <v>0</v>
      </c>
      <c r="D919" s="3">
        <v>1635</v>
      </c>
      <c r="E919" s="3">
        <v>912</v>
      </c>
      <c r="F919" s="3">
        <v>0</v>
      </c>
      <c r="G919" s="3">
        <v>0</v>
      </c>
      <c r="H919" s="2">
        <f t="shared" si="28"/>
        <v>2547</v>
      </c>
      <c r="I919" t="str">
        <f t="shared" si="29"/>
        <v>Cadm1_2547</v>
      </c>
      <c r="J919" s="3">
        <v>0</v>
      </c>
      <c r="K919" s="3">
        <v>1635</v>
      </c>
      <c r="L919" s="3">
        <v>912</v>
      </c>
      <c r="M919" s="3">
        <v>0</v>
      </c>
      <c r="N919" s="3">
        <v>0</v>
      </c>
    </row>
    <row r="920" spans="1:14" x14ac:dyDescent="0.2">
      <c r="A920" s="5" t="str">
        <f>HYPERLINK("http://www.ncbi.nlm.nih.gov/protein/71040102","Cadm1")</f>
        <v>Cadm1</v>
      </c>
      <c r="B920" s="4"/>
      <c r="C920" s="3">
        <v>0</v>
      </c>
      <c r="D920" s="3">
        <v>1635</v>
      </c>
      <c r="E920" s="3">
        <v>912</v>
      </c>
      <c r="F920" s="3">
        <v>0</v>
      </c>
      <c r="G920" s="3">
        <v>0</v>
      </c>
      <c r="H920" s="2">
        <f t="shared" si="28"/>
        <v>2547</v>
      </c>
      <c r="I920" t="str">
        <f t="shared" si="29"/>
        <v>Cadm1_2547</v>
      </c>
      <c r="J920" s="3">
        <v>0</v>
      </c>
      <c r="K920" s="3">
        <v>1635</v>
      </c>
      <c r="L920" s="3">
        <v>912</v>
      </c>
      <c r="M920" s="3">
        <v>0</v>
      </c>
      <c r="N920" s="3">
        <v>0</v>
      </c>
    </row>
    <row r="921" spans="1:14" x14ac:dyDescent="0.2">
      <c r="A921" s="5" t="str">
        <f>HYPERLINK("http://www.ncbi.nlm.nih.gov/protein/71040104","Cadm1")</f>
        <v>Cadm1</v>
      </c>
      <c r="B921" s="4"/>
      <c r="C921" s="3">
        <v>0</v>
      </c>
      <c r="D921" s="3">
        <v>1635</v>
      </c>
      <c r="E921" s="3">
        <v>912</v>
      </c>
      <c r="F921" s="3">
        <v>0</v>
      </c>
      <c r="G921" s="3">
        <v>0</v>
      </c>
      <c r="H921" s="2">
        <f t="shared" si="28"/>
        <v>2547</v>
      </c>
      <c r="I921" t="str">
        <f t="shared" si="29"/>
        <v>Cadm1_2547</v>
      </c>
      <c r="J921" s="3">
        <v>0</v>
      </c>
      <c r="K921" s="3">
        <v>1635</v>
      </c>
      <c r="L921" s="3">
        <v>912</v>
      </c>
      <c r="M921" s="3">
        <v>0</v>
      </c>
      <c r="N921" s="3">
        <v>0</v>
      </c>
    </row>
    <row r="922" spans="1:14" x14ac:dyDescent="0.2">
      <c r="A922" s="5" t="str">
        <f>HYPERLINK("http://www.ncbi.nlm.nih.gov/protein/71040107","Cadm1")</f>
        <v>Cadm1</v>
      </c>
      <c r="B922" s="4"/>
      <c r="C922" s="3">
        <v>0</v>
      </c>
      <c r="D922" s="3">
        <v>1635</v>
      </c>
      <c r="E922" s="3">
        <v>912</v>
      </c>
      <c r="F922" s="3">
        <v>0</v>
      </c>
      <c r="G922" s="3">
        <v>0</v>
      </c>
      <c r="H922" s="2">
        <f t="shared" si="28"/>
        <v>2547</v>
      </c>
      <c r="I922" t="str">
        <f t="shared" si="29"/>
        <v>Cadm1_2547</v>
      </c>
      <c r="J922" s="3">
        <v>0</v>
      </c>
      <c r="K922" s="3">
        <v>1635</v>
      </c>
      <c r="L922" s="3">
        <v>912</v>
      </c>
      <c r="M922" s="3">
        <v>0</v>
      </c>
      <c r="N922" s="3">
        <v>0</v>
      </c>
    </row>
    <row r="923" spans="1:14" x14ac:dyDescent="0.2">
      <c r="A923" s="5" t="str">
        <f>HYPERLINK("http://www.ncbi.nlm.nih.gov/protein/23346547","Cadm4")</f>
        <v>Cadm4</v>
      </c>
      <c r="B923" s="4"/>
      <c r="C923" s="3">
        <v>0</v>
      </c>
      <c r="D923" s="3">
        <v>21</v>
      </c>
      <c r="E923" s="3">
        <v>0</v>
      </c>
      <c r="F923" s="3">
        <v>0</v>
      </c>
      <c r="G923" s="3">
        <v>0</v>
      </c>
      <c r="H923" s="2">
        <f t="shared" si="28"/>
        <v>21</v>
      </c>
      <c r="I923" t="str">
        <f t="shared" si="29"/>
        <v>Cadm4_21</v>
      </c>
      <c r="J923" s="3">
        <v>0</v>
      </c>
      <c r="K923" s="3">
        <v>21</v>
      </c>
      <c r="L923" s="3">
        <v>0</v>
      </c>
      <c r="M923" s="3">
        <v>0</v>
      </c>
      <c r="N923" s="3">
        <v>0</v>
      </c>
    </row>
    <row r="924" spans="1:14" x14ac:dyDescent="0.2">
      <c r="A924" s="5" t="str">
        <f>HYPERLINK("http://www.ncbi.nlm.nih.gov/protein/21312944","Calcoco1")</f>
        <v>Calcoco1</v>
      </c>
      <c r="B924" s="4"/>
      <c r="C924" s="3">
        <v>0</v>
      </c>
      <c r="D924" s="3">
        <v>0</v>
      </c>
      <c r="E924" s="3">
        <v>309</v>
      </c>
      <c r="F924" s="3">
        <v>0</v>
      </c>
      <c r="G924" s="3">
        <v>31154</v>
      </c>
      <c r="H924" s="2">
        <f t="shared" si="28"/>
        <v>31463</v>
      </c>
      <c r="I924" t="str">
        <f t="shared" si="29"/>
        <v>Calcoco1_31463</v>
      </c>
      <c r="J924" s="3">
        <v>0</v>
      </c>
      <c r="K924" s="3">
        <v>0</v>
      </c>
      <c r="L924" s="3">
        <v>309</v>
      </c>
      <c r="M924" s="3">
        <v>0</v>
      </c>
      <c r="N924" s="3">
        <v>31154</v>
      </c>
    </row>
    <row r="925" spans="1:14" x14ac:dyDescent="0.2">
      <c r="A925" s="5" t="str">
        <f>HYPERLINK("http://www.ncbi.nlm.nih.gov/protein/21704156","Cald1")</f>
        <v>Cald1</v>
      </c>
      <c r="B925" s="4"/>
      <c r="C925" s="3">
        <v>0</v>
      </c>
      <c r="D925" s="3">
        <v>2</v>
      </c>
      <c r="E925" s="3">
        <v>129</v>
      </c>
      <c r="F925" s="3">
        <v>16</v>
      </c>
      <c r="G925" s="3">
        <v>7882</v>
      </c>
      <c r="H925" s="2">
        <f t="shared" si="28"/>
        <v>8029</v>
      </c>
      <c r="I925" t="str">
        <f t="shared" si="29"/>
        <v>Cald1_8029</v>
      </c>
      <c r="J925" s="3">
        <v>0</v>
      </c>
      <c r="K925" s="3">
        <v>2</v>
      </c>
      <c r="L925" s="3">
        <v>129</v>
      </c>
      <c r="M925" s="3">
        <v>16</v>
      </c>
      <c r="N925" s="3">
        <v>7882</v>
      </c>
    </row>
    <row r="926" spans="1:14" x14ac:dyDescent="0.2">
      <c r="A926" s="5" t="str">
        <f>HYPERLINK("http://www.ncbi.nlm.nih.gov/protein/6680832;6680834","Calm2")</f>
        <v>Calm2</v>
      </c>
      <c r="B926" s="4"/>
      <c r="C926" s="3">
        <v>147748</v>
      </c>
      <c r="D926" s="3">
        <v>0</v>
      </c>
      <c r="E926" s="3">
        <v>42324</v>
      </c>
      <c r="F926" s="3">
        <v>0</v>
      </c>
      <c r="G926" s="3">
        <v>0</v>
      </c>
      <c r="H926" s="2">
        <f t="shared" si="28"/>
        <v>190072</v>
      </c>
      <c r="I926" t="str">
        <f t="shared" si="29"/>
        <v>Calm2_190072</v>
      </c>
      <c r="J926" s="3">
        <v>147748</v>
      </c>
      <c r="K926" s="3">
        <v>0</v>
      </c>
      <c r="L926" s="3">
        <v>42324</v>
      </c>
      <c r="M926" s="3">
        <v>0</v>
      </c>
      <c r="N926" s="3">
        <v>0</v>
      </c>
    </row>
    <row r="927" spans="1:14" x14ac:dyDescent="0.2">
      <c r="A927" s="5" t="str">
        <f>HYPERLINK("http://www.ncbi.nlm.nih.gov/protein/6680834","Calm3")</f>
        <v>Calm3</v>
      </c>
      <c r="B927" s="4"/>
      <c r="C927" s="3">
        <v>0</v>
      </c>
      <c r="D927" s="3">
        <v>35930</v>
      </c>
      <c r="E927" s="3">
        <v>0</v>
      </c>
      <c r="F927" s="3">
        <v>82543</v>
      </c>
      <c r="G927" s="3">
        <v>123170</v>
      </c>
      <c r="H927" s="2">
        <f t="shared" si="28"/>
        <v>241643</v>
      </c>
      <c r="I927" t="str">
        <f t="shared" si="29"/>
        <v>Calm3_241643</v>
      </c>
      <c r="J927" s="3">
        <v>0</v>
      </c>
      <c r="K927" s="3">
        <v>35930</v>
      </c>
      <c r="L927" s="3">
        <v>0</v>
      </c>
      <c r="M927" s="3">
        <v>82543</v>
      </c>
      <c r="N927" s="3">
        <v>123170</v>
      </c>
    </row>
    <row r="928" spans="1:14" x14ac:dyDescent="0.2">
      <c r="A928" s="5" t="str">
        <f>HYPERLINK("http://www.ncbi.nlm.nih.gov/protein/13386230","Calml3")</f>
        <v>Calml3</v>
      </c>
      <c r="B928" s="4"/>
      <c r="C928" s="3">
        <v>63687</v>
      </c>
      <c r="D928" s="3">
        <v>2407</v>
      </c>
      <c r="E928" s="3">
        <v>7646</v>
      </c>
      <c r="F928" s="3">
        <v>426</v>
      </c>
      <c r="G928" s="3">
        <v>1831</v>
      </c>
      <c r="H928" s="2">
        <f t="shared" si="28"/>
        <v>75997</v>
      </c>
      <c r="I928" t="str">
        <f t="shared" si="29"/>
        <v>Calml3_75997</v>
      </c>
      <c r="J928" s="3">
        <v>63687</v>
      </c>
      <c r="K928" s="3">
        <v>2407</v>
      </c>
      <c r="L928" s="3">
        <v>7646</v>
      </c>
      <c r="M928" s="3">
        <v>426</v>
      </c>
      <c r="N928" s="3">
        <v>1831</v>
      </c>
    </row>
    <row r="929" spans="1:14" x14ac:dyDescent="0.2">
      <c r="A929" s="5" t="str">
        <f>HYPERLINK("http://www.ncbi.nlm.nih.gov/protein/6680836","Calr")</f>
        <v>Calr</v>
      </c>
      <c r="B929" s="4"/>
      <c r="C929" s="3">
        <v>414448</v>
      </c>
      <c r="D929" s="3">
        <v>63728</v>
      </c>
      <c r="E929" s="3">
        <v>62754</v>
      </c>
      <c r="F929" s="3">
        <v>0</v>
      </c>
      <c r="G929" s="3">
        <v>37033</v>
      </c>
      <c r="H929" s="2">
        <f t="shared" si="28"/>
        <v>577963</v>
      </c>
      <c r="I929" t="str">
        <f t="shared" si="29"/>
        <v>Calr_577963</v>
      </c>
      <c r="J929" s="3">
        <v>414448</v>
      </c>
      <c r="K929" s="3">
        <v>63728</v>
      </c>
      <c r="L929" s="3">
        <v>62754</v>
      </c>
      <c r="M929" s="3">
        <v>0</v>
      </c>
      <c r="N929" s="3">
        <v>37033</v>
      </c>
    </row>
    <row r="930" spans="1:14" x14ac:dyDescent="0.2">
      <c r="A930" s="5" t="str">
        <f>HYPERLINK("http://www.ncbi.nlm.nih.gov/protein/549806750","Calu")</f>
        <v>Calu</v>
      </c>
      <c r="B930" s="4"/>
      <c r="C930" s="3">
        <v>4888</v>
      </c>
      <c r="D930" s="3">
        <v>0</v>
      </c>
      <c r="E930" s="3">
        <v>0</v>
      </c>
      <c r="F930" s="3">
        <v>0</v>
      </c>
      <c r="G930" s="3">
        <v>0</v>
      </c>
      <c r="H930" s="2">
        <f t="shared" si="28"/>
        <v>4888</v>
      </c>
      <c r="I930" t="str">
        <f t="shared" si="29"/>
        <v>Calu_4888</v>
      </c>
      <c r="J930" s="3">
        <v>4888</v>
      </c>
      <c r="K930" s="3">
        <v>0</v>
      </c>
      <c r="L930" s="3">
        <v>0</v>
      </c>
      <c r="M930" s="3">
        <v>0</v>
      </c>
      <c r="N930" s="3">
        <v>0</v>
      </c>
    </row>
    <row r="931" spans="1:14" x14ac:dyDescent="0.2">
      <c r="A931" s="5" t="str">
        <f>HYPERLINK("http://www.ncbi.nlm.nih.gov/protein/41282022","Calu")</f>
        <v>Calu</v>
      </c>
      <c r="B931" s="4"/>
      <c r="C931" s="3">
        <v>12961</v>
      </c>
      <c r="D931" s="3">
        <v>5864</v>
      </c>
      <c r="E931" s="3">
        <v>5900</v>
      </c>
      <c r="F931" s="3">
        <v>0</v>
      </c>
      <c r="G931" s="3">
        <v>16343</v>
      </c>
      <c r="H931" s="2">
        <f t="shared" si="28"/>
        <v>41068</v>
      </c>
      <c r="I931" t="str">
        <f t="shared" si="29"/>
        <v>Calu_41068</v>
      </c>
      <c r="J931" s="3">
        <v>12961</v>
      </c>
      <c r="K931" s="3">
        <v>5864</v>
      </c>
      <c r="L931" s="3">
        <v>5900</v>
      </c>
      <c r="M931" s="3">
        <v>0</v>
      </c>
      <c r="N931" s="3">
        <v>16343</v>
      </c>
    </row>
    <row r="932" spans="1:14" x14ac:dyDescent="0.2">
      <c r="A932" s="5" t="str">
        <f>HYPERLINK("http://www.ncbi.nlm.nih.gov/protein/6680840","Calu")</f>
        <v>Calu</v>
      </c>
      <c r="B932" s="4"/>
      <c r="C932" s="3">
        <v>13766</v>
      </c>
      <c r="D932" s="3">
        <v>9747</v>
      </c>
      <c r="E932" s="3">
        <v>6610</v>
      </c>
      <c r="F932" s="3">
        <v>0</v>
      </c>
      <c r="G932" s="3">
        <v>16343</v>
      </c>
      <c r="H932" s="2">
        <f t="shared" si="28"/>
        <v>46466</v>
      </c>
      <c r="I932" t="str">
        <f t="shared" si="29"/>
        <v>Calu_46466</v>
      </c>
      <c r="J932" s="3">
        <v>13766</v>
      </c>
      <c r="K932" s="3">
        <v>9747</v>
      </c>
      <c r="L932" s="3">
        <v>6610</v>
      </c>
      <c r="M932" s="3">
        <v>0</v>
      </c>
      <c r="N932" s="3">
        <v>16343</v>
      </c>
    </row>
    <row r="933" spans="1:14" x14ac:dyDescent="0.2">
      <c r="A933" s="5" t="str">
        <f>HYPERLINK("http://www.ncbi.nlm.nih.gov/protein/19527140","Camk1")</f>
        <v>Camk1</v>
      </c>
      <c r="B933" s="4"/>
      <c r="C933" s="3">
        <v>0</v>
      </c>
      <c r="D933" s="3">
        <v>0</v>
      </c>
      <c r="E933" s="3">
        <v>18</v>
      </c>
      <c r="F933" s="3">
        <v>0</v>
      </c>
      <c r="G933" s="3">
        <v>0</v>
      </c>
      <c r="H933" s="2">
        <f t="shared" si="28"/>
        <v>18</v>
      </c>
      <c r="I933" t="str">
        <f t="shared" si="29"/>
        <v>Camk1_18</v>
      </c>
      <c r="J933" s="3">
        <v>0</v>
      </c>
      <c r="K933" s="3">
        <v>0</v>
      </c>
      <c r="L933" s="3">
        <v>18</v>
      </c>
      <c r="M933" s="3">
        <v>0</v>
      </c>
      <c r="N933" s="3">
        <v>0</v>
      </c>
    </row>
    <row r="934" spans="1:14" x14ac:dyDescent="0.2">
      <c r="A934" s="5" t="str">
        <f>HYPERLINK("http://www.ncbi.nlm.nih.gov/protein/28916677","Camk2a")</f>
        <v>Camk2a</v>
      </c>
      <c r="B934" s="4"/>
      <c r="C934" s="3">
        <v>4558</v>
      </c>
      <c r="D934" s="3">
        <v>5455</v>
      </c>
      <c r="E934" s="3">
        <v>7325</v>
      </c>
      <c r="F934" s="3">
        <v>50456</v>
      </c>
      <c r="G934" s="3">
        <v>13880</v>
      </c>
      <c r="H934" s="2">
        <f t="shared" si="28"/>
        <v>81674</v>
      </c>
      <c r="I934" t="str">
        <f t="shared" si="29"/>
        <v>Camk2a_81674</v>
      </c>
      <c r="J934" s="3">
        <v>4558</v>
      </c>
      <c r="K934" s="3">
        <v>5455</v>
      </c>
      <c r="L934" s="3">
        <v>7325</v>
      </c>
      <c r="M934" s="3">
        <v>50456</v>
      </c>
      <c r="N934" s="3">
        <v>13880</v>
      </c>
    </row>
    <row r="935" spans="1:14" x14ac:dyDescent="0.2">
      <c r="A935" s="5" t="str">
        <f>HYPERLINK("http://www.ncbi.nlm.nih.gov/protein/226693349","Camk2b")</f>
        <v>Camk2b</v>
      </c>
      <c r="B935" s="4"/>
      <c r="C935" s="3">
        <v>4558</v>
      </c>
      <c r="D935" s="3">
        <v>5592</v>
      </c>
      <c r="E935" s="3">
        <v>7590</v>
      </c>
      <c r="F935" s="3">
        <v>50456</v>
      </c>
      <c r="G935" s="3">
        <v>13880</v>
      </c>
      <c r="H935" s="2">
        <f t="shared" si="28"/>
        <v>82076</v>
      </c>
      <c r="I935" t="str">
        <f t="shared" si="29"/>
        <v>Camk2b_82076</v>
      </c>
      <c r="J935" s="3">
        <v>4558</v>
      </c>
      <c r="K935" s="3">
        <v>5592</v>
      </c>
      <c r="L935" s="3">
        <v>7590</v>
      </c>
      <c r="M935" s="3">
        <v>50456</v>
      </c>
      <c r="N935" s="3">
        <v>13880</v>
      </c>
    </row>
    <row r="936" spans="1:14" x14ac:dyDescent="0.2">
      <c r="A936" s="5" t="str">
        <f>HYPERLINK("http://www.ncbi.nlm.nih.gov/protein/291291008","Camk2b")</f>
        <v>Camk2b</v>
      </c>
      <c r="B936" s="4"/>
      <c r="C936" s="3">
        <v>4558</v>
      </c>
      <c r="D936" s="3">
        <v>5592</v>
      </c>
      <c r="E936" s="3">
        <v>7590</v>
      </c>
      <c r="F936" s="3">
        <v>50456</v>
      </c>
      <c r="G936" s="3">
        <v>13880</v>
      </c>
      <c r="H936" s="2">
        <f t="shared" si="28"/>
        <v>82076</v>
      </c>
      <c r="I936" t="str">
        <f t="shared" si="29"/>
        <v>Camk2b_82076</v>
      </c>
      <c r="J936" s="3">
        <v>4558</v>
      </c>
      <c r="K936" s="3">
        <v>5592</v>
      </c>
      <c r="L936" s="3">
        <v>7590</v>
      </c>
      <c r="M936" s="3">
        <v>50456</v>
      </c>
      <c r="N936" s="3">
        <v>13880</v>
      </c>
    </row>
    <row r="937" spans="1:14" x14ac:dyDescent="0.2">
      <c r="A937" s="5" t="str">
        <f>HYPERLINK("http://www.ncbi.nlm.nih.gov/protein/291291010","Camk2b")</f>
        <v>Camk2b</v>
      </c>
      <c r="B937" s="4"/>
      <c r="C937" s="3">
        <v>4558</v>
      </c>
      <c r="D937" s="3">
        <v>5592</v>
      </c>
      <c r="E937" s="3">
        <v>7590</v>
      </c>
      <c r="F937" s="3">
        <v>50456</v>
      </c>
      <c r="G937" s="3">
        <v>13880</v>
      </c>
      <c r="H937" s="2">
        <f t="shared" si="28"/>
        <v>82076</v>
      </c>
      <c r="I937" t="str">
        <f t="shared" si="29"/>
        <v>Camk2b_82076</v>
      </c>
      <c r="J937" s="3">
        <v>4558</v>
      </c>
      <c r="K937" s="3">
        <v>5592</v>
      </c>
      <c r="L937" s="3">
        <v>7590</v>
      </c>
      <c r="M937" s="3">
        <v>50456</v>
      </c>
      <c r="N937" s="3">
        <v>13880</v>
      </c>
    </row>
    <row r="938" spans="1:14" x14ac:dyDescent="0.2">
      <c r="A938" s="5" t="str">
        <f>HYPERLINK("http://www.ncbi.nlm.nih.gov/protein/18158420","Camk2d")</f>
        <v>Camk2d</v>
      </c>
      <c r="B938" s="4"/>
      <c r="C938" s="3">
        <v>11423</v>
      </c>
      <c r="D938" s="3">
        <v>10041</v>
      </c>
      <c r="E938" s="3">
        <v>15690</v>
      </c>
      <c r="F938" s="3">
        <v>86751</v>
      </c>
      <c r="G938" s="3">
        <v>21419</v>
      </c>
      <c r="H938" s="2">
        <f t="shared" si="28"/>
        <v>145324</v>
      </c>
      <c r="I938" t="str">
        <f t="shared" si="29"/>
        <v>Camk2d_145324</v>
      </c>
      <c r="J938" s="3">
        <v>11423</v>
      </c>
      <c r="K938" s="3">
        <v>10041</v>
      </c>
      <c r="L938" s="3">
        <v>15690</v>
      </c>
      <c r="M938" s="3">
        <v>86751</v>
      </c>
      <c r="N938" s="3">
        <v>21419</v>
      </c>
    </row>
    <row r="939" spans="1:14" x14ac:dyDescent="0.2">
      <c r="A939" s="5" t="str">
        <f>HYPERLINK("http://www.ncbi.nlm.nih.gov/protein/70906477","Camk2d")</f>
        <v>Camk2d</v>
      </c>
      <c r="B939" s="4"/>
      <c r="C939" s="3">
        <v>11423</v>
      </c>
      <c r="D939" s="3">
        <v>10385</v>
      </c>
      <c r="E939" s="3">
        <v>15690</v>
      </c>
      <c r="F939" s="3">
        <v>89435</v>
      </c>
      <c r="G939" s="3">
        <v>21419</v>
      </c>
      <c r="H939" s="2">
        <f t="shared" si="28"/>
        <v>148352</v>
      </c>
      <c r="I939" t="str">
        <f t="shared" si="29"/>
        <v>Camk2d_148352</v>
      </c>
      <c r="J939" s="3">
        <v>11423</v>
      </c>
      <c r="K939" s="3">
        <v>10385</v>
      </c>
      <c r="L939" s="3">
        <v>15690</v>
      </c>
      <c r="M939" s="3">
        <v>89435</v>
      </c>
      <c r="N939" s="3">
        <v>21419</v>
      </c>
    </row>
    <row r="940" spans="1:14" x14ac:dyDescent="0.2">
      <c r="A940" s="5" t="str">
        <f>HYPERLINK("http://www.ncbi.nlm.nih.gov/protein/70906479","Camk2d")</f>
        <v>Camk2d</v>
      </c>
      <c r="B940" s="4"/>
      <c r="C940" s="3">
        <v>11423</v>
      </c>
      <c r="D940" s="3">
        <v>10041</v>
      </c>
      <c r="E940" s="3">
        <v>15690</v>
      </c>
      <c r="F940" s="3">
        <v>92808</v>
      </c>
      <c r="G940" s="3">
        <v>21419</v>
      </c>
      <c r="H940" s="2">
        <f t="shared" si="28"/>
        <v>151381</v>
      </c>
      <c r="I940" t="str">
        <f t="shared" si="29"/>
        <v>Camk2d_151381</v>
      </c>
      <c r="J940" s="3">
        <v>11423</v>
      </c>
      <c r="K940" s="3">
        <v>10041</v>
      </c>
      <c r="L940" s="3">
        <v>15690</v>
      </c>
      <c r="M940" s="3">
        <v>92808</v>
      </c>
      <c r="N940" s="3">
        <v>21419</v>
      </c>
    </row>
    <row r="941" spans="1:14" x14ac:dyDescent="0.2">
      <c r="A941" s="5" t="str">
        <f>HYPERLINK("http://www.ncbi.nlm.nih.gov/protein/75991700","Camk2g")</f>
        <v>Camk2g</v>
      </c>
      <c r="B941" s="4"/>
      <c r="C941" s="3">
        <v>4558</v>
      </c>
      <c r="D941" s="3">
        <v>5592</v>
      </c>
      <c r="E941" s="3">
        <v>7047</v>
      </c>
      <c r="F941" s="3">
        <v>52617</v>
      </c>
      <c r="G941" s="3">
        <v>13880</v>
      </c>
      <c r="H941" s="2">
        <f t="shared" si="28"/>
        <v>83694</v>
      </c>
      <c r="I941" t="str">
        <f t="shared" si="29"/>
        <v>Camk2g_83694</v>
      </c>
      <c r="J941" s="3">
        <v>4558</v>
      </c>
      <c r="K941" s="3">
        <v>5592</v>
      </c>
      <c r="L941" s="3">
        <v>7047</v>
      </c>
      <c r="M941" s="3">
        <v>52617</v>
      </c>
      <c r="N941" s="3">
        <v>13880</v>
      </c>
    </row>
    <row r="942" spans="1:14" x14ac:dyDescent="0.2">
      <c r="A942" s="5" t="str">
        <f>HYPERLINK("http://www.ncbi.nlm.nih.gov/protein/85362729","Camk2g")</f>
        <v>Camk2g</v>
      </c>
      <c r="B942" s="4"/>
      <c r="C942" s="3">
        <v>4558</v>
      </c>
      <c r="D942" s="3">
        <v>5592</v>
      </c>
      <c r="E942" s="3">
        <v>7047</v>
      </c>
      <c r="F942" s="3">
        <v>52617</v>
      </c>
      <c r="G942" s="3">
        <v>13880</v>
      </c>
      <c r="H942" s="2">
        <f t="shared" si="28"/>
        <v>83694</v>
      </c>
      <c r="I942" t="str">
        <f t="shared" si="29"/>
        <v>Camk2g_83694</v>
      </c>
      <c r="J942" s="3">
        <v>4558</v>
      </c>
      <c r="K942" s="3">
        <v>5592</v>
      </c>
      <c r="L942" s="3">
        <v>7047</v>
      </c>
      <c r="M942" s="3">
        <v>52617</v>
      </c>
      <c r="N942" s="3">
        <v>13880</v>
      </c>
    </row>
    <row r="943" spans="1:14" x14ac:dyDescent="0.2">
      <c r="A943" s="5" t="str">
        <f>HYPERLINK("http://www.ncbi.nlm.nih.gov/protein/85362742","Camk2g")</f>
        <v>Camk2g</v>
      </c>
      <c r="B943" s="4"/>
      <c r="C943" s="3">
        <v>4558</v>
      </c>
      <c r="D943" s="3">
        <v>5592</v>
      </c>
      <c r="E943" s="3">
        <v>7047</v>
      </c>
      <c r="F943" s="3">
        <v>52617</v>
      </c>
      <c r="G943" s="3">
        <v>13880</v>
      </c>
      <c r="H943" s="2">
        <f t="shared" si="28"/>
        <v>83694</v>
      </c>
      <c r="I943" t="str">
        <f t="shared" si="29"/>
        <v>Camk2g_83694</v>
      </c>
      <c r="J943" s="3">
        <v>4558</v>
      </c>
      <c r="K943" s="3">
        <v>5592</v>
      </c>
      <c r="L943" s="3">
        <v>7047</v>
      </c>
      <c r="M943" s="3">
        <v>52617</v>
      </c>
      <c r="N943" s="3">
        <v>13880</v>
      </c>
    </row>
    <row r="944" spans="1:14" x14ac:dyDescent="0.2">
      <c r="A944" s="5" t="str">
        <f>HYPERLINK("http://www.ncbi.nlm.nih.gov/protein/21703722","Camkk2")</f>
        <v>Camkk2</v>
      </c>
      <c r="B944" s="4"/>
      <c r="C944" s="3">
        <v>0</v>
      </c>
      <c r="D944" s="3">
        <v>0</v>
      </c>
      <c r="E944" s="3">
        <v>0</v>
      </c>
      <c r="F944" s="3">
        <v>0</v>
      </c>
      <c r="G944" s="3">
        <v>3074</v>
      </c>
      <c r="H944" s="2">
        <f t="shared" si="28"/>
        <v>3074</v>
      </c>
      <c r="I944" t="str">
        <f t="shared" si="29"/>
        <v>Camkk2_3074</v>
      </c>
      <c r="J944" s="3">
        <v>0</v>
      </c>
      <c r="K944" s="3">
        <v>0</v>
      </c>
      <c r="L944" s="3">
        <v>0</v>
      </c>
      <c r="M944" s="3">
        <v>0</v>
      </c>
      <c r="N944" s="3">
        <v>3074</v>
      </c>
    </row>
    <row r="945" spans="1:14" x14ac:dyDescent="0.2">
      <c r="A945" s="5" t="str">
        <f>HYPERLINK("http://www.ncbi.nlm.nih.gov/protein/314122344","Camkk2")</f>
        <v>Camkk2</v>
      </c>
      <c r="B945" s="4"/>
      <c r="C945" s="3">
        <v>0</v>
      </c>
      <c r="D945" s="3">
        <v>0</v>
      </c>
      <c r="E945" s="3">
        <v>0</v>
      </c>
      <c r="F945" s="3">
        <v>0</v>
      </c>
      <c r="G945" s="3">
        <v>3074</v>
      </c>
      <c r="H945" s="2">
        <f t="shared" si="28"/>
        <v>3074</v>
      </c>
      <c r="I945" t="str">
        <f t="shared" si="29"/>
        <v>Camkk2_3074</v>
      </c>
      <c r="J945" s="3">
        <v>0</v>
      </c>
      <c r="K945" s="3">
        <v>0</v>
      </c>
      <c r="L945" s="3">
        <v>0</v>
      </c>
      <c r="M945" s="3">
        <v>0</v>
      </c>
      <c r="N945" s="3">
        <v>3074</v>
      </c>
    </row>
    <row r="946" spans="1:14" x14ac:dyDescent="0.2">
      <c r="A946" s="5" t="str">
        <f>HYPERLINK("http://www.ncbi.nlm.nih.gov/protein/124249226","Camkmt")</f>
        <v>Camkmt</v>
      </c>
      <c r="B946" s="4"/>
      <c r="C946" s="3">
        <v>0</v>
      </c>
      <c r="D946" s="3">
        <v>0</v>
      </c>
      <c r="E946" s="3">
        <v>0</v>
      </c>
      <c r="F946" s="3">
        <v>0</v>
      </c>
      <c r="G946" s="3">
        <v>450</v>
      </c>
      <c r="H946" s="2">
        <f t="shared" si="28"/>
        <v>450</v>
      </c>
      <c r="I946" t="str">
        <f t="shared" si="29"/>
        <v>Camkmt_450</v>
      </c>
      <c r="J946" s="3">
        <v>0</v>
      </c>
      <c r="K946" s="3">
        <v>0</v>
      </c>
      <c r="L946" s="3">
        <v>0</v>
      </c>
      <c r="M946" s="3">
        <v>0</v>
      </c>
      <c r="N946" s="3">
        <v>450</v>
      </c>
    </row>
    <row r="947" spans="1:14" x14ac:dyDescent="0.2">
      <c r="A947" s="5" t="str">
        <f>HYPERLINK("http://www.ncbi.nlm.nih.gov/protein/226423895","Camp")</f>
        <v>Camp</v>
      </c>
      <c r="B947" s="4"/>
      <c r="C947" s="3">
        <v>0</v>
      </c>
      <c r="D947" s="3">
        <v>165</v>
      </c>
      <c r="E947" s="3">
        <v>0</v>
      </c>
      <c r="F947" s="3">
        <v>0</v>
      </c>
      <c r="G947" s="3">
        <v>0</v>
      </c>
      <c r="H947" s="2">
        <f t="shared" si="28"/>
        <v>165</v>
      </c>
      <c r="I947" t="str">
        <f t="shared" si="29"/>
        <v>Camp_165</v>
      </c>
      <c r="J947" s="3">
        <v>0</v>
      </c>
      <c r="K947" s="3">
        <v>165</v>
      </c>
      <c r="L947" s="3">
        <v>0</v>
      </c>
      <c r="M947" s="3">
        <v>0</v>
      </c>
      <c r="N947" s="3">
        <v>0</v>
      </c>
    </row>
    <row r="948" spans="1:14" x14ac:dyDescent="0.2">
      <c r="A948" s="5" t="str">
        <f>HYPERLINK("http://www.ncbi.nlm.nih.gov/protein/255069774","Camsap3")</f>
        <v>Camsap3</v>
      </c>
      <c r="B948" s="4"/>
      <c r="C948" s="3">
        <v>0</v>
      </c>
      <c r="D948" s="3">
        <v>106</v>
      </c>
      <c r="E948" s="3">
        <v>142</v>
      </c>
      <c r="F948" s="3">
        <v>0</v>
      </c>
      <c r="G948" s="3">
        <v>0</v>
      </c>
      <c r="H948" s="2">
        <f t="shared" si="28"/>
        <v>248</v>
      </c>
      <c r="I948" t="str">
        <f t="shared" si="29"/>
        <v>Camsap3_248</v>
      </c>
      <c r="J948" s="3">
        <v>0</v>
      </c>
      <c r="K948" s="3">
        <v>106</v>
      </c>
      <c r="L948" s="3">
        <v>142</v>
      </c>
      <c r="M948" s="3">
        <v>0</v>
      </c>
      <c r="N948" s="3">
        <v>0</v>
      </c>
    </row>
    <row r="949" spans="1:14" x14ac:dyDescent="0.2">
      <c r="A949" s="5" t="str">
        <f>HYPERLINK("http://www.ncbi.nlm.nih.gov/protein/255069776","Camsap3")</f>
        <v>Camsap3</v>
      </c>
      <c r="B949" s="4"/>
      <c r="C949" s="3">
        <v>0</v>
      </c>
      <c r="D949" s="3">
        <v>106</v>
      </c>
      <c r="E949" s="3">
        <v>142</v>
      </c>
      <c r="F949" s="3">
        <v>0</v>
      </c>
      <c r="G949" s="3">
        <v>0</v>
      </c>
      <c r="H949" s="2">
        <f t="shared" si="28"/>
        <v>248</v>
      </c>
      <c r="I949" t="str">
        <f t="shared" si="29"/>
        <v>Camsap3_248</v>
      </c>
      <c r="J949" s="3">
        <v>0</v>
      </c>
      <c r="K949" s="3">
        <v>106</v>
      </c>
      <c r="L949" s="3">
        <v>142</v>
      </c>
      <c r="M949" s="3">
        <v>0</v>
      </c>
      <c r="N949" s="3">
        <v>0</v>
      </c>
    </row>
    <row r="950" spans="1:14" x14ac:dyDescent="0.2">
      <c r="A950" s="5" t="str">
        <f>HYPERLINK("http://www.ncbi.nlm.nih.gov/protein/189409138","Cand1")</f>
        <v>Cand1</v>
      </c>
      <c r="B950" s="4"/>
      <c r="C950" s="3">
        <v>16402</v>
      </c>
      <c r="D950" s="3">
        <v>16980</v>
      </c>
      <c r="E950" s="3">
        <v>52106</v>
      </c>
      <c r="F950" s="3">
        <v>329518</v>
      </c>
      <c r="G950" s="3">
        <v>296878</v>
      </c>
      <c r="H950" s="2">
        <f t="shared" si="28"/>
        <v>711884</v>
      </c>
      <c r="I950" t="str">
        <f t="shared" si="29"/>
        <v>Cand1_711884</v>
      </c>
      <c r="J950" s="3">
        <v>16402</v>
      </c>
      <c r="K950" s="3">
        <v>16980</v>
      </c>
      <c r="L950" s="3">
        <v>52106</v>
      </c>
      <c r="M950" s="3">
        <v>329518</v>
      </c>
      <c r="N950" s="3">
        <v>296878</v>
      </c>
    </row>
    <row r="951" spans="1:14" x14ac:dyDescent="0.2">
      <c r="A951" s="5" t="str">
        <f>HYPERLINK("http://www.ncbi.nlm.nih.gov/protein/254692880","Cand2")</f>
        <v>Cand2</v>
      </c>
      <c r="B951" s="4"/>
      <c r="C951" s="3">
        <v>0</v>
      </c>
      <c r="D951" s="3">
        <v>27</v>
      </c>
      <c r="E951" s="3">
        <v>195</v>
      </c>
      <c r="F951" s="3">
        <v>2971</v>
      </c>
      <c r="G951" s="3">
        <v>857</v>
      </c>
      <c r="H951" s="2">
        <f t="shared" si="28"/>
        <v>4050</v>
      </c>
      <c r="I951" t="str">
        <f t="shared" si="29"/>
        <v>Cand2_4050</v>
      </c>
      <c r="J951" s="3">
        <v>0</v>
      </c>
      <c r="K951" s="3">
        <v>27</v>
      </c>
      <c r="L951" s="3">
        <v>195</v>
      </c>
      <c r="M951" s="3">
        <v>2971</v>
      </c>
      <c r="N951" s="3">
        <v>857</v>
      </c>
    </row>
    <row r="952" spans="1:14" x14ac:dyDescent="0.2">
      <c r="A952" s="5" t="str">
        <f>HYPERLINK("http://www.ncbi.nlm.nih.gov/protein/160333216;6671664","Canx")</f>
        <v>Canx</v>
      </c>
      <c r="B952" s="4"/>
      <c r="C952" s="3">
        <v>483608</v>
      </c>
      <c r="D952" s="3">
        <v>0</v>
      </c>
      <c r="E952" s="3">
        <v>0</v>
      </c>
      <c r="F952" s="3">
        <v>0</v>
      </c>
      <c r="G952" s="3">
        <v>0</v>
      </c>
      <c r="H952" s="2">
        <f t="shared" si="28"/>
        <v>483608</v>
      </c>
      <c r="I952" t="str">
        <f t="shared" si="29"/>
        <v>Canx_483608</v>
      </c>
      <c r="J952" s="3">
        <v>483608</v>
      </c>
      <c r="K952" s="3">
        <v>0</v>
      </c>
      <c r="L952" s="3">
        <v>0</v>
      </c>
      <c r="M952" s="3">
        <v>0</v>
      </c>
      <c r="N952" s="3">
        <v>0</v>
      </c>
    </row>
    <row r="953" spans="1:14" x14ac:dyDescent="0.2">
      <c r="A953" s="5" t="str">
        <f>HYPERLINK("http://www.ncbi.nlm.nih.gov/protein/6671664","Canx")</f>
        <v>Canx</v>
      </c>
      <c r="B953" s="4"/>
      <c r="C953" s="3">
        <v>0</v>
      </c>
      <c r="D953" s="3">
        <v>19001</v>
      </c>
      <c r="E953" s="3">
        <v>40784</v>
      </c>
      <c r="F953" s="3">
        <v>13768</v>
      </c>
      <c r="G953" s="3">
        <v>0</v>
      </c>
      <c r="H953" s="2">
        <f t="shared" si="28"/>
        <v>73553</v>
      </c>
      <c r="I953" t="str">
        <f t="shared" si="29"/>
        <v>Canx_73553</v>
      </c>
      <c r="J953" s="3">
        <v>0</v>
      </c>
      <c r="K953" s="3">
        <v>19001</v>
      </c>
      <c r="L953" s="3">
        <v>40784</v>
      </c>
      <c r="M953" s="3">
        <v>13768</v>
      </c>
      <c r="N953" s="3">
        <v>0</v>
      </c>
    </row>
    <row r="954" spans="1:14" x14ac:dyDescent="0.2">
      <c r="A954" s="5" t="str">
        <f>HYPERLINK("http://www.ncbi.nlm.nih.gov/protein/157951604","Cap1")</f>
        <v>Cap1</v>
      </c>
      <c r="B954" s="4"/>
      <c r="C954" s="3">
        <v>6810</v>
      </c>
      <c r="D954" s="3">
        <v>17128</v>
      </c>
      <c r="E954" s="3">
        <v>47518</v>
      </c>
      <c r="F954" s="3">
        <v>161125</v>
      </c>
      <c r="G954" s="3">
        <v>113007</v>
      </c>
      <c r="H954" s="2">
        <f t="shared" si="28"/>
        <v>345588</v>
      </c>
      <c r="I954" t="str">
        <f t="shared" si="29"/>
        <v>Cap1_345588</v>
      </c>
      <c r="J954" s="3">
        <v>6810</v>
      </c>
      <c r="K954" s="3">
        <v>17128</v>
      </c>
      <c r="L954" s="3">
        <v>47518</v>
      </c>
      <c r="M954" s="3">
        <v>161125</v>
      </c>
      <c r="N954" s="3">
        <v>113007</v>
      </c>
    </row>
    <row r="955" spans="1:14" x14ac:dyDescent="0.2">
      <c r="A955" s="5" t="str">
        <f>HYPERLINK("http://www.ncbi.nlm.nih.gov/protein/110227379","Capg")</f>
        <v>Capg</v>
      </c>
      <c r="B955" s="4"/>
      <c r="C955" s="3">
        <v>86185</v>
      </c>
      <c r="D955" s="3">
        <v>15556</v>
      </c>
      <c r="E955" s="3">
        <v>67232</v>
      </c>
      <c r="F955" s="3">
        <v>41624</v>
      </c>
      <c r="G955" s="3">
        <v>346195</v>
      </c>
      <c r="H955" s="2">
        <f t="shared" si="28"/>
        <v>556792</v>
      </c>
      <c r="I955" t="str">
        <f t="shared" si="29"/>
        <v>Capg_556792</v>
      </c>
      <c r="J955" s="3">
        <v>86185</v>
      </c>
      <c r="K955" s="3">
        <v>15556</v>
      </c>
      <c r="L955" s="3">
        <v>67232</v>
      </c>
      <c r="M955" s="3">
        <v>41624</v>
      </c>
      <c r="N955" s="3">
        <v>346195</v>
      </c>
    </row>
    <row r="956" spans="1:14" x14ac:dyDescent="0.2">
      <c r="A956" s="5" t="str">
        <f>HYPERLINK("http://www.ncbi.nlm.nih.gov/protein/6671668","Capn1")</f>
        <v>Capn1</v>
      </c>
      <c r="B956" s="4"/>
      <c r="C956" s="3">
        <v>9061</v>
      </c>
      <c r="D956" s="3">
        <v>35841</v>
      </c>
      <c r="E956" s="3">
        <v>86727</v>
      </c>
      <c r="F956" s="3">
        <v>197493</v>
      </c>
      <c r="G956" s="3">
        <v>124155</v>
      </c>
      <c r="H956" s="2">
        <f t="shared" si="28"/>
        <v>453277</v>
      </c>
      <c r="I956" t="str">
        <f t="shared" si="29"/>
        <v>Capn1_453277</v>
      </c>
      <c r="J956" s="3">
        <v>9061</v>
      </c>
      <c r="K956" s="3">
        <v>35841</v>
      </c>
      <c r="L956" s="3">
        <v>86727</v>
      </c>
      <c r="M956" s="3">
        <v>197493</v>
      </c>
      <c r="N956" s="3">
        <v>124155</v>
      </c>
    </row>
    <row r="957" spans="1:14" x14ac:dyDescent="0.2">
      <c r="A957" s="5" t="str">
        <f>HYPERLINK("http://www.ncbi.nlm.nih.gov/protein/7657601","Capn15")</f>
        <v>Capn15</v>
      </c>
      <c r="B957" s="4"/>
      <c r="C957" s="3">
        <v>0</v>
      </c>
      <c r="D957" s="3">
        <v>0</v>
      </c>
      <c r="E957" s="3">
        <v>0</v>
      </c>
      <c r="F957" s="3">
        <v>0</v>
      </c>
      <c r="G957" s="3">
        <v>1124</v>
      </c>
      <c r="H957" s="2">
        <f t="shared" si="28"/>
        <v>1124</v>
      </c>
      <c r="I957" t="str">
        <f t="shared" si="29"/>
        <v>Capn15_1124</v>
      </c>
      <c r="J957" s="3">
        <v>0</v>
      </c>
      <c r="K957" s="3">
        <v>0</v>
      </c>
      <c r="L957" s="3">
        <v>0</v>
      </c>
      <c r="M957" s="3">
        <v>0</v>
      </c>
      <c r="N957" s="3">
        <v>1124</v>
      </c>
    </row>
    <row r="958" spans="1:14" x14ac:dyDescent="0.2">
      <c r="A958" s="5" t="str">
        <f>HYPERLINK("http://www.ncbi.nlm.nih.gov/protein/157951598","Capn2")</f>
        <v>Capn2</v>
      </c>
      <c r="B958" s="4"/>
      <c r="C958" s="3">
        <v>0</v>
      </c>
      <c r="D958" s="3">
        <v>9697</v>
      </c>
      <c r="E958" s="3">
        <v>14938</v>
      </c>
      <c r="F958" s="3">
        <v>25629</v>
      </c>
      <c r="G958" s="3">
        <v>66720</v>
      </c>
      <c r="H958" s="2">
        <f t="shared" si="28"/>
        <v>116984</v>
      </c>
      <c r="I958" t="str">
        <f t="shared" si="29"/>
        <v>Capn2_116984</v>
      </c>
      <c r="J958" s="3">
        <v>0</v>
      </c>
      <c r="K958" s="3">
        <v>9697</v>
      </c>
      <c r="L958" s="3">
        <v>14938</v>
      </c>
      <c r="M958" s="3">
        <v>25629</v>
      </c>
      <c r="N958" s="3">
        <v>66720</v>
      </c>
    </row>
    <row r="959" spans="1:14" x14ac:dyDescent="0.2">
      <c r="A959" s="5" t="str">
        <f>HYPERLINK("http://www.ncbi.nlm.nih.gov/protein/6680846","Capn5")</f>
        <v>Capn5</v>
      </c>
      <c r="B959" s="4"/>
      <c r="C959" s="3">
        <v>769</v>
      </c>
      <c r="D959" s="3">
        <v>11671</v>
      </c>
      <c r="E959" s="3">
        <v>13069</v>
      </c>
      <c r="F959" s="3">
        <v>786</v>
      </c>
      <c r="G959" s="3">
        <v>0</v>
      </c>
      <c r="H959" s="2">
        <f t="shared" si="28"/>
        <v>26295</v>
      </c>
      <c r="I959" t="str">
        <f t="shared" si="29"/>
        <v>Capn5_26295</v>
      </c>
      <c r="J959" s="3">
        <v>769</v>
      </c>
      <c r="K959" s="3">
        <v>11671</v>
      </c>
      <c r="L959" s="3">
        <v>13069</v>
      </c>
      <c r="M959" s="3">
        <v>786</v>
      </c>
      <c r="N959" s="3">
        <v>0</v>
      </c>
    </row>
    <row r="960" spans="1:14" x14ac:dyDescent="0.2">
      <c r="A960" s="5" t="str">
        <f>HYPERLINK("http://www.ncbi.nlm.nih.gov/protein/224809586","Capn8")</f>
        <v>Capn8</v>
      </c>
      <c r="B960" s="4"/>
      <c r="C960" s="3">
        <v>0</v>
      </c>
      <c r="D960" s="3">
        <v>0</v>
      </c>
      <c r="E960" s="3">
        <v>0</v>
      </c>
      <c r="F960" s="3">
        <v>0</v>
      </c>
      <c r="G960" s="3">
        <v>9124</v>
      </c>
      <c r="H960" s="2">
        <f t="shared" si="28"/>
        <v>9124</v>
      </c>
      <c r="I960" t="str">
        <f t="shared" si="29"/>
        <v>Capn8_9124</v>
      </c>
      <c r="J960" s="3">
        <v>0</v>
      </c>
      <c r="K960" s="3">
        <v>0</v>
      </c>
      <c r="L960" s="3">
        <v>0</v>
      </c>
      <c r="M960" s="3">
        <v>0</v>
      </c>
      <c r="N960" s="3">
        <v>9124</v>
      </c>
    </row>
    <row r="961" spans="1:14" x14ac:dyDescent="0.2">
      <c r="A961" s="5" t="str">
        <f>HYPERLINK("http://www.ncbi.nlm.nih.gov/protein/110227381","Capns1")</f>
        <v>Capns1</v>
      </c>
      <c r="B961" s="4"/>
      <c r="C961" s="3">
        <v>1263</v>
      </c>
      <c r="D961" s="3">
        <v>8448</v>
      </c>
      <c r="E961" s="3">
        <v>29888</v>
      </c>
      <c r="F961" s="3">
        <v>32980</v>
      </c>
      <c r="G961" s="3">
        <v>113189</v>
      </c>
      <c r="H961" s="2">
        <f t="shared" si="28"/>
        <v>185768</v>
      </c>
      <c r="I961" t="str">
        <f t="shared" si="29"/>
        <v>Capns1_185768</v>
      </c>
      <c r="J961" s="3">
        <v>1263</v>
      </c>
      <c r="K961" s="3">
        <v>8448</v>
      </c>
      <c r="L961" s="3">
        <v>29888</v>
      </c>
      <c r="M961" s="3">
        <v>32980</v>
      </c>
      <c r="N961" s="3">
        <v>113189</v>
      </c>
    </row>
    <row r="962" spans="1:14" x14ac:dyDescent="0.2">
      <c r="A962" s="5" t="str">
        <f>HYPERLINK("http://www.ncbi.nlm.nih.gov/protein/254675215","Capns2")</f>
        <v>Capns2</v>
      </c>
      <c r="B962" s="4"/>
      <c r="C962" s="3">
        <v>0</v>
      </c>
      <c r="D962" s="3">
        <v>1918</v>
      </c>
      <c r="E962" s="3">
        <v>6087</v>
      </c>
      <c r="F962" s="3">
        <v>5975</v>
      </c>
      <c r="G962" s="3">
        <v>51074</v>
      </c>
      <c r="H962" s="2">
        <f t="shared" ref="H962:H1025" si="30">SUM(C962:G962)</f>
        <v>65054</v>
      </c>
      <c r="I962" t="str">
        <f t="shared" ref="I962:I1025" si="31">A962&amp;"_"&amp;H962</f>
        <v>Capns2_65054</v>
      </c>
      <c r="J962" s="3">
        <v>0</v>
      </c>
      <c r="K962" s="3">
        <v>1918</v>
      </c>
      <c r="L962" s="3">
        <v>6087</v>
      </c>
      <c r="M962" s="3">
        <v>5975</v>
      </c>
      <c r="N962" s="3">
        <v>51074</v>
      </c>
    </row>
    <row r="963" spans="1:14" x14ac:dyDescent="0.2">
      <c r="A963" s="5" t="str">
        <f>HYPERLINK("http://www.ncbi.nlm.nih.gov/protein/162329564;42558248","Caprin1")</f>
        <v>Caprin1</v>
      </c>
      <c r="B963" s="4"/>
      <c r="C963" s="3">
        <v>64144</v>
      </c>
      <c r="D963" s="3">
        <v>0</v>
      </c>
      <c r="E963" s="3">
        <v>236282</v>
      </c>
      <c r="F963" s="3">
        <v>0</v>
      </c>
      <c r="G963" s="3">
        <v>0</v>
      </c>
      <c r="H963" s="2">
        <f t="shared" si="30"/>
        <v>300426</v>
      </c>
      <c r="I963" t="str">
        <f t="shared" si="31"/>
        <v>Caprin1_300426</v>
      </c>
      <c r="J963" s="3">
        <v>64144</v>
      </c>
      <c r="K963" s="3">
        <v>0</v>
      </c>
      <c r="L963" s="3">
        <v>236282</v>
      </c>
      <c r="M963" s="3">
        <v>0</v>
      </c>
      <c r="N963" s="3">
        <v>0</v>
      </c>
    </row>
    <row r="964" spans="1:14" x14ac:dyDescent="0.2">
      <c r="A964" s="5" t="str">
        <f>HYPERLINK("http://www.ncbi.nlm.nih.gov/protein/42558248","Caprin1")</f>
        <v>Caprin1</v>
      </c>
      <c r="B964" s="4"/>
      <c r="C964" s="3">
        <v>0</v>
      </c>
      <c r="D964" s="3">
        <v>4517</v>
      </c>
      <c r="E964" s="3">
        <v>0</v>
      </c>
      <c r="F964" s="3">
        <v>86300</v>
      </c>
      <c r="G964" s="3">
        <v>3031</v>
      </c>
      <c r="H964" s="2">
        <f t="shared" si="30"/>
        <v>93848</v>
      </c>
      <c r="I964" t="str">
        <f t="shared" si="31"/>
        <v>Caprin1_93848</v>
      </c>
      <c r="J964" s="3">
        <v>0</v>
      </c>
      <c r="K964" s="3">
        <v>4517</v>
      </c>
      <c r="L964" s="3">
        <v>0</v>
      </c>
      <c r="M964" s="3">
        <v>86300</v>
      </c>
      <c r="N964" s="3">
        <v>3031</v>
      </c>
    </row>
    <row r="965" spans="1:14" x14ac:dyDescent="0.2">
      <c r="A965" s="5" t="str">
        <f>HYPERLINK("http://www.ncbi.nlm.nih.gov/protein/162329566","Caprin1")</f>
        <v>Caprin1</v>
      </c>
      <c r="B965" s="4"/>
      <c r="C965" s="3">
        <v>64144</v>
      </c>
      <c r="D965" s="3">
        <v>4517</v>
      </c>
      <c r="E965" s="3">
        <v>236282</v>
      </c>
      <c r="F965" s="3">
        <v>86300</v>
      </c>
      <c r="G965" s="3">
        <v>3031</v>
      </c>
      <c r="H965" s="2">
        <f t="shared" si="30"/>
        <v>394274</v>
      </c>
      <c r="I965" t="str">
        <f t="shared" si="31"/>
        <v>Caprin1_394274</v>
      </c>
      <c r="J965" s="3">
        <v>64144</v>
      </c>
      <c r="K965" s="3">
        <v>4517</v>
      </c>
      <c r="L965" s="3">
        <v>236282</v>
      </c>
      <c r="M965" s="3">
        <v>86300</v>
      </c>
      <c r="N965" s="3">
        <v>3031</v>
      </c>
    </row>
    <row r="966" spans="1:14" x14ac:dyDescent="0.2">
      <c r="A966" s="5" t="str">
        <f>HYPERLINK("http://www.ncbi.nlm.nih.gov/protein/162329568","Caprin1")</f>
        <v>Caprin1</v>
      </c>
      <c r="B966" s="4"/>
      <c r="C966" s="3">
        <v>64144</v>
      </c>
      <c r="D966" s="3">
        <v>4517</v>
      </c>
      <c r="E966" s="3">
        <v>236282</v>
      </c>
      <c r="F966" s="3">
        <v>86300</v>
      </c>
      <c r="G966" s="3">
        <v>3031</v>
      </c>
      <c r="H966" s="2">
        <f t="shared" si="30"/>
        <v>394274</v>
      </c>
      <c r="I966" t="str">
        <f t="shared" si="31"/>
        <v>Caprin1_394274</v>
      </c>
      <c r="J966" s="3">
        <v>64144</v>
      </c>
      <c r="K966" s="3">
        <v>4517</v>
      </c>
      <c r="L966" s="3">
        <v>236282</v>
      </c>
      <c r="M966" s="3">
        <v>86300</v>
      </c>
      <c r="N966" s="3">
        <v>3031</v>
      </c>
    </row>
    <row r="967" spans="1:14" x14ac:dyDescent="0.2">
      <c r="A967" s="5" t="str">
        <f>HYPERLINK("http://www.ncbi.nlm.nih.gov/protein/161086971","Capza1")</f>
        <v>Capza1</v>
      </c>
      <c r="B967" s="4"/>
      <c r="C967" s="3">
        <v>34305</v>
      </c>
      <c r="D967" s="3">
        <v>18088</v>
      </c>
      <c r="E967" s="3">
        <v>22472</v>
      </c>
      <c r="F967" s="3">
        <v>68186</v>
      </c>
      <c r="G967" s="3">
        <v>42602</v>
      </c>
      <c r="H967" s="2">
        <f t="shared" si="30"/>
        <v>185653</v>
      </c>
      <c r="I967" t="str">
        <f t="shared" si="31"/>
        <v>Capza1_185653</v>
      </c>
      <c r="J967" s="3">
        <v>34305</v>
      </c>
      <c r="K967" s="3">
        <v>18088</v>
      </c>
      <c r="L967" s="3">
        <v>22472</v>
      </c>
      <c r="M967" s="3">
        <v>68186</v>
      </c>
      <c r="N967" s="3">
        <v>42602</v>
      </c>
    </row>
    <row r="968" spans="1:14" x14ac:dyDescent="0.2">
      <c r="A968" s="5" t="str">
        <f>HYPERLINK("http://www.ncbi.nlm.nih.gov/protein/6671672","Capza2")</f>
        <v>Capza2</v>
      </c>
      <c r="B968" s="4"/>
      <c r="C968" s="3">
        <v>30901</v>
      </c>
      <c r="D968" s="3">
        <v>16949</v>
      </c>
      <c r="E968" s="3">
        <v>16833</v>
      </c>
      <c r="F968" s="3">
        <v>49572</v>
      </c>
      <c r="G968" s="3">
        <v>90667</v>
      </c>
      <c r="H968" s="2">
        <f t="shared" si="30"/>
        <v>204922</v>
      </c>
      <c r="I968" t="str">
        <f t="shared" si="31"/>
        <v>Capza2_204922</v>
      </c>
      <c r="J968" s="3">
        <v>30901</v>
      </c>
      <c r="K968" s="3">
        <v>16949</v>
      </c>
      <c r="L968" s="3">
        <v>16833</v>
      </c>
      <c r="M968" s="3">
        <v>49572</v>
      </c>
      <c r="N968" s="3">
        <v>90667</v>
      </c>
    </row>
    <row r="969" spans="1:14" x14ac:dyDescent="0.2">
      <c r="A969" s="5" t="str">
        <f>HYPERLINK("http://www.ncbi.nlm.nih.gov/protein/157951670","Capza3")</f>
        <v>Capza3</v>
      </c>
      <c r="B969" s="4"/>
      <c r="C969" s="3">
        <v>0</v>
      </c>
      <c r="D969" s="3">
        <v>0</v>
      </c>
      <c r="E969" s="3">
        <v>249</v>
      </c>
      <c r="F969" s="3">
        <v>0</v>
      </c>
      <c r="G969" s="3">
        <v>0</v>
      </c>
      <c r="H969" s="2">
        <f t="shared" si="30"/>
        <v>249</v>
      </c>
      <c r="I969" t="str">
        <f t="shared" si="31"/>
        <v>Capza3_249</v>
      </c>
      <c r="J969" s="3">
        <v>0</v>
      </c>
      <c r="K969" s="3">
        <v>0</v>
      </c>
      <c r="L969" s="3">
        <v>249</v>
      </c>
      <c r="M969" s="3">
        <v>0</v>
      </c>
      <c r="N969" s="3">
        <v>0</v>
      </c>
    </row>
    <row r="970" spans="1:14" x14ac:dyDescent="0.2">
      <c r="A970" s="5" t="str">
        <f>HYPERLINK("http://www.ncbi.nlm.nih.gov/protein/407027854","Capzb")</f>
        <v>Capzb</v>
      </c>
      <c r="B970" s="4"/>
      <c r="C970" s="3">
        <v>17647</v>
      </c>
      <c r="D970" s="3">
        <v>32832</v>
      </c>
      <c r="E970" s="3">
        <v>26934</v>
      </c>
      <c r="F970" s="3">
        <v>167444</v>
      </c>
      <c r="G970" s="3">
        <v>122731</v>
      </c>
      <c r="H970" s="2">
        <f t="shared" si="30"/>
        <v>367588</v>
      </c>
      <c r="I970" t="str">
        <f t="shared" si="31"/>
        <v>Capzb_367588</v>
      </c>
      <c r="J970" s="3">
        <v>17647</v>
      </c>
      <c r="K970" s="3">
        <v>32832</v>
      </c>
      <c r="L970" s="3">
        <v>26934</v>
      </c>
      <c r="M970" s="3">
        <v>167444</v>
      </c>
      <c r="N970" s="3">
        <v>122731</v>
      </c>
    </row>
    <row r="971" spans="1:14" x14ac:dyDescent="0.2">
      <c r="A971" s="5" t="str">
        <f>HYPERLINK("http://www.ncbi.nlm.nih.gov/protein/407027856","Capzb")</f>
        <v>Capzb</v>
      </c>
      <c r="B971" s="4"/>
      <c r="C971" s="3">
        <v>17647</v>
      </c>
      <c r="D971" s="3">
        <v>32832</v>
      </c>
      <c r="E971" s="3">
        <v>26934</v>
      </c>
      <c r="F971" s="3">
        <v>167444</v>
      </c>
      <c r="G971" s="3">
        <v>122731</v>
      </c>
      <c r="H971" s="2">
        <f t="shared" si="30"/>
        <v>367588</v>
      </c>
      <c r="I971" t="str">
        <f t="shared" si="31"/>
        <v>Capzb_367588</v>
      </c>
      <c r="J971" s="3">
        <v>17647</v>
      </c>
      <c r="K971" s="3">
        <v>32832</v>
      </c>
      <c r="L971" s="3">
        <v>26934</v>
      </c>
      <c r="M971" s="3">
        <v>167444</v>
      </c>
      <c r="N971" s="3">
        <v>122731</v>
      </c>
    </row>
    <row r="972" spans="1:14" x14ac:dyDescent="0.2">
      <c r="A972" s="5" t="str">
        <f>HYPERLINK("http://www.ncbi.nlm.nih.gov/protein/6753262","Capzb")</f>
        <v>Capzb</v>
      </c>
      <c r="B972" s="4"/>
      <c r="C972" s="3">
        <v>17647</v>
      </c>
      <c r="D972" s="3">
        <v>32832</v>
      </c>
      <c r="E972" s="3">
        <v>26934</v>
      </c>
      <c r="F972" s="3">
        <v>167444</v>
      </c>
      <c r="G972" s="3">
        <v>122731</v>
      </c>
      <c r="H972" s="2">
        <f t="shared" si="30"/>
        <v>367588</v>
      </c>
      <c r="I972" t="str">
        <f t="shared" si="31"/>
        <v>Capzb_367588</v>
      </c>
      <c r="J972" s="3">
        <v>17647</v>
      </c>
      <c r="K972" s="3">
        <v>32832</v>
      </c>
      <c r="L972" s="3">
        <v>26934</v>
      </c>
      <c r="M972" s="3">
        <v>167444</v>
      </c>
      <c r="N972" s="3">
        <v>122731</v>
      </c>
    </row>
    <row r="973" spans="1:14" x14ac:dyDescent="0.2">
      <c r="A973" s="5" t="str">
        <f>HYPERLINK("http://www.ncbi.nlm.nih.gov/protein/83649737","Capzb")</f>
        <v>Capzb</v>
      </c>
      <c r="B973" s="4"/>
      <c r="C973" s="3">
        <v>17647</v>
      </c>
      <c r="D973" s="3">
        <v>32471</v>
      </c>
      <c r="E973" s="3">
        <v>26586</v>
      </c>
      <c r="F973" s="3">
        <v>156885</v>
      </c>
      <c r="G973" s="3">
        <v>112696</v>
      </c>
      <c r="H973" s="2">
        <f t="shared" si="30"/>
        <v>346285</v>
      </c>
      <c r="I973" t="str">
        <f t="shared" si="31"/>
        <v>Capzb_346285</v>
      </c>
      <c r="J973" s="3">
        <v>17647</v>
      </c>
      <c r="K973" s="3">
        <v>32471</v>
      </c>
      <c r="L973" s="3">
        <v>26586</v>
      </c>
      <c r="M973" s="3">
        <v>156885</v>
      </c>
      <c r="N973" s="3">
        <v>112696</v>
      </c>
    </row>
    <row r="974" spans="1:14" x14ac:dyDescent="0.2">
      <c r="A974" s="5" t="str">
        <f>HYPERLINK("http://www.ncbi.nlm.nih.gov/protein/157951596","Car2")</f>
        <v>Car2</v>
      </c>
      <c r="B974" s="4"/>
      <c r="C974" s="3">
        <v>1501</v>
      </c>
      <c r="D974" s="3">
        <v>3069</v>
      </c>
      <c r="E974" s="3">
        <v>9763</v>
      </c>
      <c r="F974" s="3">
        <v>8325</v>
      </c>
      <c r="G974" s="3">
        <v>137349</v>
      </c>
      <c r="H974" s="2">
        <f t="shared" si="30"/>
        <v>160007</v>
      </c>
      <c r="I974" t="str">
        <f t="shared" si="31"/>
        <v>Car2_160007</v>
      </c>
      <c r="J974" s="3">
        <v>1501</v>
      </c>
      <c r="K974" s="3">
        <v>3069</v>
      </c>
      <c r="L974" s="3">
        <v>9763</v>
      </c>
      <c r="M974" s="3">
        <v>8325</v>
      </c>
      <c r="N974" s="3">
        <v>137349</v>
      </c>
    </row>
    <row r="975" spans="1:14" x14ac:dyDescent="0.2">
      <c r="A975" s="5" t="str">
        <f>HYPERLINK("http://www.ncbi.nlm.nih.gov/protein/211057396","Car5b")</f>
        <v>Car5b</v>
      </c>
      <c r="B975" s="4"/>
      <c r="C975" s="3">
        <v>10196</v>
      </c>
      <c r="D975" s="3">
        <v>524</v>
      </c>
      <c r="E975" s="3">
        <v>0</v>
      </c>
      <c r="F975" s="3">
        <v>0</v>
      </c>
      <c r="G975" s="3">
        <v>0</v>
      </c>
      <c r="H975" s="2">
        <f t="shared" si="30"/>
        <v>10720</v>
      </c>
      <c r="I975" t="str">
        <f t="shared" si="31"/>
        <v>Car5b_10720</v>
      </c>
      <c r="J975" s="3">
        <v>10196</v>
      </c>
      <c r="K975" s="3">
        <v>524</v>
      </c>
      <c r="L975" s="3">
        <v>0</v>
      </c>
      <c r="M975" s="3">
        <v>0</v>
      </c>
      <c r="N975" s="3">
        <v>0</v>
      </c>
    </row>
    <row r="976" spans="1:14" x14ac:dyDescent="0.2">
      <c r="A976" s="5" t="str">
        <f>HYPERLINK("http://www.ncbi.nlm.nih.gov/protein/13385290","Carhsp1")</f>
        <v>Carhsp1</v>
      </c>
      <c r="B976" s="4"/>
      <c r="C976" s="3">
        <v>0</v>
      </c>
      <c r="D976" s="3">
        <v>27</v>
      </c>
      <c r="E976" s="3">
        <v>59</v>
      </c>
      <c r="F976" s="3">
        <v>0</v>
      </c>
      <c r="G976" s="3">
        <v>6329</v>
      </c>
      <c r="H976" s="2">
        <f t="shared" si="30"/>
        <v>6415</v>
      </c>
      <c r="I976" t="str">
        <f t="shared" si="31"/>
        <v>Carhsp1_6415</v>
      </c>
      <c r="J976" s="3">
        <v>0</v>
      </c>
      <c r="K976" s="3">
        <v>27</v>
      </c>
      <c r="L976" s="3">
        <v>59</v>
      </c>
      <c r="M976" s="3">
        <v>0</v>
      </c>
      <c r="N976" s="3">
        <v>6329</v>
      </c>
    </row>
    <row r="977" spans="1:14" x14ac:dyDescent="0.2">
      <c r="A977" s="5" t="str">
        <f>HYPERLINK("http://www.ncbi.nlm.nih.gov/protein/298676450","Carkd")</f>
        <v>Carkd</v>
      </c>
      <c r="B977" s="4"/>
      <c r="C977" s="3">
        <v>0</v>
      </c>
      <c r="D977" s="3">
        <v>7795</v>
      </c>
      <c r="E977" s="3">
        <v>260</v>
      </c>
      <c r="F977" s="3">
        <v>1563</v>
      </c>
      <c r="G977" s="3">
        <v>13954</v>
      </c>
      <c r="H977" s="2">
        <f t="shared" si="30"/>
        <v>23572</v>
      </c>
      <c r="I977" t="str">
        <f t="shared" si="31"/>
        <v>Carkd_23572</v>
      </c>
      <c r="J977" s="3">
        <v>0</v>
      </c>
      <c r="K977" s="3">
        <v>7795</v>
      </c>
      <c r="L977" s="3">
        <v>260</v>
      </c>
      <c r="M977" s="3">
        <v>1563</v>
      </c>
      <c r="N977" s="3">
        <v>13954</v>
      </c>
    </row>
    <row r="978" spans="1:14" x14ac:dyDescent="0.2">
      <c r="A978" s="5" t="str">
        <f>HYPERLINK("http://www.ncbi.nlm.nih.gov/protein/298676452","Carkd")</f>
        <v>Carkd</v>
      </c>
      <c r="B978" s="4"/>
      <c r="C978" s="3">
        <v>0</v>
      </c>
      <c r="D978" s="3">
        <v>7795</v>
      </c>
      <c r="E978" s="3">
        <v>260</v>
      </c>
      <c r="F978" s="3">
        <v>1563</v>
      </c>
      <c r="G978" s="3">
        <v>13954</v>
      </c>
      <c r="H978" s="2">
        <f t="shared" si="30"/>
        <v>23572</v>
      </c>
      <c r="I978" t="str">
        <f t="shared" si="31"/>
        <v>Carkd_23572</v>
      </c>
      <c r="J978" s="3">
        <v>0</v>
      </c>
      <c r="K978" s="3">
        <v>7795</v>
      </c>
      <c r="L978" s="3">
        <v>260</v>
      </c>
      <c r="M978" s="3">
        <v>1563</v>
      </c>
      <c r="N978" s="3">
        <v>13954</v>
      </c>
    </row>
    <row r="979" spans="1:14" x14ac:dyDescent="0.2">
      <c r="A979" s="5" t="str">
        <f>HYPERLINK("http://www.ncbi.nlm.nih.gov/protein/189409145","Carm1")</f>
        <v>Carm1</v>
      </c>
      <c r="B979" s="4"/>
      <c r="C979" s="3">
        <v>0</v>
      </c>
      <c r="D979" s="3">
        <v>0</v>
      </c>
      <c r="E979" s="3">
        <v>0</v>
      </c>
      <c r="F979" s="3">
        <v>2415</v>
      </c>
      <c r="G979" s="3">
        <v>1403</v>
      </c>
      <c r="H979" s="2">
        <f t="shared" si="30"/>
        <v>3818</v>
      </c>
      <c r="I979" t="str">
        <f t="shared" si="31"/>
        <v>Carm1_3818</v>
      </c>
      <c r="J979" s="3">
        <v>0</v>
      </c>
      <c r="K979" s="3">
        <v>0</v>
      </c>
      <c r="L979" s="3">
        <v>0</v>
      </c>
      <c r="M979" s="3">
        <v>2415</v>
      </c>
      <c r="N979" s="3">
        <v>1403</v>
      </c>
    </row>
    <row r="980" spans="1:14" x14ac:dyDescent="0.2">
      <c r="A980" s="5" t="str">
        <f>HYPERLINK("http://www.ncbi.nlm.nih.gov/protein/50511310","Carm1")</f>
        <v>Carm1</v>
      </c>
      <c r="B980" s="4"/>
      <c r="C980" s="3">
        <v>0</v>
      </c>
      <c r="D980" s="3">
        <v>0</v>
      </c>
      <c r="E980" s="3">
        <v>0</v>
      </c>
      <c r="F980" s="3">
        <v>2415</v>
      </c>
      <c r="G980" s="3">
        <v>1403</v>
      </c>
      <c r="H980" s="2">
        <f t="shared" si="30"/>
        <v>3818</v>
      </c>
      <c r="I980" t="str">
        <f t="shared" si="31"/>
        <v>Carm1_3818</v>
      </c>
      <c r="J980" s="3">
        <v>0</v>
      </c>
      <c r="K980" s="3">
        <v>0</v>
      </c>
      <c r="L980" s="3">
        <v>0</v>
      </c>
      <c r="M980" s="3">
        <v>2415</v>
      </c>
      <c r="N980" s="3">
        <v>1403</v>
      </c>
    </row>
    <row r="981" spans="1:14" x14ac:dyDescent="0.2">
      <c r="A981" s="5" t="str">
        <f>HYPERLINK("http://www.ncbi.nlm.nih.gov/protein/148747198","Cars")</f>
        <v>Cars</v>
      </c>
      <c r="B981" s="4"/>
      <c r="C981" s="3">
        <v>0</v>
      </c>
      <c r="D981" s="3">
        <v>15</v>
      </c>
      <c r="E981" s="3">
        <v>468</v>
      </c>
      <c r="F981" s="3">
        <v>20423</v>
      </c>
      <c r="G981" s="3">
        <v>19845</v>
      </c>
      <c r="H981" s="2">
        <f t="shared" si="30"/>
        <v>40751</v>
      </c>
      <c r="I981" t="str">
        <f t="shared" si="31"/>
        <v>Cars_40751</v>
      </c>
      <c r="J981" s="3">
        <v>0</v>
      </c>
      <c r="K981" s="3">
        <v>15</v>
      </c>
      <c r="L981" s="3">
        <v>468</v>
      </c>
      <c r="M981" s="3">
        <v>20423</v>
      </c>
      <c r="N981" s="3">
        <v>19845</v>
      </c>
    </row>
    <row r="982" spans="1:14" x14ac:dyDescent="0.2">
      <c r="A982" s="5" t="str">
        <f>HYPERLINK("http://www.ncbi.nlm.nih.gov/protein/357588502","Cars")</f>
        <v>Cars</v>
      </c>
      <c r="B982" s="4"/>
      <c r="C982" s="3">
        <v>0</v>
      </c>
      <c r="D982" s="3">
        <v>15</v>
      </c>
      <c r="E982" s="3">
        <v>468</v>
      </c>
      <c r="F982" s="3">
        <v>20423</v>
      </c>
      <c r="G982" s="3">
        <v>19845</v>
      </c>
      <c r="H982" s="2">
        <f t="shared" si="30"/>
        <v>40751</v>
      </c>
      <c r="I982" t="str">
        <f t="shared" si="31"/>
        <v>Cars_40751</v>
      </c>
      <c r="J982" s="3">
        <v>0</v>
      </c>
      <c r="K982" s="3">
        <v>15</v>
      </c>
      <c r="L982" s="3">
        <v>468</v>
      </c>
      <c r="M982" s="3">
        <v>20423</v>
      </c>
      <c r="N982" s="3">
        <v>19845</v>
      </c>
    </row>
    <row r="983" spans="1:14" x14ac:dyDescent="0.2">
      <c r="A983" s="5" t="str">
        <f>HYPERLINK("http://www.ncbi.nlm.nih.gov/protein/282721112","Casc1")</f>
        <v>Casc1</v>
      </c>
      <c r="B983" s="4"/>
      <c r="C983" s="3">
        <v>0</v>
      </c>
      <c r="D983" s="3">
        <v>0</v>
      </c>
      <c r="E983" s="3">
        <v>697</v>
      </c>
      <c r="F983" s="3">
        <v>1555</v>
      </c>
      <c r="G983" s="3">
        <v>0</v>
      </c>
      <c r="H983" s="2">
        <f t="shared" si="30"/>
        <v>2252</v>
      </c>
      <c r="I983" t="str">
        <f t="shared" si="31"/>
        <v>Casc1_2252</v>
      </c>
      <c r="J983" s="3">
        <v>0</v>
      </c>
      <c r="K983" s="3">
        <v>0</v>
      </c>
      <c r="L983" s="3">
        <v>697</v>
      </c>
      <c r="M983" s="3">
        <v>1555</v>
      </c>
      <c r="N983" s="3">
        <v>0</v>
      </c>
    </row>
    <row r="984" spans="1:14" x14ac:dyDescent="0.2">
      <c r="A984" s="5" t="str">
        <f>HYPERLINK("http://www.ncbi.nlm.nih.gov/protein/133504495","Cask")</f>
        <v>Cask</v>
      </c>
      <c r="B984" s="4"/>
      <c r="C984" s="3">
        <v>0</v>
      </c>
      <c r="D984" s="3">
        <v>848</v>
      </c>
      <c r="E984" s="3">
        <v>10296</v>
      </c>
      <c r="F984" s="3">
        <v>0</v>
      </c>
      <c r="G984" s="3">
        <v>0</v>
      </c>
      <c r="H984" s="2">
        <f t="shared" si="30"/>
        <v>11144</v>
      </c>
      <c r="I984" t="str">
        <f t="shared" si="31"/>
        <v>Cask_11144</v>
      </c>
      <c r="J984" s="3">
        <v>0</v>
      </c>
      <c r="K984" s="3">
        <v>848</v>
      </c>
      <c r="L984" s="3">
        <v>10296</v>
      </c>
      <c r="M984" s="3">
        <v>0</v>
      </c>
      <c r="N984" s="3">
        <v>0</v>
      </c>
    </row>
    <row r="985" spans="1:14" x14ac:dyDescent="0.2">
      <c r="A985" s="5" t="str">
        <f>HYPERLINK("http://www.ncbi.nlm.nih.gov/protein/31981530","Caskin2")</f>
        <v>Caskin2</v>
      </c>
      <c r="B985" s="4"/>
      <c r="C985" s="3">
        <v>0</v>
      </c>
      <c r="D985" s="3">
        <v>0</v>
      </c>
      <c r="E985" s="3">
        <v>1</v>
      </c>
      <c r="F985" s="3">
        <v>0</v>
      </c>
      <c r="G985" s="3">
        <v>0</v>
      </c>
      <c r="H985" s="2">
        <f t="shared" si="30"/>
        <v>1</v>
      </c>
      <c r="I985" t="str">
        <f t="shared" si="31"/>
        <v>Caskin2_1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</row>
    <row r="986" spans="1:14" x14ac:dyDescent="0.2">
      <c r="A986" s="5" t="str">
        <f>HYPERLINK("http://www.ncbi.nlm.nih.gov/protein/6753280","Casp14")</f>
        <v>Casp14</v>
      </c>
      <c r="B986" s="4"/>
      <c r="C986" s="3">
        <v>0</v>
      </c>
      <c r="D986" s="3">
        <v>35</v>
      </c>
      <c r="E986" s="3">
        <v>42</v>
      </c>
      <c r="F986" s="3">
        <v>0</v>
      </c>
      <c r="G986" s="3">
        <v>5387</v>
      </c>
      <c r="H986" s="2">
        <f t="shared" si="30"/>
        <v>5464</v>
      </c>
      <c r="I986" t="str">
        <f t="shared" si="31"/>
        <v>Casp14_5464</v>
      </c>
      <c r="J986" s="3">
        <v>0</v>
      </c>
      <c r="K986" s="3">
        <v>35</v>
      </c>
      <c r="L986" s="3">
        <v>42</v>
      </c>
      <c r="M986" s="3">
        <v>0</v>
      </c>
      <c r="N986" s="3">
        <v>5387</v>
      </c>
    </row>
    <row r="987" spans="1:14" x14ac:dyDescent="0.2">
      <c r="A987" s="5" t="str">
        <f>HYPERLINK("http://www.ncbi.nlm.nih.gov/protein/6680848","Casp2")</f>
        <v>Casp2</v>
      </c>
      <c r="B987" s="4"/>
      <c r="C987" s="3">
        <v>0</v>
      </c>
      <c r="D987" s="3">
        <v>0</v>
      </c>
      <c r="E987" s="3">
        <v>85</v>
      </c>
      <c r="F987" s="3">
        <v>0</v>
      </c>
      <c r="G987" s="3">
        <v>2335</v>
      </c>
      <c r="H987" s="2">
        <f t="shared" si="30"/>
        <v>2420</v>
      </c>
      <c r="I987" t="str">
        <f t="shared" si="31"/>
        <v>Casp2_2420</v>
      </c>
      <c r="J987" s="3">
        <v>0</v>
      </c>
      <c r="K987" s="3">
        <v>0</v>
      </c>
      <c r="L987" s="3">
        <v>85</v>
      </c>
      <c r="M987" s="3">
        <v>0</v>
      </c>
      <c r="N987" s="3">
        <v>2335</v>
      </c>
    </row>
    <row r="988" spans="1:14" x14ac:dyDescent="0.2">
      <c r="A988" s="5" t="str">
        <f>HYPERLINK("http://www.ncbi.nlm.nih.gov/protein/6753284","Casp3")</f>
        <v>Casp3</v>
      </c>
      <c r="B988" s="4"/>
      <c r="C988" s="3">
        <v>0</v>
      </c>
      <c r="D988" s="3">
        <v>3933</v>
      </c>
      <c r="E988" s="3">
        <v>3983</v>
      </c>
      <c r="F988" s="3">
        <v>7588</v>
      </c>
      <c r="G988" s="3">
        <v>61344</v>
      </c>
      <c r="H988" s="2">
        <f t="shared" si="30"/>
        <v>76848</v>
      </c>
      <c r="I988" t="str">
        <f t="shared" si="31"/>
        <v>Casp3_76848</v>
      </c>
      <c r="J988" s="3">
        <v>0</v>
      </c>
      <c r="K988" s="3">
        <v>3933</v>
      </c>
      <c r="L988" s="3">
        <v>3983</v>
      </c>
      <c r="M988" s="3">
        <v>7588</v>
      </c>
      <c r="N988" s="3">
        <v>61344</v>
      </c>
    </row>
    <row r="989" spans="1:14" x14ac:dyDescent="0.2">
      <c r="A989" s="5" t="str">
        <f>HYPERLINK("http://www.ncbi.nlm.nih.gov/protein/157951736","Casp6")</f>
        <v>Casp6</v>
      </c>
      <c r="B989" s="4"/>
      <c r="C989" s="3">
        <v>146</v>
      </c>
      <c r="D989" s="3">
        <v>2415</v>
      </c>
      <c r="E989" s="3">
        <v>1436</v>
      </c>
      <c r="F989" s="3">
        <v>2570</v>
      </c>
      <c r="G989" s="3">
        <v>17274</v>
      </c>
      <c r="H989" s="2">
        <f t="shared" si="30"/>
        <v>23841</v>
      </c>
      <c r="I989" t="str">
        <f t="shared" si="31"/>
        <v>Casp6_23841</v>
      </c>
      <c r="J989" s="3">
        <v>146</v>
      </c>
      <c r="K989" s="3">
        <v>2415</v>
      </c>
      <c r="L989" s="3">
        <v>1436</v>
      </c>
      <c r="M989" s="3">
        <v>2570</v>
      </c>
      <c r="N989" s="3">
        <v>17274</v>
      </c>
    </row>
    <row r="990" spans="1:14" x14ac:dyDescent="0.2">
      <c r="A990" s="5" t="str">
        <f>HYPERLINK("http://www.ncbi.nlm.nih.gov/protein/6680850","Casp7")</f>
        <v>Casp7</v>
      </c>
      <c r="B990" s="4"/>
      <c r="C990" s="3">
        <v>0</v>
      </c>
      <c r="D990" s="3">
        <v>367</v>
      </c>
      <c r="E990" s="3">
        <v>366</v>
      </c>
      <c r="F990" s="3">
        <v>1449</v>
      </c>
      <c r="G990" s="3">
        <v>6961</v>
      </c>
      <c r="H990" s="2">
        <f t="shared" si="30"/>
        <v>9143</v>
      </c>
      <c r="I990" t="str">
        <f t="shared" si="31"/>
        <v>Casp7_9143</v>
      </c>
      <c r="J990" s="3">
        <v>0</v>
      </c>
      <c r="K990" s="3">
        <v>367</v>
      </c>
      <c r="L990" s="3">
        <v>366</v>
      </c>
      <c r="M990" s="3">
        <v>1449</v>
      </c>
      <c r="N990" s="3">
        <v>6961</v>
      </c>
    </row>
    <row r="991" spans="1:14" x14ac:dyDescent="0.2">
      <c r="A991" s="5" t="str">
        <f>HYPERLINK("http://www.ncbi.nlm.nih.gov/protein/33859520","Casp8")</f>
        <v>Casp8</v>
      </c>
      <c r="B991" s="4"/>
      <c r="C991" s="3">
        <v>0</v>
      </c>
      <c r="D991" s="3">
        <v>2699</v>
      </c>
      <c r="E991" s="3">
        <v>6304</v>
      </c>
      <c r="F991" s="3">
        <v>0</v>
      </c>
      <c r="G991" s="3">
        <v>73606</v>
      </c>
      <c r="H991" s="2">
        <f t="shared" si="30"/>
        <v>82609</v>
      </c>
      <c r="I991" t="str">
        <f t="shared" si="31"/>
        <v>Casp8_82609</v>
      </c>
      <c r="J991" s="3">
        <v>0</v>
      </c>
      <c r="K991" s="3">
        <v>2699</v>
      </c>
      <c r="L991" s="3">
        <v>6304</v>
      </c>
      <c r="M991" s="3">
        <v>0</v>
      </c>
      <c r="N991" s="3">
        <v>73606</v>
      </c>
    </row>
    <row r="992" spans="1:14" x14ac:dyDescent="0.2">
      <c r="A992" s="5" t="str">
        <f>HYPERLINK("http://www.ncbi.nlm.nih.gov/protein/31560479","Casp9")</f>
        <v>Casp9</v>
      </c>
      <c r="B992" s="4"/>
      <c r="C992" s="3">
        <v>0</v>
      </c>
      <c r="D992" s="3">
        <v>0</v>
      </c>
      <c r="E992" s="3">
        <v>0</v>
      </c>
      <c r="F992" s="3">
        <v>0</v>
      </c>
      <c r="G992" s="3">
        <v>3984</v>
      </c>
      <c r="H992" s="2">
        <f t="shared" si="30"/>
        <v>3984</v>
      </c>
      <c r="I992" t="str">
        <f t="shared" si="31"/>
        <v>Casp9_3984</v>
      </c>
      <c r="J992" s="3">
        <v>0</v>
      </c>
      <c r="K992" s="3">
        <v>0</v>
      </c>
      <c r="L992" s="3">
        <v>0</v>
      </c>
      <c r="M992" s="3">
        <v>0</v>
      </c>
      <c r="N992" s="3">
        <v>3984</v>
      </c>
    </row>
    <row r="993" spans="1:14" x14ac:dyDescent="0.2">
      <c r="A993" s="5" t="str">
        <f>HYPERLINK("http://www.ncbi.nlm.nih.gov/protein/33563246","Cast")</f>
        <v>Cast</v>
      </c>
      <c r="B993" s="4"/>
      <c r="C993" s="3">
        <v>0</v>
      </c>
      <c r="D993" s="3">
        <v>0</v>
      </c>
      <c r="E993" s="3">
        <v>63</v>
      </c>
      <c r="F993" s="3">
        <v>2014</v>
      </c>
      <c r="G993" s="3">
        <v>3930</v>
      </c>
      <c r="H993" s="2">
        <f t="shared" si="30"/>
        <v>6007</v>
      </c>
      <c r="I993" t="str">
        <f t="shared" si="31"/>
        <v>Cast_6007</v>
      </c>
      <c r="J993" s="3">
        <v>0</v>
      </c>
      <c r="K993" s="3">
        <v>0</v>
      </c>
      <c r="L993" s="3">
        <v>63</v>
      </c>
      <c r="M993" s="3">
        <v>2014</v>
      </c>
      <c r="N993" s="3">
        <v>3930</v>
      </c>
    </row>
    <row r="994" spans="1:14" x14ac:dyDescent="0.2">
      <c r="A994" s="5" t="str">
        <f>HYPERLINK("http://www.ncbi.nlm.nih.gov/protein/157951741","Cat")</f>
        <v>Cat</v>
      </c>
      <c r="B994" s="4"/>
      <c r="C994" s="3">
        <v>35990</v>
      </c>
      <c r="D994" s="3">
        <v>11066</v>
      </c>
      <c r="E994" s="3">
        <v>44909</v>
      </c>
      <c r="F994" s="3">
        <v>3675</v>
      </c>
      <c r="G994" s="3">
        <v>5558</v>
      </c>
      <c r="H994" s="2">
        <f t="shared" si="30"/>
        <v>101198</v>
      </c>
      <c r="I994" t="str">
        <f t="shared" si="31"/>
        <v>Cat_101198</v>
      </c>
      <c r="J994" s="3">
        <v>35990</v>
      </c>
      <c r="K994" s="3">
        <v>11066</v>
      </c>
      <c r="L994" s="3">
        <v>44909</v>
      </c>
      <c r="M994" s="3">
        <v>3675</v>
      </c>
      <c r="N994" s="3">
        <v>5558</v>
      </c>
    </row>
    <row r="995" spans="1:14" x14ac:dyDescent="0.2">
      <c r="A995" s="5" t="str">
        <f>HYPERLINK("http://www.ncbi.nlm.nih.gov/protein/340139110","Cav1")</f>
        <v>Cav1</v>
      </c>
      <c r="B995" s="4"/>
      <c r="C995" s="3">
        <v>0</v>
      </c>
      <c r="D995" s="3">
        <v>0</v>
      </c>
      <c r="E995" s="3">
        <v>9</v>
      </c>
      <c r="F995" s="3">
        <v>0</v>
      </c>
      <c r="G995" s="3">
        <v>0</v>
      </c>
      <c r="H995" s="2">
        <f t="shared" si="30"/>
        <v>9</v>
      </c>
      <c r="I995" t="str">
        <f t="shared" si="31"/>
        <v>Cav1_9</v>
      </c>
      <c r="J995" s="3">
        <v>0</v>
      </c>
      <c r="K995" s="3">
        <v>0</v>
      </c>
      <c r="L995" s="3">
        <v>9</v>
      </c>
      <c r="M995" s="3">
        <v>0</v>
      </c>
      <c r="N995" s="3">
        <v>0</v>
      </c>
    </row>
    <row r="996" spans="1:14" x14ac:dyDescent="0.2">
      <c r="A996" s="5" t="str">
        <f>HYPERLINK("http://www.ncbi.nlm.nih.gov/protein/6680854","Cav1")</f>
        <v>Cav1</v>
      </c>
      <c r="B996" s="4"/>
      <c r="C996" s="3">
        <v>0</v>
      </c>
      <c r="D996" s="3">
        <v>42</v>
      </c>
      <c r="E996" s="3">
        <v>9</v>
      </c>
      <c r="F996" s="3">
        <v>0</v>
      </c>
      <c r="G996" s="3">
        <v>0</v>
      </c>
      <c r="H996" s="2">
        <f t="shared" si="30"/>
        <v>51</v>
      </c>
      <c r="I996" t="str">
        <f t="shared" si="31"/>
        <v>Cav1_51</v>
      </c>
      <c r="J996" s="3">
        <v>0</v>
      </c>
      <c r="K996" s="3">
        <v>42</v>
      </c>
      <c r="L996" s="3">
        <v>9</v>
      </c>
      <c r="M996" s="3">
        <v>0</v>
      </c>
      <c r="N996" s="3">
        <v>0</v>
      </c>
    </row>
    <row r="997" spans="1:14" x14ac:dyDescent="0.2">
      <c r="A997" s="5" t="str">
        <f>HYPERLINK("http://www.ncbi.nlm.nih.gov/protein/18702317","Cav2")</f>
        <v>Cav2</v>
      </c>
      <c r="B997" s="4"/>
      <c r="C997" s="3">
        <v>0</v>
      </c>
      <c r="D997" s="3">
        <v>48</v>
      </c>
      <c r="E997" s="3">
        <v>0</v>
      </c>
      <c r="F997" s="3">
        <v>0</v>
      </c>
      <c r="G997" s="3">
        <v>0</v>
      </c>
      <c r="H997" s="2">
        <f t="shared" si="30"/>
        <v>48</v>
      </c>
      <c r="I997" t="str">
        <f t="shared" si="31"/>
        <v>Cav2_48</v>
      </c>
      <c r="J997" s="3">
        <v>0</v>
      </c>
      <c r="K997" s="3">
        <v>48</v>
      </c>
      <c r="L997" s="3">
        <v>0</v>
      </c>
      <c r="M997" s="3">
        <v>0</v>
      </c>
      <c r="N997" s="3">
        <v>0</v>
      </c>
    </row>
    <row r="998" spans="1:14" x14ac:dyDescent="0.2">
      <c r="A998" s="5" t="str">
        <f>HYPERLINK("http://www.ncbi.nlm.nih.gov/protein/238814335","Cbfb")</f>
        <v>Cbfb</v>
      </c>
      <c r="B998" s="4"/>
      <c r="C998" s="3">
        <v>0</v>
      </c>
      <c r="D998" s="3">
        <v>0</v>
      </c>
      <c r="E998" s="3">
        <v>0</v>
      </c>
      <c r="F998" s="3">
        <v>0</v>
      </c>
      <c r="G998" s="3">
        <v>10581</v>
      </c>
      <c r="H998" s="2">
        <f t="shared" si="30"/>
        <v>10581</v>
      </c>
      <c r="I998" t="str">
        <f t="shared" si="31"/>
        <v>Cbfb_10581</v>
      </c>
      <c r="J998" s="3">
        <v>0</v>
      </c>
      <c r="K998" s="3">
        <v>0</v>
      </c>
      <c r="L998" s="3">
        <v>0</v>
      </c>
      <c r="M998" s="3">
        <v>0</v>
      </c>
      <c r="N998" s="3">
        <v>10581</v>
      </c>
    </row>
    <row r="999" spans="1:14" x14ac:dyDescent="0.2">
      <c r="A999" s="5" t="str">
        <f>HYPERLINK("http://www.ncbi.nlm.nih.gov/protein/238814331","Cbfb")</f>
        <v>Cbfb</v>
      </c>
      <c r="B999" s="4"/>
      <c r="C999" s="3">
        <v>0</v>
      </c>
      <c r="D999" s="3">
        <v>585</v>
      </c>
      <c r="E999" s="3">
        <v>361</v>
      </c>
      <c r="F999" s="3">
        <v>0</v>
      </c>
      <c r="G999" s="3">
        <v>20798</v>
      </c>
      <c r="H999" s="2">
        <f t="shared" si="30"/>
        <v>21744</v>
      </c>
      <c r="I999" t="str">
        <f t="shared" si="31"/>
        <v>Cbfb_21744</v>
      </c>
      <c r="J999" s="3">
        <v>0</v>
      </c>
      <c r="K999" s="3">
        <v>585</v>
      </c>
      <c r="L999" s="3">
        <v>361</v>
      </c>
      <c r="M999" s="3">
        <v>0</v>
      </c>
      <c r="N999" s="3">
        <v>20798</v>
      </c>
    </row>
    <row r="1000" spans="1:14" x14ac:dyDescent="0.2">
      <c r="A1000" s="5" t="str">
        <f>HYPERLINK("http://www.ncbi.nlm.nih.gov/protein/238814333","Cbfb")</f>
        <v>Cbfb</v>
      </c>
      <c r="B1000" s="4"/>
      <c r="C1000" s="3">
        <v>0</v>
      </c>
      <c r="D1000" s="3">
        <v>585</v>
      </c>
      <c r="E1000" s="3">
        <v>361</v>
      </c>
      <c r="F1000" s="3">
        <v>0</v>
      </c>
      <c r="G1000" s="3">
        <v>20798</v>
      </c>
      <c r="H1000" s="2">
        <f t="shared" si="30"/>
        <v>21744</v>
      </c>
      <c r="I1000" t="str">
        <f t="shared" si="31"/>
        <v>Cbfb_21744</v>
      </c>
      <c r="J1000" s="3">
        <v>0</v>
      </c>
      <c r="K1000" s="3">
        <v>585</v>
      </c>
      <c r="L1000" s="3">
        <v>361</v>
      </c>
      <c r="M1000" s="3">
        <v>0</v>
      </c>
      <c r="N1000" s="3">
        <v>20798</v>
      </c>
    </row>
    <row r="1001" spans="1:14" x14ac:dyDescent="0.2">
      <c r="A1001" s="5" t="str">
        <f>HYPERLINK("http://www.ncbi.nlm.nih.gov/protein/238814337","Cbfb")</f>
        <v>Cbfb</v>
      </c>
      <c r="B1001" s="4"/>
      <c r="C1001" s="3">
        <v>0</v>
      </c>
      <c r="D1001" s="3">
        <v>585</v>
      </c>
      <c r="E1001" s="3">
        <v>435</v>
      </c>
      <c r="F1001" s="3">
        <v>0</v>
      </c>
      <c r="G1001" s="3">
        <v>11877</v>
      </c>
      <c r="H1001" s="2">
        <f t="shared" si="30"/>
        <v>12897</v>
      </c>
      <c r="I1001" t="str">
        <f t="shared" si="31"/>
        <v>Cbfb_12897</v>
      </c>
      <c r="J1001" s="3">
        <v>0</v>
      </c>
      <c r="K1001" s="3">
        <v>585</v>
      </c>
      <c r="L1001" s="3">
        <v>435</v>
      </c>
      <c r="M1001" s="3">
        <v>0</v>
      </c>
      <c r="N1001" s="3">
        <v>11877</v>
      </c>
    </row>
    <row r="1002" spans="1:14" x14ac:dyDescent="0.2">
      <c r="A1002" s="5" t="str">
        <f>HYPERLINK("http://www.ncbi.nlm.nih.gov/protein/80978932","Cbl")</f>
        <v>Cbl</v>
      </c>
      <c r="B1002" s="4"/>
      <c r="C1002" s="3">
        <v>0</v>
      </c>
      <c r="D1002" s="3">
        <v>0</v>
      </c>
      <c r="E1002" s="3">
        <v>0</v>
      </c>
      <c r="F1002" s="3">
        <v>0</v>
      </c>
      <c r="G1002" s="3">
        <v>3813</v>
      </c>
      <c r="H1002" s="2">
        <f t="shared" si="30"/>
        <v>3813</v>
      </c>
      <c r="I1002" t="str">
        <f t="shared" si="31"/>
        <v>Cbl_3813</v>
      </c>
      <c r="J1002" s="3">
        <v>0</v>
      </c>
      <c r="K1002" s="3">
        <v>0</v>
      </c>
      <c r="L1002" s="3">
        <v>0</v>
      </c>
      <c r="M1002" s="3">
        <v>0</v>
      </c>
      <c r="N1002" s="3">
        <v>3813</v>
      </c>
    </row>
    <row r="1003" spans="1:14" x14ac:dyDescent="0.2">
      <c r="A1003" s="5" t="str">
        <f>HYPERLINK("http://www.ncbi.nlm.nih.gov/protein/113680352","Cbr1")</f>
        <v>Cbr1</v>
      </c>
      <c r="B1003" s="4"/>
      <c r="C1003" s="3">
        <v>0</v>
      </c>
      <c r="D1003" s="3">
        <v>5087</v>
      </c>
      <c r="E1003" s="3">
        <v>3129</v>
      </c>
      <c r="F1003" s="3">
        <v>9905</v>
      </c>
      <c r="G1003" s="3">
        <v>111904</v>
      </c>
      <c r="H1003" s="2">
        <f t="shared" si="30"/>
        <v>130025</v>
      </c>
      <c r="I1003" t="str">
        <f t="shared" si="31"/>
        <v>Cbr1_130025</v>
      </c>
      <c r="J1003" s="3">
        <v>0</v>
      </c>
      <c r="K1003" s="3">
        <v>5087</v>
      </c>
      <c r="L1003" s="3">
        <v>3129</v>
      </c>
      <c r="M1003" s="3">
        <v>9905</v>
      </c>
      <c r="N1003" s="3">
        <v>111904</v>
      </c>
    </row>
    <row r="1004" spans="1:14" x14ac:dyDescent="0.2">
      <c r="A1004" s="5" t="str">
        <f>HYPERLINK("http://www.ncbi.nlm.nih.gov/protein/6671688","Cbr2")</f>
        <v>Cbr2</v>
      </c>
      <c r="B1004" s="4"/>
      <c r="C1004" s="3">
        <v>43147</v>
      </c>
      <c r="D1004" s="3">
        <v>21301</v>
      </c>
      <c r="E1004" s="3">
        <v>1013</v>
      </c>
      <c r="F1004" s="3">
        <v>0</v>
      </c>
      <c r="G1004" s="3">
        <v>4841</v>
      </c>
      <c r="H1004" s="2">
        <f t="shared" si="30"/>
        <v>70302</v>
      </c>
      <c r="I1004" t="str">
        <f t="shared" si="31"/>
        <v>Cbr2_70302</v>
      </c>
      <c r="J1004" s="3">
        <v>43147</v>
      </c>
      <c r="K1004" s="3">
        <v>21301</v>
      </c>
      <c r="L1004" s="3">
        <v>1013</v>
      </c>
      <c r="M1004" s="3">
        <v>0</v>
      </c>
      <c r="N1004" s="3">
        <v>4841</v>
      </c>
    </row>
    <row r="1005" spans="1:14" x14ac:dyDescent="0.2">
      <c r="A1005" s="5" t="str">
        <f>HYPERLINK("http://www.ncbi.nlm.nih.gov/protein/27413160","Cbr3")</f>
        <v>Cbr3</v>
      </c>
      <c r="B1005" s="4"/>
      <c r="C1005" s="3">
        <v>0</v>
      </c>
      <c r="D1005" s="3">
        <v>797</v>
      </c>
      <c r="E1005" s="3">
        <v>1409</v>
      </c>
      <c r="F1005" s="3">
        <v>0</v>
      </c>
      <c r="G1005" s="3">
        <v>37312</v>
      </c>
      <c r="H1005" s="2">
        <f t="shared" si="30"/>
        <v>39518</v>
      </c>
      <c r="I1005" t="str">
        <f t="shared" si="31"/>
        <v>Cbr3_39518</v>
      </c>
      <c r="J1005" s="3">
        <v>0</v>
      </c>
      <c r="K1005" s="3">
        <v>797</v>
      </c>
      <c r="L1005" s="3">
        <v>1409</v>
      </c>
      <c r="M1005" s="3">
        <v>0</v>
      </c>
      <c r="N1005" s="3">
        <v>37312</v>
      </c>
    </row>
    <row r="1006" spans="1:14" x14ac:dyDescent="0.2">
      <c r="A1006" s="5" t="str">
        <f>HYPERLINK("http://www.ncbi.nlm.nih.gov/protein/269784762","Cbr4")</f>
        <v>Cbr4</v>
      </c>
      <c r="B1006" s="4"/>
      <c r="C1006" s="3">
        <v>3094</v>
      </c>
      <c r="D1006" s="3">
        <v>11095</v>
      </c>
      <c r="E1006" s="3">
        <v>0</v>
      </c>
      <c r="F1006" s="3">
        <v>0</v>
      </c>
      <c r="G1006" s="3">
        <v>0</v>
      </c>
      <c r="H1006" s="2">
        <f t="shared" si="30"/>
        <v>14189</v>
      </c>
      <c r="I1006" t="str">
        <f t="shared" si="31"/>
        <v>Cbr4_14189</v>
      </c>
      <c r="J1006" s="3">
        <v>3094</v>
      </c>
      <c r="K1006" s="3">
        <v>11095</v>
      </c>
      <c r="L1006" s="3">
        <v>0</v>
      </c>
      <c r="M1006" s="3">
        <v>0</v>
      </c>
      <c r="N1006" s="3">
        <v>0</v>
      </c>
    </row>
    <row r="1007" spans="1:14" x14ac:dyDescent="0.2">
      <c r="A1007" s="5" t="str">
        <f>HYPERLINK("http://www.ncbi.nlm.nih.gov/protein/22122605","Cbwd1")</f>
        <v>Cbwd1</v>
      </c>
      <c r="B1007" s="4"/>
      <c r="C1007" s="3">
        <v>0</v>
      </c>
      <c r="D1007" s="3">
        <v>553</v>
      </c>
      <c r="E1007" s="3">
        <v>413</v>
      </c>
      <c r="F1007" s="3">
        <v>0</v>
      </c>
      <c r="G1007" s="3">
        <v>32739</v>
      </c>
      <c r="H1007" s="2">
        <f t="shared" si="30"/>
        <v>33705</v>
      </c>
      <c r="I1007" t="str">
        <f t="shared" si="31"/>
        <v>Cbwd1_33705</v>
      </c>
      <c r="J1007" s="3">
        <v>0</v>
      </c>
      <c r="K1007" s="3">
        <v>553</v>
      </c>
      <c r="L1007" s="3">
        <v>413</v>
      </c>
      <c r="M1007" s="3">
        <v>0</v>
      </c>
      <c r="N1007" s="3">
        <v>32739</v>
      </c>
    </row>
    <row r="1008" spans="1:14" x14ac:dyDescent="0.2">
      <c r="A1008" s="5" t="str">
        <f>HYPERLINK("http://www.ncbi.nlm.nih.gov/protein/6671696","Cbx1")</f>
        <v>Cbx1</v>
      </c>
      <c r="B1008" s="4"/>
      <c r="C1008" s="3">
        <v>13675</v>
      </c>
      <c r="D1008" s="3">
        <v>562</v>
      </c>
      <c r="E1008" s="3">
        <v>798</v>
      </c>
      <c r="F1008" s="3">
        <v>1310</v>
      </c>
      <c r="G1008" s="3">
        <v>14576</v>
      </c>
      <c r="H1008" s="2">
        <f t="shared" si="30"/>
        <v>30921</v>
      </c>
      <c r="I1008" t="str">
        <f t="shared" si="31"/>
        <v>Cbx1_30921</v>
      </c>
      <c r="J1008" s="3">
        <v>13675</v>
      </c>
      <c r="K1008" s="3">
        <v>562</v>
      </c>
      <c r="L1008" s="3">
        <v>798</v>
      </c>
      <c r="M1008" s="3">
        <v>1310</v>
      </c>
      <c r="N1008" s="3">
        <v>14576</v>
      </c>
    </row>
    <row r="1009" spans="1:14" x14ac:dyDescent="0.2">
      <c r="A1009" s="5" t="str">
        <f>HYPERLINK("http://www.ncbi.nlm.nih.gov/protein/108860695","Cbx3")</f>
        <v>Cbx3</v>
      </c>
      <c r="B1009" s="4"/>
      <c r="C1009" s="3">
        <v>149908</v>
      </c>
      <c r="D1009" s="3">
        <v>5235</v>
      </c>
      <c r="E1009" s="3">
        <v>2038</v>
      </c>
      <c r="F1009" s="3">
        <v>6769</v>
      </c>
      <c r="G1009" s="3">
        <v>36209</v>
      </c>
      <c r="H1009" s="2">
        <f t="shared" si="30"/>
        <v>200159</v>
      </c>
      <c r="I1009" t="str">
        <f t="shared" si="31"/>
        <v>Cbx3_200159</v>
      </c>
      <c r="J1009" s="3">
        <v>149908</v>
      </c>
      <c r="K1009" s="3">
        <v>5235</v>
      </c>
      <c r="L1009" s="3">
        <v>2038</v>
      </c>
      <c r="M1009" s="3">
        <v>6769</v>
      </c>
      <c r="N1009" s="3">
        <v>36209</v>
      </c>
    </row>
    <row r="1010" spans="1:14" x14ac:dyDescent="0.2">
      <c r="A1010" s="5" t="str">
        <f>HYPERLINK("http://www.ncbi.nlm.nih.gov/protein/116008461","Cbx5")</f>
        <v>Cbx5</v>
      </c>
      <c r="B1010" s="4"/>
      <c r="C1010" s="3">
        <v>50177</v>
      </c>
      <c r="D1010" s="3">
        <v>0</v>
      </c>
      <c r="E1010" s="3">
        <v>22</v>
      </c>
      <c r="F1010" s="3">
        <v>0</v>
      </c>
      <c r="G1010" s="3">
        <v>3577</v>
      </c>
      <c r="H1010" s="2">
        <f t="shared" si="30"/>
        <v>53776</v>
      </c>
      <c r="I1010" t="str">
        <f t="shared" si="31"/>
        <v>Cbx5_53776</v>
      </c>
      <c r="J1010" s="3">
        <v>50177</v>
      </c>
      <c r="K1010" s="3">
        <v>0</v>
      </c>
      <c r="L1010" s="3">
        <v>22</v>
      </c>
      <c r="M1010" s="3">
        <v>0</v>
      </c>
      <c r="N1010" s="3">
        <v>3577</v>
      </c>
    </row>
    <row r="1011" spans="1:14" x14ac:dyDescent="0.2">
      <c r="A1011" s="5" t="str">
        <f>HYPERLINK("http://www.ncbi.nlm.nih.gov/protein/61657984","Cbx6")</f>
        <v>Cbx6</v>
      </c>
      <c r="B1011" s="4"/>
      <c r="C1011" s="3">
        <v>0</v>
      </c>
      <c r="D1011" s="3">
        <v>0</v>
      </c>
      <c r="E1011" s="3">
        <v>0</v>
      </c>
      <c r="F1011" s="3">
        <v>671</v>
      </c>
      <c r="G1011" s="3">
        <v>11</v>
      </c>
      <c r="H1011" s="2">
        <f t="shared" si="30"/>
        <v>682</v>
      </c>
      <c r="I1011" t="str">
        <f t="shared" si="31"/>
        <v>Cbx6_682</v>
      </c>
      <c r="J1011" s="3">
        <v>0</v>
      </c>
      <c r="K1011" s="3">
        <v>0</v>
      </c>
      <c r="L1011" s="3">
        <v>0</v>
      </c>
      <c r="M1011" s="3">
        <v>671</v>
      </c>
      <c r="N1011" s="3">
        <v>11</v>
      </c>
    </row>
    <row r="1012" spans="1:14" x14ac:dyDescent="0.2">
      <c r="A1012" s="5" t="str">
        <f>HYPERLINK("http://www.ncbi.nlm.nih.gov/protein/110835702","Cc2d1a")</f>
        <v>Cc2d1a</v>
      </c>
      <c r="B1012" s="4"/>
      <c r="C1012" s="3">
        <v>0</v>
      </c>
      <c r="D1012" s="3">
        <v>0</v>
      </c>
      <c r="E1012" s="3">
        <v>37</v>
      </c>
      <c r="F1012" s="3">
        <v>0</v>
      </c>
      <c r="G1012" s="3">
        <v>0</v>
      </c>
      <c r="H1012" s="2">
        <f t="shared" si="30"/>
        <v>37</v>
      </c>
      <c r="I1012" t="str">
        <f t="shared" si="31"/>
        <v>Cc2d1a_37</v>
      </c>
      <c r="J1012" s="3">
        <v>0</v>
      </c>
      <c r="K1012" s="3">
        <v>0</v>
      </c>
      <c r="L1012" s="3">
        <v>37</v>
      </c>
      <c r="M1012" s="3">
        <v>0</v>
      </c>
      <c r="N1012" s="3">
        <v>0</v>
      </c>
    </row>
    <row r="1013" spans="1:14" x14ac:dyDescent="0.2">
      <c r="A1013" s="5" t="str">
        <f>HYPERLINK("http://www.ncbi.nlm.nih.gov/protein/28892935","Cc2d1b")</f>
        <v>Cc2d1b</v>
      </c>
      <c r="B1013" s="4"/>
      <c r="C1013" s="3">
        <v>0</v>
      </c>
      <c r="D1013" s="3">
        <v>0</v>
      </c>
      <c r="E1013" s="3">
        <v>778</v>
      </c>
      <c r="F1013" s="3">
        <v>0</v>
      </c>
      <c r="G1013" s="3">
        <v>12166</v>
      </c>
      <c r="H1013" s="2">
        <f t="shared" si="30"/>
        <v>12944</v>
      </c>
      <c r="I1013" t="str">
        <f t="shared" si="31"/>
        <v>Cc2d1b_12944</v>
      </c>
      <c r="J1013" s="3">
        <v>0</v>
      </c>
      <c r="K1013" s="3">
        <v>0</v>
      </c>
      <c r="L1013" s="3">
        <v>778</v>
      </c>
      <c r="M1013" s="3">
        <v>0</v>
      </c>
      <c r="N1013" s="3">
        <v>12166</v>
      </c>
    </row>
    <row r="1014" spans="1:14" x14ac:dyDescent="0.2">
      <c r="A1014" s="5" t="str">
        <f>HYPERLINK("http://www.ncbi.nlm.nih.gov/protein/407262408","Cc2d2b")</f>
        <v>Cc2d2b</v>
      </c>
      <c r="B1014" s="4"/>
      <c r="C1014" s="3">
        <v>0</v>
      </c>
      <c r="D1014" s="3">
        <v>0</v>
      </c>
      <c r="E1014" s="3">
        <v>326</v>
      </c>
      <c r="F1014" s="3">
        <v>0</v>
      </c>
      <c r="G1014" s="3">
        <v>0</v>
      </c>
      <c r="H1014" s="2">
        <f t="shared" si="30"/>
        <v>326</v>
      </c>
      <c r="I1014" t="str">
        <f t="shared" si="31"/>
        <v>Cc2d2b_326</v>
      </c>
      <c r="J1014" s="3">
        <v>0</v>
      </c>
      <c r="K1014" s="3">
        <v>0</v>
      </c>
      <c r="L1014" s="3">
        <v>326</v>
      </c>
      <c r="M1014" s="3">
        <v>0</v>
      </c>
      <c r="N1014" s="3">
        <v>0</v>
      </c>
    </row>
    <row r="1015" spans="1:14" x14ac:dyDescent="0.2">
      <c r="A1015" s="5" t="str">
        <f>HYPERLINK("http://www.ncbi.nlm.nih.gov/protein/407264268","Cc2d2b")</f>
        <v>Cc2d2b</v>
      </c>
      <c r="B1015" s="4"/>
      <c r="C1015" s="3">
        <v>0</v>
      </c>
      <c r="D1015" s="3">
        <v>0</v>
      </c>
      <c r="E1015" s="3">
        <v>326</v>
      </c>
      <c r="F1015" s="3">
        <v>0</v>
      </c>
      <c r="G1015" s="3">
        <v>0</v>
      </c>
      <c r="H1015" s="2">
        <f t="shared" si="30"/>
        <v>326</v>
      </c>
      <c r="I1015" t="str">
        <f t="shared" si="31"/>
        <v>Cc2d2b_326</v>
      </c>
      <c r="J1015" s="3">
        <v>0</v>
      </c>
      <c r="K1015" s="3">
        <v>0</v>
      </c>
      <c r="L1015" s="3">
        <v>326</v>
      </c>
      <c r="M1015" s="3">
        <v>0</v>
      </c>
      <c r="N1015" s="3">
        <v>0</v>
      </c>
    </row>
    <row r="1016" spans="1:14" x14ac:dyDescent="0.2">
      <c r="A1016" s="5" t="str">
        <f>HYPERLINK("http://www.ncbi.nlm.nih.gov/protein/33563288","Ccar1")</f>
        <v>Ccar1</v>
      </c>
      <c r="B1016" s="4"/>
      <c r="C1016" s="3">
        <v>9757</v>
      </c>
      <c r="D1016" s="3">
        <v>0</v>
      </c>
      <c r="E1016" s="3">
        <v>16</v>
      </c>
      <c r="F1016" s="3">
        <v>2398</v>
      </c>
      <c r="G1016" s="3">
        <v>0</v>
      </c>
      <c r="H1016" s="2">
        <f t="shared" si="30"/>
        <v>12171</v>
      </c>
      <c r="I1016" t="str">
        <f t="shared" si="31"/>
        <v>Ccar1_12171</v>
      </c>
      <c r="J1016" s="3">
        <v>9757</v>
      </c>
      <c r="K1016" s="3">
        <v>0</v>
      </c>
      <c r="L1016" s="3">
        <v>16</v>
      </c>
      <c r="M1016" s="3">
        <v>2398</v>
      </c>
      <c r="N1016" s="3">
        <v>0</v>
      </c>
    </row>
    <row r="1017" spans="1:14" x14ac:dyDescent="0.2">
      <c r="A1017" s="5" t="str">
        <f>HYPERLINK("http://www.ncbi.nlm.nih.gov/protein/226958577","Ccar2")</f>
        <v>Ccar2</v>
      </c>
      <c r="B1017" s="4"/>
      <c r="C1017" s="3">
        <v>12265</v>
      </c>
      <c r="D1017" s="3">
        <v>1799</v>
      </c>
      <c r="E1017" s="3">
        <v>13686</v>
      </c>
      <c r="F1017" s="3">
        <v>67932</v>
      </c>
      <c r="G1017" s="3">
        <v>22908</v>
      </c>
      <c r="H1017" s="2">
        <f t="shared" si="30"/>
        <v>118590</v>
      </c>
      <c r="I1017" t="str">
        <f t="shared" si="31"/>
        <v>Ccar2_118590</v>
      </c>
      <c r="J1017" s="3">
        <v>12265</v>
      </c>
      <c r="K1017" s="3">
        <v>1799</v>
      </c>
      <c r="L1017" s="3">
        <v>13686</v>
      </c>
      <c r="M1017" s="3">
        <v>67932</v>
      </c>
      <c r="N1017" s="3">
        <v>22908</v>
      </c>
    </row>
    <row r="1018" spans="1:14" x14ac:dyDescent="0.2">
      <c r="A1018" s="5" t="str">
        <f>HYPERLINK("http://www.ncbi.nlm.nih.gov/protein/31982063","Ccbl1")</f>
        <v>Ccbl1</v>
      </c>
      <c r="B1018" s="4"/>
      <c r="C1018" s="3">
        <v>0</v>
      </c>
      <c r="D1018" s="3">
        <v>0</v>
      </c>
      <c r="E1018" s="3">
        <v>174</v>
      </c>
      <c r="F1018" s="3">
        <v>0</v>
      </c>
      <c r="G1018" s="3">
        <v>11020</v>
      </c>
      <c r="H1018" s="2">
        <f t="shared" si="30"/>
        <v>11194</v>
      </c>
      <c r="I1018" t="str">
        <f t="shared" si="31"/>
        <v>Ccbl1_11194</v>
      </c>
      <c r="J1018" s="3">
        <v>0</v>
      </c>
      <c r="K1018" s="3">
        <v>0</v>
      </c>
      <c r="L1018" s="3">
        <v>174</v>
      </c>
      <c r="M1018" s="3">
        <v>0</v>
      </c>
      <c r="N1018" s="3">
        <v>11020</v>
      </c>
    </row>
    <row r="1019" spans="1:14" x14ac:dyDescent="0.2">
      <c r="A1019" s="5" t="str">
        <f>HYPERLINK("http://www.ncbi.nlm.nih.gov/protein/30352008","Ccdc104")</f>
        <v>Ccdc104</v>
      </c>
      <c r="B1019" s="4"/>
      <c r="C1019" s="3">
        <v>0</v>
      </c>
      <c r="D1019" s="3">
        <v>0</v>
      </c>
      <c r="E1019" s="3">
        <v>0</v>
      </c>
      <c r="F1019" s="3">
        <v>0</v>
      </c>
      <c r="G1019" s="3">
        <v>1028</v>
      </c>
      <c r="H1019" s="2">
        <f t="shared" si="30"/>
        <v>1028</v>
      </c>
      <c r="I1019" t="str">
        <f t="shared" si="31"/>
        <v>Ccdc104_1028</v>
      </c>
      <c r="J1019" s="3">
        <v>0</v>
      </c>
      <c r="K1019" s="3">
        <v>0</v>
      </c>
      <c r="L1019" s="3">
        <v>0</v>
      </c>
      <c r="M1019" s="3">
        <v>0</v>
      </c>
      <c r="N1019" s="3">
        <v>1028</v>
      </c>
    </row>
    <row r="1020" spans="1:14" x14ac:dyDescent="0.2">
      <c r="A1020" s="5" t="str">
        <f>HYPERLINK("http://www.ncbi.nlm.nih.gov/protein/58037169","Ccdc115")</f>
        <v>Ccdc115</v>
      </c>
      <c r="B1020" s="4"/>
      <c r="C1020" s="3">
        <v>0</v>
      </c>
      <c r="D1020" s="3">
        <v>831</v>
      </c>
      <c r="E1020" s="3">
        <v>67</v>
      </c>
      <c r="F1020" s="3">
        <v>0</v>
      </c>
      <c r="G1020" s="3">
        <v>5612</v>
      </c>
      <c r="H1020" s="2">
        <f t="shared" si="30"/>
        <v>6510</v>
      </c>
      <c r="I1020" t="str">
        <f t="shared" si="31"/>
        <v>Ccdc115_6510</v>
      </c>
      <c r="J1020" s="3">
        <v>0</v>
      </c>
      <c r="K1020" s="3">
        <v>831</v>
      </c>
      <c r="L1020" s="3">
        <v>67</v>
      </c>
      <c r="M1020" s="3">
        <v>0</v>
      </c>
      <c r="N1020" s="3">
        <v>5612</v>
      </c>
    </row>
    <row r="1021" spans="1:14" x14ac:dyDescent="0.2">
      <c r="A1021" s="5" t="str">
        <f>HYPERLINK("http://www.ncbi.nlm.nih.gov/protein/164698436","Ccdc117")</f>
        <v>Ccdc117</v>
      </c>
      <c r="B1021" s="4"/>
      <c r="C1021" s="3">
        <v>0</v>
      </c>
      <c r="D1021" s="3">
        <v>0</v>
      </c>
      <c r="E1021" s="3">
        <v>0</v>
      </c>
      <c r="F1021" s="3">
        <v>0</v>
      </c>
      <c r="G1021" s="3">
        <v>1756</v>
      </c>
      <c r="H1021" s="2">
        <f t="shared" si="30"/>
        <v>1756</v>
      </c>
      <c r="I1021" t="str">
        <f t="shared" si="31"/>
        <v>Ccdc117_1756</v>
      </c>
      <c r="J1021" s="3">
        <v>0</v>
      </c>
      <c r="K1021" s="3">
        <v>0</v>
      </c>
      <c r="L1021" s="3">
        <v>0</v>
      </c>
      <c r="M1021" s="3">
        <v>0</v>
      </c>
      <c r="N1021" s="3">
        <v>1756</v>
      </c>
    </row>
    <row r="1022" spans="1:14" x14ac:dyDescent="0.2">
      <c r="A1022" s="5" t="str">
        <f>HYPERLINK("http://www.ncbi.nlm.nih.gov/protein/227496903","Ccdc12")</f>
        <v>Ccdc12</v>
      </c>
      <c r="B1022" s="4"/>
      <c r="C1022" s="3">
        <v>0</v>
      </c>
      <c r="D1022" s="3">
        <v>0</v>
      </c>
      <c r="E1022" s="3">
        <v>0</v>
      </c>
      <c r="F1022" s="3">
        <v>0</v>
      </c>
      <c r="G1022" s="3">
        <v>3705</v>
      </c>
      <c r="H1022" s="2">
        <f t="shared" si="30"/>
        <v>3705</v>
      </c>
      <c r="I1022" t="str">
        <f t="shared" si="31"/>
        <v>Ccdc12_3705</v>
      </c>
      <c r="J1022" s="3">
        <v>0</v>
      </c>
      <c r="K1022" s="3">
        <v>0</v>
      </c>
      <c r="L1022" s="3">
        <v>0</v>
      </c>
      <c r="M1022" s="3">
        <v>0</v>
      </c>
      <c r="N1022" s="3">
        <v>3705</v>
      </c>
    </row>
    <row r="1023" spans="1:14" x14ac:dyDescent="0.2">
      <c r="A1023" s="5" t="str">
        <f>HYPERLINK("http://www.ncbi.nlm.nih.gov/protein/47059143","Ccdc124")</f>
        <v>Ccdc124</v>
      </c>
      <c r="B1023" s="4"/>
      <c r="C1023" s="3">
        <v>0</v>
      </c>
      <c r="D1023" s="3">
        <v>0</v>
      </c>
      <c r="E1023" s="3">
        <v>42</v>
      </c>
      <c r="F1023" s="3">
        <v>2652</v>
      </c>
      <c r="G1023" s="3">
        <v>0</v>
      </c>
      <c r="H1023" s="2">
        <f t="shared" si="30"/>
        <v>2694</v>
      </c>
      <c r="I1023" t="str">
        <f t="shared" si="31"/>
        <v>Ccdc124_2694</v>
      </c>
      <c r="J1023" s="3">
        <v>0</v>
      </c>
      <c r="K1023" s="3">
        <v>0</v>
      </c>
      <c r="L1023" s="3">
        <v>42</v>
      </c>
      <c r="M1023" s="3">
        <v>2652</v>
      </c>
      <c r="N1023" s="3">
        <v>0</v>
      </c>
    </row>
    <row r="1024" spans="1:14" x14ac:dyDescent="0.2">
      <c r="A1024" s="5" t="str">
        <f>HYPERLINK("http://www.ncbi.nlm.nih.gov/protein/13195630","Ccdc127")</f>
        <v>Ccdc127</v>
      </c>
      <c r="B1024" s="4"/>
      <c r="C1024" s="3">
        <v>0</v>
      </c>
      <c r="D1024" s="3">
        <v>395</v>
      </c>
      <c r="E1024" s="3">
        <v>0</v>
      </c>
      <c r="F1024" s="3">
        <v>0</v>
      </c>
      <c r="G1024" s="3">
        <v>0</v>
      </c>
      <c r="H1024" s="2">
        <f t="shared" si="30"/>
        <v>395</v>
      </c>
      <c r="I1024" t="str">
        <f t="shared" si="31"/>
        <v>Ccdc127_395</v>
      </c>
      <c r="J1024" s="3">
        <v>0</v>
      </c>
      <c r="K1024" s="3">
        <v>395</v>
      </c>
      <c r="L1024" s="3">
        <v>0</v>
      </c>
      <c r="M1024" s="3">
        <v>0</v>
      </c>
      <c r="N1024" s="3">
        <v>0</v>
      </c>
    </row>
    <row r="1025" spans="1:14" x14ac:dyDescent="0.2">
      <c r="A1025" s="5" t="str">
        <f>HYPERLINK("http://www.ncbi.nlm.nih.gov/protein/281183266","Ccdc127")</f>
        <v>Ccdc127</v>
      </c>
      <c r="B1025" s="4"/>
      <c r="C1025" s="3">
        <v>0</v>
      </c>
      <c r="D1025" s="3">
        <v>395</v>
      </c>
      <c r="E1025" s="3">
        <v>0</v>
      </c>
      <c r="F1025" s="3">
        <v>0</v>
      </c>
      <c r="G1025" s="3">
        <v>0</v>
      </c>
      <c r="H1025" s="2">
        <f t="shared" si="30"/>
        <v>395</v>
      </c>
      <c r="I1025" t="str">
        <f t="shared" si="31"/>
        <v>Ccdc127_395</v>
      </c>
      <c r="J1025" s="3">
        <v>0</v>
      </c>
      <c r="K1025" s="3">
        <v>395</v>
      </c>
      <c r="L1025" s="3">
        <v>0</v>
      </c>
      <c r="M1025" s="3">
        <v>0</v>
      </c>
      <c r="N1025" s="3">
        <v>0</v>
      </c>
    </row>
    <row r="1026" spans="1:14" x14ac:dyDescent="0.2">
      <c r="A1026" s="5" t="str">
        <f>HYPERLINK("http://www.ncbi.nlm.nih.gov/protein/268370057","Ccdc132")</f>
        <v>Ccdc132</v>
      </c>
      <c r="B1026" s="4"/>
      <c r="C1026" s="3">
        <v>0</v>
      </c>
      <c r="D1026" s="3">
        <v>0</v>
      </c>
      <c r="E1026" s="3">
        <v>878</v>
      </c>
      <c r="F1026" s="3">
        <v>40559</v>
      </c>
      <c r="G1026" s="3">
        <v>8182</v>
      </c>
      <c r="H1026" s="2">
        <f t="shared" ref="H1026:H1089" si="32">SUM(C1026:G1026)</f>
        <v>49619</v>
      </c>
      <c r="I1026" t="str">
        <f t="shared" ref="I1026:I1089" si="33">A1026&amp;"_"&amp;H1026</f>
        <v>Ccdc132_49619</v>
      </c>
      <c r="J1026" s="3">
        <v>0</v>
      </c>
      <c r="K1026" s="3">
        <v>0</v>
      </c>
      <c r="L1026" s="3">
        <v>878</v>
      </c>
      <c r="M1026" s="3">
        <v>40559</v>
      </c>
      <c r="N1026" s="3">
        <v>8182</v>
      </c>
    </row>
    <row r="1027" spans="1:14" x14ac:dyDescent="0.2">
      <c r="A1027" s="5" t="str">
        <f>HYPERLINK("http://www.ncbi.nlm.nih.gov/protein/268370059","Ccdc132")</f>
        <v>Ccdc132</v>
      </c>
      <c r="B1027" s="4"/>
      <c r="C1027" s="3">
        <v>0</v>
      </c>
      <c r="D1027" s="3">
        <v>0</v>
      </c>
      <c r="E1027" s="3">
        <v>878</v>
      </c>
      <c r="F1027" s="3">
        <v>40559</v>
      </c>
      <c r="G1027" s="3">
        <v>8182</v>
      </c>
      <c r="H1027" s="2">
        <f t="shared" si="32"/>
        <v>49619</v>
      </c>
      <c r="I1027" t="str">
        <f t="shared" si="33"/>
        <v>Ccdc132_49619</v>
      </c>
      <c r="J1027" s="3">
        <v>0</v>
      </c>
      <c r="K1027" s="3">
        <v>0</v>
      </c>
      <c r="L1027" s="3">
        <v>878</v>
      </c>
      <c r="M1027" s="3">
        <v>40559</v>
      </c>
      <c r="N1027" s="3">
        <v>8182</v>
      </c>
    </row>
    <row r="1028" spans="1:14" x14ac:dyDescent="0.2">
      <c r="A1028" s="5" t="str">
        <f>HYPERLINK("http://www.ncbi.nlm.nih.gov/protein/268370061","Ccdc132")</f>
        <v>Ccdc132</v>
      </c>
      <c r="B1028" s="4"/>
      <c r="C1028" s="3">
        <v>0</v>
      </c>
      <c r="D1028" s="3">
        <v>0</v>
      </c>
      <c r="E1028" s="3">
        <v>878</v>
      </c>
      <c r="F1028" s="3">
        <v>40559</v>
      </c>
      <c r="G1028" s="3">
        <v>8182</v>
      </c>
      <c r="H1028" s="2">
        <f t="shared" si="32"/>
        <v>49619</v>
      </c>
      <c r="I1028" t="str">
        <f t="shared" si="33"/>
        <v>Ccdc132_49619</v>
      </c>
      <c r="J1028" s="3">
        <v>0</v>
      </c>
      <c r="K1028" s="3">
        <v>0</v>
      </c>
      <c r="L1028" s="3">
        <v>878</v>
      </c>
      <c r="M1028" s="3">
        <v>40559</v>
      </c>
      <c r="N1028" s="3">
        <v>8182</v>
      </c>
    </row>
    <row r="1029" spans="1:14" x14ac:dyDescent="0.2">
      <c r="A1029" s="5" t="str">
        <f>HYPERLINK("http://www.ncbi.nlm.nih.gov/protein/116268089","Ccdc134")</f>
        <v>Ccdc134</v>
      </c>
      <c r="B1029" s="4"/>
      <c r="C1029" s="3">
        <v>0</v>
      </c>
      <c r="D1029" s="3">
        <v>372</v>
      </c>
      <c r="E1029" s="3">
        <v>0</v>
      </c>
      <c r="F1029" s="3">
        <v>0</v>
      </c>
      <c r="G1029" s="3">
        <v>0</v>
      </c>
      <c r="H1029" s="2">
        <f t="shared" si="32"/>
        <v>372</v>
      </c>
      <c r="I1029" t="str">
        <f t="shared" si="33"/>
        <v>Ccdc134_372</v>
      </c>
      <c r="J1029" s="3">
        <v>0</v>
      </c>
      <c r="K1029" s="3">
        <v>372</v>
      </c>
      <c r="L1029" s="3">
        <v>0</v>
      </c>
      <c r="M1029" s="3">
        <v>0</v>
      </c>
      <c r="N1029" s="3">
        <v>0</v>
      </c>
    </row>
    <row r="1030" spans="1:14" x14ac:dyDescent="0.2">
      <c r="A1030" s="5" t="str">
        <f>HYPERLINK("http://www.ncbi.nlm.nih.gov/protein/319655563","Ccdc136")</f>
        <v>Ccdc136</v>
      </c>
      <c r="B1030" s="4"/>
      <c r="C1030" s="3">
        <v>0</v>
      </c>
      <c r="D1030" s="3">
        <v>0</v>
      </c>
      <c r="E1030" s="3">
        <v>16</v>
      </c>
      <c r="F1030" s="3">
        <v>0</v>
      </c>
      <c r="G1030" s="3">
        <v>0</v>
      </c>
      <c r="H1030" s="2">
        <f t="shared" si="32"/>
        <v>16</v>
      </c>
      <c r="I1030" t="str">
        <f t="shared" si="33"/>
        <v>Ccdc136_16</v>
      </c>
      <c r="J1030" s="3">
        <v>0</v>
      </c>
      <c r="K1030" s="3">
        <v>0</v>
      </c>
      <c r="L1030" s="3">
        <v>16</v>
      </c>
      <c r="M1030" s="3">
        <v>0</v>
      </c>
      <c r="N1030" s="3">
        <v>0</v>
      </c>
    </row>
    <row r="1031" spans="1:14" x14ac:dyDescent="0.2">
      <c r="A1031" s="5" t="str">
        <f>HYPERLINK("http://www.ncbi.nlm.nih.gov/protein/319655703","Ccdc136")</f>
        <v>Ccdc136</v>
      </c>
      <c r="B1031" s="4"/>
      <c r="C1031" s="3">
        <v>0</v>
      </c>
      <c r="D1031" s="3">
        <v>0</v>
      </c>
      <c r="E1031" s="3">
        <v>16</v>
      </c>
      <c r="F1031" s="3">
        <v>0</v>
      </c>
      <c r="G1031" s="3">
        <v>0</v>
      </c>
      <c r="H1031" s="2">
        <f t="shared" si="32"/>
        <v>16</v>
      </c>
      <c r="I1031" t="str">
        <f t="shared" si="33"/>
        <v>Ccdc136_16</v>
      </c>
      <c r="J1031" s="3">
        <v>0</v>
      </c>
      <c r="K1031" s="3">
        <v>0</v>
      </c>
      <c r="L1031" s="3">
        <v>16</v>
      </c>
      <c r="M1031" s="3">
        <v>0</v>
      </c>
      <c r="N1031" s="3">
        <v>0</v>
      </c>
    </row>
    <row r="1032" spans="1:14" x14ac:dyDescent="0.2">
      <c r="A1032" s="5" t="str">
        <f>HYPERLINK("http://www.ncbi.nlm.nih.gov/protein/22779893","Ccdc137")</f>
        <v>Ccdc137</v>
      </c>
      <c r="B1032" s="4"/>
      <c r="C1032" s="3">
        <v>0</v>
      </c>
      <c r="D1032" s="3">
        <v>0</v>
      </c>
      <c r="E1032" s="3">
        <v>0</v>
      </c>
      <c r="F1032" s="3">
        <v>65</v>
      </c>
      <c r="G1032" s="3">
        <v>0</v>
      </c>
      <c r="H1032" s="2">
        <f t="shared" si="32"/>
        <v>65</v>
      </c>
      <c r="I1032" t="str">
        <f t="shared" si="33"/>
        <v>Ccdc137_65</v>
      </c>
      <c r="J1032" s="3">
        <v>0</v>
      </c>
      <c r="K1032" s="3">
        <v>0</v>
      </c>
      <c r="L1032" s="3">
        <v>0</v>
      </c>
      <c r="M1032" s="3">
        <v>65</v>
      </c>
      <c r="N1032" s="3">
        <v>0</v>
      </c>
    </row>
    <row r="1033" spans="1:14" x14ac:dyDescent="0.2">
      <c r="A1033" s="5" t="str">
        <f>HYPERLINK("http://www.ncbi.nlm.nih.gov/protein/169646270","Ccdc14")</f>
        <v>Ccdc14</v>
      </c>
      <c r="B1033" s="4"/>
      <c r="C1033" s="3">
        <v>0</v>
      </c>
      <c r="D1033" s="3">
        <v>0</v>
      </c>
      <c r="E1033" s="3">
        <v>6</v>
      </c>
      <c r="F1033" s="3">
        <v>0</v>
      </c>
      <c r="G1033" s="3">
        <v>0</v>
      </c>
      <c r="H1033" s="2">
        <f t="shared" si="32"/>
        <v>6</v>
      </c>
      <c r="I1033" t="str">
        <f t="shared" si="33"/>
        <v>Ccdc14_6</v>
      </c>
      <c r="J1033" s="3">
        <v>0</v>
      </c>
      <c r="K1033" s="3">
        <v>0</v>
      </c>
      <c r="L1033" s="3">
        <v>6</v>
      </c>
      <c r="M1033" s="3">
        <v>0</v>
      </c>
      <c r="N1033" s="3">
        <v>0</v>
      </c>
    </row>
    <row r="1034" spans="1:14" x14ac:dyDescent="0.2">
      <c r="A1034" s="5" t="str">
        <f>HYPERLINK("http://www.ncbi.nlm.nih.gov/protein/299829227","Ccdc141")</f>
        <v>Ccdc141</v>
      </c>
      <c r="B1034" s="4"/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2">
        <f t="shared" si="32"/>
        <v>1</v>
      </c>
      <c r="I1034" t="str">
        <f t="shared" si="33"/>
        <v>Ccdc141_1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</row>
    <row r="1035" spans="1:14" x14ac:dyDescent="0.2">
      <c r="A1035" s="5" t="str">
        <f>HYPERLINK("http://www.ncbi.nlm.nih.gov/protein/254939555","Ccdc167")</f>
        <v>Ccdc167</v>
      </c>
      <c r="B1035" s="4"/>
      <c r="C1035" s="3">
        <v>256</v>
      </c>
      <c r="D1035" s="3">
        <v>735</v>
      </c>
      <c r="E1035" s="3">
        <v>61</v>
      </c>
      <c r="F1035" s="3">
        <v>0</v>
      </c>
      <c r="G1035" s="3">
        <v>0</v>
      </c>
      <c r="H1035" s="2">
        <f t="shared" si="32"/>
        <v>1052</v>
      </c>
      <c r="I1035" t="str">
        <f t="shared" si="33"/>
        <v>Ccdc167_1052</v>
      </c>
      <c r="J1035" s="3">
        <v>256</v>
      </c>
      <c r="K1035" s="3">
        <v>735</v>
      </c>
      <c r="L1035" s="3">
        <v>61</v>
      </c>
      <c r="M1035" s="3">
        <v>0</v>
      </c>
      <c r="N1035" s="3">
        <v>0</v>
      </c>
    </row>
    <row r="1036" spans="1:14" x14ac:dyDescent="0.2">
      <c r="A1036" s="5" t="str">
        <f>HYPERLINK("http://www.ncbi.nlm.nih.gov/protein/254939557","Ccdc167")</f>
        <v>Ccdc167</v>
      </c>
      <c r="B1036" s="4"/>
      <c r="C1036" s="3">
        <v>256</v>
      </c>
      <c r="D1036" s="3">
        <v>735</v>
      </c>
      <c r="E1036" s="3">
        <v>61</v>
      </c>
      <c r="F1036" s="3">
        <v>0</v>
      </c>
      <c r="G1036" s="3">
        <v>0</v>
      </c>
      <c r="H1036" s="2">
        <f t="shared" si="32"/>
        <v>1052</v>
      </c>
      <c r="I1036" t="str">
        <f t="shared" si="33"/>
        <v>Ccdc167_1052</v>
      </c>
      <c r="J1036" s="3">
        <v>256</v>
      </c>
      <c r="K1036" s="3">
        <v>735</v>
      </c>
      <c r="L1036" s="3">
        <v>61</v>
      </c>
      <c r="M1036" s="3">
        <v>0</v>
      </c>
      <c r="N1036" s="3">
        <v>0</v>
      </c>
    </row>
    <row r="1037" spans="1:14" x14ac:dyDescent="0.2">
      <c r="A1037" s="5" t="str">
        <f>HYPERLINK("http://www.ncbi.nlm.nih.gov/protein/133922578","Ccdc22")</f>
        <v>Ccdc22</v>
      </c>
      <c r="B1037" s="4"/>
      <c r="C1037" s="3">
        <v>0</v>
      </c>
      <c r="D1037" s="3">
        <v>125</v>
      </c>
      <c r="E1037" s="3">
        <v>3821</v>
      </c>
      <c r="F1037" s="3">
        <v>22011</v>
      </c>
      <c r="G1037" s="3">
        <v>4284</v>
      </c>
      <c r="H1037" s="2">
        <f t="shared" si="32"/>
        <v>30241</v>
      </c>
      <c r="I1037" t="str">
        <f t="shared" si="33"/>
        <v>Ccdc22_30241</v>
      </c>
      <c r="J1037" s="3">
        <v>0</v>
      </c>
      <c r="K1037" s="3">
        <v>125</v>
      </c>
      <c r="L1037" s="3">
        <v>3821</v>
      </c>
      <c r="M1037" s="3">
        <v>22011</v>
      </c>
      <c r="N1037" s="3">
        <v>4284</v>
      </c>
    </row>
    <row r="1038" spans="1:14" x14ac:dyDescent="0.2">
      <c r="A1038" s="5" t="str">
        <f>HYPERLINK("http://www.ncbi.nlm.nih.gov/protein/22164768","Ccdc25")</f>
        <v>Ccdc25</v>
      </c>
      <c r="B1038" s="4"/>
      <c r="C1038" s="3">
        <v>0</v>
      </c>
      <c r="D1038" s="3">
        <v>69</v>
      </c>
      <c r="E1038" s="3">
        <v>487</v>
      </c>
      <c r="F1038" s="3">
        <v>3078</v>
      </c>
      <c r="G1038" s="3">
        <v>9424</v>
      </c>
      <c r="H1038" s="2">
        <f t="shared" si="32"/>
        <v>13058</v>
      </c>
      <c r="I1038" t="str">
        <f t="shared" si="33"/>
        <v>Ccdc25_13058</v>
      </c>
      <c r="J1038" s="3">
        <v>0</v>
      </c>
      <c r="K1038" s="3">
        <v>69</v>
      </c>
      <c r="L1038" s="3">
        <v>487</v>
      </c>
      <c r="M1038" s="3">
        <v>3078</v>
      </c>
      <c r="N1038" s="3">
        <v>9424</v>
      </c>
    </row>
    <row r="1039" spans="1:14" x14ac:dyDescent="0.2">
      <c r="A1039" s="5" t="str">
        <f>HYPERLINK("http://www.ncbi.nlm.nih.gov/protein/13385406","Ccdc43")</f>
        <v>Ccdc43</v>
      </c>
      <c r="B1039" s="4"/>
      <c r="C1039" s="3">
        <v>0</v>
      </c>
      <c r="D1039" s="3">
        <v>27</v>
      </c>
      <c r="E1039" s="3">
        <v>0</v>
      </c>
      <c r="F1039" s="3">
        <v>8</v>
      </c>
      <c r="G1039" s="3">
        <v>4509</v>
      </c>
      <c r="H1039" s="2">
        <f t="shared" si="32"/>
        <v>4544</v>
      </c>
      <c r="I1039" t="str">
        <f t="shared" si="33"/>
        <v>Ccdc43_4544</v>
      </c>
      <c r="J1039" s="3">
        <v>0</v>
      </c>
      <c r="K1039" s="3">
        <v>27</v>
      </c>
      <c r="L1039" s="3">
        <v>0</v>
      </c>
      <c r="M1039" s="3">
        <v>8</v>
      </c>
      <c r="N1039" s="3">
        <v>4509</v>
      </c>
    </row>
    <row r="1040" spans="1:14" x14ac:dyDescent="0.2">
      <c r="A1040" s="5" t="str">
        <f>HYPERLINK("http://www.ncbi.nlm.nih.gov/protein/125628650","Ccdc47")</f>
        <v>Ccdc47</v>
      </c>
      <c r="B1040" s="4"/>
      <c r="C1040" s="3">
        <v>10270</v>
      </c>
      <c r="D1040" s="3">
        <v>6496</v>
      </c>
      <c r="E1040" s="3">
        <v>7917</v>
      </c>
      <c r="F1040" s="3">
        <v>0</v>
      </c>
      <c r="G1040" s="3">
        <v>0</v>
      </c>
      <c r="H1040" s="2">
        <f t="shared" si="32"/>
        <v>24683</v>
      </c>
      <c r="I1040" t="str">
        <f t="shared" si="33"/>
        <v>Ccdc47_24683</v>
      </c>
      <c r="J1040" s="3">
        <v>10270</v>
      </c>
      <c r="K1040" s="3">
        <v>6496</v>
      </c>
      <c r="L1040" s="3">
        <v>7917</v>
      </c>
      <c r="M1040" s="3">
        <v>0</v>
      </c>
      <c r="N1040" s="3">
        <v>0</v>
      </c>
    </row>
    <row r="1041" spans="1:14" x14ac:dyDescent="0.2">
      <c r="A1041" s="5" t="str">
        <f>HYPERLINK("http://www.ncbi.nlm.nih.gov/protein/258679490","Ccdc51")</f>
        <v>Ccdc51</v>
      </c>
      <c r="B1041" s="4"/>
      <c r="C1041" s="3">
        <v>0</v>
      </c>
      <c r="D1041" s="3">
        <v>8</v>
      </c>
      <c r="E1041" s="3">
        <v>0</v>
      </c>
      <c r="F1041" s="3">
        <v>0</v>
      </c>
      <c r="G1041" s="3">
        <v>0</v>
      </c>
      <c r="H1041" s="2">
        <f t="shared" si="32"/>
        <v>8</v>
      </c>
      <c r="I1041" t="str">
        <f t="shared" si="33"/>
        <v>Ccdc51_8</v>
      </c>
      <c r="J1041" s="3">
        <v>0</v>
      </c>
      <c r="K1041" s="3">
        <v>8</v>
      </c>
      <c r="L1041" s="3">
        <v>0</v>
      </c>
      <c r="M1041" s="3">
        <v>0</v>
      </c>
      <c r="N1041" s="3">
        <v>0</v>
      </c>
    </row>
    <row r="1042" spans="1:14" x14ac:dyDescent="0.2">
      <c r="A1042" s="5" t="str">
        <f>HYPERLINK("http://www.ncbi.nlm.nih.gov/protein/171906601","Ccdc53")</f>
        <v>Ccdc53</v>
      </c>
      <c r="B1042" s="4"/>
      <c r="C1042" s="3">
        <v>0</v>
      </c>
      <c r="D1042" s="3">
        <v>0</v>
      </c>
      <c r="E1042" s="3">
        <v>59</v>
      </c>
      <c r="F1042" s="3">
        <v>164</v>
      </c>
      <c r="G1042" s="3">
        <v>0</v>
      </c>
      <c r="H1042" s="2">
        <f t="shared" si="32"/>
        <v>223</v>
      </c>
      <c r="I1042" t="str">
        <f t="shared" si="33"/>
        <v>Ccdc53_223</v>
      </c>
      <c r="J1042" s="3">
        <v>0</v>
      </c>
      <c r="K1042" s="3">
        <v>0</v>
      </c>
      <c r="L1042" s="3">
        <v>59</v>
      </c>
      <c r="M1042" s="3">
        <v>164</v>
      </c>
      <c r="N1042" s="3">
        <v>0</v>
      </c>
    </row>
    <row r="1043" spans="1:14" x14ac:dyDescent="0.2">
      <c r="A1043" s="5" t="str">
        <f>HYPERLINK("http://www.ncbi.nlm.nih.gov/protein/171906604","Ccdc53")</f>
        <v>Ccdc53</v>
      </c>
      <c r="B1043" s="4"/>
      <c r="C1043" s="3">
        <v>0</v>
      </c>
      <c r="D1043" s="3">
        <v>0</v>
      </c>
      <c r="E1043" s="3">
        <v>231</v>
      </c>
      <c r="F1043" s="3">
        <v>1097</v>
      </c>
      <c r="G1043" s="3">
        <v>0</v>
      </c>
      <c r="H1043" s="2">
        <f t="shared" si="32"/>
        <v>1328</v>
      </c>
      <c r="I1043" t="str">
        <f t="shared" si="33"/>
        <v>Ccdc53_1328</v>
      </c>
      <c r="J1043" s="3">
        <v>0</v>
      </c>
      <c r="K1043" s="3">
        <v>0</v>
      </c>
      <c r="L1043" s="3">
        <v>231</v>
      </c>
      <c r="M1043" s="3">
        <v>1097</v>
      </c>
      <c r="N1043" s="3">
        <v>0</v>
      </c>
    </row>
    <row r="1044" spans="1:14" x14ac:dyDescent="0.2">
      <c r="A1044" s="5" t="str">
        <f>HYPERLINK("http://www.ncbi.nlm.nih.gov/protein/21313034","Ccdc53")</f>
        <v>Ccdc53</v>
      </c>
      <c r="B1044" s="4"/>
      <c r="C1044" s="3">
        <v>0</v>
      </c>
      <c r="D1044" s="3">
        <v>0</v>
      </c>
      <c r="E1044" s="3">
        <v>231</v>
      </c>
      <c r="F1044" s="3">
        <v>1097</v>
      </c>
      <c r="G1044" s="3">
        <v>0</v>
      </c>
      <c r="H1044" s="2">
        <f t="shared" si="32"/>
        <v>1328</v>
      </c>
      <c r="I1044" t="str">
        <f t="shared" si="33"/>
        <v>Ccdc53_1328</v>
      </c>
      <c r="J1044" s="3">
        <v>0</v>
      </c>
      <c r="K1044" s="3">
        <v>0</v>
      </c>
      <c r="L1044" s="3">
        <v>231</v>
      </c>
      <c r="M1044" s="3">
        <v>1097</v>
      </c>
      <c r="N1044" s="3">
        <v>0</v>
      </c>
    </row>
    <row r="1045" spans="1:14" x14ac:dyDescent="0.2">
      <c r="A1045" s="5" t="str">
        <f>HYPERLINK("http://www.ncbi.nlm.nih.gov/protein/21312272","Ccdc54")</f>
        <v>Ccdc54</v>
      </c>
      <c r="B1045" s="4"/>
      <c r="C1045" s="3">
        <v>73</v>
      </c>
      <c r="D1045" s="3">
        <v>0</v>
      </c>
      <c r="E1045" s="3">
        <v>0</v>
      </c>
      <c r="F1045" s="3">
        <v>0</v>
      </c>
      <c r="G1045" s="3">
        <v>0</v>
      </c>
      <c r="H1045" s="2">
        <f t="shared" si="32"/>
        <v>73</v>
      </c>
      <c r="I1045" t="str">
        <f t="shared" si="33"/>
        <v>Ccdc54_73</v>
      </c>
      <c r="J1045" s="3">
        <v>73</v>
      </c>
      <c r="K1045" s="3">
        <v>0</v>
      </c>
      <c r="L1045" s="3">
        <v>0</v>
      </c>
      <c r="M1045" s="3">
        <v>0</v>
      </c>
      <c r="N1045" s="3">
        <v>0</v>
      </c>
    </row>
    <row r="1046" spans="1:14" x14ac:dyDescent="0.2">
      <c r="A1046" s="5" t="str">
        <f>HYPERLINK("http://www.ncbi.nlm.nih.gov/protein/59858549","Ccdc55")</f>
        <v>Ccdc55</v>
      </c>
      <c r="B1046" s="4"/>
      <c r="C1046" s="3">
        <v>0</v>
      </c>
      <c r="D1046" s="3">
        <v>88</v>
      </c>
      <c r="E1046" s="3">
        <v>0</v>
      </c>
      <c r="F1046" s="3">
        <v>0</v>
      </c>
      <c r="G1046" s="3">
        <v>0</v>
      </c>
      <c r="H1046" s="2">
        <f t="shared" si="32"/>
        <v>88</v>
      </c>
      <c r="I1046" t="str">
        <f t="shared" si="33"/>
        <v>Ccdc55_88</v>
      </c>
      <c r="J1046" s="3">
        <v>0</v>
      </c>
      <c r="K1046" s="3">
        <v>88</v>
      </c>
      <c r="L1046" s="3">
        <v>0</v>
      </c>
      <c r="M1046" s="3">
        <v>0</v>
      </c>
      <c r="N1046" s="3">
        <v>0</v>
      </c>
    </row>
    <row r="1047" spans="1:14" x14ac:dyDescent="0.2">
      <c r="A1047" s="5" t="str">
        <f>HYPERLINK("http://www.ncbi.nlm.nih.gov/protein/226874938","Ccdc58")</f>
        <v>Ccdc58</v>
      </c>
      <c r="B1047" s="4"/>
      <c r="C1047" s="3">
        <v>10544</v>
      </c>
      <c r="D1047" s="3">
        <v>852</v>
      </c>
      <c r="E1047" s="3">
        <v>426</v>
      </c>
      <c r="F1047" s="3">
        <v>0</v>
      </c>
      <c r="G1047" s="3">
        <v>1842</v>
      </c>
      <c r="H1047" s="2">
        <f t="shared" si="32"/>
        <v>13664</v>
      </c>
      <c r="I1047" t="str">
        <f t="shared" si="33"/>
        <v>Ccdc58_13664</v>
      </c>
      <c r="J1047" s="3">
        <v>10544</v>
      </c>
      <c r="K1047" s="3">
        <v>852</v>
      </c>
      <c r="L1047" s="3">
        <v>426</v>
      </c>
      <c r="M1047" s="3">
        <v>0</v>
      </c>
      <c r="N1047" s="3">
        <v>1842</v>
      </c>
    </row>
    <row r="1048" spans="1:14" x14ac:dyDescent="0.2">
      <c r="A1048" s="5" t="str">
        <f>HYPERLINK("http://www.ncbi.nlm.nih.gov/protein/226874940","Ccdc58")</f>
        <v>Ccdc58</v>
      </c>
      <c r="B1048" s="4"/>
      <c r="C1048" s="3">
        <v>10544</v>
      </c>
      <c r="D1048" s="3">
        <v>2021</v>
      </c>
      <c r="E1048" s="3">
        <v>426</v>
      </c>
      <c r="F1048" s="3">
        <v>0</v>
      </c>
      <c r="G1048" s="3">
        <v>2142</v>
      </c>
      <c r="H1048" s="2">
        <f t="shared" si="32"/>
        <v>15133</v>
      </c>
      <c r="I1048" t="str">
        <f t="shared" si="33"/>
        <v>Ccdc58_15133</v>
      </c>
      <c r="J1048" s="3">
        <v>10544</v>
      </c>
      <c r="K1048" s="3">
        <v>2021</v>
      </c>
      <c r="L1048" s="3">
        <v>426</v>
      </c>
      <c r="M1048" s="3">
        <v>0</v>
      </c>
      <c r="N1048" s="3">
        <v>2142</v>
      </c>
    </row>
    <row r="1049" spans="1:14" x14ac:dyDescent="0.2">
      <c r="A1049" s="5" t="str">
        <f>HYPERLINK("http://www.ncbi.nlm.nih.gov/protein/38348528","Ccdc58")</f>
        <v>Ccdc58</v>
      </c>
      <c r="B1049" s="4"/>
      <c r="C1049" s="3">
        <v>10544</v>
      </c>
      <c r="D1049" s="3">
        <v>2021</v>
      </c>
      <c r="E1049" s="3">
        <v>426</v>
      </c>
      <c r="F1049" s="3">
        <v>0</v>
      </c>
      <c r="G1049" s="3">
        <v>2142</v>
      </c>
      <c r="H1049" s="2">
        <f t="shared" si="32"/>
        <v>15133</v>
      </c>
      <c r="I1049" t="str">
        <f t="shared" si="33"/>
        <v>Ccdc58_15133</v>
      </c>
      <c r="J1049" s="3">
        <v>10544</v>
      </c>
      <c r="K1049" s="3">
        <v>2021</v>
      </c>
      <c r="L1049" s="3">
        <v>426</v>
      </c>
      <c r="M1049" s="3">
        <v>0</v>
      </c>
      <c r="N1049" s="3">
        <v>2142</v>
      </c>
    </row>
    <row r="1050" spans="1:14" x14ac:dyDescent="0.2">
      <c r="A1050" s="5" t="str">
        <f>HYPERLINK("http://www.ncbi.nlm.nih.gov/protein/13385058","Ccdc59")</f>
        <v>Ccdc59</v>
      </c>
      <c r="B1050" s="4"/>
      <c r="C1050" s="3">
        <v>0</v>
      </c>
      <c r="D1050" s="3">
        <v>0</v>
      </c>
      <c r="E1050" s="3">
        <v>0</v>
      </c>
      <c r="F1050" s="3">
        <v>933</v>
      </c>
      <c r="G1050" s="3">
        <v>0</v>
      </c>
      <c r="H1050" s="2">
        <f t="shared" si="32"/>
        <v>933</v>
      </c>
      <c r="I1050" t="str">
        <f t="shared" si="33"/>
        <v>Ccdc59_933</v>
      </c>
      <c r="J1050" s="3">
        <v>0</v>
      </c>
      <c r="K1050" s="3">
        <v>0</v>
      </c>
      <c r="L1050" s="3">
        <v>0</v>
      </c>
      <c r="M1050" s="3">
        <v>933</v>
      </c>
      <c r="N1050" s="3">
        <v>0</v>
      </c>
    </row>
    <row r="1051" spans="1:14" x14ac:dyDescent="0.2">
      <c r="A1051" s="5" t="str">
        <f>HYPERLINK("http://www.ncbi.nlm.nih.gov/protein/162135971","Ccdc6")</f>
        <v>Ccdc6</v>
      </c>
      <c r="B1051" s="4"/>
      <c r="C1051" s="3">
        <v>0</v>
      </c>
      <c r="D1051" s="3">
        <v>79</v>
      </c>
      <c r="E1051" s="3">
        <v>161</v>
      </c>
      <c r="F1051" s="3">
        <v>0</v>
      </c>
      <c r="G1051" s="3">
        <v>9360</v>
      </c>
      <c r="H1051" s="2">
        <f t="shared" si="32"/>
        <v>9600</v>
      </c>
      <c r="I1051" t="str">
        <f t="shared" si="33"/>
        <v>Ccdc6_9600</v>
      </c>
      <c r="J1051" s="3">
        <v>0</v>
      </c>
      <c r="K1051" s="3">
        <v>79</v>
      </c>
      <c r="L1051" s="3">
        <v>161</v>
      </c>
      <c r="M1051" s="3">
        <v>0</v>
      </c>
      <c r="N1051" s="3">
        <v>9360</v>
      </c>
    </row>
    <row r="1052" spans="1:14" x14ac:dyDescent="0.2">
      <c r="A1052" s="5" t="str">
        <f>HYPERLINK("http://www.ncbi.nlm.nih.gov/protein/115270981","Ccdc69")</f>
        <v>Ccdc69</v>
      </c>
      <c r="B1052" s="4"/>
      <c r="C1052" s="3">
        <v>0</v>
      </c>
      <c r="D1052" s="3">
        <v>0</v>
      </c>
      <c r="E1052" s="3">
        <v>41</v>
      </c>
      <c r="F1052" s="3">
        <v>0</v>
      </c>
      <c r="G1052" s="3">
        <v>0</v>
      </c>
      <c r="H1052" s="2">
        <f t="shared" si="32"/>
        <v>41</v>
      </c>
      <c r="I1052" t="str">
        <f t="shared" si="33"/>
        <v>Ccdc69_41</v>
      </c>
      <c r="J1052" s="3">
        <v>0</v>
      </c>
      <c r="K1052" s="3">
        <v>0</v>
      </c>
      <c r="L1052" s="3">
        <v>41</v>
      </c>
      <c r="M1052" s="3">
        <v>0</v>
      </c>
      <c r="N1052" s="3">
        <v>0</v>
      </c>
    </row>
    <row r="1053" spans="1:14" x14ac:dyDescent="0.2">
      <c r="A1053" s="5" t="str">
        <f>HYPERLINK("http://www.ncbi.nlm.nih.gov/protein/47059089","Ccdc88c")</f>
        <v>Ccdc88c</v>
      </c>
      <c r="B1053" s="4"/>
      <c r="C1053" s="3">
        <v>0</v>
      </c>
      <c r="D1053" s="3">
        <v>0</v>
      </c>
      <c r="E1053" s="3">
        <v>80</v>
      </c>
      <c r="F1053" s="3">
        <v>0</v>
      </c>
      <c r="G1053" s="3">
        <v>1874</v>
      </c>
      <c r="H1053" s="2">
        <f t="shared" si="32"/>
        <v>1954</v>
      </c>
      <c r="I1053" t="str">
        <f t="shared" si="33"/>
        <v>Ccdc88c_1954</v>
      </c>
      <c r="J1053" s="3">
        <v>0</v>
      </c>
      <c r="K1053" s="3">
        <v>0</v>
      </c>
      <c r="L1053" s="3">
        <v>80</v>
      </c>
      <c r="M1053" s="3">
        <v>0</v>
      </c>
      <c r="N1053" s="3">
        <v>1874</v>
      </c>
    </row>
    <row r="1054" spans="1:14" x14ac:dyDescent="0.2">
      <c r="A1054" s="5" t="str">
        <f>HYPERLINK("http://www.ncbi.nlm.nih.gov/protein/160333440","Ccdc93")</f>
        <v>Ccdc93</v>
      </c>
      <c r="B1054" s="4"/>
      <c r="C1054" s="3">
        <v>0</v>
      </c>
      <c r="D1054" s="3">
        <v>296</v>
      </c>
      <c r="E1054" s="3">
        <v>4129</v>
      </c>
      <c r="F1054" s="3">
        <v>33430</v>
      </c>
      <c r="G1054" s="3">
        <v>1339</v>
      </c>
      <c r="H1054" s="2">
        <f t="shared" si="32"/>
        <v>39194</v>
      </c>
      <c r="I1054" t="str">
        <f t="shared" si="33"/>
        <v>Ccdc93_39194</v>
      </c>
      <c r="J1054" s="3">
        <v>0</v>
      </c>
      <c r="K1054" s="3">
        <v>296</v>
      </c>
      <c r="L1054" s="3">
        <v>4129</v>
      </c>
      <c r="M1054" s="3">
        <v>33430</v>
      </c>
      <c r="N1054" s="3">
        <v>1339</v>
      </c>
    </row>
    <row r="1055" spans="1:14" x14ac:dyDescent="0.2">
      <c r="A1055" s="5" t="str">
        <f>HYPERLINK("http://www.ncbi.nlm.nih.gov/protein/68448542","Ccdc93")</f>
        <v>Ccdc93</v>
      </c>
      <c r="B1055" s="4"/>
      <c r="C1055" s="3">
        <v>0</v>
      </c>
      <c r="D1055" s="3">
        <v>296</v>
      </c>
      <c r="E1055" s="3">
        <v>4129</v>
      </c>
      <c r="F1055" s="3">
        <v>33430</v>
      </c>
      <c r="G1055" s="3">
        <v>1339</v>
      </c>
      <c r="H1055" s="2">
        <f t="shared" si="32"/>
        <v>39194</v>
      </c>
      <c r="I1055" t="str">
        <f t="shared" si="33"/>
        <v>Ccdc93_39194</v>
      </c>
      <c r="J1055" s="3">
        <v>0</v>
      </c>
      <c r="K1055" s="3">
        <v>296</v>
      </c>
      <c r="L1055" s="3">
        <v>4129</v>
      </c>
      <c r="M1055" s="3">
        <v>33430</v>
      </c>
      <c r="N1055" s="3">
        <v>1339</v>
      </c>
    </row>
    <row r="1056" spans="1:14" x14ac:dyDescent="0.2">
      <c r="A1056" s="5" t="str">
        <f>HYPERLINK("http://www.ncbi.nlm.nih.gov/protein/157738617","Cchcr1")</f>
        <v>Cchcr1</v>
      </c>
      <c r="B1056" s="4"/>
      <c r="C1056" s="3">
        <v>0</v>
      </c>
      <c r="D1056" s="3">
        <v>0</v>
      </c>
      <c r="E1056" s="3">
        <v>1258</v>
      </c>
      <c r="F1056" s="3">
        <v>0</v>
      </c>
      <c r="G1056" s="3">
        <v>0</v>
      </c>
      <c r="H1056" s="2">
        <f t="shared" si="32"/>
        <v>1258</v>
      </c>
      <c r="I1056" t="str">
        <f t="shared" si="33"/>
        <v>Cchcr1_1258</v>
      </c>
      <c r="J1056" s="3">
        <v>0</v>
      </c>
      <c r="K1056" s="3">
        <v>0</v>
      </c>
      <c r="L1056" s="3">
        <v>1258</v>
      </c>
      <c r="M1056" s="3">
        <v>0</v>
      </c>
      <c r="N1056" s="3">
        <v>0</v>
      </c>
    </row>
    <row r="1057" spans="1:14" x14ac:dyDescent="0.2">
      <c r="A1057" s="5" t="str">
        <f>HYPERLINK("http://www.ncbi.nlm.nih.gov/protein/12963599","Ccnh")</f>
        <v>Ccnh</v>
      </c>
      <c r="B1057" s="4"/>
      <c r="C1057" s="3">
        <v>0</v>
      </c>
      <c r="D1057" s="3">
        <v>119</v>
      </c>
      <c r="E1057" s="3">
        <v>0</v>
      </c>
      <c r="F1057" s="3">
        <v>0</v>
      </c>
      <c r="G1057" s="3">
        <v>0</v>
      </c>
      <c r="H1057" s="2">
        <f t="shared" si="32"/>
        <v>119</v>
      </c>
      <c r="I1057" t="str">
        <f t="shared" si="33"/>
        <v>Ccnh_119</v>
      </c>
      <c r="J1057" s="3">
        <v>0</v>
      </c>
      <c r="K1057" s="3">
        <v>119</v>
      </c>
      <c r="L1057" s="3">
        <v>0</v>
      </c>
      <c r="M1057" s="3">
        <v>0</v>
      </c>
      <c r="N1057" s="3">
        <v>0</v>
      </c>
    </row>
    <row r="1058" spans="1:14" x14ac:dyDescent="0.2">
      <c r="A1058" s="5" t="str">
        <f>HYPERLINK("http://www.ncbi.nlm.nih.gov/protein/157841168","Ccnk")</f>
        <v>Ccnk</v>
      </c>
      <c r="B1058" s="4"/>
      <c r="C1058" s="3">
        <v>714</v>
      </c>
      <c r="D1058" s="3">
        <v>0</v>
      </c>
      <c r="E1058" s="3">
        <v>6</v>
      </c>
      <c r="F1058" s="3">
        <v>0</v>
      </c>
      <c r="G1058" s="3">
        <v>0</v>
      </c>
      <c r="H1058" s="2">
        <f t="shared" si="32"/>
        <v>720</v>
      </c>
      <c r="I1058" t="str">
        <f t="shared" si="33"/>
        <v>Ccnk_720</v>
      </c>
      <c r="J1058" s="3">
        <v>714</v>
      </c>
      <c r="K1058" s="3">
        <v>0</v>
      </c>
      <c r="L1058" s="3">
        <v>6</v>
      </c>
      <c r="M1058" s="3">
        <v>0</v>
      </c>
      <c r="N1058" s="3">
        <v>0</v>
      </c>
    </row>
    <row r="1059" spans="1:14" x14ac:dyDescent="0.2">
      <c r="A1059" s="5" t="str">
        <f>HYPERLINK("http://www.ncbi.nlm.nih.gov/protein/70906460","Ccnl1")</f>
        <v>Ccnl1</v>
      </c>
      <c r="B1059" s="4"/>
      <c r="C1059" s="3">
        <v>0</v>
      </c>
      <c r="D1059" s="3">
        <v>205</v>
      </c>
      <c r="E1059" s="3">
        <v>1</v>
      </c>
      <c r="F1059" s="3">
        <v>0</v>
      </c>
      <c r="G1059" s="3">
        <v>0</v>
      </c>
      <c r="H1059" s="2">
        <f t="shared" si="32"/>
        <v>206</v>
      </c>
      <c r="I1059" t="str">
        <f t="shared" si="33"/>
        <v>Ccnl1_206</v>
      </c>
      <c r="J1059" s="3">
        <v>0</v>
      </c>
      <c r="K1059" s="3">
        <v>205</v>
      </c>
      <c r="L1059" s="3">
        <v>1</v>
      </c>
      <c r="M1059" s="3">
        <v>0</v>
      </c>
      <c r="N1059" s="3">
        <v>0</v>
      </c>
    </row>
    <row r="1060" spans="1:14" x14ac:dyDescent="0.2">
      <c r="A1060" s="5" t="str">
        <f>HYPERLINK("http://www.ncbi.nlm.nih.gov/protein/6753316","Ccnt1")</f>
        <v>Ccnt1</v>
      </c>
      <c r="B1060" s="4"/>
      <c r="C1060" s="3">
        <v>0</v>
      </c>
      <c r="D1060" s="3">
        <v>0</v>
      </c>
      <c r="E1060" s="3">
        <v>301</v>
      </c>
      <c r="F1060" s="3">
        <v>0</v>
      </c>
      <c r="G1060" s="3">
        <v>0</v>
      </c>
      <c r="H1060" s="2">
        <f t="shared" si="32"/>
        <v>301</v>
      </c>
      <c r="I1060" t="str">
        <f t="shared" si="33"/>
        <v>Ccnt1_301</v>
      </c>
      <c r="J1060" s="3">
        <v>0</v>
      </c>
      <c r="K1060" s="3">
        <v>0</v>
      </c>
      <c r="L1060" s="3">
        <v>301</v>
      </c>
      <c r="M1060" s="3">
        <v>0</v>
      </c>
      <c r="N1060" s="3">
        <v>0</v>
      </c>
    </row>
    <row r="1061" spans="1:14" x14ac:dyDescent="0.2">
      <c r="A1061" s="5" t="str">
        <f>HYPERLINK("http://www.ncbi.nlm.nih.gov/protein/31542003","Ccny")</f>
        <v>Ccny</v>
      </c>
      <c r="B1061" s="4"/>
      <c r="C1061" s="3">
        <v>0</v>
      </c>
      <c r="D1061" s="3">
        <v>0</v>
      </c>
      <c r="E1061" s="3">
        <v>154</v>
      </c>
      <c r="F1061" s="3">
        <v>0</v>
      </c>
      <c r="G1061" s="3">
        <v>0</v>
      </c>
      <c r="H1061" s="2">
        <f t="shared" si="32"/>
        <v>154</v>
      </c>
      <c r="I1061" t="str">
        <f t="shared" si="33"/>
        <v>Ccny_154</v>
      </c>
      <c r="J1061" s="3">
        <v>0</v>
      </c>
      <c r="K1061" s="3">
        <v>0</v>
      </c>
      <c r="L1061" s="3">
        <v>154</v>
      </c>
      <c r="M1061" s="3">
        <v>0</v>
      </c>
      <c r="N1061" s="3">
        <v>0</v>
      </c>
    </row>
    <row r="1062" spans="1:14" x14ac:dyDescent="0.2">
      <c r="A1062" s="5" t="str">
        <f>HYPERLINK("http://www.ncbi.nlm.nih.gov/protein/148237243","Ccnyl1")</f>
        <v>Ccnyl1</v>
      </c>
      <c r="B1062" s="4"/>
      <c r="C1062" s="3">
        <v>0</v>
      </c>
      <c r="D1062" s="3">
        <v>0</v>
      </c>
      <c r="E1062" s="3">
        <v>28</v>
      </c>
      <c r="F1062" s="3">
        <v>0</v>
      </c>
      <c r="G1062" s="3">
        <v>0</v>
      </c>
      <c r="H1062" s="2">
        <f t="shared" si="32"/>
        <v>28</v>
      </c>
      <c r="I1062" t="str">
        <f t="shared" si="33"/>
        <v>Ccnyl1_28</v>
      </c>
      <c r="J1062" s="3">
        <v>0</v>
      </c>
      <c r="K1062" s="3">
        <v>0</v>
      </c>
      <c r="L1062" s="3">
        <v>28</v>
      </c>
      <c r="M1062" s="3">
        <v>0</v>
      </c>
      <c r="N1062" s="3">
        <v>0</v>
      </c>
    </row>
    <row r="1063" spans="1:14" x14ac:dyDescent="0.2">
      <c r="A1063" s="5" t="str">
        <f>HYPERLINK("http://www.ncbi.nlm.nih.gov/protein/8393066","Ccs")</f>
        <v>Ccs</v>
      </c>
      <c r="B1063" s="4"/>
      <c r="C1063" s="3">
        <v>0</v>
      </c>
      <c r="D1063" s="3">
        <v>56</v>
      </c>
      <c r="E1063" s="3">
        <v>208</v>
      </c>
      <c r="F1063" s="3">
        <v>0</v>
      </c>
      <c r="G1063" s="3">
        <v>26292</v>
      </c>
      <c r="H1063" s="2">
        <f t="shared" si="32"/>
        <v>26556</v>
      </c>
      <c r="I1063" t="str">
        <f t="shared" si="33"/>
        <v>Ccs_26556</v>
      </c>
      <c r="J1063" s="3">
        <v>0</v>
      </c>
      <c r="K1063" s="3">
        <v>56</v>
      </c>
      <c r="L1063" s="3">
        <v>208</v>
      </c>
      <c r="M1063" s="3">
        <v>0</v>
      </c>
      <c r="N1063" s="3">
        <v>26292</v>
      </c>
    </row>
    <row r="1064" spans="1:14" x14ac:dyDescent="0.2">
      <c r="A1064" s="5" t="str">
        <f>HYPERLINK("http://www.ncbi.nlm.nih.gov/protein/126521835","Cct2")</f>
        <v>Cct2</v>
      </c>
      <c r="B1064" s="4"/>
      <c r="C1064" s="3">
        <v>79411</v>
      </c>
      <c r="D1064" s="3">
        <v>56526</v>
      </c>
      <c r="E1064" s="3">
        <v>64761</v>
      </c>
      <c r="F1064" s="3">
        <v>426435</v>
      </c>
      <c r="G1064" s="3">
        <v>61580</v>
      </c>
      <c r="H1064" s="2">
        <f t="shared" si="32"/>
        <v>688713</v>
      </c>
      <c r="I1064" t="str">
        <f t="shared" si="33"/>
        <v>Cct2_688713</v>
      </c>
      <c r="J1064" s="3">
        <v>79411</v>
      </c>
      <c r="K1064" s="3">
        <v>56526</v>
      </c>
      <c r="L1064" s="3">
        <v>64761</v>
      </c>
      <c r="M1064" s="3">
        <v>426435</v>
      </c>
      <c r="N1064" s="3">
        <v>61580</v>
      </c>
    </row>
    <row r="1065" spans="1:14" x14ac:dyDescent="0.2">
      <c r="A1065" s="5" t="str">
        <f>HYPERLINK("http://www.ncbi.nlm.nih.gov/protein/6753320","Cct3")</f>
        <v>Cct3</v>
      </c>
      <c r="B1065" s="4"/>
      <c r="C1065" s="3">
        <v>119831</v>
      </c>
      <c r="D1065" s="3">
        <v>32766</v>
      </c>
      <c r="E1065" s="3">
        <v>88516</v>
      </c>
      <c r="F1065" s="3">
        <v>1352582</v>
      </c>
      <c r="G1065" s="3">
        <v>63454</v>
      </c>
      <c r="H1065" s="2">
        <f t="shared" si="32"/>
        <v>1657149</v>
      </c>
      <c r="I1065" t="str">
        <f t="shared" si="33"/>
        <v>Cct3_1657149</v>
      </c>
      <c r="J1065" s="3">
        <v>119831</v>
      </c>
      <c r="K1065" s="3">
        <v>32766</v>
      </c>
      <c r="L1065" s="3">
        <v>88516</v>
      </c>
      <c r="M1065" s="3">
        <v>1352582</v>
      </c>
      <c r="N1065" s="3">
        <v>63454</v>
      </c>
    </row>
    <row r="1066" spans="1:14" x14ac:dyDescent="0.2">
      <c r="A1066" s="5" t="str">
        <f>HYPERLINK("http://www.ncbi.nlm.nih.gov/protein/6753322","Cct4")</f>
        <v>Cct4</v>
      </c>
      <c r="B1066" s="4"/>
      <c r="C1066" s="3">
        <v>69490</v>
      </c>
      <c r="D1066" s="3">
        <v>5960</v>
      </c>
      <c r="E1066" s="3">
        <v>95505</v>
      </c>
      <c r="F1066" s="3">
        <v>722294</v>
      </c>
      <c r="G1066" s="3">
        <v>70833</v>
      </c>
      <c r="H1066" s="2">
        <f t="shared" si="32"/>
        <v>964082</v>
      </c>
      <c r="I1066" t="str">
        <f t="shared" si="33"/>
        <v>Cct4_964082</v>
      </c>
      <c r="J1066" s="3">
        <v>69490</v>
      </c>
      <c r="K1066" s="3">
        <v>5960</v>
      </c>
      <c r="L1066" s="3">
        <v>95505</v>
      </c>
      <c r="M1066" s="3">
        <v>722294</v>
      </c>
      <c r="N1066" s="3">
        <v>70833</v>
      </c>
    </row>
    <row r="1067" spans="1:14" x14ac:dyDescent="0.2">
      <c r="A1067" s="5" t="str">
        <f>HYPERLINK("http://www.ncbi.nlm.nih.gov/protein/6671702","Cct5")</f>
        <v>Cct5</v>
      </c>
      <c r="B1067" s="4"/>
      <c r="C1067" s="3">
        <v>60575</v>
      </c>
      <c r="D1067" s="3">
        <v>12227</v>
      </c>
      <c r="E1067" s="3">
        <v>61846</v>
      </c>
      <c r="F1067" s="3">
        <v>982562</v>
      </c>
      <c r="G1067" s="3">
        <v>8461</v>
      </c>
      <c r="H1067" s="2">
        <f t="shared" si="32"/>
        <v>1125671</v>
      </c>
      <c r="I1067" t="str">
        <f t="shared" si="33"/>
        <v>Cct5_1125671</v>
      </c>
      <c r="J1067" s="3">
        <v>60575</v>
      </c>
      <c r="K1067" s="3">
        <v>12227</v>
      </c>
      <c r="L1067" s="3">
        <v>61846</v>
      </c>
      <c r="M1067" s="3">
        <v>982562</v>
      </c>
      <c r="N1067" s="3">
        <v>8461</v>
      </c>
    </row>
    <row r="1068" spans="1:14" x14ac:dyDescent="0.2">
      <c r="A1068" s="5" t="str">
        <f>HYPERLINK("http://www.ncbi.nlm.nih.gov/protein/6753324","Cct6a")</f>
        <v>Cct6a</v>
      </c>
      <c r="B1068" s="4"/>
      <c r="C1068" s="3">
        <v>17830</v>
      </c>
      <c r="D1068" s="3">
        <v>15387</v>
      </c>
      <c r="E1068" s="3">
        <v>54299</v>
      </c>
      <c r="F1068" s="3">
        <v>885326</v>
      </c>
      <c r="G1068" s="3">
        <v>37451</v>
      </c>
      <c r="H1068" s="2">
        <f t="shared" si="32"/>
        <v>1010293</v>
      </c>
      <c r="I1068" t="str">
        <f t="shared" si="33"/>
        <v>Cct6a_1010293</v>
      </c>
      <c r="J1068" s="3">
        <v>17830</v>
      </c>
      <c r="K1068" s="3">
        <v>15387</v>
      </c>
      <c r="L1068" s="3">
        <v>54299</v>
      </c>
      <c r="M1068" s="3">
        <v>885326</v>
      </c>
      <c r="N1068" s="3">
        <v>37451</v>
      </c>
    </row>
    <row r="1069" spans="1:14" x14ac:dyDescent="0.2">
      <c r="A1069" s="5" t="str">
        <f>HYPERLINK("http://www.ncbi.nlm.nih.gov/protein/226693361","Cct6b")</f>
        <v>Cct6b</v>
      </c>
      <c r="B1069" s="4"/>
      <c r="C1069" s="3">
        <v>0</v>
      </c>
      <c r="D1069" s="3">
        <v>4346</v>
      </c>
      <c r="E1069" s="3">
        <v>15423</v>
      </c>
      <c r="F1069" s="3">
        <v>85826</v>
      </c>
      <c r="G1069" s="3">
        <v>14501</v>
      </c>
      <c r="H1069" s="2">
        <f t="shared" si="32"/>
        <v>120096</v>
      </c>
      <c r="I1069" t="str">
        <f t="shared" si="33"/>
        <v>Cct6b_120096</v>
      </c>
      <c r="J1069" s="3">
        <v>0</v>
      </c>
      <c r="K1069" s="3">
        <v>4346</v>
      </c>
      <c r="L1069" s="3">
        <v>15423</v>
      </c>
      <c r="M1069" s="3">
        <v>85826</v>
      </c>
      <c r="N1069" s="3">
        <v>14501</v>
      </c>
    </row>
    <row r="1070" spans="1:14" x14ac:dyDescent="0.2">
      <c r="A1070" s="5" t="str">
        <f>HYPERLINK("http://www.ncbi.nlm.nih.gov/protein/238814391","Cct7")</f>
        <v>Cct7</v>
      </c>
      <c r="B1070" s="4"/>
      <c r="C1070" s="3">
        <v>51769</v>
      </c>
      <c r="D1070" s="3">
        <v>3553</v>
      </c>
      <c r="E1070" s="3">
        <v>45167</v>
      </c>
      <c r="F1070" s="3">
        <v>811533</v>
      </c>
      <c r="G1070" s="3">
        <v>41071</v>
      </c>
      <c r="H1070" s="2">
        <f t="shared" si="32"/>
        <v>953093</v>
      </c>
      <c r="I1070" t="str">
        <f t="shared" si="33"/>
        <v>Cct7_953093</v>
      </c>
      <c r="J1070" s="3">
        <v>51769</v>
      </c>
      <c r="K1070" s="3">
        <v>3553</v>
      </c>
      <c r="L1070" s="3">
        <v>45167</v>
      </c>
      <c r="M1070" s="3">
        <v>811533</v>
      </c>
      <c r="N1070" s="3">
        <v>41071</v>
      </c>
    </row>
    <row r="1071" spans="1:14" x14ac:dyDescent="0.2">
      <c r="A1071" s="5" t="str">
        <f>HYPERLINK("http://www.ncbi.nlm.nih.gov/protein/126723461","Cct8")</f>
        <v>Cct8</v>
      </c>
      <c r="B1071" s="4"/>
      <c r="C1071" s="3">
        <v>35825</v>
      </c>
      <c r="D1071" s="3">
        <v>22194</v>
      </c>
      <c r="E1071" s="3">
        <v>115150</v>
      </c>
      <c r="F1071" s="3">
        <v>2092394</v>
      </c>
      <c r="G1071" s="3">
        <v>66817</v>
      </c>
      <c r="H1071" s="2">
        <f t="shared" si="32"/>
        <v>2332380</v>
      </c>
      <c r="I1071" t="str">
        <f t="shared" si="33"/>
        <v>Cct8_2332380</v>
      </c>
      <c r="J1071" s="3">
        <v>35825</v>
      </c>
      <c r="K1071" s="3">
        <v>22194</v>
      </c>
      <c r="L1071" s="3">
        <v>115150</v>
      </c>
      <c r="M1071" s="3">
        <v>2092394</v>
      </c>
      <c r="N1071" s="3">
        <v>66817</v>
      </c>
    </row>
    <row r="1072" spans="1:14" x14ac:dyDescent="0.2">
      <c r="A1072" s="5" t="str">
        <f>HYPERLINK("http://www.ncbi.nlm.nih.gov/protein/29244114","Ccz1")</f>
        <v>Ccz1</v>
      </c>
      <c r="B1072" s="4"/>
      <c r="C1072" s="3">
        <v>0</v>
      </c>
      <c r="D1072" s="3">
        <v>770</v>
      </c>
      <c r="E1072" s="3">
        <v>246</v>
      </c>
      <c r="F1072" s="3">
        <v>0</v>
      </c>
      <c r="G1072" s="3">
        <v>0</v>
      </c>
      <c r="H1072" s="2">
        <f t="shared" si="32"/>
        <v>1016</v>
      </c>
      <c r="I1072" t="str">
        <f t="shared" si="33"/>
        <v>Ccz1_1016</v>
      </c>
      <c r="J1072" s="3">
        <v>0</v>
      </c>
      <c r="K1072" s="3">
        <v>770</v>
      </c>
      <c r="L1072" s="3">
        <v>246</v>
      </c>
      <c r="M1072" s="3">
        <v>0</v>
      </c>
      <c r="N1072" s="3">
        <v>0</v>
      </c>
    </row>
    <row r="1073" spans="1:14" x14ac:dyDescent="0.2">
      <c r="A1073" s="5" t="str">
        <f>HYPERLINK("http://www.ncbi.nlm.nih.gov/protein/6753332","Cd14")</f>
        <v>Cd14</v>
      </c>
      <c r="B1073" s="4"/>
      <c r="C1073" s="3">
        <v>0</v>
      </c>
      <c r="D1073" s="3">
        <v>0</v>
      </c>
      <c r="E1073" s="3">
        <v>16</v>
      </c>
      <c r="F1073" s="3">
        <v>0</v>
      </c>
      <c r="G1073" s="3">
        <v>0</v>
      </c>
      <c r="H1073" s="2">
        <f t="shared" si="32"/>
        <v>16</v>
      </c>
      <c r="I1073" t="str">
        <f t="shared" si="33"/>
        <v>Cd14_16</v>
      </c>
      <c r="J1073" s="3">
        <v>0</v>
      </c>
      <c r="K1073" s="3">
        <v>0</v>
      </c>
      <c r="L1073" s="3">
        <v>16</v>
      </c>
      <c r="M1073" s="3">
        <v>0</v>
      </c>
      <c r="N1073" s="3">
        <v>0</v>
      </c>
    </row>
    <row r="1074" spans="1:14" x14ac:dyDescent="0.2">
      <c r="A1074" s="5" t="str">
        <f>HYPERLINK("http://www.ncbi.nlm.nih.gov/protein/161353452","Cd151")</f>
        <v>Cd151</v>
      </c>
      <c r="B1074" s="4"/>
      <c r="C1074" s="3">
        <v>1428</v>
      </c>
      <c r="D1074" s="3">
        <v>56</v>
      </c>
      <c r="E1074" s="3">
        <v>1178</v>
      </c>
      <c r="F1074" s="3">
        <v>172</v>
      </c>
      <c r="G1074" s="3">
        <v>0</v>
      </c>
      <c r="H1074" s="2">
        <f t="shared" si="32"/>
        <v>2834</v>
      </c>
      <c r="I1074" t="str">
        <f t="shared" si="33"/>
        <v>Cd151_2834</v>
      </c>
      <c r="J1074" s="3">
        <v>1428</v>
      </c>
      <c r="K1074" s="3">
        <v>56</v>
      </c>
      <c r="L1074" s="3">
        <v>1178</v>
      </c>
      <c r="M1074" s="3">
        <v>172</v>
      </c>
      <c r="N1074" s="3">
        <v>0</v>
      </c>
    </row>
    <row r="1075" spans="1:14" x14ac:dyDescent="0.2">
      <c r="A1075" s="5" t="str">
        <f>HYPERLINK("http://www.ncbi.nlm.nih.gov/protein/125987599","Cd2ap")</f>
        <v>Cd2ap</v>
      </c>
      <c r="B1075" s="4"/>
      <c r="C1075" s="3">
        <v>0</v>
      </c>
      <c r="D1075" s="3">
        <v>3647</v>
      </c>
      <c r="E1075" s="3">
        <v>7375</v>
      </c>
      <c r="F1075" s="3">
        <v>35804</v>
      </c>
      <c r="G1075" s="3">
        <v>57253</v>
      </c>
      <c r="H1075" s="2">
        <f t="shared" si="32"/>
        <v>104079</v>
      </c>
      <c r="I1075" t="str">
        <f t="shared" si="33"/>
        <v>Cd2ap_104079</v>
      </c>
      <c r="J1075" s="3">
        <v>0</v>
      </c>
      <c r="K1075" s="3">
        <v>3647</v>
      </c>
      <c r="L1075" s="3">
        <v>7375</v>
      </c>
      <c r="M1075" s="3">
        <v>35804</v>
      </c>
      <c r="N1075" s="3">
        <v>57253</v>
      </c>
    </row>
    <row r="1076" spans="1:14" x14ac:dyDescent="0.2">
      <c r="A1076" s="5" t="str">
        <f>HYPERLINK("http://www.ncbi.nlm.nih.gov/protein/17505208","Cd2bp2")</f>
        <v>Cd2bp2</v>
      </c>
      <c r="B1076" s="4"/>
      <c r="C1076" s="3">
        <v>0</v>
      </c>
      <c r="D1076" s="3">
        <v>0</v>
      </c>
      <c r="E1076" s="3">
        <v>539</v>
      </c>
      <c r="F1076" s="3">
        <v>663</v>
      </c>
      <c r="G1076" s="3">
        <v>0</v>
      </c>
      <c r="H1076" s="2">
        <f t="shared" si="32"/>
        <v>1202</v>
      </c>
      <c r="I1076" t="str">
        <f t="shared" si="33"/>
        <v>Cd2bp2_1202</v>
      </c>
      <c r="J1076" s="3">
        <v>0</v>
      </c>
      <c r="K1076" s="3">
        <v>0</v>
      </c>
      <c r="L1076" s="3">
        <v>539</v>
      </c>
      <c r="M1076" s="3">
        <v>663</v>
      </c>
      <c r="N1076" s="3">
        <v>0</v>
      </c>
    </row>
    <row r="1077" spans="1:14" x14ac:dyDescent="0.2">
      <c r="A1077" s="5" t="str">
        <f>HYPERLINK("http://www.ncbi.nlm.nih.gov/protein/295293144","Cd44")</f>
        <v>Cd44</v>
      </c>
      <c r="B1077" s="4"/>
      <c r="C1077" s="3">
        <v>0</v>
      </c>
      <c r="D1077" s="3">
        <v>228</v>
      </c>
      <c r="E1077" s="3">
        <v>72</v>
      </c>
      <c r="F1077" s="3">
        <v>0</v>
      </c>
      <c r="G1077" s="3">
        <v>0</v>
      </c>
      <c r="H1077" s="2">
        <f t="shared" si="32"/>
        <v>300</v>
      </c>
      <c r="I1077" t="str">
        <f t="shared" si="33"/>
        <v>Cd44_300</v>
      </c>
      <c r="J1077" s="3">
        <v>0</v>
      </c>
      <c r="K1077" s="3">
        <v>228</v>
      </c>
      <c r="L1077" s="3">
        <v>72</v>
      </c>
      <c r="M1077" s="3">
        <v>0</v>
      </c>
      <c r="N1077" s="3">
        <v>0</v>
      </c>
    </row>
    <row r="1078" spans="1:14" x14ac:dyDescent="0.2">
      <c r="A1078" s="5" t="str">
        <f>HYPERLINK("http://www.ncbi.nlm.nih.gov/protein/295293146","Cd44")</f>
        <v>Cd44</v>
      </c>
      <c r="B1078" s="4"/>
      <c r="C1078" s="3">
        <v>0</v>
      </c>
      <c r="D1078" s="3">
        <v>228</v>
      </c>
      <c r="E1078" s="3">
        <v>72</v>
      </c>
      <c r="F1078" s="3">
        <v>0</v>
      </c>
      <c r="G1078" s="3">
        <v>0</v>
      </c>
      <c r="H1078" s="2">
        <f t="shared" si="32"/>
        <v>300</v>
      </c>
      <c r="I1078" t="str">
        <f t="shared" si="33"/>
        <v>Cd44_300</v>
      </c>
      <c r="J1078" s="3">
        <v>0</v>
      </c>
      <c r="K1078" s="3">
        <v>228</v>
      </c>
      <c r="L1078" s="3">
        <v>72</v>
      </c>
      <c r="M1078" s="3">
        <v>0</v>
      </c>
      <c r="N1078" s="3">
        <v>0</v>
      </c>
    </row>
    <row r="1079" spans="1:14" x14ac:dyDescent="0.2">
      <c r="A1079" s="5" t="str">
        <f>HYPERLINK("http://www.ncbi.nlm.nih.gov/protein/295293148","Cd44")</f>
        <v>Cd44</v>
      </c>
      <c r="B1079" s="4"/>
      <c r="C1079" s="3">
        <v>0</v>
      </c>
      <c r="D1079" s="3">
        <v>228</v>
      </c>
      <c r="E1079" s="3">
        <v>72</v>
      </c>
      <c r="F1079" s="3">
        <v>0</v>
      </c>
      <c r="G1079" s="3">
        <v>0</v>
      </c>
      <c r="H1079" s="2">
        <f t="shared" si="32"/>
        <v>300</v>
      </c>
      <c r="I1079" t="str">
        <f t="shared" si="33"/>
        <v>Cd44_300</v>
      </c>
      <c r="J1079" s="3">
        <v>0</v>
      </c>
      <c r="K1079" s="3">
        <v>228</v>
      </c>
      <c r="L1079" s="3">
        <v>72</v>
      </c>
      <c r="M1079" s="3">
        <v>0</v>
      </c>
      <c r="N1079" s="3">
        <v>0</v>
      </c>
    </row>
    <row r="1080" spans="1:14" x14ac:dyDescent="0.2">
      <c r="A1080" s="5" t="str">
        <f>HYPERLINK("http://www.ncbi.nlm.nih.gov/protein/85540466","Cd44")</f>
        <v>Cd44</v>
      </c>
      <c r="B1080" s="4"/>
      <c r="C1080" s="3">
        <v>0</v>
      </c>
      <c r="D1080" s="3">
        <v>228</v>
      </c>
      <c r="E1080" s="3">
        <v>72</v>
      </c>
      <c r="F1080" s="3">
        <v>0</v>
      </c>
      <c r="G1080" s="3">
        <v>0</v>
      </c>
      <c r="H1080" s="2">
        <f t="shared" si="32"/>
        <v>300</v>
      </c>
      <c r="I1080" t="str">
        <f t="shared" si="33"/>
        <v>Cd44_300</v>
      </c>
      <c r="J1080" s="3">
        <v>0</v>
      </c>
      <c r="K1080" s="3">
        <v>228</v>
      </c>
      <c r="L1080" s="3">
        <v>72</v>
      </c>
      <c r="M1080" s="3">
        <v>0</v>
      </c>
      <c r="N1080" s="3">
        <v>0</v>
      </c>
    </row>
    <row r="1081" spans="1:14" x14ac:dyDescent="0.2">
      <c r="A1081" s="5" t="str">
        <f>HYPERLINK("http://www.ncbi.nlm.nih.gov/protein/85540468","Cd44")</f>
        <v>Cd44</v>
      </c>
      <c r="B1081" s="4"/>
      <c r="C1081" s="3">
        <v>0</v>
      </c>
      <c r="D1081" s="3">
        <v>228</v>
      </c>
      <c r="E1081" s="3">
        <v>72</v>
      </c>
      <c r="F1081" s="3">
        <v>0</v>
      </c>
      <c r="G1081" s="3">
        <v>0</v>
      </c>
      <c r="H1081" s="2">
        <f t="shared" si="32"/>
        <v>300</v>
      </c>
      <c r="I1081" t="str">
        <f t="shared" si="33"/>
        <v>Cd44_300</v>
      </c>
      <c r="J1081" s="3">
        <v>0</v>
      </c>
      <c r="K1081" s="3">
        <v>228</v>
      </c>
      <c r="L1081" s="3">
        <v>72</v>
      </c>
      <c r="M1081" s="3">
        <v>0</v>
      </c>
      <c r="N1081" s="3">
        <v>0</v>
      </c>
    </row>
    <row r="1082" spans="1:14" x14ac:dyDescent="0.2">
      <c r="A1082" s="5" t="str">
        <f>HYPERLINK("http://www.ncbi.nlm.nih.gov/protein/85540471","Cd44")</f>
        <v>Cd44</v>
      </c>
      <c r="B1082" s="4"/>
      <c r="C1082" s="3">
        <v>0</v>
      </c>
      <c r="D1082" s="3">
        <v>228</v>
      </c>
      <c r="E1082" s="3">
        <v>72</v>
      </c>
      <c r="F1082" s="3">
        <v>0</v>
      </c>
      <c r="G1082" s="3">
        <v>0</v>
      </c>
      <c r="H1082" s="2">
        <f t="shared" si="32"/>
        <v>300</v>
      </c>
      <c r="I1082" t="str">
        <f t="shared" si="33"/>
        <v>Cd44_300</v>
      </c>
      <c r="J1082" s="3">
        <v>0</v>
      </c>
      <c r="K1082" s="3">
        <v>228</v>
      </c>
      <c r="L1082" s="3">
        <v>72</v>
      </c>
      <c r="M1082" s="3">
        <v>0</v>
      </c>
      <c r="N1082" s="3">
        <v>0</v>
      </c>
    </row>
    <row r="1083" spans="1:14" x14ac:dyDescent="0.2">
      <c r="A1083" s="5" t="str">
        <f>HYPERLINK("http://www.ncbi.nlm.nih.gov/protein/6754382","Cd47")</f>
        <v>Cd47</v>
      </c>
      <c r="B1083" s="4"/>
      <c r="C1083" s="3">
        <v>0</v>
      </c>
      <c r="D1083" s="3">
        <v>5300</v>
      </c>
      <c r="E1083" s="3">
        <v>11276</v>
      </c>
      <c r="F1083" s="3">
        <v>417</v>
      </c>
      <c r="G1083" s="3">
        <v>0</v>
      </c>
      <c r="H1083" s="2">
        <f t="shared" si="32"/>
        <v>16993</v>
      </c>
      <c r="I1083" t="str">
        <f t="shared" si="33"/>
        <v>Cd47_16993</v>
      </c>
      <c r="J1083" s="3">
        <v>0</v>
      </c>
      <c r="K1083" s="3">
        <v>5300</v>
      </c>
      <c r="L1083" s="3">
        <v>11276</v>
      </c>
      <c r="M1083" s="3">
        <v>417</v>
      </c>
      <c r="N1083" s="3">
        <v>0</v>
      </c>
    </row>
    <row r="1084" spans="1:14" x14ac:dyDescent="0.2">
      <c r="A1084" s="5" t="str">
        <f>HYPERLINK("http://www.ncbi.nlm.nih.gov/protein/6671714","Cd59a")</f>
        <v>Cd59a</v>
      </c>
      <c r="B1084" s="4"/>
      <c r="C1084" s="3">
        <v>0</v>
      </c>
      <c r="D1084" s="3">
        <v>84</v>
      </c>
      <c r="E1084" s="3">
        <v>0</v>
      </c>
      <c r="F1084" s="3">
        <v>0</v>
      </c>
      <c r="G1084" s="3">
        <v>0</v>
      </c>
      <c r="H1084" s="2">
        <f t="shared" si="32"/>
        <v>84</v>
      </c>
      <c r="I1084" t="str">
        <f t="shared" si="33"/>
        <v>Cd59a_84</v>
      </c>
      <c r="J1084" s="3">
        <v>0</v>
      </c>
      <c r="K1084" s="3">
        <v>84</v>
      </c>
      <c r="L1084" s="3">
        <v>0</v>
      </c>
      <c r="M1084" s="3">
        <v>0</v>
      </c>
      <c r="N1084" s="3">
        <v>0</v>
      </c>
    </row>
    <row r="1085" spans="1:14" x14ac:dyDescent="0.2">
      <c r="A1085" s="5" t="str">
        <f>HYPERLINK("http://www.ncbi.nlm.nih.gov/protein/6680888","Cd63")</f>
        <v>Cd63</v>
      </c>
      <c r="B1085" s="4"/>
      <c r="C1085" s="3">
        <v>25409</v>
      </c>
      <c r="D1085" s="3">
        <v>35498</v>
      </c>
      <c r="E1085" s="3">
        <v>56674</v>
      </c>
      <c r="F1085" s="3">
        <v>45635</v>
      </c>
      <c r="G1085" s="3">
        <v>0</v>
      </c>
      <c r="H1085" s="2">
        <f t="shared" si="32"/>
        <v>163216</v>
      </c>
      <c r="I1085" t="str">
        <f t="shared" si="33"/>
        <v>Cd63_163216</v>
      </c>
      <c r="J1085" s="3">
        <v>25409</v>
      </c>
      <c r="K1085" s="3">
        <v>35498</v>
      </c>
      <c r="L1085" s="3">
        <v>56674</v>
      </c>
      <c r="M1085" s="3">
        <v>45635</v>
      </c>
      <c r="N1085" s="3">
        <v>0</v>
      </c>
    </row>
    <row r="1086" spans="1:14" x14ac:dyDescent="0.2">
      <c r="A1086" s="5" t="str">
        <f>HYPERLINK("http://www.ncbi.nlm.nih.gov/protein/19526794","Cd81")</f>
        <v>Cd81</v>
      </c>
      <c r="B1086" s="4"/>
      <c r="C1086" s="3">
        <v>0</v>
      </c>
      <c r="D1086" s="3">
        <v>38</v>
      </c>
      <c r="E1086" s="3">
        <v>75</v>
      </c>
      <c r="F1086" s="3">
        <v>688</v>
      </c>
      <c r="G1086" s="3">
        <v>0</v>
      </c>
      <c r="H1086" s="2">
        <f t="shared" si="32"/>
        <v>801</v>
      </c>
      <c r="I1086" t="str">
        <f t="shared" si="33"/>
        <v>Cd81_801</v>
      </c>
      <c r="J1086" s="3">
        <v>0</v>
      </c>
      <c r="K1086" s="3">
        <v>38</v>
      </c>
      <c r="L1086" s="3">
        <v>75</v>
      </c>
      <c r="M1086" s="3">
        <v>688</v>
      </c>
      <c r="N1086" s="3">
        <v>0</v>
      </c>
    </row>
    <row r="1087" spans="1:14" x14ac:dyDescent="0.2">
      <c r="A1087" s="5" t="str">
        <f>HYPERLINK("http://www.ncbi.nlm.nih.gov/protein/6671718","Cd82")</f>
        <v>Cd82</v>
      </c>
      <c r="B1087" s="4"/>
      <c r="C1087" s="3">
        <v>16494</v>
      </c>
      <c r="D1087" s="3">
        <v>21677</v>
      </c>
      <c r="E1087" s="3">
        <v>48490</v>
      </c>
      <c r="F1087" s="3">
        <v>5345</v>
      </c>
      <c r="G1087" s="3">
        <v>0</v>
      </c>
      <c r="H1087" s="2">
        <f t="shared" si="32"/>
        <v>92006</v>
      </c>
      <c r="I1087" t="str">
        <f t="shared" si="33"/>
        <v>Cd82_92006</v>
      </c>
      <c r="J1087" s="3">
        <v>16494</v>
      </c>
      <c r="K1087" s="3">
        <v>21677</v>
      </c>
      <c r="L1087" s="3">
        <v>48490</v>
      </c>
      <c r="M1087" s="3">
        <v>5345</v>
      </c>
      <c r="N1087" s="3">
        <v>0</v>
      </c>
    </row>
    <row r="1088" spans="1:14" x14ac:dyDescent="0.2">
      <c r="A1088" s="5" t="str">
        <f>HYPERLINK("http://www.ncbi.nlm.nih.gov/protein/6680894","Cd9")</f>
        <v>Cd9</v>
      </c>
      <c r="B1088" s="4"/>
      <c r="C1088" s="3">
        <v>0</v>
      </c>
      <c r="D1088" s="3">
        <v>0</v>
      </c>
      <c r="E1088" s="3">
        <v>4220</v>
      </c>
      <c r="F1088" s="3">
        <v>368</v>
      </c>
      <c r="G1088" s="3">
        <v>0</v>
      </c>
      <c r="H1088" s="2">
        <f t="shared" si="32"/>
        <v>4588</v>
      </c>
      <c r="I1088" t="str">
        <f t="shared" si="33"/>
        <v>Cd9_4588</v>
      </c>
      <c r="J1088" s="3">
        <v>0</v>
      </c>
      <c r="K1088" s="3">
        <v>0</v>
      </c>
      <c r="L1088" s="3">
        <v>4220</v>
      </c>
      <c r="M1088" s="3">
        <v>368</v>
      </c>
      <c r="N1088" s="3">
        <v>0</v>
      </c>
    </row>
    <row r="1089" spans="1:14" x14ac:dyDescent="0.2">
      <c r="A1089" s="5" t="str">
        <f>HYPERLINK("http://www.ncbi.nlm.nih.gov/protein/58037289","Cda")</f>
        <v>Cda</v>
      </c>
      <c r="B1089" s="4"/>
      <c r="C1089" s="3">
        <v>0</v>
      </c>
      <c r="D1089" s="3">
        <v>33</v>
      </c>
      <c r="E1089" s="3">
        <v>0</v>
      </c>
      <c r="F1089" s="3">
        <v>115</v>
      </c>
      <c r="G1089" s="3">
        <v>2924</v>
      </c>
      <c r="H1089" s="2">
        <f t="shared" si="32"/>
        <v>3072</v>
      </c>
      <c r="I1089" t="str">
        <f t="shared" si="33"/>
        <v>Cda_3072</v>
      </c>
      <c r="J1089" s="3">
        <v>0</v>
      </c>
      <c r="K1089" s="3">
        <v>33</v>
      </c>
      <c r="L1089" s="3">
        <v>0</v>
      </c>
      <c r="M1089" s="3">
        <v>115</v>
      </c>
      <c r="N1089" s="3">
        <v>2924</v>
      </c>
    </row>
    <row r="1090" spans="1:14" x14ac:dyDescent="0.2">
      <c r="A1090" s="5" t="str">
        <f>HYPERLINK("http://www.ncbi.nlm.nih.gov/protein/19527052","Cdc123")</f>
        <v>Cdc123</v>
      </c>
      <c r="B1090" s="4"/>
      <c r="C1090" s="3">
        <v>0</v>
      </c>
      <c r="D1090" s="3">
        <v>0</v>
      </c>
      <c r="E1090" s="3">
        <v>0</v>
      </c>
      <c r="F1090" s="3">
        <v>0</v>
      </c>
      <c r="G1090" s="3">
        <v>8032</v>
      </c>
      <c r="H1090" s="2">
        <f t="shared" ref="H1090:H1153" si="34">SUM(C1090:G1090)</f>
        <v>8032</v>
      </c>
      <c r="I1090" t="str">
        <f t="shared" ref="I1090:I1153" si="35">A1090&amp;"_"&amp;H1090</f>
        <v>Cdc123_8032</v>
      </c>
      <c r="J1090" s="3">
        <v>0</v>
      </c>
      <c r="K1090" s="3">
        <v>0</v>
      </c>
      <c r="L1090" s="3">
        <v>0</v>
      </c>
      <c r="M1090" s="3">
        <v>0</v>
      </c>
      <c r="N1090" s="3">
        <v>8032</v>
      </c>
    </row>
    <row r="1091" spans="1:14" x14ac:dyDescent="0.2">
      <c r="A1091" s="5" t="str">
        <f>HYPERLINK("http://www.ncbi.nlm.nih.gov/protein/68448515","Cdc16")</f>
        <v>Cdc16</v>
      </c>
      <c r="B1091" s="4"/>
      <c r="C1091" s="3">
        <v>0</v>
      </c>
      <c r="D1091" s="3">
        <v>0</v>
      </c>
      <c r="E1091" s="3">
        <v>0</v>
      </c>
      <c r="F1091" s="3">
        <v>4273</v>
      </c>
      <c r="G1091" s="3">
        <v>2249</v>
      </c>
      <c r="H1091" s="2">
        <f t="shared" si="34"/>
        <v>6522</v>
      </c>
      <c r="I1091" t="str">
        <f t="shared" si="35"/>
        <v>Cdc16_6522</v>
      </c>
      <c r="J1091" s="3">
        <v>0</v>
      </c>
      <c r="K1091" s="3">
        <v>0</v>
      </c>
      <c r="L1091" s="3">
        <v>0</v>
      </c>
      <c r="M1091" s="3">
        <v>4273</v>
      </c>
      <c r="N1091" s="3">
        <v>2249</v>
      </c>
    </row>
    <row r="1092" spans="1:14" x14ac:dyDescent="0.2">
      <c r="A1092" s="5" t="str">
        <f>HYPERLINK("http://www.ncbi.nlm.nih.gov/protein/30387632","Cdc23")</f>
        <v>Cdc23</v>
      </c>
      <c r="B1092" s="4"/>
      <c r="C1092" s="3">
        <v>0</v>
      </c>
      <c r="D1092" s="3">
        <v>0</v>
      </c>
      <c r="E1092" s="3">
        <v>67</v>
      </c>
      <c r="F1092" s="3">
        <v>15430</v>
      </c>
      <c r="G1092" s="3">
        <v>0</v>
      </c>
      <c r="H1092" s="2">
        <f t="shared" si="34"/>
        <v>15497</v>
      </c>
      <c r="I1092" t="str">
        <f t="shared" si="35"/>
        <v>Cdc23_15497</v>
      </c>
      <c r="J1092" s="3">
        <v>0</v>
      </c>
      <c r="K1092" s="3">
        <v>0</v>
      </c>
      <c r="L1092" s="3">
        <v>67</v>
      </c>
      <c r="M1092" s="3">
        <v>15430</v>
      </c>
      <c r="N1092" s="3">
        <v>0</v>
      </c>
    </row>
    <row r="1093" spans="1:14" x14ac:dyDescent="0.2">
      <c r="A1093" s="5" t="str">
        <f>HYPERLINK("http://www.ncbi.nlm.nih.gov/protein/12963487","Cdc25b")</f>
        <v>Cdc25b</v>
      </c>
      <c r="B1093" s="4"/>
      <c r="C1093" s="3">
        <v>0</v>
      </c>
      <c r="D1093" s="3">
        <v>2</v>
      </c>
      <c r="E1093" s="3">
        <v>0</v>
      </c>
      <c r="F1093" s="3">
        <v>0</v>
      </c>
      <c r="G1093" s="3">
        <v>493</v>
      </c>
      <c r="H1093" s="2">
        <f t="shared" si="34"/>
        <v>495</v>
      </c>
      <c r="I1093" t="str">
        <f t="shared" si="35"/>
        <v>Cdc25b_495</v>
      </c>
      <c r="J1093" s="3">
        <v>0</v>
      </c>
      <c r="K1093" s="3">
        <v>2</v>
      </c>
      <c r="L1093" s="3">
        <v>0</v>
      </c>
      <c r="M1093" s="3">
        <v>0</v>
      </c>
      <c r="N1093" s="3">
        <v>493</v>
      </c>
    </row>
    <row r="1094" spans="1:14" x14ac:dyDescent="0.2">
      <c r="A1094" s="5" t="str">
        <f>HYPERLINK("http://www.ncbi.nlm.nih.gov/protein/161621261","Cdc25b")</f>
        <v>Cdc25b</v>
      </c>
      <c r="B1094" s="4"/>
      <c r="C1094" s="3">
        <v>0</v>
      </c>
      <c r="D1094" s="3">
        <v>2</v>
      </c>
      <c r="E1094" s="3">
        <v>0</v>
      </c>
      <c r="F1094" s="3">
        <v>0</v>
      </c>
      <c r="G1094" s="3">
        <v>493</v>
      </c>
      <c r="H1094" s="2">
        <f t="shared" si="34"/>
        <v>495</v>
      </c>
      <c r="I1094" t="str">
        <f t="shared" si="35"/>
        <v>Cdc25b_495</v>
      </c>
      <c r="J1094" s="3">
        <v>0</v>
      </c>
      <c r="K1094" s="3">
        <v>2</v>
      </c>
      <c r="L1094" s="3">
        <v>0</v>
      </c>
      <c r="M1094" s="3">
        <v>0</v>
      </c>
      <c r="N1094" s="3">
        <v>493</v>
      </c>
    </row>
    <row r="1095" spans="1:14" x14ac:dyDescent="0.2">
      <c r="A1095" s="5" t="str">
        <f>HYPERLINK("http://www.ncbi.nlm.nih.gov/protein/21314828","Cdc26")</f>
        <v>Cdc26</v>
      </c>
      <c r="B1095" s="4"/>
      <c r="C1095" s="3">
        <v>0</v>
      </c>
      <c r="D1095" s="3">
        <v>0</v>
      </c>
      <c r="E1095" s="3">
        <v>0</v>
      </c>
      <c r="F1095" s="3">
        <v>49</v>
      </c>
      <c r="G1095" s="3">
        <v>1317</v>
      </c>
      <c r="H1095" s="2">
        <f t="shared" si="34"/>
        <v>1366</v>
      </c>
      <c r="I1095" t="str">
        <f t="shared" si="35"/>
        <v>Cdc26_1366</v>
      </c>
      <c r="J1095" s="3">
        <v>0</v>
      </c>
      <c r="K1095" s="3">
        <v>0</v>
      </c>
      <c r="L1095" s="3">
        <v>0</v>
      </c>
      <c r="M1095" s="3">
        <v>49</v>
      </c>
      <c r="N1095" s="3">
        <v>1317</v>
      </c>
    </row>
    <row r="1096" spans="1:14" x14ac:dyDescent="0.2">
      <c r="A1096" s="5" t="str">
        <f>HYPERLINK("http://www.ncbi.nlm.nih.gov/protein/29243988","Cdc34")</f>
        <v>Cdc34</v>
      </c>
      <c r="B1096" s="4"/>
      <c r="C1096" s="3">
        <v>0</v>
      </c>
      <c r="D1096" s="3">
        <v>0</v>
      </c>
      <c r="E1096" s="3">
        <v>0</v>
      </c>
      <c r="F1096" s="3">
        <v>0</v>
      </c>
      <c r="G1096" s="3">
        <v>5387</v>
      </c>
      <c r="H1096" s="2">
        <f t="shared" si="34"/>
        <v>5387</v>
      </c>
      <c r="I1096" t="str">
        <f t="shared" si="35"/>
        <v>Cdc34_5387</v>
      </c>
      <c r="J1096" s="3">
        <v>0</v>
      </c>
      <c r="K1096" s="3">
        <v>0</v>
      </c>
      <c r="L1096" s="3">
        <v>0</v>
      </c>
      <c r="M1096" s="3">
        <v>0</v>
      </c>
      <c r="N1096" s="3">
        <v>5387</v>
      </c>
    </row>
    <row r="1097" spans="1:14" x14ac:dyDescent="0.2">
      <c r="A1097" s="5" t="str">
        <f>HYPERLINK("http://www.ncbi.nlm.nih.gov/protein/7949018","Cdc37")</f>
        <v>Cdc37</v>
      </c>
      <c r="B1097" s="4"/>
      <c r="C1097" s="3">
        <v>3991</v>
      </c>
      <c r="D1097" s="3">
        <v>6590</v>
      </c>
      <c r="E1097" s="3">
        <v>12687</v>
      </c>
      <c r="F1097" s="3">
        <v>112142</v>
      </c>
      <c r="G1097" s="3">
        <v>92295</v>
      </c>
      <c r="H1097" s="2">
        <f t="shared" si="34"/>
        <v>227705</v>
      </c>
      <c r="I1097" t="str">
        <f t="shared" si="35"/>
        <v>Cdc37_227705</v>
      </c>
      <c r="J1097" s="3">
        <v>3991</v>
      </c>
      <c r="K1097" s="3">
        <v>6590</v>
      </c>
      <c r="L1097" s="3">
        <v>12687</v>
      </c>
      <c r="M1097" s="3">
        <v>112142</v>
      </c>
      <c r="N1097" s="3">
        <v>92295</v>
      </c>
    </row>
    <row r="1098" spans="1:14" x14ac:dyDescent="0.2">
      <c r="A1098" s="5" t="str">
        <f>HYPERLINK("http://www.ncbi.nlm.nih.gov/protein/198278501","Cdc40")</f>
        <v>Cdc40</v>
      </c>
      <c r="B1098" s="4"/>
      <c r="C1098" s="3">
        <v>0</v>
      </c>
      <c r="D1098" s="3">
        <v>0</v>
      </c>
      <c r="E1098" s="3">
        <v>47</v>
      </c>
      <c r="F1098" s="3">
        <v>0</v>
      </c>
      <c r="G1098" s="3">
        <v>0</v>
      </c>
      <c r="H1098" s="2">
        <f t="shared" si="34"/>
        <v>47</v>
      </c>
      <c r="I1098" t="str">
        <f t="shared" si="35"/>
        <v>Cdc40_47</v>
      </c>
      <c r="J1098" s="3">
        <v>0</v>
      </c>
      <c r="K1098" s="3">
        <v>0</v>
      </c>
      <c r="L1098" s="3">
        <v>47</v>
      </c>
      <c r="M1098" s="3">
        <v>0</v>
      </c>
      <c r="N1098" s="3">
        <v>0</v>
      </c>
    </row>
    <row r="1099" spans="1:14" x14ac:dyDescent="0.2">
      <c r="A1099" s="5" t="str">
        <f>HYPERLINK("http://www.ncbi.nlm.nih.gov/protein/344313177","Cdc42")</f>
        <v>Cdc42</v>
      </c>
      <c r="B1099" s="4"/>
      <c r="C1099" s="3">
        <v>1300</v>
      </c>
      <c r="D1099" s="3">
        <v>13103</v>
      </c>
      <c r="E1099" s="3">
        <v>31356</v>
      </c>
      <c r="F1099" s="3">
        <v>31523</v>
      </c>
      <c r="G1099" s="3">
        <v>12273</v>
      </c>
      <c r="H1099" s="2">
        <f t="shared" si="34"/>
        <v>89555</v>
      </c>
      <c r="I1099" t="str">
        <f t="shared" si="35"/>
        <v>Cdc42_89555</v>
      </c>
      <c r="J1099" s="3">
        <v>1300</v>
      </c>
      <c r="K1099" s="3">
        <v>13103</v>
      </c>
      <c r="L1099" s="3">
        <v>31356</v>
      </c>
      <c r="M1099" s="3">
        <v>31523</v>
      </c>
      <c r="N1099" s="3">
        <v>12273</v>
      </c>
    </row>
    <row r="1100" spans="1:14" x14ac:dyDescent="0.2">
      <c r="A1100" s="5" t="str">
        <f>HYPERLINK("http://www.ncbi.nlm.nih.gov/protein/6753364","Cdc42")</f>
        <v>Cdc42</v>
      </c>
      <c r="B1100" s="4"/>
      <c r="C1100" s="3">
        <v>55083</v>
      </c>
      <c r="D1100" s="3">
        <v>13237</v>
      </c>
      <c r="E1100" s="3">
        <v>69307</v>
      </c>
      <c r="F1100" s="3">
        <v>45798</v>
      </c>
      <c r="G1100" s="3">
        <v>32600</v>
      </c>
      <c r="H1100" s="2">
        <f t="shared" si="34"/>
        <v>216025</v>
      </c>
      <c r="I1100" t="str">
        <f t="shared" si="35"/>
        <v>Cdc42_216025</v>
      </c>
      <c r="J1100" s="3">
        <v>55083</v>
      </c>
      <c r="K1100" s="3">
        <v>13237</v>
      </c>
      <c r="L1100" s="3">
        <v>69307</v>
      </c>
      <c r="M1100" s="3">
        <v>45798</v>
      </c>
      <c r="N1100" s="3">
        <v>32600</v>
      </c>
    </row>
    <row r="1101" spans="1:14" x14ac:dyDescent="0.2">
      <c r="A1101" s="5" t="str">
        <f>HYPERLINK("http://www.ncbi.nlm.nih.gov/protein/254692972","Cdc42bpa")</f>
        <v>Cdc42bpa</v>
      </c>
      <c r="B1101" s="4"/>
      <c r="C1101" s="3">
        <v>0</v>
      </c>
      <c r="D1101" s="3">
        <v>816</v>
      </c>
      <c r="E1101" s="3">
        <v>3569</v>
      </c>
      <c r="F1101" s="3">
        <v>0</v>
      </c>
      <c r="G1101" s="3">
        <v>3481</v>
      </c>
      <c r="H1101" s="2">
        <f t="shared" si="34"/>
        <v>7866</v>
      </c>
      <c r="I1101" t="str">
        <f t="shared" si="35"/>
        <v>Cdc42bpa_7866</v>
      </c>
      <c r="J1101" s="3">
        <v>0</v>
      </c>
      <c r="K1101" s="3">
        <v>816</v>
      </c>
      <c r="L1101" s="3">
        <v>3569</v>
      </c>
      <c r="M1101" s="3">
        <v>0</v>
      </c>
      <c r="N1101" s="3">
        <v>3481</v>
      </c>
    </row>
    <row r="1102" spans="1:14" x14ac:dyDescent="0.2">
      <c r="A1102" s="5" t="str">
        <f>HYPERLINK("http://www.ncbi.nlm.nih.gov/protein/283135190","Cdc42bpb")</f>
        <v>Cdc42bpb</v>
      </c>
      <c r="B1102" s="4"/>
      <c r="C1102" s="3">
        <v>3405</v>
      </c>
      <c r="D1102" s="3">
        <v>19034</v>
      </c>
      <c r="E1102" s="3">
        <v>36489</v>
      </c>
      <c r="F1102" s="3">
        <v>44300</v>
      </c>
      <c r="G1102" s="3">
        <v>49885</v>
      </c>
      <c r="H1102" s="2">
        <f t="shared" si="34"/>
        <v>153113</v>
      </c>
      <c r="I1102" t="str">
        <f t="shared" si="35"/>
        <v>Cdc42bpb_153113</v>
      </c>
      <c r="J1102" s="3">
        <v>3405</v>
      </c>
      <c r="K1102" s="3">
        <v>19034</v>
      </c>
      <c r="L1102" s="3">
        <v>36489</v>
      </c>
      <c r="M1102" s="3">
        <v>44300</v>
      </c>
      <c r="N1102" s="3">
        <v>49885</v>
      </c>
    </row>
    <row r="1103" spans="1:14" x14ac:dyDescent="0.2">
      <c r="A1103" s="5" t="str">
        <f>HYPERLINK("http://www.ncbi.nlm.nih.gov/protein/254675191","Cdc42bpg")</f>
        <v>Cdc42bpg</v>
      </c>
      <c r="B1103" s="4"/>
      <c r="C1103" s="3">
        <v>0</v>
      </c>
      <c r="D1103" s="3">
        <v>0</v>
      </c>
      <c r="E1103" s="3">
        <v>130</v>
      </c>
      <c r="F1103" s="3">
        <v>1302</v>
      </c>
      <c r="G1103" s="3">
        <v>8750</v>
      </c>
      <c r="H1103" s="2">
        <f t="shared" si="34"/>
        <v>10182</v>
      </c>
      <c r="I1103" t="str">
        <f t="shared" si="35"/>
        <v>Cdc42bpg_10182</v>
      </c>
      <c r="J1103" s="3">
        <v>0</v>
      </c>
      <c r="K1103" s="3">
        <v>0</v>
      </c>
      <c r="L1103" s="3">
        <v>130</v>
      </c>
      <c r="M1103" s="3">
        <v>1302</v>
      </c>
      <c r="N1103" s="3">
        <v>8750</v>
      </c>
    </row>
    <row r="1104" spans="1:14" x14ac:dyDescent="0.2">
      <c r="A1104" s="5" t="str">
        <f>HYPERLINK("http://www.ncbi.nlm.nih.gov/protein/9910142","Cdc42ep4")</f>
        <v>Cdc42ep4</v>
      </c>
      <c r="B1104" s="4"/>
      <c r="C1104" s="3">
        <v>0</v>
      </c>
      <c r="D1104" s="3">
        <v>52</v>
      </c>
      <c r="E1104" s="3">
        <v>98</v>
      </c>
      <c r="F1104" s="3">
        <v>417</v>
      </c>
      <c r="G1104" s="3">
        <v>0</v>
      </c>
      <c r="H1104" s="2">
        <f t="shared" si="34"/>
        <v>567</v>
      </c>
      <c r="I1104" t="str">
        <f t="shared" si="35"/>
        <v>Cdc42ep4_567</v>
      </c>
      <c r="J1104" s="3">
        <v>0</v>
      </c>
      <c r="K1104" s="3">
        <v>52</v>
      </c>
      <c r="L1104" s="3">
        <v>98</v>
      </c>
      <c r="M1104" s="3">
        <v>417</v>
      </c>
      <c r="N1104" s="3">
        <v>0</v>
      </c>
    </row>
    <row r="1105" spans="1:14" x14ac:dyDescent="0.2">
      <c r="A1105" s="5" t="str">
        <f>HYPERLINK("http://www.ncbi.nlm.nih.gov/protein/10946838","Cdc42ep5")</f>
        <v>Cdc42ep5</v>
      </c>
      <c r="B1105" s="4"/>
      <c r="C1105" s="3">
        <v>0</v>
      </c>
      <c r="D1105" s="3">
        <v>0</v>
      </c>
      <c r="E1105" s="3">
        <v>0</v>
      </c>
      <c r="F1105" s="3">
        <v>0</v>
      </c>
      <c r="G1105" s="3">
        <v>161</v>
      </c>
      <c r="H1105" s="2">
        <f t="shared" si="34"/>
        <v>161</v>
      </c>
      <c r="I1105" t="str">
        <f t="shared" si="35"/>
        <v>Cdc42ep5_161</v>
      </c>
      <c r="J1105" s="3">
        <v>0</v>
      </c>
      <c r="K1105" s="3">
        <v>0</v>
      </c>
      <c r="L1105" s="3">
        <v>0</v>
      </c>
      <c r="M1105" s="3">
        <v>0</v>
      </c>
      <c r="N1105" s="3">
        <v>161</v>
      </c>
    </row>
    <row r="1106" spans="1:14" x14ac:dyDescent="0.2">
      <c r="A1106" s="5" t="str">
        <f>HYPERLINK("http://www.ncbi.nlm.nih.gov/protein/84781706","Cdc42se1")</f>
        <v>Cdc42se1</v>
      </c>
      <c r="B1106" s="4"/>
      <c r="C1106" s="3">
        <v>0</v>
      </c>
      <c r="D1106" s="3">
        <v>38</v>
      </c>
      <c r="E1106" s="3">
        <v>45</v>
      </c>
      <c r="F1106" s="3">
        <v>0</v>
      </c>
      <c r="G1106" s="3">
        <v>0</v>
      </c>
      <c r="H1106" s="2">
        <f t="shared" si="34"/>
        <v>83</v>
      </c>
      <c r="I1106" t="str">
        <f t="shared" si="35"/>
        <v>Cdc42se1_83</v>
      </c>
      <c r="J1106" s="3">
        <v>0</v>
      </c>
      <c r="K1106" s="3">
        <v>38</v>
      </c>
      <c r="L1106" s="3">
        <v>45</v>
      </c>
      <c r="M1106" s="3">
        <v>0</v>
      </c>
      <c r="N1106" s="3">
        <v>0</v>
      </c>
    </row>
    <row r="1107" spans="1:14" x14ac:dyDescent="0.2">
      <c r="A1107" s="5" t="str">
        <f>HYPERLINK("http://www.ncbi.nlm.nih.gov/protein/22779899","Cdc5l")</f>
        <v>Cdc5l</v>
      </c>
      <c r="B1107" s="4"/>
      <c r="C1107" s="3">
        <v>25464</v>
      </c>
      <c r="D1107" s="3">
        <v>0</v>
      </c>
      <c r="E1107" s="3">
        <v>1402</v>
      </c>
      <c r="F1107" s="3">
        <v>761</v>
      </c>
      <c r="G1107" s="3">
        <v>0</v>
      </c>
      <c r="H1107" s="2">
        <f t="shared" si="34"/>
        <v>27627</v>
      </c>
      <c r="I1107" t="str">
        <f t="shared" si="35"/>
        <v>Cdc5l_27627</v>
      </c>
      <c r="J1107" s="3">
        <v>25464</v>
      </c>
      <c r="K1107" s="3">
        <v>0</v>
      </c>
      <c r="L1107" s="3">
        <v>1402</v>
      </c>
      <c r="M1107" s="3">
        <v>761</v>
      </c>
      <c r="N1107" s="3">
        <v>0</v>
      </c>
    </row>
    <row r="1108" spans="1:14" x14ac:dyDescent="0.2">
      <c r="A1108" s="5" t="str">
        <f>HYPERLINK("http://www.ncbi.nlm.nih.gov/protein/22122445","Cdc73")</f>
        <v>Cdc73</v>
      </c>
      <c r="B1108" s="4"/>
      <c r="C1108" s="3">
        <v>1190</v>
      </c>
      <c r="D1108" s="3">
        <v>146</v>
      </c>
      <c r="E1108" s="3">
        <v>32</v>
      </c>
      <c r="F1108" s="3">
        <v>82</v>
      </c>
      <c r="G1108" s="3">
        <v>0</v>
      </c>
      <c r="H1108" s="2">
        <f t="shared" si="34"/>
        <v>1450</v>
      </c>
      <c r="I1108" t="str">
        <f t="shared" si="35"/>
        <v>Cdc73_1450</v>
      </c>
      <c r="J1108" s="3">
        <v>1190</v>
      </c>
      <c r="K1108" s="3">
        <v>146</v>
      </c>
      <c r="L1108" s="3">
        <v>32</v>
      </c>
      <c r="M1108" s="3">
        <v>82</v>
      </c>
      <c r="N1108" s="3">
        <v>0</v>
      </c>
    </row>
    <row r="1109" spans="1:14" x14ac:dyDescent="0.2">
      <c r="A1109" s="5" t="str">
        <f>HYPERLINK("http://www.ncbi.nlm.nih.gov/protein/61098143","Cdcp1")</f>
        <v>Cdcp1</v>
      </c>
      <c r="B1109" s="4"/>
      <c r="C1109" s="3">
        <v>0</v>
      </c>
      <c r="D1109" s="3">
        <v>10</v>
      </c>
      <c r="E1109" s="3">
        <v>190</v>
      </c>
      <c r="F1109" s="3">
        <v>0</v>
      </c>
      <c r="G1109" s="3">
        <v>0</v>
      </c>
      <c r="H1109" s="2">
        <f t="shared" si="34"/>
        <v>200</v>
      </c>
      <c r="I1109" t="str">
        <f t="shared" si="35"/>
        <v>Cdcp1_200</v>
      </c>
      <c r="J1109" s="3">
        <v>0</v>
      </c>
      <c r="K1109" s="3">
        <v>10</v>
      </c>
      <c r="L1109" s="3">
        <v>190</v>
      </c>
      <c r="M1109" s="3">
        <v>0</v>
      </c>
      <c r="N1109" s="3">
        <v>0</v>
      </c>
    </row>
    <row r="1110" spans="1:14" x14ac:dyDescent="0.2">
      <c r="A1110" s="5" t="str">
        <f>HYPERLINK("http://www.ncbi.nlm.nih.gov/protein/6753374","Cdh1")</f>
        <v>Cdh1</v>
      </c>
      <c r="B1110" s="4"/>
      <c r="C1110" s="3">
        <v>39614</v>
      </c>
      <c r="D1110" s="3">
        <v>7131</v>
      </c>
      <c r="E1110" s="3">
        <v>15624</v>
      </c>
      <c r="F1110" s="3">
        <v>2235</v>
      </c>
      <c r="G1110" s="3">
        <v>5569</v>
      </c>
      <c r="H1110" s="2">
        <f t="shared" si="34"/>
        <v>70173</v>
      </c>
      <c r="I1110" t="str">
        <f t="shared" si="35"/>
        <v>Cdh1_70173</v>
      </c>
      <c r="J1110" s="3">
        <v>39614</v>
      </c>
      <c r="K1110" s="3">
        <v>7131</v>
      </c>
      <c r="L1110" s="3">
        <v>15624</v>
      </c>
      <c r="M1110" s="3">
        <v>2235</v>
      </c>
      <c r="N1110" s="3">
        <v>5569</v>
      </c>
    </row>
    <row r="1111" spans="1:14" x14ac:dyDescent="0.2">
      <c r="A1111" s="5" t="str">
        <f>HYPERLINK("http://www.ncbi.nlm.nih.gov/protein/357933652","Cdh16")</f>
        <v>Cdh16</v>
      </c>
      <c r="B1111" s="4"/>
      <c r="C1111" s="3">
        <v>126769</v>
      </c>
      <c r="D1111" s="3">
        <v>15834</v>
      </c>
      <c r="E1111" s="3">
        <v>55894</v>
      </c>
      <c r="F1111" s="3">
        <v>2186</v>
      </c>
      <c r="G1111" s="3">
        <v>0</v>
      </c>
      <c r="H1111" s="2">
        <f t="shared" si="34"/>
        <v>200683</v>
      </c>
      <c r="I1111" t="str">
        <f t="shared" si="35"/>
        <v>Cdh16_200683</v>
      </c>
      <c r="J1111" s="3">
        <v>126769</v>
      </c>
      <c r="K1111" s="3">
        <v>15834</v>
      </c>
      <c r="L1111" s="3">
        <v>55894</v>
      </c>
      <c r="M1111" s="3">
        <v>2186</v>
      </c>
      <c r="N1111" s="3">
        <v>0</v>
      </c>
    </row>
    <row r="1112" spans="1:14" x14ac:dyDescent="0.2">
      <c r="A1112" s="5" t="str">
        <f>HYPERLINK("http://www.ncbi.nlm.nih.gov/protein/357933654","Cdh16")</f>
        <v>Cdh16</v>
      </c>
      <c r="B1112" s="4"/>
      <c r="C1112" s="3">
        <v>116829</v>
      </c>
      <c r="D1112" s="3">
        <v>10218</v>
      </c>
      <c r="E1112" s="3">
        <v>31268</v>
      </c>
      <c r="F1112" s="3">
        <v>1727</v>
      </c>
      <c r="G1112" s="3">
        <v>0</v>
      </c>
      <c r="H1112" s="2">
        <f t="shared" si="34"/>
        <v>160042</v>
      </c>
      <c r="I1112" t="str">
        <f t="shared" si="35"/>
        <v>Cdh16_160042</v>
      </c>
      <c r="J1112" s="3">
        <v>116829</v>
      </c>
      <c r="K1112" s="3">
        <v>10218</v>
      </c>
      <c r="L1112" s="3">
        <v>31268</v>
      </c>
      <c r="M1112" s="3">
        <v>1727</v>
      </c>
      <c r="N1112" s="3">
        <v>0</v>
      </c>
    </row>
    <row r="1113" spans="1:14" x14ac:dyDescent="0.2">
      <c r="A1113" s="5" t="str">
        <f>HYPERLINK("http://www.ncbi.nlm.nih.gov/protein/6680900","Cdh16")</f>
        <v>Cdh16</v>
      </c>
      <c r="B1113" s="4"/>
      <c r="C1113" s="3">
        <v>126769</v>
      </c>
      <c r="D1113" s="3">
        <v>15834</v>
      </c>
      <c r="E1113" s="3">
        <v>58214</v>
      </c>
      <c r="F1113" s="3">
        <v>2186</v>
      </c>
      <c r="G1113" s="3">
        <v>0</v>
      </c>
      <c r="H1113" s="2">
        <f t="shared" si="34"/>
        <v>203003</v>
      </c>
      <c r="I1113" t="str">
        <f t="shared" si="35"/>
        <v>Cdh16_203003</v>
      </c>
      <c r="J1113" s="3">
        <v>126769</v>
      </c>
      <c r="K1113" s="3">
        <v>15834</v>
      </c>
      <c r="L1113" s="3">
        <v>58214</v>
      </c>
      <c r="M1113" s="3">
        <v>2186</v>
      </c>
      <c r="N1113" s="3">
        <v>0</v>
      </c>
    </row>
    <row r="1114" spans="1:14" x14ac:dyDescent="0.2">
      <c r="A1114" s="5" t="str">
        <f>HYPERLINK("http://www.ncbi.nlm.nih.gov/protein/124517680","Cdh23")</f>
        <v>Cdh23</v>
      </c>
      <c r="B1114" s="4"/>
      <c r="C1114" s="3">
        <v>0</v>
      </c>
      <c r="D1114" s="3">
        <v>0</v>
      </c>
      <c r="E1114" s="3">
        <v>1125</v>
      </c>
      <c r="F1114" s="3">
        <v>0</v>
      </c>
      <c r="G1114" s="3">
        <v>0</v>
      </c>
      <c r="H1114" s="2">
        <f t="shared" si="34"/>
        <v>1125</v>
      </c>
      <c r="I1114" t="str">
        <f t="shared" si="35"/>
        <v>Cdh23_1125</v>
      </c>
      <c r="J1114" s="3">
        <v>0</v>
      </c>
      <c r="K1114" s="3">
        <v>0</v>
      </c>
      <c r="L1114" s="3">
        <v>1125</v>
      </c>
      <c r="M1114" s="3">
        <v>0</v>
      </c>
      <c r="N1114" s="3">
        <v>0</v>
      </c>
    </row>
    <row r="1115" spans="1:14" x14ac:dyDescent="0.2">
      <c r="A1115" s="5" t="str">
        <f>HYPERLINK("http://www.ncbi.nlm.nih.gov/protein/358001060","Cdh23")</f>
        <v>Cdh23</v>
      </c>
      <c r="B1115" s="4"/>
      <c r="C1115" s="3">
        <v>0</v>
      </c>
      <c r="D1115" s="3">
        <v>0</v>
      </c>
      <c r="E1115" s="3">
        <v>1125</v>
      </c>
      <c r="F1115" s="3">
        <v>0</v>
      </c>
      <c r="G1115" s="3">
        <v>0</v>
      </c>
      <c r="H1115" s="2">
        <f t="shared" si="34"/>
        <v>1125</v>
      </c>
      <c r="I1115" t="str">
        <f t="shared" si="35"/>
        <v>Cdh23_1125</v>
      </c>
      <c r="J1115" s="3">
        <v>0</v>
      </c>
      <c r="K1115" s="3">
        <v>0</v>
      </c>
      <c r="L1115" s="3">
        <v>1125</v>
      </c>
      <c r="M1115" s="3">
        <v>0</v>
      </c>
      <c r="N1115" s="3">
        <v>0</v>
      </c>
    </row>
    <row r="1116" spans="1:14" x14ac:dyDescent="0.2">
      <c r="A1116" s="5" t="str">
        <f>HYPERLINK("http://www.ncbi.nlm.nih.gov/protein/45496816","Cdh3")</f>
        <v>Cdh3</v>
      </c>
      <c r="B1116" s="4"/>
      <c r="C1116" s="3">
        <v>0</v>
      </c>
      <c r="D1116" s="3">
        <v>123</v>
      </c>
      <c r="E1116" s="3">
        <v>1803</v>
      </c>
      <c r="F1116" s="3">
        <v>0</v>
      </c>
      <c r="G1116" s="3">
        <v>0</v>
      </c>
      <c r="H1116" s="2">
        <f t="shared" si="34"/>
        <v>1926</v>
      </c>
      <c r="I1116" t="str">
        <f t="shared" si="35"/>
        <v>Cdh3_1926</v>
      </c>
      <c r="J1116" s="3">
        <v>0</v>
      </c>
      <c r="K1116" s="3">
        <v>123</v>
      </c>
      <c r="L1116" s="3">
        <v>1803</v>
      </c>
      <c r="M1116" s="3">
        <v>0</v>
      </c>
      <c r="N1116" s="3">
        <v>0</v>
      </c>
    </row>
    <row r="1117" spans="1:14" x14ac:dyDescent="0.2">
      <c r="A1117" s="5" t="str">
        <f>HYPERLINK("http://www.ncbi.nlm.nih.gov/protein/83715978","Cdh3")</f>
        <v>Cdh3</v>
      </c>
      <c r="B1117" s="4"/>
      <c r="C1117" s="3">
        <v>0</v>
      </c>
      <c r="D1117" s="3">
        <v>123</v>
      </c>
      <c r="E1117" s="3">
        <v>1803</v>
      </c>
      <c r="F1117" s="3">
        <v>0</v>
      </c>
      <c r="G1117" s="3">
        <v>0</v>
      </c>
      <c r="H1117" s="2">
        <f t="shared" si="34"/>
        <v>1926</v>
      </c>
      <c r="I1117" t="str">
        <f t="shared" si="35"/>
        <v>Cdh3_1926</v>
      </c>
      <c r="J1117" s="3">
        <v>0</v>
      </c>
      <c r="K1117" s="3">
        <v>123</v>
      </c>
      <c r="L1117" s="3">
        <v>1803</v>
      </c>
      <c r="M1117" s="3">
        <v>0</v>
      </c>
      <c r="N1117" s="3">
        <v>0</v>
      </c>
    </row>
    <row r="1118" spans="1:14" x14ac:dyDescent="0.2">
      <c r="A1118" s="5" t="str">
        <f>HYPERLINK("http://www.ncbi.nlm.nih.gov/protein/28076897","Cdipt")</f>
        <v>Cdipt</v>
      </c>
      <c r="B1118" s="4"/>
      <c r="C1118" s="3">
        <v>27313</v>
      </c>
      <c r="D1118" s="3">
        <v>3064</v>
      </c>
      <c r="E1118" s="3">
        <v>5167</v>
      </c>
      <c r="F1118" s="3">
        <v>1269</v>
      </c>
      <c r="G1118" s="3">
        <v>0</v>
      </c>
      <c r="H1118" s="2">
        <f t="shared" si="34"/>
        <v>36813</v>
      </c>
      <c r="I1118" t="str">
        <f t="shared" si="35"/>
        <v>Cdipt_36813</v>
      </c>
      <c r="J1118" s="3">
        <v>27313</v>
      </c>
      <c r="K1118" s="3">
        <v>3064</v>
      </c>
      <c r="L1118" s="3">
        <v>5167</v>
      </c>
      <c r="M1118" s="3">
        <v>1269</v>
      </c>
      <c r="N1118" s="3">
        <v>0</v>
      </c>
    </row>
    <row r="1119" spans="1:14" x14ac:dyDescent="0.2">
      <c r="A1119" s="5" t="str">
        <f>HYPERLINK("http://www.ncbi.nlm.nih.gov/protein/31542366","Cdk1")</f>
        <v>Cdk1</v>
      </c>
      <c r="B1119" s="4"/>
      <c r="C1119" s="3">
        <v>2215</v>
      </c>
      <c r="D1119" s="3">
        <v>13928</v>
      </c>
      <c r="E1119" s="3">
        <v>12497</v>
      </c>
      <c r="F1119" s="3">
        <v>43555</v>
      </c>
      <c r="G1119" s="3">
        <v>130238</v>
      </c>
      <c r="H1119" s="2">
        <f t="shared" si="34"/>
        <v>202433</v>
      </c>
      <c r="I1119" t="str">
        <f t="shared" si="35"/>
        <v>Cdk1_202433</v>
      </c>
      <c r="J1119" s="3">
        <v>2215</v>
      </c>
      <c r="K1119" s="3">
        <v>13928</v>
      </c>
      <c r="L1119" s="3">
        <v>12497</v>
      </c>
      <c r="M1119" s="3">
        <v>43555</v>
      </c>
      <c r="N1119" s="3">
        <v>130238</v>
      </c>
    </row>
    <row r="1120" spans="1:14" x14ac:dyDescent="0.2">
      <c r="A1120" s="5" t="str">
        <f>HYPERLINK("http://www.ncbi.nlm.nih.gov/protein/33695123","Cdk11b")</f>
        <v>Cdk11b</v>
      </c>
      <c r="B1120" s="4"/>
      <c r="C1120" s="3">
        <v>0</v>
      </c>
      <c r="D1120" s="3">
        <v>2269</v>
      </c>
      <c r="E1120" s="3">
        <v>585</v>
      </c>
      <c r="F1120" s="3">
        <v>0</v>
      </c>
      <c r="G1120" s="3">
        <v>1960</v>
      </c>
      <c r="H1120" s="2">
        <f t="shared" si="34"/>
        <v>4814</v>
      </c>
      <c r="I1120" t="str">
        <f t="shared" si="35"/>
        <v>Cdk11b_4814</v>
      </c>
      <c r="J1120" s="3">
        <v>0</v>
      </c>
      <c r="K1120" s="3">
        <v>2269</v>
      </c>
      <c r="L1120" s="3">
        <v>585</v>
      </c>
      <c r="M1120" s="3">
        <v>0</v>
      </c>
      <c r="N1120" s="3">
        <v>1960</v>
      </c>
    </row>
    <row r="1121" spans="1:14" x14ac:dyDescent="0.2">
      <c r="A1121" s="5" t="str">
        <f>HYPERLINK("http://www.ncbi.nlm.nih.gov/protein/157816935","Cdk12")</f>
        <v>Cdk12</v>
      </c>
      <c r="B1121" s="4"/>
      <c r="C1121" s="3">
        <v>0</v>
      </c>
      <c r="D1121" s="3">
        <v>2261</v>
      </c>
      <c r="E1121" s="3">
        <v>3440</v>
      </c>
      <c r="F1121" s="3">
        <v>4330</v>
      </c>
      <c r="G1121" s="3">
        <v>34420</v>
      </c>
      <c r="H1121" s="2">
        <f t="shared" si="34"/>
        <v>44451</v>
      </c>
      <c r="I1121" t="str">
        <f t="shared" si="35"/>
        <v>Cdk12_44451</v>
      </c>
      <c r="J1121" s="3">
        <v>0</v>
      </c>
      <c r="K1121" s="3">
        <v>2261</v>
      </c>
      <c r="L1121" s="3">
        <v>3440</v>
      </c>
      <c r="M1121" s="3">
        <v>4330</v>
      </c>
      <c r="N1121" s="3">
        <v>34420</v>
      </c>
    </row>
    <row r="1122" spans="1:14" x14ac:dyDescent="0.2">
      <c r="A1122" s="5" t="str">
        <f>HYPERLINK("http://www.ncbi.nlm.nih.gov/protein/157816961","Cdk12")</f>
        <v>Cdk12</v>
      </c>
      <c r="B1122" s="4"/>
      <c r="C1122" s="3">
        <v>0</v>
      </c>
      <c r="D1122" s="3">
        <v>2261</v>
      </c>
      <c r="E1122" s="3">
        <v>3440</v>
      </c>
      <c r="F1122" s="3">
        <v>4330</v>
      </c>
      <c r="G1122" s="3">
        <v>34420</v>
      </c>
      <c r="H1122" s="2">
        <f t="shared" si="34"/>
        <v>44451</v>
      </c>
      <c r="I1122" t="str">
        <f t="shared" si="35"/>
        <v>Cdk12_44451</v>
      </c>
      <c r="J1122" s="3">
        <v>0</v>
      </c>
      <c r="K1122" s="3">
        <v>2261</v>
      </c>
      <c r="L1122" s="3">
        <v>3440</v>
      </c>
      <c r="M1122" s="3">
        <v>4330</v>
      </c>
      <c r="N1122" s="3">
        <v>34420</v>
      </c>
    </row>
    <row r="1123" spans="1:14" x14ac:dyDescent="0.2">
      <c r="A1123" s="5" t="str">
        <f>HYPERLINK("http://www.ncbi.nlm.nih.gov/protein/157824204","Cdk12")</f>
        <v>Cdk12</v>
      </c>
      <c r="B1123" s="4"/>
      <c r="C1123" s="3">
        <v>0</v>
      </c>
      <c r="D1123" s="3">
        <v>2261</v>
      </c>
      <c r="E1123" s="3">
        <v>3440</v>
      </c>
      <c r="F1123" s="3">
        <v>4330</v>
      </c>
      <c r="G1123" s="3">
        <v>34420</v>
      </c>
      <c r="H1123" s="2">
        <f t="shared" si="34"/>
        <v>44451</v>
      </c>
      <c r="I1123" t="str">
        <f t="shared" si="35"/>
        <v>Cdk12_44451</v>
      </c>
      <c r="J1123" s="3">
        <v>0</v>
      </c>
      <c r="K1123" s="3">
        <v>2261</v>
      </c>
      <c r="L1123" s="3">
        <v>3440</v>
      </c>
      <c r="M1123" s="3">
        <v>4330</v>
      </c>
      <c r="N1123" s="3">
        <v>34420</v>
      </c>
    </row>
    <row r="1124" spans="1:14" x14ac:dyDescent="0.2">
      <c r="A1124" s="5" t="str">
        <f>HYPERLINK("http://www.ncbi.nlm.nih.gov/protein/124486698","Cdk13")</f>
        <v>Cdk13</v>
      </c>
      <c r="B1124" s="4"/>
      <c r="C1124" s="3">
        <v>0</v>
      </c>
      <c r="D1124" s="3">
        <v>2261</v>
      </c>
      <c r="E1124" s="3">
        <v>3440</v>
      </c>
      <c r="F1124" s="3">
        <v>4330</v>
      </c>
      <c r="G1124" s="3">
        <v>34827</v>
      </c>
      <c r="H1124" s="2">
        <f t="shared" si="34"/>
        <v>44858</v>
      </c>
      <c r="I1124" t="str">
        <f t="shared" si="35"/>
        <v>Cdk13_44858</v>
      </c>
      <c r="J1124" s="3">
        <v>0</v>
      </c>
      <c r="K1124" s="3">
        <v>2261</v>
      </c>
      <c r="L1124" s="3">
        <v>3440</v>
      </c>
      <c r="M1124" s="3">
        <v>4330</v>
      </c>
      <c r="N1124" s="3">
        <v>34827</v>
      </c>
    </row>
    <row r="1125" spans="1:14" x14ac:dyDescent="0.2">
      <c r="A1125" s="5" t="str">
        <f>HYPERLINK("http://www.ncbi.nlm.nih.gov/protein/189409171","Cdk13")</f>
        <v>Cdk13</v>
      </c>
      <c r="B1125" s="4"/>
      <c r="C1125" s="3">
        <v>0</v>
      </c>
      <c r="D1125" s="3">
        <v>2261</v>
      </c>
      <c r="E1125" s="3">
        <v>3440</v>
      </c>
      <c r="F1125" s="3">
        <v>4330</v>
      </c>
      <c r="G1125" s="3">
        <v>34827</v>
      </c>
      <c r="H1125" s="2">
        <f t="shared" si="34"/>
        <v>44858</v>
      </c>
      <c r="I1125" t="str">
        <f t="shared" si="35"/>
        <v>Cdk13_44858</v>
      </c>
      <c r="J1125" s="3">
        <v>0</v>
      </c>
      <c r="K1125" s="3">
        <v>2261</v>
      </c>
      <c r="L1125" s="3">
        <v>3440</v>
      </c>
      <c r="M1125" s="3">
        <v>4330</v>
      </c>
      <c r="N1125" s="3">
        <v>34827</v>
      </c>
    </row>
    <row r="1126" spans="1:14" x14ac:dyDescent="0.2">
      <c r="A1126" s="5" t="str">
        <f>HYPERLINK("http://www.ncbi.nlm.nih.gov/protein/161086911","Cdk14")</f>
        <v>Cdk14</v>
      </c>
      <c r="B1126" s="4"/>
      <c r="C1126" s="3">
        <v>0</v>
      </c>
      <c r="D1126" s="3">
        <v>2261</v>
      </c>
      <c r="E1126" s="3">
        <v>3440</v>
      </c>
      <c r="F1126" s="3">
        <v>4330</v>
      </c>
      <c r="G1126" s="3">
        <v>34420</v>
      </c>
      <c r="H1126" s="2">
        <f t="shared" si="34"/>
        <v>44451</v>
      </c>
      <c r="I1126" t="str">
        <f t="shared" si="35"/>
        <v>Cdk14_44451</v>
      </c>
      <c r="J1126" s="3">
        <v>0</v>
      </c>
      <c r="K1126" s="3">
        <v>2261</v>
      </c>
      <c r="L1126" s="3">
        <v>3440</v>
      </c>
      <c r="M1126" s="3">
        <v>4330</v>
      </c>
      <c r="N1126" s="3">
        <v>34420</v>
      </c>
    </row>
    <row r="1127" spans="1:14" x14ac:dyDescent="0.2">
      <c r="A1127" s="5" t="str">
        <f>HYPERLINK("http://www.ncbi.nlm.nih.gov/protein/241666398","Cdk15")</f>
        <v>Cdk15</v>
      </c>
      <c r="B1127" s="4"/>
      <c r="C1127" s="3">
        <v>0</v>
      </c>
      <c r="D1127" s="3">
        <v>2261</v>
      </c>
      <c r="E1127" s="3">
        <v>3452</v>
      </c>
      <c r="F1127" s="3">
        <v>6303</v>
      </c>
      <c r="G1127" s="3">
        <v>34420</v>
      </c>
      <c r="H1127" s="2">
        <f t="shared" si="34"/>
        <v>46436</v>
      </c>
      <c r="I1127" t="str">
        <f t="shared" si="35"/>
        <v>Cdk15_46436</v>
      </c>
      <c r="J1127" s="3">
        <v>0</v>
      </c>
      <c r="K1127" s="3">
        <v>2261</v>
      </c>
      <c r="L1127" s="3">
        <v>3452</v>
      </c>
      <c r="M1127" s="3">
        <v>6303</v>
      </c>
      <c r="N1127" s="3">
        <v>34420</v>
      </c>
    </row>
    <row r="1128" spans="1:14" x14ac:dyDescent="0.2">
      <c r="A1128" s="5" t="str">
        <f>HYPERLINK("http://www.ncbi.nlm.nih.gov/protein/7242173","Cdk16")</f>
        <v>Cdk16</v>
      </c>
      <c r="B1128" s="4"/>
      <c r="C1128" s="3">
        <v>0</v>
      </c>
      <c r="D1128" s="3">
        <v>2524</v>
      </c>
      <c r="E1128" s="3">
        <v>3590</v>
      </c>
      <c r="F1128" s="3">
        <v>4617</v>
      </c>
      <c r="G1128" s="3">
        <v>34763</v>
      </c>
      <c r="H1128" s="2">
        <f t="shared" si="34"/>
        <v>45494</v>
      </c>
      <c r="I1128" t="str">
        <f t="shared" si="35"/>
        <v>Cdk16_45494</v>
      </c>
      <c r="J1128" s="3">
        <v>0</v>
      </c>
      <c r="K1128" s="3">
        <v>2524</v>
      </c>
      <c r="L1128" s="3">
        <v>3590</v>
      </c>
      <c r="M1128" s="3">
        <v>4617</v>
      </c>
      <c r="N1128" s="3">
        <v>34763</v>
      </c>
    </row>
    <row r="1129" spans="1:14" x14ac:dyDescent="0.2">
      <c r="A1129" s="5" t="str">
        <f>HYPERLINK("http://www.ncbi.nlm.nih.gov/protein/160333476","Cdk17")</f>
        <v>Cdk17</v>
      </c>
      <c r="B1129" s="4"/>
      <c r="C1129" s="3">
        <v>0</v>
      </c>
      <c r="D1129" s="3">
        <v>2655</v>
      </c>
      <c r="E1129" s="3">
        <v>4134</v>
      </c>
      <c r="F1129" s="3">
        <v>8300</v>
      </c>
      <c r="G1129" s="3">
        <v>34763</v>
      </c>
      <c r="H1129" s="2">
        <f t="shared" si="34"/>
        <v>49852</v>
      </c>
      <c r="I1129" t="str">
        <f t="shared" si="35"/>
        <v>Cdk17_49852</v>
      </c>
      <c r="J1129" s="3">
        <v>0</v>
      </c>
      <c r="K1129" s="3">
        <v>2655</v>
      </c>
      <c r="L1129" s="3">
        <v>4134</v>
      </c>
      <c r="M1129" s="3">
        <v>8300</v>
      </c>
      <c r="N1129" s="3">
        <v>34763</v>
      </c>
    </row>
    <row r="1130" spans="1:14" x14ac:dyDescent="0.2">
      <c r="A1130" s="5" t="str">
        <f>HYPERLINK("http://www.ncbi.nlm.nih.gov/protein/6679233","Cdk18")</f>
        <v>Cdk18</v>
      </c>
      <c r="B1130" s="4"/>
      <c r="C1130" s="3">
        <v>0</v>
      </c>
      <c r="D1130" s="3">
        <v>3048</v>
      </c>
      <c r="E1130" s="3">
        <v>4598</v>
      </c>
      <c r="F1130" s="3">
        <v>13752</v>
      </c>
      <c r="G1130" s="3">
        <v>34763</v>
      </c>
      <c r="H1130" s="2">
        <f t="shared" si="34"/>
        <v>56161</v>
      </c>
      <c r="I1130" t="str">
        <f t="shared" si="35"/>
        <v>Cdk18_56161</v>
      </c>
      <c r="J1130" s="3">
        <v>0</v>
      </c>
      <c r="K1130" s="3">
        <v>3048</v>
      </c>
      <c r="L1130" s="3">
        <v>4598</v>
      </c>
      <c r="M1130" s="3">
        <v>13752</v>
      </c>
      <c r="N1130" s="3">
        <v>34763</v>
      </c>
    </row>
    <row r="1131" spans="1:14" x14ac:dyDescent="0.2">
      <c r="A1131" s="5" t="str">
        <f>HYPERLINK("http://www.ncbi.nlm.nih.gov/protein/34556205","Cdk2")</f>
        <v>Cdk2</v>
      </c>
      <c r="B1131" s="4"/>
      <c r="C1131" s="3">
        <v>1757</v>
      </c>
      <c r="D1131" s="3">
        <v>4636</v>
      </c>
      <c r="E1131" s="3">
        <v>7194</v>
      </c>
      <c r="F1131" s="3">
        <v>14030</v>
      </c>
      <c r="G1131" s="3">
        <v>77794</v>
      </c>
      <c r="H1131" s="2">
        <f t="shared" si="34"/>
        <v>105411</v>
      </c>
      <c r="I1131" t="str">
        <f t="shared" si="35"/>
        <v>Cdk2_105411</v>
      </c>
      <c r="J1131" s="3">
        <v>1757</v>
      </c>
      <c r="K1131" s="3">
        <v>4636</v>
      </c>
      <c r="L1131" s="3">
        <v>7194</v>
      </c>
      <c r="M1131" s="3">
        <v>14030</v>
      </c>
      <c r="N1131" s="3">
        <v>77794</v>
      </c>
    </row>
    <row r="1132" spans="1:14" x14ac:dyDescent="0.2">
      <c r="A1132" s="5" t="str">
        <f>HYPERLINK("http://www.ncbi.nlm.nih.gov/protein/7949020","Cdk2")</f>
        <v>Cdk2</v>
      </c>
      <c r="B1132" s="4"/>
      <c r="C1132" s="3">
        <v>1757</v>
      </c>
      <c r="D1132" s="3">
        <v>4636</v>
      </c>
      <c r="E1132" s="3">
        <v>7194</v>
      </c>
      <c r="F1132" s="3">
        <v>14030</v>
      </c>
      <c r="G1132" s="3">
        <v>77794</v>
      </c>
      <c r="H1132" s="2">
        <f t="shared" si="34"/>
        <v>105411</v>
      </c>
      <c r="I1132" t="str">
        <f t="shared" si="35"/>
        <v>Cdk2_105411</v>
      </c>
      <c r="J1132" s="3">
        <v>1757</v>
      </c>
      <c r="K1132" s="3">
        <v>4636</v>
      </c>
      <c r="L1132" s="3">
        <v>7194</v>
      </c>
      <c r="M1132" s="3">
        <v>14030</v>
      </c>
      <c r="N1132" s="3">
        <v>77794</v>
      </c>
    </row>
    <row r="1133" spans="1:14" x14ac:dyDescent="0.2">
      <c r="A1133" s="5" t="str">
        <f>HYPERLINK("http://www.ncbi.nlm.nih.gov/protein/16716469","Cdk20")</f>
        <v>Cdk20</v>
      </c>
      <c r="B1133" s="4"/>
      <c r="C1133" s="3">
        <v>0</v>
      </c>
      <c r="D1133" s="3">
        <v>2261</v>
      </c>
      <c r="E1133" s="3">
        <v>3440</v>
      </c>
      <c r="F1133" s="3">
        <v>4330</v>
      </c>
      <c r="G1133" s="3">
        <v>34420</v>
      </c>
      <c r="H1133" s="2">
        <f t="shared" si="34"/>
        <v>44451</v>
      </c>
      <c r="I1133" t="str">
        <f t="shared" si="35"/>
        <v>Cdk20_44451</v>
      </c>
      <c r="J1133" s="3">
        <v>0</v>
      </c>
      <c r="K1133" s="3">
        <v>2261</v>
      </c>
      <c r="L1133" s="3">
        <v>3440</v>
      </c>
      <c r="M1133" s="3">
        <v>4330</v>
      </c>
      <c r="N1133" s="3">
        <v>34420</v>
      </c>
    </row>
    <row r="1134" spans="1:14" x14ac:dyDescent="0.2">
      <c r="A1134" s="5" t="str">
        <f>HYPERLINK("http://www.ncbi.nlm.nih.gov/protein/6753380","Cdk4")</f>
        <v>Cdk4</v>
      </c>
      <c r="B1134" s="4"/>
      <c r="C1134" s="3">
        <v>0</v>
      </c>
      <c r="D1134" s="3">
        <v>4092</v>
      </c>
      <c r="E1134" s="3">
        <v>4425</v>
      </c>
      <c r="F1134" s="3">
        <v>21700</v>
      </c>
      <c r="G1134" s="3">
        <v>47829</v>
      </c>
      <c r="H1134" s="2">
        <f t="shared" si="34"/>
        <v>78046</v>
      </c>
      <c r="I1134" t="str">
        <f t="shared" si="35"/>
        <v>Cdk4_78046</v>
      </c>
      <c r="J1134" s="3">
        <v>0</v>
      </c>
      <c r="K1134" s="3">
        <v>4092</v>
      </c>
      <c r="L1134" s="3">
        <v>4425</v>
      </c>
      <c r="M1134" s="3">
        <v>21700</v>
      </c>
      <c r="N1134" s="3">
        <v>47829</v>
      </c>
    </row>
    <row r="1135" spans="1:14" x14ac:dyDescent="0.2">
      <c r="A1135" s="5" t="str">
        <f>HYPERLINK("http://www.ncbi.nlm.nih.gov/protein/6680908","Cdk5")</f>
        <v>Cdk5</v>
      </c>
      <c r="B1135" s="4"/>
      <c r="C1135" s="3">
        <v>0</v>
      </c>
      <c r="D1135" s="3">
        <v>4025</v>
      </c>
      <c r="E1135" s="3">
        <v>4542</v>
      </c>
      <c r="F1135" s="3">
        <v>6106</v>
      </c>
      <c r="G1135" s="3">
        <v>44187</v>
      </c>
      <c r="H1135" s="2">
        <f t="shared" si="34"/>
        <v>58860</v>
      </c>
      <c r="I1135" t="str">
        <f t="shared" si="35"/>
        <v>Cdk5_58860</v>
      </c>
      <c r="J1135" s="3">
        <v>0</v>
      </c>
      <c r="K1135" s="3">
        <v>4025</v>
      </c>
      <c r="L1135" s="3">
        <v>4542</v>
      </c>
      <c r="M1135" s="3">
        <v>6106</v>
      </c>
      <c r="N1135" s="3">
        <v>44187</v>
      </c>
    </row>
    <row r="1136" spans="1:14" x14ac:dyDescent="0.2">
      <c r="A1136" s="5" t="str">
        <f>HYPERLINK("http://www.ncbi.nlm.nih.gov/protein/50657347","Cdk5rap2")</f>
        <v>Cdk5rap2</v>
      </c>
      <c r="B1136" s="4"/>
      <c r="C1136" s="3">
        <v>0</v>
      </c>
      <c r="D1136" s="3">
        <v>0</v>
      </c>
      <c r="E1136" s="3">
        <v>41</v>
      </c>
      <c r="F1136" s="3">
        <v>0</v>
      </c>
      <c r="G1136" s="3">
        <v>0</v>
      </c>
      <c r="H1136" s="2">
        <f t="shared" si="34"/>
        <v>41</v>
      </c>
      <c r="I1136" t="str">
        <f t="shared" si="35"/>
        <v>Cdk5rap2_41</v>
      </c>
      <c r="J1136" s="3">
        <v>0</v>
      </c>
      <c r="K1136" s="3">
        <v>0</v>
      </c>
      <c r="L1136" s="3">
        <v>41</v>
      </c>
      <c r="M1136" s="3">
        <v>0</v>
      </c>
      <c r="N1136" s="3">
        <v>0</v>
      </c>
    </row>
    <row r="1137" spans="1:14" x14ac:dyDescent="0.2">
      <c r="A1137" s="5" t="str">
        <f>HYPERLINK("http://www.ncbi.nlm.nih.gov/protein/13384788","Cdk5rap3")</f>
        <v>Cdk5rap3</v>
      </c>
      <c r="B1137" s="4"/>
      <c r="C1137" s="3">
        <v>165</v>
      </c>
      <c r="D1137" s="3">
        <v>438</v>
      </c>
      <c r="E1137" s="3">
        <v>67</v>
      </c>
      <c r="F1137" s="3">
        <v>0</v>
      </c>
      <c r="G1137" s="3">
        <v>0</v>
      </c>
      <c r="H1137" s="2">
        <f t="shared" si="34"/>
        <v>670</v>
      </c>
      <c r="I1137" t="str">
        <f t="shared" si="35"/>
        <v>Cdk5rap3_670</v>
      </c>
      <c r="J1137" s="3">
        <v>165</v>
      </c>
      <c r="K1137" s="3">
        <v>438</v>
      </c>
      <c r="L1137" s="3">
        <v>67</v>
      </c>
      <c r="M1137" s="3">
        <v>0</v>
      </c>
      <c r="N1137" s="3">
        <v>0</v>
      </c>
    </row>
    <row r="1138" spans="1:14" x14ac:dyDescent="0.2">
      <c r="A1138" s="5" t="str">
        <f>HYPERLINK("http://www.ncbi.nlm.nih.gov/protein/14149637","Cdk6")</f>
        <v>Cdk6</v>
      </c>
      <c r="B1138" s="4"/>
      <c r="C1138" s="3">
        <v>0</v>
      </c>
      <c r="D1138" s="3">
        <v>2261</v>
      </c>
      <c r="E1138" s="3">
        <v>3508</v>
      </c>
      <c r="F1138" s="3">
        <v>4330</v>
      </c>
      <c r="G1138" s="3">
        <v>46179</v>
      </c>
      <c r="H1138" s="2">
        <f t="shared" si="34"/>
        <v>56278</v>
      </c>
      <c r="I1138" t="str">
        <f t="shared" si="35"/>
        <v>Cdk6_56278</v>
      </c>
      <c r="J1138" s="3">
        <v>0</v>
      </c>
      <c r="K1138" s="3">
        <v>2261</v>
      </c>
      <c r="L1138" s="3">
        <v>3508</v>
      </c>
      <c r="M1138" s="3">
        <v>4330</v>
      </c>
      <c r="N1138" s="3">
        <v>46179</v>
      </c>
    </row>
    <row r="1139" spans="1:14" x14ac:dyDescent="0.2">
      <c r="A1139" s="5" t="str">
        <f>HYPERLINK("http://www.ncbi.nlm.nih.gov/protein/160333726","Cdk7")</f>
        <v>Cdk7</v>
      </c>
      <c r="B1139" s="4"/>
      <c r="C1139" s="3">
        <v>0</v>
      </c>
      <c r="D1139" s="3">
        <v>0</v>
      </c>
      <c r="E1139" s="3">
        <v>165</v>
      </c>
      <c r="F1139" s="3">
        <v>2660</v>
      </c>
      <c r="G1139" s="3">
        <v>2378</v>
      </c>
      <c r="H1139" s="2">
        <f t="shared" si="34"/>
        <v>5203</v>
      </c>
      <c r="I1139" t="str">
        <f t="shared" si="35"/>
        <v>Cdk7_5203</v>
      </c>
      <c r="J1139" s="3">
        <v>0</v>
      </c>
      <c r="K1139" s="3">
        <v>0</v>
      </c>
      <c r="L1139" s="3">
        <v>165</v>
      </c>
      <c r="M1139" s="3">
        <v>2660</v>
      </c>
      <c r="N1139" s="3">
        <v>2378</v>
      </c>
    </row>
    <row r="1140" spans="1:14" x14ac:dyDescent="0.2">
      <c r="A1140" s="5" t="str">
        <f>HYPERLINK("http://www.ncbi.nlm.nih.gov/protein/18699998","Cdk9")</f>
        <v>Cdk9</v>
      </c>
      <c r="B1140" s="4"/>
      <c r="C1140" s="3">
        <v>0</v>
      </c>
      <c r="D1140" s="3">
        <v>2261</v>
      </c>
      <c r="E1140" s="3">
        <v>4301</v>
      </c>
      <c r="F1140" s="3">
        <v>36426</v>
      </c>
      <c r="G1140" s="3">
        <v>40953</v>
      </c>
      <c r="H1140" s="2">
        <f t="shared" si="34"/>
        <v>83941</v>
      </c>
      <c r="I1140" t="str">
        <f t="shared" si="35"/>
        <v>Cdk9_83941</v>
      </c>
      <c r="J1140" s="3">
        <v>0</v>
      </c>
      <c r="K1140" s="3">
        <v>2261</v>
      </c>
      <c r="L1140" s="3">
        <v>4301</v>
      </c>
      <c r="M1140" s="3">
        <v>36426</v>
      </c>
      <c r="N1140" s="3">
        <v>40953</v>
      </c>
    </row>
    <row r="1141" spans="1:14" x14ac:dyDescent="0.2">
      <c r="A1141" s="5" t="str">
        <f>HYPERLINK("http://www.ncbi.nlm.nih.gov/protein/21617853","Cdkal1")</f>
        <v>Cdkal1</v>
      </c>
      <c r="B1141" s="4"/>
      <c r="C1141" s="3">
        <v>0</v>
      </c>
      <c r="D1141" s="3">
        <v>833</v>
      </c>
      <c r="E1141" s="3">
        <v>85</v>
      </c>
      <c r="F1141" s="3">
        <v>0</v>
      </c>
      <c r="G1141" s="3">
        <v>0</v>
      </c>
      <c r="H1141" s="2">
        <f t="shared" si="34"/>
        <v>918</v>
      </c>
      <c r="I1141" t="str">
        <f t="shared" si="35"/>
        <v>Cdkal1_918</v>
      </c>
      <c r="J1141" s="3">
        <v>0</v>
      </c>
      <c r="K1141" s="3">
        <v>833</v>
      </c>
      <c r="L1141" s="3">
        <v>85</v>
      </c>
      <c r="M1141" s="3">
        <v>0</v>
      </c>
      <c r="N1141" s="3">
        <v>0</v>
      </c>
    </row>
    <row r="1142" spans="1:14" x14ac:dyDescent="0.2">
      <c r="A1142" s="5" t="str">
        <f>HYPERLINK("http://www.ncbi.nlm.nih.gov/protein/34304105","Cdkl1")</f>
        <v>Cdkl1</v>
      </c>
      <c r="B1142" s="4"/>
      <c r="C1142" s="3">
        <v>0</v>
      </c>
      <c r="D1142" s="3">
        <v>0</v>
      </c>
      <c r="E1142" s="3">
        <v>138</v>
      </c>
      <c r="F1142" s="3">
        <v>3798</v>
      </c>
      <c r="G1142" s="3">
        <v>0</v>
      </c>
      <c r="H1142" s="2">
        <f t="shared" si="34"/>
        <v>3936</v>
      </c>
      <c r="I1142" t="str">
        <f t="shared" si="35"/>
        <v>Cdkl1_3936</v>
      </c>
      <c r="J1142" s="3">
        <v>0</v>
      </c>
      <c r="K1142" s="3">
        <v>0</v>
      </c>
      <c r="L1142" s="3">
        <v>138</v>
      </c>
      <c r="M1142" s="3">
        <v>3798</v>
      </c>
      <c r="N1142" s="3">
        <v>0</v>
      </c>
    </row>
    <row r="1143" spans="1:14" x14ac:dyDescent="0.2">
      <c r="A1143" s="5" t="str">
        <f>HYPERLINK("http://www.ncbi.nlm.nih.gov/protein/31542372","Cdkn1b")</f>
        <v>Cdkn1b</v>
      </c>
      <c r="B1143" s="4"/>
      <c r="C1143" s="3">
        <v>0</v>
      </c>
      <c r="D1143" s="3">
        <v>129</v>
      </c>
      <c r="E1143" s="3">
        <v>351</v>
      </c>
      <c r="F1143" s="3">
        <v>237</v>
      </c>
      <c r="G1143" s="3">
        <v>13847</v>
      </c>
      <c r="H1143" s="2">
        <f t="shared" si="34"/>
        <v>14564</v>
      </c>
      <c r="I1143" t="str">
        <f t="shared" si="35"/>
        <v>Cdkn1b_14564</v>
      </c>
      <c r="J1143" s="3">
        <v>0</v>
      </c>
      <c r="K1143" s="3">
        <v>129</v>
      </c>
      <c r="L1143" s="3">
        <v>351</v>
      </c>
      <c r="M1143" s="3">
        <v>237</v>
      </c>
      <c r="N1143" s="3">
        <v>13847</v>
      </c>
    </row>
    <row r="1144" spans="1:14" x14ac:dyDescent="0.2">
      <c r="A1144" s="5" t="str">
        <f>HYPERLINK("http://www.ncbi.nlm.nih.gov/protein/6753390","Cdkn2a")</f>
        <v>Cdkn2a</v>
      </c>
      <c r="B1144" s="4"/>
      <c r="C1144" s="3">
        <v>1080</v>
      </c>
      <c r="D1144" s="3">
        <v>132</v>
      </c>
      <c r="E1144" s="3">
        <v>73</v>
      </c>
      <c r="F1144" s="3">
        <v>57</v>
      </c>
      <c r="G1144" s="3">
        <v>0</v>
      </c>
      <c r="H1144" s="2">
        <f t="shared" si="34"/>
        <v>1342</v>
      </c>
      <c r="I1144" t="str">
        <f t="shared" si="35"/>
        <v>Cdkn2a_1342</v>
      </c>
      <c r="J1144" s="3">
        <v>1080</v>
      </c>
      <c r="K1144" s="3">
        <v>132</v>
      </c>
      <c r="L1144" s="3">
        <v>73</v>
      </c>
      <c r="M1144" s="3">
        <v>57</v>
      </c>
      <c r="N1144" s="3">
        <v>0</v>
      </c>
    </row>
    <row r="1145" spans="1:14" x14ac:dyDescent="0.2">
      <c r="A1145" s="5" t="str">
        <f>HYPERLINK("http://www.ncbi.nlm.nih.gov/protein/27369527","Cdkn2aip")</f>
        <v>Cdkn2aip</v>
      </c>
      <c r="B1145" s="4"/>
      <c r="C1145" s="3">
        <v>0</v>
      </c>
      <c r="D1145" s="3">
        <v>19</v>
      </c>
      <c r="E1145" s="3">
        <v>120</v>
      </c>
      <c r="F1145" s="3">
        <v>319</v>
      </c>
      <c r="G1145" s="3">
        <v>246</v>
      </c>
      <c r="H1145" s="2">
        <f t="shared" si="34"/>
        <v>704</v>
      </c>
      <c r="I1145" t="str">
        <f t="shared" si="35"/>
        <v>Cdkn2aip_704</v>
      </c>
      <c r="J1145" s="3">
        <v>0</v>
      </c>
      <c r="K1145" s="3">
        <v>19</v>
      </c>
      <c r="L1145" s="3">
        <v>120</v>
      </c>
      <c r="M1145" s="3">
        <v>319</v>
      </c>
      <c r="N1145" s="3">
        <v>246</v>
      </c>
    </row>
    <row r="1146" spans="1:14" x14ac:dyDescent="0.2">
      <c r="A1146" s="5" t="str">
        <f>HYPERLINK("http://www.ncbi.nlm.nih.gov/protein/21313402","Cdkn2aipnl")</f>
        <v>Cdkn2aipnl</v>
      </c>
      <c r="B1146" s="4"/>
      <c r="C1146" s="3">
        <v>73</v>
      </c>
      <c r="D1146" s="3">
        <v>0</v>
      </c>
      <c r="E1146" s="3">
        <v>35</v>
      </c>
      <c r="F1146" s="3">
        <v>16</v>
      </c>
      <c r="G1146" s="3">
        <v>182</v>
      </c>
      <c r="H1146" s="2">
        <f t="shared" si="34"/>
        <v>306</v>
      </c>
      <c r="I1146" t="str">
        <f t="shared" si="35"/>
        <v>Cdkn2aipnl_306</v>
      </c>
      <c r="J1146" s="3">
        <v>73</v>
      </c>
      <c r="K1146" s="3">
        <v>0</v>
      </c>
      <c r="L1146" s="3">
        <v>35</v>
      </c>
      <c r="M1146" s="3">
        <v>16</v>
      </c>
      <c r="N1146" s="3">
        <v>182</v>
      </c>
    </row>
    <row r="1147" spans="1:14" x14ac:dyDescent="0.2">
      <c r="A1147" s="5" t="str">
        <f>HYPERLINK("http://www.ncbi.nlm.nih.gov/protein/6671728","Cdkn2b")</f>
        <v>Cdkn2b</v>
      </c>
      <c r="B1147" s="4"/>
      <c r="C1147" s="3">
        <v>0</v>
      </c>
      <c r="D1147" s="3">
        <v>0</v>
      </c>
      <c r="E1147" s="3">
        <v>0</v>
      </c>
      <c r="F1147" s="3">
        <v>41</v>
      </c>
      <c r="G1147" s="3">
        <v>4884</v>
      </c>
      <c r="H1147" s="2">
        <f t="shared" si="34"/>
        <v>4925</v>
      </c>
      <c r="I1147" t="str">
        <f t="shared" si="35"/>
        <v>Cdkn2b_4925</v>
      </c>
      <c r="J1147" s="3">
        <v>0</v>
      </c>
      <c r="K1147" s="3">
        <v>0</v>
      </c>
      <c r="L1147" s="3">
        <v>0</v>
      </c>
      <c r="M1147" s="3">
        <v>41</v>
      </c>
      <c r="N1147" s="3">
        <v>4884</v>
      </c>
    </row>
    <row r="1148" spans="1:14" x14ac:dyDescent="0.2">
      <c r="A1148" s="5" t="str">
        <f>HYPERLINK("http://www.ncbi.nlm.nih.gov/protein/6680910","Cdkn2c")</f>
        <v>Cdkn2c</v>
      </c>
      <c r="B1148" s="4"/>
      <c r="C1148" s="3">
        <v>0</v>
      </c>
      <c r="D1148" s="3">
        <v>0</v>
      </c>
      <c r="E1148" s="3">
        <v>0</v>
      </c>
      <c r="F1148" s="3">
        <v>0</v>
      </c>
      <c r="G1148" s="3">
        <v>15829</v>
      </c>
      <c r="H1148" s="2">
        <f t="shared" si="34"/>
        <v>15829</v>
      </c>
      <c r="I1148" t="str">
        <f t="shared" si="35"/>
        <v>Cdkn2c_15829</v>
      </c>
      <c r="J1148" s="3">
        <v>0</v>
      </c>
      <c r="K1148" s="3">
        <v>0</v>
      </c>
      <c r="L1148" s="3">
        <v>0</v>
      </c>
      <c r="M1148" s="3">
        <v>0</v>
      </c>
      <c r="N1148" s="3">
        <v>15829</v>
      </c>
    </row>
    <row r="1149" spans="1:14" x14ac:dyDescent="0.2">
      <c r="A1149" s="5" t="str">
        <f>HYPERLINK("http://www.ncbi.nlm.nih.gov/protein/14719434","Cdo1")</f>
        <v>Cdo1</v>
      </c>
      <c r="B1149" s="4"/>
      <c r="C1149" s="3">
        <v>0</v>
      </c>
      <c r="D1149" s="3">
        <v>0</v>
      </c>
      <c r="E1149" s="3">
        <v>0</v>
      </c>
      <c r="F1149" s="3">
        <v>84352</v>
      </c>
      <c r="G1149" s="3">
        <v>0</v>
      </c>
      <c r="H1149" s="2">
        <f t="shared" si="34"/>
        <v>84352</v>
      </c>
      <c r="I1149" t="str">
        <f t="shared" si="35"/>
        <v>Cdo1_84352</v>
      </c>
      <c r="J1149" s="3">
        <v>0</v>
      </c>
      <c r="K1149" s="3">
        <v>0</v>
      </c>
      <c r="L1149" s="3">
        <v>0</v>
      </c>
      <c r="M1149" s="3">
        <v>84352</v>
      </c>
      <c r="N1149" s="3">
        <v>0</v>
      </c>
    </row>
    <row r="1150" spans="1:14" x14ac:dyDescent="0.2">
      <c r="A1150" s="5" t="str">
        <f>HYPERLINK("http://www.ncbi.nlm.nih.gov/protein/257467494","Cdpf1")</f>
        <v>Cdpf1</v>
      </c>
      <c r="B1150" s="4"/>
      <c r="C1150" s="3">
        <v>0</v>
      </c>
      <c r="D1150" s="3">
        <v>0</v>
      </c>
      <c r="E1150" s="3">
        <v>0</v>
      </c>
      <c r="F1150" s="3">
        <v>0</v>
      </c>
      <c r="G1150" s="3">
        <v>150</v>
      </c>
      <c r="H1150" s="2">
        <f t="shared" si="34"/>
        <v>150</v>
      </c>
      <c r="I1150" t="str">
        <f t="shared" si="35"/>
        <v>Cdpf1_150</v>
      </c>
      <c r="J1150" s="3">
        <v>0</v>
      </c>
      <c r="K1150" s="3">
        <v>0</v>
      </c>
      <c r="L1150" s="3">
        <v>0</v>
      </c>
      <c r="M1150" s="3">
        <v>0</v>
      </c>
      <c r="N1150" s="3">
        <v>150</v>
      </c>
    </row>
    <row r="1151" spans="1:14" x14ac:dyDescent="0.2">
      <c r="A1151" s="5" t="str">
        <f>HYPERLINK("http://www.ncbi.nlm.nih.gov/protein/20149726","Cds2")</f>
        <v>Cds2</v>
      </c>
      <c r="B1151" s="4"/>
      <c r="C1151" s="3">
        <v>1043</v>
      </c>
      <c r="D1151" s="3">
        <v>0</v>
      </c>
      <c r="E1151" s="3">
        <v>199</v>
      </c>
      <c r="F1151" s="3">
        <v>0</v>
      </c>
      <c r="G1151" s="3">
        <v>0</v>
      </c>
      <c r="H1151" s="2">
        <f t="shared" si="34"/>
        <v>1242</v>
      </c>
      <c r="I1151" t="str">
        <f t="shared" si="35"/>
        <v>Cds2_1242</v>
      </c>
      <c r="J1151" s="3">
        <v>1043</v>
      </c>
      <c r="K1151" s="3">
        <v>0</v>
      </c>
      <c r="L1151" s="3">
        <v>199</v>
      </c>
      <c r="M1151" s="3">
        <v>0</v>
      </c>
      <c r="N1151" s="3">
        <v>0</v>
      </c>
    </row>
    <row r="1152" spans="1:14" x14ac:dyDescent="0.2">
      <c r="A1152" s="5" t="str">
        <f>HYPERLINK("http://www.ncbi.nlm.nih.gov/protein/31982546","Cdt1")</f>
        <v>Cdt1</v>
      </c>
      <c r="B1152" s="4"/>
      <c r="C1152" s="3">
        <v>0</v>
      </c>
      <c r="D1152" s="3">
        <v>0</v>
      </c>
      <c r="E1152" s="3">
        <v>0</v>
      </c>
      <c r="F1152" s="3">
        <v>0</v>
      </c>
      <c r="G1152" s="3">
        <v>268</v>
      </c>
      <c r="H1152" s="2">
        <f t="shared" si="34"/>
        <v>268</v>
      </c>
      <c r="I1152" t="str">
        <f t="shared" si="35"/>
        <v>Cdt1_268</v>
      </c>
      <c r="J1152" s="3">
        <v>0</v>
      </c>
      <c r="K1152" s="3">
        <v>0</v>
      </c>
      <c r="L1152" s="3">
        <v>0</v>
      </c>
      <c r="M1152" s="3">
        <v>0</v>
      </c>
      <c r="N1152" s="3">
        <v>268</v>
      </c>
    </row>
    <row r="1153" spans="1:14" x14ac:dyDescent="0.2">
      <c r="A1153" s="5" t="str">
        <f>HYPERLINK("http://www.ncbi.nlm.nih.gov/protein/197313683","Cdv3")</f>
        <v>Cdv3</v>
      </c>
      <c r="B1153" s="4"/>
      <c r="C1153" s="3">
        <v>0</v>
      </c>
      <c r="D1153" s="3">
        <v>61</v>
      </c>
      <c r="E1153" s="3">
        <v>1332</v>
      </c>
      <c r="F1153" s="3">
        <v>19383</v>
      </c>
      <c r="G1153" s="3">
        <v>2977</v>
      </c>
      <c r="H1153" s="2">
        <f t="shared" si="34"/>
        <v>23753</v>
      </c>
      <c r="I1153" t="str">
        <f t="shared" si="35"/>
        <v>Cdv3_23753</v>
      </c>
      <c r="J1153" s="3">
        <v>0</v>
      </c>
      <c r="K1153" s="3">
        <v>61</v>
      </c>
      <c r="L1153" s="3">
        <v>1332</v>
      </c>
      <c r="M1153" s="3">
        <v>19383</v>
      </c>
      <c r="N1153" s="3">
        <v>2977</v>
      </c>
    </row>
    <row r="1154" spans="1:14" x14ac:dyDescent="0.2">
      <c r="A1154" s="5" t="str">
        <f>HYPERLINK("http://www.ncbi.nlm.nih.gov/protein/197313685","Cdv3")</f>
        <v>Cdv3</v>
      </c>
      <c r="B1154" s="4"/>
      <c r="C1154" s="3">
        <v>0</v>
      </c>
      <c r="D1154" s="3">
        <v>61</v>
      </c>
      <c r="E1154" s="3">
        <v>214</v>
      </c>
      <c r="F1154" s="3">
        <v>7318</v>
      </c>
      <c r="G1154" s="3">
        <v>1906</v>
      </c>
      <c r="H1154" s="2">
        <f t="shared" ref="H1154:H1217" si="36">SUM(C1154:G1154)</f>
        <v>9499</v>
      </c>
      <c r="I1154" t="str">
        <f t="shared" ref="I1154:I1217" si="37">A1154&amp;"_"&amp;H1154</f>
        <v>Cdv3_9499</v>
      </c>
      <c r="J1154" s="3">
        <v>0</v>
      </c>
      <c r="K1154" s="3">
        <v>61</v>
      </c>
      <c r="L1154" s="3">
        <v>214</v>
      </c>
      <c r="M1154" s="3">
        <v>7318</v>
      </c>
      <c r="N1154" s="3">
        <v>1906</v>
      </c>
    </row>
    <row r="1155" spans="1:14" x14ac:dyDescent="0.2">
      <c r="A1155" s="5" t="str">
        <f>HYPERLINK("http://www.ncbi.nlm.nih.gov/protein/28202071","Cdv3")</f>
        <v>Cdv3</v>
      </c>
      <c r="B1155" s="4"/>
      <c r="C1155" s="3">
        <v>0</v>
      </c>
      <c r="D1155" s="3">
        <v>61</v>
      </c>
      <c r="E1155" s="3">
        <v>1332</v>
      </c>
      <c r="F1155" s="3">
        <v>19383</v>
      </c>
      <c r="G1155" s="3">
        <v>2977</v>
      </c>
      <c r="H1155" s="2">
        <f t="shared" si="36"/>
        <v>23753</v>
      </c>
      <c r="I1155" t="str">
        <f t="shared" si="37"/>
        <v>Cdv3_23753</v>
      </c>
      <c r="J1155" s="3">
        <v>0</v>
      </c>
      <c r="K1155" s="3">
        <v>61</v>
      </c>
      <c r="L1155" s="3">
        <v>1332</v>
      </c>
      <c r="M1155" s="3">
        <v>19383</v>
      </c>
      <c r="N1155" s="3">
        <v>2977</v>
      </c>
    </row>
    <row r="1156" spans="1:14" x14ac:dyDescent="0.2">
      <c r="A1156" s="5" t="str">
        <f>HYPERLINK("http://www.ncbi.nlm.nih.gov/protein/28461294","Cdv3")</f>
        <v>Cdv3</v>
      </c>
      <c r="B1156" s="4"/>
      <c r="C1156" s="3">
        <v>0</v>
      </c>
      <c r="D1156" s="3">
        <v>61</v>
      </c>
      <c r="E1156" s="3">
        <v>1376</v>
      </c>
      <c r="F1156" s="3">
        <v>19383</v>
      </c>
      <c r="G1156" s="3">
        <v>2977</v>
      </c>
      <c r="H1156" s="2">
        <f t="shared" si="36"/>
        <v>23797</v>
      </c>
      <c r="I1156" t="str">
        <f t="shared" si="37"/>
        <v>Cdv3_23797</v>
      </c>
      <c r="J1156" s="3">
        <v>0</v>
      </c>
      <c r="K1156" s="3">
        <v>61</v>
      </c>
      <c r="L1156" s="3">
        <v>1376</v>
      </c>
      <c r="M1156" s="3">
        <v>19383</v>
      </c>
      <c r="N1156" s="3">
        <v>2977</v>
      </c>
    </row>
    <row r="1157" spans="1:14" x14ac:dyDescent="0.2">
      <c r="A1157" s="5" t="str">
        <f>HYPERLINK("http://www.ncbi.nlm.nih.gov/protein/21450187","Cecr5")</f>
        <v>Cecr5</v>
      </c>
      <c r="B1157" s="4"/>
      <c r="C1157" s="3">
        <v>0</v>
      </c>
      <c r="D1157" s="3">
        <v>791</v>
      </c>
      <c r="E1157" s="3">
        <v>0</v>
      </c>
      <c r="F1157" s="3">
        <v>0</v>
      </c>
      <c r="G1157" s="3">
        <v>0</v>
      </c>
      <c r="H1157" s="2">
        <f t="shared" si="36"/>
        <v>791</v>
      </c>
      <c r="I1157" t="str">
        <f t="shared" si="37"/>
        <v>Cecr5_791</v>
      </c>
      <c r="J1157" s="3">
        <v>0</v>
      </c>
      <c r="K1157" s="3">
        <v>791</v>
      </c>
      <c r="L1157" s="3">
        <v>0</v>
      </c>
      <c r="M1157" s="3">
        <v>0</v>
      </c>
      <c r="N1157" s="3">
        <v>0</v>
      </c>
    </row>
    <row r="1158" spans="1:14" x14ac:dyDescent="0.2">
      <c r="A1158" s="5" t="str">
        <f>HYPERLINK("http://www.ncbi.nlm.nih.gov/protein/349585220","Celf1")</f>
        <v>Celf1</v>
      </c>
      <c r="B1158" s="4"/>
      <c r="C1158" s="3">
        <v>0</v>
      </c>
      <c r="D1158" s="3">
        <v>0</v>
      </c>
      <c r="E1158" s="3">
        <v>13951</v>
      </c>
      <c r="F1158" s="3">
        <v>3372</v>
      </c>
      <c r="G1158" s="3">
        <v>0</v>
      </c>
      <c r="H1158" s="2">
        <f t="shared" si="36"/>
        <v>17323</v>
      </c>
      <c r="I1158" t="str">
        <f t="shared" si="37"/>
        <v>Celf1_17323</v>
      </c>
      <c r="J1158" s="3">
        <v>0</v>
      </c>
      <c r="K1158" s="3">
        <v>0</v>
      </c>
      <c r="L1158" s="3">
        <v>13951</v>
      </c>
      <c r="M1158" s="3">
        <v>3372</v>
      </c>
      <c r="N1158" s="3">
        <v>0</v>
      </c>
    </row>
    <row r="1159" spans="1:14" x14ac:dyDescent="0.2">
      <c r="A1159" s="5" t="str">
        <f>HYPERLINK("http://www.ncbi.nlm.nih.gov/protein/38570086","Celf1")</f>
        <v>Celf1</v>
      </c>
      <c r="B1159" s="4"/>
      <c r="C1159" s="3">
        <v>0</v>
      </c>
      <c r="D1159" s="3">
        <v>0</v>
      </c>
      <c r="E1159" s="3">
        <v>13951</v>
      </c>
      <c r="F1159" s="3">
        <v>3372</v>
      </c>
      <c r="G1159" s="3">
        <v>0</v>
      </c>
      <c r="H1159" s="2">
        <f t="shared" si="36"/>
        <v>17323</v>
      </c>
      <c r="I1159" t="str">
        <f t="shared" si="37"/>
        <v>Celf1_17323</v>
      </c>
      <c r="J1159" s="3">
        <v>0</v>
      </c>
      <c r="K1159" s="3">
        <v>0</v>
      </c>
      <c r="L1159" s="3">
        <v>13951</v>
      </c>
      <c r="M1159" s="3">
        <v>3372</v>
      </c>
      <c r="N1159" s="3">
        <v>0</v>
      </c>
    </row>
    <row r="1160" spans="1:14" x14ac:dyDescent="0.2">
      <c r="A1160" s="5" t="str">
        <f>HYPERLINK("http://www.ncbi.nlm.nih.gov/protein/124286791","Celf2")</f>
        <v>Celf2</v>
      </c>
      <c r="B1160" s="4"/>
      <c r="C1160" s="3">
        <v>0</v>
      </c>
      <c r="D1160" s="3">
        <v>0</v>
      </c>
      <c r="E1160" s="3">
        <v>5376</v>
      </c>
      <c r="F1160" s="3">
        <v>0</v>
      </c>
      <c r="G1160" s="3">
        <v>0</v>
      </c>
      <c r="H1160" s="2">
        <f t="shared" si="36"/>
        <v>5376</v>
      </c>
      <c r="I1160" t="str">
        <f t="shared" si="37"/>
        <v>Celf2_5376</v>
      </c>
      <c r="J1160" s="3">
        <v>0</v>
      </c>
      <c r="K1160" s="3">
        <v>0</v>
      </c>
      <c r="L1160" s="3">
        <v>5376</v>
      </c>
      <c r="M1160" s="3">
        <v>0</v>
      </c>
      <c r="N1160" s="3">
        <v>0</v>
      </c>
    </row>
    <row r="1161" spans="1:14" x14ac:dyDescent="0.2">
      <c r="A1161" s="5" t="str">
        <f>HYPERLINK("http://www.ncbi.nlm.nih.gov/protein/159032033","Celf2")</f>
        <v>Celf2</v>
      </c>
      <c r="B1161" s="4"/>
      <c r="C1161" s="3">
        <v>0</v>
      </c>
      <c r="D1161" s="3">
        <v>0</v>
      </c>
      <c r="E1161" s="3">
        <v>5376</v>
      </c>
      <c r="F1161" s="3">
        <v>0</v>
      </c>
      <c r="G1161" s="3">
        <v>0</v>
      </c>
      <c r="H1161" s="2">
        <f t="shared" si="36"/>
        <v>5376</v>
      </c>
      <c r="I1161" t="str">
        <f t="shared" si="37"/>
        <v>Celf2_5376</v>
      </c>
      <c r="J1161" s="3">
        <v>0</v>
      </c>
      <c r="K1161" s="3">
        <v>0</v>
      </c>
      <c r="L1161" s="3">
        <v>5376</v>
      </c>
      <c r="M1161" s="3">
        <v>0</v>
      </c>
      <c r="N1161" s="3">
        <v>0</v>
      </c>
    </row>
    <row r="1162" spans="1:14" x14ac:dyDescent="0.2">
      <c r="A1162" s="5" t="str">
        <f>HYPERLINK("http://www.ncbi.nlm.nih.gov/protein/159032035","Celf2")</f>
        <v>Celf2</v>
      </c>
      <c r="B1162" s="4"/>
      <c r="C1162" s="3">
        <v>0</v>
      </c>
      <c r="D1162" s="3">
        <v>0</v>
      </c>
      <c r="E1162" s="3">
        <v>5376</v>
      </c>
      <c r="F1162" s="3">
        <v>0</v>
      </c>
      <c r="G1162" s="3">
        <v>0</v>
      </c>
      <c r="H1162" s="2">
        <f t="shared" si="36"/>
        <v>5376</v>
      </c>
      <c r="I1162" t="str">
        <f t="shared" si="37"/>
        <v>Celf2_5376</v>
      </c>
      <c r="J1162" s="3">
        <v>0</v>
      </c>
      <c r="K1162" s="3">
        <v>0</v>
      </c>
      <c r="L1162" s="3">
        <v>5376</v>
      </c>
      <c r="M1162" s="3">
        <v>0</v>
      </c>
      <c r="N1162" s="3">
        <v>0</v>
      </c>
    </row>
    <row r="1163" spans="1:14" x14ac:dyDescent="0.2">
      <c r="A1163" s="5" t="str">
        <f>HYPERLINK("http://www.ncbi.nlm.nih.gov/protein/159032037","Celf2")</f>
        <v>Celf2</v>
      </c>
      <c r="B1163" s="4"/>
      <c r="C1163" s="3">
        <v>0</v>
      </c>
      <c r="D1163" s="3">
        <v>0</v>
      </c>
      <c r="E1163" s="3">
        <v>5376</v>
      </c>
      <c r="F1163" s="3">
        <v>0</v>
      </c>
      <c r="G1163" s="3">
        <v>0</v>
      </c>
      <c r="H1163" s="2">
        <f t="shared" si="36"/>
        <v>5376</v>
      </c>
      <c r="I1163" t="str">
        <f t="shared" si="37"/>
        <v>Celf2_5376</v>
      </c>
      <c r="J1163" s="3">
        <v>0</v>
      </c>
      <c r="K1163" s="3">
        <v>0</v>
      </c>
      <c r="L1163" s="3">
        <v>5376</v>
      </c>
      <c r="M1163" s="3">
        <v>0</v>
      </c>
      <c r="N1163" s="3">
        <v>0</v>
      </c>
    </row>
    <row r="1164" spans="1:14" x14ac:dyDescent="0.2">
      <c r="A1164" s="5" t="str">
        <f>HYPERLINK("http://www.ncbi.nlm.nih.gov/protein/159032039","Celf2")</f>
        <v>Celf2</v>
      </c>
      <c r="B1164" s="4"/>
      <c r="C1164" s="3">
        <v>0</v>
      </c>
      <c r="D1164" s="3">
        <v>0</v>
      </c>
      <c r="E1164" s="3">
        <v>5376</v>
      </c>
      <c r="F1164" s="3">
        <v>0</v>
      </c>
      <c r="G1164" s="3">
        <v>0</v>
      </c>
      <c r="H1164" s="2">
        <f t="shared" si="36"/>
        <v>5376</v>
      </c>
      <c r="I1164" t="str">
        <f t="shared" si="37"/>
        <v>Celf2_5376</v>
      </c>
      <c r="J1164" s="3">
        <v>0</v>
      </c>
      <c r="K1164" s="3">
        <v>0</v>
      </c>
      <c r="L1164" s="3">
        <v>5376</v>
      </c>
      <c r="M1164" s="3">
        <v>0</v>
      </c>
      <c r="N1164" s="3">
        <v>0</v>
      </c>
    </row>
    <row r="1165" spans="1:14" x14ac:dyDescent="0.2">
      <c r="A1165" s="5" t="str">
        <f>HYPERLINK("http://www.ncbi.nlm.nih.gov/protein/237757269","Celf2")</f>
        <v>Celf2</v>
      </c>
      <c r="B1165" s="4"/>
      <c r="C1165" s="3">
        <v>0</v>
      </c>
      <c r="D1165" s="3">
        <v>0</v>
      </c>
      <c r="E1165" s="3">
        <v>5376</v>
      </c>
      <c r="F1165" s="3">
        <v>0</v>
      </c>
      <c r="G1165" s="3">
        <v>0</v>
      </c>
      <c r="H1165" s="2">
        <f t="shared" si="36"/>
        <v>5376</v>
      </c>
      <c r="I1165" t="str">
        <f t="shared" si="37"/>
        <v>Celf2_5376</v>
      </c>
      <c r="J1165" s="3">
        <v>0</v>
      </c>
      <c r="K1165" s="3">
        <v>0</v>
      </c>
      <c r="L1165" s="3">
        <v>5376</v>
      </c>
      <c r="M1165" s="3">
        <v>0</v>
      </c>
      <c r="N1165" s="3">
        <v>0</v>
      </c>
    </row>
    <row r="1166" spans="1:14" x14ac:dyDescent="0.2">
      <c r="A1166" s="5" t="str">
        <f>HYPERLINK("http://www.ncbi.nlm.nih.gov/protein/237757271;159032031","Celf2")</f>
        <v>Celf2</v>
      </c>
      <c r="B1166" s="4"/>
      <c r="C1166" s="3">
        <v>0</v>
      </c>
      <c r="D1166" s="3">
        <v>0</v>
      </c>
      <c r="E1166" s="3">
        <v>5376</v>
      </c>
      <c r="F1166" s="3">
        <v>0</v>
      </c>
      <c r="G1166" s="3">
        <v>0</v>
      </c>
      <c r="H1166" s="2">
        <f t="shared" si="36"/>
        <v>5376</v>
      </c>
      <c r="I1166" t="str">
        <f t="shared" si="37"/>
        <v>Celf2_5376</v>
      </c>
      <c r="J1166" s="3">
        <v>0</v>
      </c>
      <c r="K1166" s="3">
        <v>0</v>
      </c>
      <c r="L1166" s="3">
        <v>5376</v>
      </c>
      <c r="M1166" s="3">
        <v>0</v>
      </c>
      <c r="N1166" s="3">
        <v>0</v>
      </c>
    </row>
    <row r="1167" spans="1:14" x14ac:dyDescent="0.2">
      <c r="A1167" s="5" t="str">
        <f>HYPERLINK("http://www.ncbi.nlm.nih.gov/protein/114050895","Celsr2")</f>
        <v>Celsr2</v>
      </c>
      <c r="B1167" s="4"/>
      <c r="C1167" s="3">
        <v>0</v>
      </c>
      <c r="D1167" s="3">
        <v>0</v>
      </c>
      <c r="E1167" s="3">
        <v>487</v>
      </c>
      <c r="F1167" s="3">
        <v>0</v>
      </c>
      <c r="G1167" s="3">
        <v>0</v>
      </c>
      <c r="H1167" s="2">
        <f t="shared" si="36"/>
        <v>487</v>
      </c>
      <c r="I1167" t="str">
        <f t="shared" si="37"/>
        <v>Celsr2_487</v>
      </c>
      <c r="J1167" s="3">
        <v>0</v>
      </c>
      <c r="K1167" s="3">
        <v>0</v>
      </c>
      <c r="L1167" s="3">
        <v>487</v>
      </c>
      <c r="M1167" s="3">
        <v>0</v>
      </c>
      <c r="N1167" s="3">
        <v>0</v>
      </c>
    </row>
    <row r="1168" spans="1:14" x14ac:dyDescent="0.2">
      <c r="A1168" s="5" t="str">
        <f>HYPERLINK("http://www.ncbi.nlm.nih.gov/protein/114050897","Celsr2")</f>
        <v>Celsr2</v>
      </c>
      <c r="B1168" s="4"/>
      <c r="C1168" s="3">
        <v>0</v>
      </c>
      <c r="D1168" s="3">
        <v>0</v>
      </c>
      <c r="E1168" s="3">
        <v>487</v>
      </c>
      <c r="F1168" s="3">
        <v>0</v>
      </c>
      <c r="G1168" s="3">
        <v>0</v>
      </c>
      <c r="H1168" s="2">
        <f t="shared" si="36"/>
        <v>487</v>
      </c>
      <c r="I1168" t="str">
        <f t="shared" si="37"/>
        <v>Celsr2_487</v>
      </c>
      <c r="J1168" s="3">
        <v>0</v>
      </c>
      <c r="K1168" s="3">
        <v>0</v>
      </c>
      <c r="L1168" s="3">
        <v>487</v>
      </c>
      <c r="M1168" s="3">
        <v>0</v>
      </c>
      <c r="N1168" s="3">
        <v>0</v>
      </c>
    </row>
    <row r="1169" spans="1:14" x14ac:dyDescent="0.2">
      <c r="A1169" s="5" t="str">
        <f>HYPERLINK("http://www.ncbi.nlm.nih.gov/protein/115648101","Cenpe")</f>
        <v>Cenpe</v>
      </c>
      <c r="B1169" s="4"/>
      <c r="C1169" s="3">
        <v>0</v>
      </c>
      <c r="D1169" s="3">
        <v>0</v>
      </c>
      <c r="E1169" s="3">
        <v>454</v>
      </c>
      <c r="F1169" s="3">
        <v>0</v>
      </c>
      <c r="G1169" s="3">
        <v>161</v>
      </c>
      <c r="H1169" s="2">
        <f t="shared" si="36"/>
        <v>615</v>
      </c>
      <c r="I1169" t="str">
        <f t="shared" si="37"/>
        <v>Cenpe_615</v>
      </c>
      <c r="J1169" s="3">
        <v>0</v>
      </c>
      <c r="K1169" s="3">
        <v>0</v>
      </c>
      <c r="L1169" s="3">
        <v>454</v>
      </c>
      <c r="M1169" s="3">
        <v>0</v>
      </c>
      <c r="N1169" s="3">
        <v>161</v>
      </c>
    </row>
    <row r="1170" spans="1:14" x14ac:dyDescent="0.2">
      <c r="A1170" s="5" t="str">
        <f>HYPERLINK("http://www.ncbi.nlm.nih.gov/protein/11230784","Cenph")</f>
        <v>Cenph</v>
      </c>
      <c r="B1170" s="4"/>
      <c r="C1170" s="3">
        <v>11661</v>
      </c>
      <c r="D1170" s="3">
        <v>3355</v>
      </c>
      <c r="E1170" s="3">
        <v>5171</v>
      </c>
      <c r="F1170" s="3">
        <v>2881</v>
      </c>
      <c r="G1170" s="3">
        <v>0</v>
      </c>
      <c r="H1170" s="2">
        <f t="shared" si="36"/>
        <v>23068</v>
      </c>
      <c r="I1170" t="str">
        <f t="shared" si="37"/>
        <v>Cenph_23068</v>
      </c>
      <c r="J1170" s="3">
        <v>11661</v>
      </c>
      <c r="K1170" s="3">
        <v>3355</v>
      </c>
      <c r="L1170" s="3">
        <v>5171</v>
      </c>
      <c r="M1170" s="3">
        <v>2881</v>
      </c>
      <c r="N1170" s="3">
        <v>0</v>
      </c>
    </row>
    <row r="1171" spans="1:14" x14ac:dyDescent="0.2">
      <c r="A1171" s="5" t="str">
        <f>HYPERLINK("http://www.ncbi.nlm.nih.gov/protein/122939139","Cenpm")</f>
        <v>Cenpm</v>
      </c>
      <c r="B1171" s="4"/>
      <c r="C1171" s="3">
        <v>0</v>
      </c>
      <c r="D1171" s="3">
        <v>0</v>
      </c>
      <c r="E1171" s="3">
        <v>0</v>
      </c>
      <c r="F1171" s="3">
        <v>106</v>
      </c>
      <c r="G1171" s="3">
        <v>0</v>
      </c>
      <c r="H1171" s="2">
        <f t="shared" si="36"/>
        <v>106</v>
      </c>
      <c r="I1171" t="str">
        <f t="shared" si="37"/>
        <v>Cenpm_106</v>
      </c>
      <c r="J1171" s="3">
        <v>0</v>
      </c>
      <c r="K1171" s="3">
        <v>0</v>
      </c>
      <c r="L1171" s="3">
        <v>0</v>
      </c>
      <c r="M1171" s="3">
        <v>106</v>
      </c>
      <c r="N1171" s="3">
        <v>0</v>
      </c>
    </row>
    <row r="1172" spans="1:14" x14ac:dyDescent="0.2">
      <c r="A1172" s="5" t="str">
        <f>HYPERLINK("http://www.ncbi.nlm.nih.gov/protein/13385104","Cenpm")</f>
        <v>Cenpm</v>
      </c>
      <c r="B1172" s="4"/>
      <c r="C1172" s="3">
        <v>0</v>
      </c>
      <c r="D1172" s="3">
        <v>0</v>
      </c>
      <c r="E1172" s="3">
        <v>0</v>
      </c>
      <c r="F1172" s="3">
        <v>106</v>
      </c>
      <c r="G1172" s="3">
        <v>0</v>
      </c>
      <c r="H1172" s="2">
        <f t="shared" si="36"/>
        <v>106</v>
      </c>
      <c r="I1172" t="str">
        <f t="shared" si="37"/>
        <v>Cenpm_106</v>
      </c>
      <c r="J1172" s="3">
        <v>0</v>
      </c>
      <c r="K1172" s="3">
        <v>0</v>
      </c>
      <c r="L1172" s="3">
        <v>0</v>
      </c>
      <c r="M1172" s="3">
        <v>106</v>
      </c>
      <c r="N1172" s="3">
        <v>0</v>
      </c>
    </row>
    <row r="1173" spans="1:14" x14ac:dyDescent="0.2">
      <c r="A1173" s="5" t="str">
        <f>HYPERLINK("http://www.ncbi.nlm.nih.gov/protein/189458800","Cep250")</f>
        <v>Cep250</v>
      </c>
      <c r="B1173" s="4"/>
      <c r="C1173" s="3">
        <v>0</v>
      </c>
      <c r="D1173" s="3">
        <v>6</v>
      </c>
      <c r="E1173" s="3">
        <v>0</v>
      </c>
      <c r="F1173" s="3">
        <v>0</v>
      </c>
      <c r="G1173" s="3">
        <v>0</v>
      </c>
      <c r="H1173" s="2">
        <f t="shared" si="36"/>
        <v>6</v>
      </c>
      <c r="I1173" t="str">
        <f t="shared" si="37"/>
        <v>Cep250_6</v>
      </c>
      <c r="J1173" s="3">
        <v>0</v>
      </c>
      <c r="K1173" s="3">
        <v>6</v>
      </c>
      <c r="L1173" s="3">
        <v>0</v>
      </c>
      <c r="M1173" s="3">
        <v>0</v>
      </c>
      <c r="N1173" s="3">
        <v>0</v>
      </c>
    </row>
    <row r="1174" spans="1:14" x14ac:dyDescent="0.2">
      <c r="A1174" s="5" t="str">
        <f>HYPERLINK("http://www.ncbi.nlm.nih.gov/protein/194018503","Cep250")</f>
        <v>Cep250</v>
      </c>
      <c r="B1174" s="4"/>
      <c r="C1174" s="3">
        <v>0</v>
      </c>
      <c r="D1174" s="3">
        <v>6</v>
      </c>
      <c r="E1174" s="3">
        <v>0</v>
      </c>
      <c r="F1174" s="3">
        <v>0</v>
      </c>
      <c r="G1174" s="3">
        <v>0</v>
      </c>
      <c r="H1174" s="2">
        <f t="shared" si="36"/>
        <v>6</v>
      </c>
      <c r="I1174" t="str">
        <f t="shared" si="37"/>
        <v>Cep250_6</v>
      </c>
      <c r="J1174" s="3">
        <v>0</v>
      </c>
      <c r="K1174" s="3">
        <v>6</v>
      </c>
      <c r="L1174" s="3">
        <v>0</v>
      </c>
      <c r="M1174" s="3">
        <v>0</v>
      </c>
      <c r="N1174" s="3">
        <v>0</v>
      </c>
    </row>
    <row r="1175" spans="1:14" x14ac:dyDescent="0.2">
      <c r="A1175" s="5" t="str">
        <f>HYPERLINK("http://www.ncbi.nlm.nih.gov/protein/194097345","Cep250")</f>
        <v>Cep250</v>
      </c>
      <c r="B1175" s="4"/>
      <c r="C1175" s="3">
        <v>0</v>
      </c>
      <c r="D1175" s="3">
        <v>6</v>
      </c>
      <c r="E1175" s="3">
        <v>0</v>
      </c>
      <c r="F1175" s="3">
        <v>0</v>
      </c>
      <c r="G1175" s="3">
        <v>0</v>
      </c>
      <c r="H1175" s="2">
        <f t="shared" si="36"/>
        <v>6</v>
      </c>
      <c r="I1175" t="str">
        <f t="shared" si="37"/>
        <v>Cep250_6</v>
      </c>
      <c r="J1175" s="3">
        <v>0</v>
      </c>
      <c r="K1175" s="3">
        <v>6</v>
      </c>
      <c r="L1175" s="3">
        <v>0</v>
      </c>
      <c r="M1175" s="3">
        <v>0</v>
      </c>
      <c r="N1175" s="3">
        <v>0</v>
      </c>
    </row>
    <row r="1176" spans="1:14" x14ac:dyDescent="0.2">
      <c r="A1176" s="5" t="str">
        <f>HYPERLINK("http://www.ncbi.nlm.nih.gov/protein/163965444","Cep290")</f>
        <v>Cep290</v>
      </c>
      <c r="B1176" s="4"/>
      <c r="C1176" s="3">
        <v>0</v>
      </c>
      <c r="D1176" s="3">
        <v>0</v>
      </c>
      <c r="E1176" s="3">
        <v>6</v>
      </c>
      <c r="F1176" s="3">
        <v>0</v>
      </c>
      <c r="G1176" s="3">
        <v>0</v>
      </c>
      <c r="H1176" s="2">
        <f t="shared" si="36"/>
        <v>6</v>
      </c>
      <c r="I1176" t="str">
        <f t="shared" si="37"/>
        <v>Cep290_6</v>
      </c>
      <c r="J1176" s="3">
        <v>0</v>
      </c>
      <c r="K1176" s="3">
        <v>0</v>
      </c>
      <c r="L1176" s="3">
        <v>6</v>
      </c>
      <c r="M1176" s="3">
        <v>0</v>
      </c>
      <c r="N1176" s="3">
        <v>0</v>
      </c>
    </row>
    <row r="1177" spans="1:14" x14ac:dyDescent="0.2">
      <c r="A1177" s="5" t="str">
        <f>HYPERLINK("http://www.ncbi.nlm.nih.gov/protein/255982600","Cep350")</f>
        <v>Cep350</v>
      </c>
      <c r="B1177" s="4"/>
      <c r="C1177" s="3">
        <v>0</v>
      </c>
      <c r="D1177" s="3">
        <v>0</v>
      </c>
      <c r="E1177" s="3">
        <v>0</v>
      </c>
      <c r="F1177" s="3">
        <v>974</v>
      </c>
      <c r="G1177" s="3">
        <v>0</v>
      </c>
      <c r="H1177" s="2">
        <f t="shared" si="36"/>
        <v>974</v>
      </c>
      <c r="I1177" t="str">
        <f t="shared" si="37"/>
        <v>Cep350_974</v>
      </c>
      <c r="J1177" s="3">
        <v>0</v>
      </c>
      <c r="K1177" s="3">
        <v>0</v>
      </c>
      <c r="L1177" s="3">
        <v>0</v>
      </c>
      <c r="M1177" s="3">
        <v>974</v>
      </c>
      <c r="N1177" s="3">
        <v>0</v>
      </c>
    </row>
    <row r="1178" spans="1:14" x14ac:dyDescent="0.2">
      <c r="A1178" s="5" t="str">
        <f>HYPERLINK("http://www.ncbi.nlm.nih.gov/protein/14030773","Cep41")</f>
        <v>Cep41</v>
      </c>
      <c r="B1178" s="4"/>
      <c r="C1178" s="3">
        <v>0</v>
      </c>
      <c r="D1178" s="3">
        <v>0</v>
      </c>
      <c r="E1178" s="3">
        <v>132</v>
      </c>
      <c r="F1178" s="3">
        <v>0</v>
      </c>
      <c r="G1178" s="3">
        <v>0</v>
      </c>
      <c r="H1178" s="2">
        <f t="shared" si="36"/>
        <v>132</v>
      </c>
      <c r="I1178" t="str">
        <f t="shared" si="37"/>
        <v>Cep41_132</v>
      </c>
      <c r="J1178" s="3">
        <v>0</v>
      </c>
      <c r="K1178" s="3">
        <v>0</v>
      </c>
      <c r="L1178" s="3">
        <v>132</v>
      </c>
      <c r="M1178" s="3">
        <v>0</v>
      </c>
      <c r="N1178" s="3">
        <v>0</v>
      </c>
    </row>
    <row r="1179" spans="1:14" x14ac:dyDescent="0.2">
      <c r="A1179" s="5" t="str">
        <f>HYPERLINK("http://www.ncbi.nlm.nih.gov/protein/256355030","Cep55")</f>
        <v>Cep55</v>
      </c>
      <c r="B1179" s="4"/>
      <c r="C1179" s="3">
        <v>0</v>
      </c>
      <c r="D1179" s="3">
        <v>106</v>
      </c>
      <c r="E1179" s="3">
        <v>0</v>
      </c>
      <c r="F1179" s="3">
        <v>98</v>
      </c>
      <c r="G1179" s="3">
        <v>0</v>
      </c>
      <c r="H1179" s="2">
        <f t="shared" si="36"/>
        <v>204</v>
      </c>
      <c r="I1179" t="str">
        <f t="shared" si="37"/>
        <v>Cep55_204</v>
      </c>
      <c r="J1179" s="3">
        <v>0</v>
      </c>
      <c r="K1179" s="3">
        <v>106</v>
      </c>
      <c r="L1179" s="3">
        <v>0</v>
      </c>
      <c r="M1179" s="3">
        <v>98</v>
      </c>
      <c r="N1179" s="3">
        <v>0</v>
      </c>
    </row>
    <row r="1180" spans="1:14" x14ac:dyDescent="0.2">
      <c r="A1180" s="5" t="str">
        <f>HYPERLINK("http://www.ncbi.nlm.nih.gov/protein/256355032","Cep55")</f>
        <v>Cep55</v>
      </c>
      <c r="B1180" s="4"/>
      <c r="C1180" s="3">
        <v>0</v>
      </c>
      <c r="D1180" s="3">
        <v>106</v>
      </c>
      <c r="E1180" s="3">
        <v>0</v>
      </c>
      <c r="F1180" s="3">
        <v>98</v>
      </c>
      <c r="G1180" s="3">
        <v>0</v>
      </c>
      <c r="H1180" s="2">
        <f t="shared" si="36"/>
        <v>204</v>
      </c>
      <c r="I1180" t="str">
        <f t="shared" si="37"/>
        <v>Cep55_204</v>
      </c>
      <c r="J1180" s="3">
        <v>0</v>
      </c>
      <c r="K1180" s="3">
        <v>106</v>
      </c>
      <c r="L1180" s="3">
        <v>0</v>
      </c>
      <c r="M1180" s="3">
        <v>98</v>
      </c>
      <c r="N1180" s="3">
        <v>0</v>
      </c>
    </row>
    <row r="1181" spans="1:14" x14ac:dyDescent="0.2">
      <c r="A1181" s="5" t="str">
        <f>HYPERLINK("http://www.ncbi.nlm.nih.gov/protein/262331530","Cep95")</f>
        <v>Cep95</v>
      </c>
      <c r="B1181" s="4"/>
      <c r="C1181" s="3">
        <v>0</v>
      </c>
      <c r="D1181" s="3">
        <v>0</v>
      </c>
      <c r="E1181" s="3">
        <v>6</v>
      </c>
      <c r="F1181" s="3">
        <v>0</v>
      </c>
      <c r="G1181" s="3">
        <v>0</v>
      </c>
      <c r="H1181" s="2">
        <f t="shared" si="36"/>
        <v>6</v>
      </c>
      <c r="I1181" t="str">
        <f t="shared" si="37"/>
        <v>Cep95_6</v>
      </c>
      <c r="J1181" s="3">
        <v>0</v>
      </c>
      <c r="K1181" s="3">
        <v>0</v>
      </c>
      <c r="L1181" s="3">
        <v>6</v>
      </c>
      <c r="M1181" s="3">
        <v>0</v>
      </c>
      <c r="N1181" s="3">
        <v>0</v>
      </c>
    </row>
    <row r="1182" spans="1:14" x14ac:dyDescent="0.2">
      <c r="A1182" s="5" t="str">
        <f>HYPERLINK("http://www.ncbi.nlm.nih.gov/protein/262331533","Cep95")</f>
        <v>Cep95</v>
      </c>
      <c r="B1182" s="4"/>
      <c r="C1182" s="3">
        <v>0</v>
      </c>
      <c r="D1182" s="3">
        <v>0</v>
      </c>
      <c r="E1182" s="3">
        <v>6</v>
      </c>
      <c r="F1182" s="3">
        <v>0</v>
      </c>
      <c r="G1182" s="3">
        <v>0</v>
      </c>
      <c r="H1182" s="2">
        <f t="shared" si="36"/>
        <v>6</v>
      </c>
      <c r="I1182" t="str">
        <f t="shared" si="37"/>
        <v>Cep95_6</v>
      </c>
      <c r="J1182" s="3">
        <v>0</v>
      </c>
      <c r="K1182" s="3">
        <v>0</v>
      </c>
      <c r="L1182" s="3">
        <v>6</v>
      </c>
      <c r="M1182" s="3">
        <v>0</v>
      </c>
      <c r="N1182" s="3">
        <v>0</v>
      </c>
    </row>
    <row r="1183" spans="1:14" x14ac:dyDescent="0.2">
      <c r="A1183" s="5" t="str">
        <f>HYPERLINK("http://www.ncbi.nlm.nih.gov/protein/21312662","Cep97")</f>
        <v>Cep97</v>
      </c>
      <c r="B1183" s="4"/>
      <c r="C1183" s="3">
        <v>0</v>
      </c>
      <c r="D1183" s="3">
        <v>0</v>
      </c>
      <c r="E1183" s="3">
        <v>0</v>
      </c>
      <c r="F1183" s="3">
        <v>0</v>
      </c>
      <c r="G1183" s="3">
        <v>96</v>
      </c>
      <c r="H1183" s="2">
        <f t="shared" si="36"/>
        <v>96</v>
      </c>
      <c r="I1183" t="str">
        <f t="shared" si="37"/>
        <v>Cep97_96</v>
      </c>
      <c r="J1183" s="3">
        <v>0</v>
      </c>
      <c r="K1183" s="3">
        <v>0</v>
      </c>
      <c r="L1183" s="3">
        <v>0</v>
      </c>
      <c r="M1183" s="3">
        <v>0</v>
      </c>
      <c r="N1183" s="3">
        <v>96</v>
      </c>
    </row>
    <row r="1184" spans="1:14" x14ac:dyDescent="0.2">
      <c r="A1184" s="5" t="str">
        <f>HYPERLINK("http://www.ncbi.nlm.nih.gov/protein/31559983","Cept1")</f>
        <v>Cept1</v>
      </c>
      <c r="B1184" s="4"/>
      <c r="C1184" s="3">
        <v>0</v>
      </c>
      <c r="D1184" s="3">
        <v>668</v>
      </c>
      <c r="E1184" s="3">
        <v>179</v>
      </c>
      <c r="F1184" s="3">
        <v>0</v>
      </c>
      <c r="G1184" s="3">
        <v>0</v>
      </c>
      <c r="H1184" s="2">
        <f t="shared" si="36"/>
        <v>847</v>
      </c>
      <c r="I1184" t="str">
        <f t="shared" si="37"/>
        <v>Cept1_847</v>
      </c>
      <c r="J1184" s="3">
        <v>0</v>
      </c>
      <c r="K1184" s="3">
        <v>668</v>
      </c>
      <c r="L1184" s="3">
        <v>179</v>
      </c>
      <c r="M1184" s="3">
        <v>0</v>
      </c>
      <c r="N1184" s="3">
        <v>0</v>
      </c>
    </row>
    <row r="1185" spans="1:14" x14ac:dyDescent="0.2">
      <c r="A1185" s="5" t="str">
        <f>HYPERLINK("http://www.ncbi.nlm.nih.gov/protein/22095015","Cers2")</f>
        <v>Cers2</v>
      </c>
      <c r="B1185" s="4"/>
      <c r="C1185" s="3">
        <v>201</v>
      </c>
      <c r="D1185" s="3">
        <v>1956</v>
      </c>
      <c r="E1185" s="3">
        <v>222</v>
      </c>
      <c r="F1185" s="3">
        <v>0</v>
      </c>
      <c r="G1185" s="3">
        <v>0</v>
      </c>
      <c r="H1185" s="2">
        <f t="shared" si="36"/>
        <v>2379</v>
      </c>
      <c r="I1185" t="str">
        <f t="shared" si="37"/>
        <v>Cers2_2379</v>
      </c>
      <c r="J1185" s="3">
        <v>201</v>
      </c>
      <c r="K1185" s="3">
        <v>1956</v>
      </c>
      <c r="L1185" s="3">
        <v>222</v>
      </c>
      <c r="M1185" s="3">
        <v>0</v>
      </c>
      <c r="N1185" s="3">
        <v>0</v>
      </c>
    </row>
    <row r="1186" spans="1:14" x14ac:dyDescent="0.2">
      <c r="A1186" s="5" t="str">
        <f>HYPERLINK("http://www.ncbi.nlm.nih.gov/protein/117553604","Ces1d")</f>
        <v>Ces1d</v>
      </c>
      <c r="B1186" s="4"/>
      <c r="C1186" s="3">
        <v>0</v>
      </c>
      <c r="D1186" s="3">
        <v>31</v>
      </c>
      <c r="E1186" s="3">
        <v>0</v>
      </c>
      <c r="F1186" s="3">
        <v>0</v>
      </c>
      <c r="G1186" s="3">
        <v>0</v>
      </c>
      <c r="H1186" s="2">
        <f t="shared" si="36"/>
        <v>31</v>
      </c>
      <c r="I1186" t="str">
        <f t="shared" si="37"/>
        <v>Ces1d_31</v>
      </c>
      <c r="J1186" s="3">
        <v>0</v>
      </c>
      <c r="K1186" s="3">
        <v>31</v>
      </c>
      <c r="L1186" s="3">
        <v>0</v>
      </c>
      <c r="M1186" s="3">
        <v>0</v>
      </c>
      <c r="N1186" s="3">
        <v>0</v>
      </c>
    </row>
    <row r="1187" spans="1:14" x14ac:dyDescent="0.2">
      <c r="A1187" s="5" t="str">
        <f>HYPERLINK("http://www.ncbi.nlm.nih.gov/protein/76253942","Cetn1")</f>
        <v>Cetn1</v>
      </c>
      <c r="B1187" s="4"/>
      <c r="C1187" s="3">
        <v>0</v>
      </c>
      <c r="D1187" s="3">
        <v>0</v>
      </c>
      <c r="E1187" s="3">
        <v>102</v>
      </c>
      <c r="F1187" s="3">
        <v>0</v>
      </c>
      <c r="G1187" s="3">
        <v>396</v>
      </c>
      <c r="H1187" s="2">
        <f t="shared" si="36"/>
        <v>498</v>
      </c>
      <c r="I1187" t="str">
        <f t="shared" si="37"/>
        <v>Cetn1_498</v>
      </c>
      <c r="J1187" s="3">
        <v>0</v>
      </c>
      <c r="K1187" s="3">
        <v>0</v>
      </c>
      <c r="L1187" s="3">
        <v>102</v>
      </c>
      <c r="M1187" s="3">
        <v>0</v>
      </c>
      <c r="N1187" s="3">
        <v>396</v>
      </c>
    </row>
    <row r="1188" spans="1:14" x14ac:dyDescent="0.2">
      <c r="A1188" s="5" t="str">
        <f>HYPERLINK("http://www.ncbi.nlm.nih.gov/protein/10257421","Cetn2")</f>
        <v>Cetn2</v>
      </c>
      <c r="B1188" s="4"/>
      <c r="C1188" s="3">
        <v>0</v>
      </c>
      <c r="D1188" s="3">
        <v>0</v>
      </c>
      <c r="E1188" s="3">
        <v>203</v>
      </c>
      <c r="F1188" s="3">
        <v>0</v>
      </c>
      <c r="G1188" s="3">
        <v>1435</v>
      </c>
      <c r="H1188" s="2">
        <f t="shared" si="36"/>
        <v>1638</v>
      </c>
      <c r="I1188" t="str">
        <f t="shared" si="37"/>
        <v>Cetn2_1638</v>
      </c>
      <c r="J1188" s="3">
        <v>0</v>
      </c>
      <c r="K1188" s="3">
        <v>0</v>
      </c>
      <c r="L1188" s="3">
        <v>203</v>
      </c>
      <c r="M1188" s="3">
        <v>0</v>
      </c>
      <c r="N1188" s="3">
        <v>1435</v>
      </c>
    </row>
    <row r="1189" spans="1:14" x14ac:dyDescent="0.2">
      <c r="A1189" s="5" t="str">
        <f>HYPERLINK("http://www.ncbi.nlm.nih.gov/protein/6680922","Cetn3")</f>
        <v>Cetn3</v>
      </c>
      <c r="B1189" s="4"/>
      <c r="C1189" s="3">
        <v>0</v>
      </c>
      <c r="D1189" s="3">
        <v>0</v>
      </c>
      <c r="E1189" s="3">
        <v>318</v>
      </c>
      <c r="F1189" s="3">
        <v>16</v>
      </c>
      <c r="G1189" s="3">
        <v>857</v>
      </c>
      <c r="H1189" s="2">
        <f t="shared" si="36"/>
        <v>1191</v>
      </c>
      <c r="I1189" t="str">
        <f t="shared" si="37"/>
        <v>Cetn3_1191</v>
      </c>
      <c r="J1189" s="3">
        <v>0</v>
      </c>
      <c r="K1189" s="3">
        <v>0</v>
      </c>
      <c r="L1189" s="3">
        <v>318</v>
      </c>
      <c r="M1189" s="3">
        <v>16</v>
      </c>
      <c r="N1189" s="3">
        <v>857</v>
      </c>
    </row>
    <row r="1190" spans="1:14" x14ac:dyDescent="0.2">
      <c r="A1190" s="5" t="str">
        <f>HYPERLINK("http://www.ncbi.nlm.nih.gov/protein/6753412","Cfdp1")</f>
        <v>Cfdp1</v>
      </c>
      <c r="B1190" s="4"/>
      <c r="C1190" s="3">
        <v>0</v>
      </c>
      <c r="D1190" s="3">
        <v>0</v>
      </c>
      <c r="E1190" s="3">
        <v>126</v>
      </c>
      <c r="F1190" s="3">
        <v>74</v>
      </c>
      <c r="G1190" s="3">
        <v>28862</v>
      </c>
      <c r="H1190" s="2">
        <f t="shared" si="36"/>
        <v>29062</v>
      </c>
      <c r="I1190" t="str">
        <f t="shared" si="37"/>
        <v>Cfdp1_29062</v>
      </c>
      <c r="J1190" s="3">
        <v>0</v>
      </c>
      <c r="K1190" s="3">
        <v>0</v>
      </c>
      <c r="L1190" s="3">
        <v>126</v>
      </c>
      <c r="M1190" s="3">
        <v>74</v>
      </c>
      <c r="N1190" s="3">
        <v>28862</v>
      </c>
    </row>
    <row r="1191" spans="1:14" x14ac:dyDescent="0.2">
      <c r="A1191" s="5" t="str">
        <f>HYPERLINK("http://www.ncbi.nlm.nih.gov/protein/6680924","Cfl1")</f>
        <v>Cfl1</v>
      </c>
      <c r="B1191" s="4"/>
      <c r="C1191" s="3">
        <v>272412</v>
      </c>
      <c r="D1191" s="3">
        <v>49599</v>
      </c>
      <c r="E1191" s="3">
        <v>93970</v>
      </c>
      <c r="F1191" s="3">
        <v>127449</v>
      </c>
      <c r="G1191" s="3">
        <v>269805</v>
      </c>
      <c r="H1191" s="2">
        <f t="shared" si="36"/>
        <v>813235</v>
      </c>
      <c r="I1191" t="str">
        <f t="shared" si="37"/>
        <v>Cfl1_813235</v>
      </c>
      <c r="J1191" s="3">
        <v>272412</v>
      </c>
      <c r="K1191" s="3">
        <v>49599</v>
      </c>
      <c r="L1191" s="3">
        <v>93970</v>
      </c>
      <c r="M1191" s="3">
        <v>127449</v>
      </c>
      <c r="N1191" s="3">
        <v>269805</v>
      </c>
    </row>
    <row r="1192" spans="1:14" x14ac:dyDescent="0.2">
      <c r="A1192" s="5" t="str">
        <f>HYPERLINK("http://www.ncbi.nlm.nih.gov/protein/6671746","Cfl2")</f>
        <v>Cfl2</v>
      </c>
      <c r="B1192" s="4"/>
      <c r="C1192" s="3">
        <v>122449</v>
      </c>
      <c r="D1192" s="3">
        <v>29595</v>
      </c>
      <c r="E1192" s="3">
        <v>33235</v>
      </c>
      <c r="F1192" s="3">
        <v>33454</v>
      </c>
      <c r="G1192" s="3">
        <v>99063</v>
      </c>
      <c r="H1192" s="2">
        <f t="shared" si="36"/>
        <v>317796</v>
      </c>
      <c r="I1192" t="str">
        <f t="shared" si="37"/>
        <v>Cfl2_317796</v>
      </c>
      <c r="J1192" s="3">
        <v>122449</v>
      </c>
      <c r="K1192" s="3">
        <v>29595</v>
      </c>
      <c r="L1192" s="3">
        <v>33235</v>
      </c>
      <c r="M1192" s="3">
        <v>33454</v>
      </c>
      <c r="N1192" s="3">
        <v>99063</v>
      </c>
    </row>
    <row r="1193" spans="1:14" x14ac:dyDescent="0.2">
      <c r="A1193" s="5" t="str">
        <f>HYPERLINK("http://www.ncbi.nlm.nih.gov/protein/46559393","Cflar")</f>
        <v>Cflar</v>
      </c>
      <c r="B1193" s="4"/>
      <c r="C1193" s="3">
        <v>0</v>
      </c>
      <c r="D1193" s="3">
        <v>0</v>
      </c>
      <c r="E1193" s="3">
        <v>0</v>
      </c>
      <c r="F1193" s="3">
        <v>0</v>
      </c>
      <c r="G1193" s="3">
        <v>2228</v>
      </c>
      <c r="H1193" s="2">
        <f t="shared" si="36"/>
        <v>2228</v>
      </c>
      <c r="I1193" t="str">
        <f t="shared" si="37"/>
        <v>Cflar_2228</v>
      </c>
      <c r="J1193" s="3">
        <v>0</v>
      </c>
      <c r="K1193" s="3">
        <v>0</v>
      </c>
      <c r="L1193" s="3">
        <v>0</v>
      </c>
      <c r="M1193" s="3">
        <v>0</v>
      </c>
      <c r="N1193" s="3">
        <v>2228</v>
      </c>
    </row>
    <row r="1194" spans="1:14" x14ac:dyDescent="0.2">
      <c r="A1194" s="5" t="str">
        <f>HYPERLINK("http://www.ncbi.nlm.nih.gov/protein/86198303","Cflar")</f>
        <v>Cflar</v>
      </c>
      <c r="B1194" s="4"/>
      <c r="C1194" s="3">
        <v>0</v>
      </c>
      <c r="D1194" s="3">
        <v>0</v>
      </c>
      <c r="E1194" s="3">
        <v>0</v>
      </c>
      <c r="F1194" s="3">
        <v>0</v>
      </c>
      <c r="G1194" s="3">
        <v>2228</v>
      </c>
      <c r="H1194" s="2">
        <f t="shared" si="36"/>
        <v>2228</v>
      </c>
      <c r="I1194" t="str">
        <f t="shared" si="37"/>
        <v>Cflar_2228</v>
      </c>
      <c r="J1194" s="3">
        <v>0</v>
      </c>
      <c r="K1194" s="3">
        <v>0</v>
      </c>
      <c r="L1194" s="3">
        <v>0</v>
      </c>
      <c r="M1194" s="3">
        <v>0</v>
      </c>
      <c r="N1194" s="3">
        <v>2228</v>
      </c>
    </row>
    <row r="1195" spans="1:14" x14ac:dyDescent="0.2">
      <c r="A1195" s="5" t="str">
        <f>HYPERLINK("http://www.ncbi.nlm.nih.gov/protein/14141185","Cftr")</f>
        <v>Cftr</v>
      </c>
      <c r="B1195" s="4"/>
      <c r="C1195" s="3">
        <v>0</v>
      </c>
      <c r="D1195" s="3">
        <v>0</v>
      </c>
      <c r="E1195" s="3">
        <v>0</v>
      </c>
      <c r="F1195" s="3">
        <v>0</v>
      </c>
      <c r="G1195" s="3">
        <v>10249</v>
      </c>
      <c r="H1195" s="2">
        <f t="shared" si="36"/>
        <v>10249</v>
      </c>
      <c r="I1195" t="str">
        <f t="shared" si="37"/>
        <v>Cftr_10249</v>
      </c>
      <c r="J1195" s="3">
        <v>0</v>
      </c>
      <c r="K1195" s="3">
        <v>0</v>
      </c>
      <c r="L1195" s="3">
        <v>0</v>
      </c>
      <c r="M1195" s="3">
        <v>0</v>
      </c>
      <c r="N1195" s="3">
        <v>10249</v>
      </c>
    </row>
    <row r="1196" spans="1:14" x14ac:dyDescent="0.2">
      <c r="A1196" s="5" t="str">
        <f>HYPERLINK("http://www.ncbi.nlm.nih.gov/protein/30520001","Cggbp1")</f>
        <v>Cggbp1</v>
      </c>
      <c r="B1196" s="4"/>
      <c r="C1196" s="3">
        <v>220</v>
      </c>
      <c r="D1196" s="3">
        <v>117</v>
      </c>
      <c r="E1196" s="3">
        <v>956</v>
      </c>
      <c r="F1196" s="3">
        <v>2235</v>
      </c>
      <c r="G1196" s="3">
        <v>0</v>
      </c>
      <c r="H1196" s="2">
        <f t="shared" si="36"/>
        <v>3528</v>
      </c>
      <c r="I1196" t="str">
        <f t="shared" si="37"/>
        <v>Cggbp1_3528</v>
      </c>
      <c r="J1196" s="3">
        <v>220</v>
      </c>
      <c r="K1196" s="3">
        <v>117</v>
      </c>
      <c r="L1196" s="3">
        <v>956</v>
      </c>
      <c r="M1196" s="3">
        <v>2235</v>
      </c>
      <c r="N1196" s="3">
        <v>0</v>
      </c>
    </row>
    <row r="1197" spans="1:14" x14ac:dyDescent="0.2">
      <c r="A1197" s="5" t="str">
        <f>HYPERLINK("http://www.ncbi.nlm.nih.gov/protein/189458807","Cgn")</f>
        <v>Cgn</v>
      </c>
      <c r="B1197" s="4"/>
      <c r="C1197" s="3">
        <v>16494</v>
      </c>
      <c r="D1197" s="3">
        <v>1397</v>
      </c>
      <c r="E1197" s="3">
        <v>2851</v>
      </c>
      <c r="F1197" s="3">
        <v>3724</v>
      </c>
      <c r="G1197" s="3">
        <v>107770</v>
      </c>
      <c r="H1197" s="2">
        <f t="shared" si="36"/>
        <v>132236</v>
      </c>
      <c r="I1197" t="str">
        <f t="shared" si="37"/>
        <v>Cgn_132236</v>
      </c>
      <c r="J1197" s="3">
        <v>16494</v>
      </c>
      <c r="K1197" s="3">
        <v>1397</v>
      </c>
      <c r="L1197" s="3">
        <v>2851</v>
      </c>
      <c r="M1197" s="3">
        <v>3724</v>
      </c>
      <c r="N1197" s="3">
        <v>107770</v>
      </c>
    </row>
    <row r="1198" spans="1:14" x14ac:dyDescent="0.2">
      <c r="A1198" s="5" t="str">
        <f>HYPERLINK("http://www.ncbi.nlm.nih.gov/protein/13386024","Chac2")</f>
        <v>Chac2</v>
      </c>
      <c r="B1198" s="4"/>
      <c r="C1198" s="3">
        <v>0</v>
      </c>
      <c r="D1198" s="3">
        <v>0</v>
      </c>
      <c r="E1198" s="3">
        <v>0</v>
      </c>
      <c r="F1198" s="3">
        <v>0</v>
      </c>
      <c r="G1198" s="3">
        <v>932</v>
      </c>
      <c r="H1198" s="2">
        <f t="shared" si="36"/>
        <v>932</v>
      </c>
      <c r="I1198" t="str">
        <f t="shared" si="37"/>
        <v>Chac2_932</v>
      </c>
      <c r="J1198" s="3">
        <v>0</v>
      </c>
      <c r="K1198" s="3">
        <v>0</v>
      </c>
      <c r="L1198" s="3">
        <v>0</v>
      </c>
      <c r="M1198" s="3">
        <v>0</v>
      </c>
      <c r="N1198" s="3">
        <v>932</v>
      </c>
    </row>
    <row r="1199" spans="1:14" x14ac:dyDescent="0.2">
      <c r="A1199" s="5" t="str">
        <f>HYPERLINK("http://www.ncbi.nlm.nih.gov/protein/7304957","Chaf1a")</f>
        <v>Chaf1a</v>
      </c>
      <c r="B1199" s="4"/>
      <c r="C1199" s="3">
        <v>0</v>
      </c>
      <c r="D1199" s="3">
        <v>0</v>
      </c>
      <c r="E1199" s="3">
        <v>31</v>
      </c>
      <c r="F1199" s="3">
        <v>0</v>
      </c>
      <c r="G1199" s="3">
        <v>1232</v>
      </c>
      <c r="H1199" s="2">
        <f t="shared" si="36"/>
        <v>1263</v>
      </c>
      <c r="I1199" t="str">
        <f t="shared" si="37"/>
        <v>Chaf1a_1263</v>
      </c>
      <c r="J1199" s="3">
        <v>0</v>
      </c>
      <c r="K1199" s="3">
        <v>0</v>
      </c>
      <c r="L1199" s="3">
        <v>31</v>
      </c>
      <c r="M1199" s="3">
        <v>0</v>
      </c>
      <c r="N1199" s="3">
        <v>1232</v>
      </c>
    </row>
    <row r="1200" spans="1:14" x14ac:dyDescent="0.2">
      <c r="A1200" s="5" t="str">
        <f>HYPERLINK("http://www.ncbi.nlm.nih.gov/protein/21312470","Chaf1b")</f>
        <v>Chaf1b</v>
      </c>
      <c r="B1200" s="4"/>
      <c r="C1200" s="3">
        <v>0</v>
      </c>
      <c r="D1200" s="3">
        <v>461</v>
      </c>
      <c r="E1200" s="3">
        <v>299</v>
      </c>
      <c r="F1200" s="3">
        <v>6450</v>
      </c>
      <c r="G1200" s="3">
        <v>3288</v>
      </c>
      <c r="H1200" s="2">
        <f t="shared" si="36"/>
        <v>10498</v>
      </c>
      <c r="I1200" t="str">
        <f t="shared" si="37"/>
        <v>Chaf1b_10498</v>
      </c>
      <c r="J1200" s="3">
        <v>0</v>
      </c>
      <c r="K1200" s="3">
        <v>461</v>
      </c>
      <c r="L1200" s="3">
        <v>299</v>
      </c>
      <c r="M1200" s="3">
        <v>6450</v>
      </c>
      <c r="N1200" s="3">
        <v>3288</v>
      </c>
    </row>
    <row r="1201" spans="1:14" x14ac:dyDescent="0.2">
      <c r="A1201" s="5" t="str">
        <f>HYPERLINK("http://www.ncbi.nlm.nih.gov/protein/32469497","Champ1")</f>
        <v>Champ1</v>
      </c>
      <c r="B1201" s="4"/>
      <c r="C1201" s="3">
        <v>2087</v>
      </c>
      <c r="D1201" s="3">
        <v>0</v>
      </c>
      <c r="E1201" s="3">
        <v>0</v>
      </c>
      <c r="F1201" s="3">
        <v>0</v>
      </c>
      <c r="G1201" s="3">
        <v>0</v>
      </c>
      <c r="H1201" s="2">
        <f t="shared" si="36"/>
        <v>2087</v>
      </c>
      <c r="I1201" t="str">
        <f t="shared" si="37"/>
        <v>Champ1_2087</v>
      </c>
      <c r="J1201" s="3">
        <v>2087</v>
      </c>
      <c r="K1201" s="3">
        <v>0</v>
      </c>
      <c r="L1201" s="3">
        <v>0</v>
      </c>
      <c r="M1201" s="3">
        <v>0</v>
      </c>
      <c r="N1201" s="3">
        <v>0</v>
      </c>
    </row>
    <row r="1202" spans="1:14" x14ac:dyDescent="0.2">
      <c r="A1202" s="5" t="str">
        <f>HYPERLINK("http://www.ncbi.nlm.nih.gov/protein/13384734","Chchd1")</f>
        <v>Chchd1</v>
      </c>
      <c r="B1202" s="4"/>
      <c r="C1202" s="3">
        <v>165</v>
      </c>
      <c r="D1202" s="3">
        <v>1468</v>
      </c>
      <c r="E1202" s="3">
        <v>0</v>
      </c>
      <c r="F1202" s="3">
        <v>0</v>
      </c>
      <c r="G1202" s="3">
        <v>0</v>
      </c>
      <c r="H1202" s="2">
        <f t="shared" si="36"/>
        <v>1633</v>
      </c>
      <c r="I1202" t="str">
        <f t="shared" si="37"/>
        <v>Chchd1_1633</v>
      </c>
      <c r="J1202" s="3">
        <v>165</v>
      </c>
      <c r="K1202" s="3">
        <v>1468</v>
      </c>
      <c r="L1202" s="3">
        <v>0</v>
      </c>
      <c r="M1202" s="3">
        <v>0</v>
      </c>
      <c r="N1202" s="3">
        <v>0</v>
      </c>
    </row>
    <row r="1203" spans="1:14" x14ac:dyDescent="0.2">
      <c r="A1203" s="5" t="str">
        <f>HYPERLINK("http://www.ncbi.nlm.nih.gov/protein/18079334","Chchd2")</f>
        <v>Chchd2</v>
      </c>
      <c r="B1203" s="4"/>
      <c r="C1203" s="3">
        <v>256</v>
      </c>
      <c r="D1203" s="3">
        <v>3092</v>
      </c>
      <c r="E1203" s="3">
        <v>0</v>
      </c>
      <c r="F1203" s="3">
        <v>0</v>
      </c>
      <c r="G1203" s="3">
        <v>2752</v>
      </c>
      <c r="H1203" s="2">
        <f t="shared" si="36"/>
        <v>6100</v>
      </c>
      <c r="I1203" t="str">
        <f t="shared" si="37"/>
        <v>Chchd2_6100</v>
      </c>
      <c r="J1203" s="3">
        <v>256</v>
      </c>
      <c r="K1203" s="3">
        <v>3092</v>
      </c>
      <c r="L1203" s="3">
        <v>0</v>
      </c>
      <c r="M1203" s="3">
        <v>0</v>
      </c>
      <c r="N1203" s="3">
        <v>2752</v>
      </c>
    </row>
    <row r="1204" spans="1:14" x14ac:dyDescent="0.2">
      <c r="A1204" s="5" t="str">
        <f>HYPERLINK("http://www.ncbi.nlm.nih.gov/protein/21313618","Chchd3")</f>
        <v>Chchd3</v>
      </c>
      <c r="B1204" s="4"/>
      <c r="C1204" s="3">
        <v>72858</v>
      </c>
      <c r="D1204" s="3">
        <v>21215</v>
      </c>
      <c r="E1204" s="3">
        <v>48</v>
      </c>
      <c r="F1204" s="3">
        <v>0</v>
      </c>
      <c r="G1204" s="3">
        <v>0</v>
      </c>
      <c r="H1204" s="2">
        <f t="shared" si="36"/>
        <v>94121</v>
      </c>
      <c r="I1204" t="str">
        <f t="shared" si="37"/>
        <v>Chchd3_94121</v>
      </c>
      <c r="J1204" s="3">
        <v>72858</v>
      </c>
      <c r="K1204" s="3">
        <v>21215</v>
      </c>
      <c r="L1204" s="3">
        <v>48</v>
      </c>
      <c r="M1204" s="3">
        <v>0</v>
      </c>
      <c r="N1204" s="3">
        <v>0</v>
      </c>
    </row>
    <row r="1205" spans="1:14" x14ac:dyDescent="0.2">
      <c r="A1205" s="5" t="str">
        <f>HYPERLINK("http://www.ncbi.nlm.nih.gov/protein/19527144","Chchd4")</f>
        <v>Chchd4</v>
      </c>
      <c r="B1205" s="4"/>
      <c r="C1205" s="3">
        <v>494</v>
      </c>
      <c r="D1205" s="3">
        <v>854</v>
      </c>
      <c r="E1205" s="3">
        <v>78</v>
      </c>
      <c r="F1205" s="3">
        <v>0</v>
      </c>
      <c r="G1205" s="3">
        <v>0</v>
      </c>
      <c r="H1205" s="2">
        <f t="shared" si="36"/>
        <v>1426</v>
      </c>
      <c r="I1205" t="str">
        <f t="shared" si="37"/>
        <v>Chchd4_1426</v>
      </c>
      <c r="J1205" s="3">
        <v>494</v>
      </c>
      <c r="K1205" s="3">
        <v>854</v>
      </c>
      <c r="L1205" s="3">
        <v>78</v>
      </c>
      <c r="M1205" s="3">
        <v>0</v>
      </c>
      <c r="N1205" s="3">
        <v>0</v>
      </c>
    </row>
    <row r="1206" spans="1:14" x14ac:dyDescent="0.2">
      <c r="A1206" s="5" t="str">
        <f>HYPERLINK("http://www.ncbi.nlm.nih.gov/protein/28076873","Chchd5")</f>
        <v>Chchd5</v>
      </c>
      <c r="B1206" s="4"/>
      <c r="C1206" s="3">
        <v>0</v>
      </c>
      <c r="D1206" s="3">
        <v>303</v>
      </c>
      <c r="E1206" s="3">
        <v>0</v>
      </c>
      <c r="F1206" s="3">
        <v>0</v>
      </c>
      <c r="G1206" s="3">
        <v>0</v>
      </c>
      <c r="H1206" s="2">
        <f t="shared" si="36"/>
        <v>303</v>
      </c>
      <c r="I1206" t="str">
        <f t="shared" si="37"/>
        <v>Chchd5_303</v>
      </c>
      <c r="J1206" s="3">
        <v>0</v>
      </c>
      <c r="K1206" s="3">
        <v>303</v>
      </c>
      <c r="L1206" s="3">
        <v>0</v>
      </c>
      <c r="M1206" s="3">
        <v>0</v>
      </c>
      <c r="N1206" s="3">
        <v>0</v>
      </c>
    </row>
    <row r="1207" spans="1:14" x14ac:dyDescent="0.2">
      <c r="A1207" s="5" t="str">
        <f>HYPERLINK("http://www.ncbi.nlm.nih.gov/protein/267844804","Chchd6")</f>
        <v>Chchd6</v>
      </c>
      <c r="B1207" s="4"/>
      <c r="C1207" s="3">
        <v>12302</v>
      </c>
      <c r="D1207" s="3">
        <v>5595</v>
      </c>
      <c r="E1207" s="3">
        <v>37</v>
      </c>
      <c r="F1207" s="3">
        <v>0</v>
      </c>
      <c r="G1207" s="3">
        <v>0</v>
      </c>
      <c r="H1207" s="2">
        <f t="shared" si="36"/>
        <v>17934</v>
      </c>
      <c r="I1207" t="str">
        <f t="shared" si="37"/>
        <v>Chchd6_17934</v>
      </c>
      <c r="J1207" s="3">
        <v>12302</v>
      </c>
      <c r="K1207" s="3">
        <v>5595</v>
      </c>
      <c r="L1207" s="3">
        <v>37</v>
      </c>
      <c r="M1207" s="3">
        <v>0</v>
      </c>
      <c r="N1207" s="3">
        <v>0</v>
      </c>
    </row>
    <row r="1208" spans="1:14" x14ac:dyDescent="0.2">
      <c r="A1208" s="5" t="str">
        <f>HYPERLINK("http://www.ncbi.nlm.nih.gov/protein/267844806","Chchd6")</f>
        <v>Chchd6</v>
      </c>
      <c r="B1208" s="4"/>
      <c r="C1208" s="3">
        <v>12302</v>
      </c>
      <c r="D1208" s="3">
        <v>5595</v>
      </c>
      <c r="E1208" s="3">
        <v>37</v>
      </c>
      <c r="F1208" s="3">
        <v>0</v>
      </c>
      <c r="G1208" s="3">
        <v>0</v>
      </c>
      <c r="H1208" s="2">
        <f t="shared" si="36"/>
        <v>17934</v>
      </c>
      <c r="I1208" t="str">
        <f t="shared" si="37"/>
        <v>Chchd6_17934</v>
      </c>
      <c r="J1208" s="3">
        <v>12302</v>
      </c>
      <c r="K1208" s="3">
        <v>5595</v>
      </c>
      <c r="L1208" s="3">
        <v>37</v>
      </c>
      <c r="M1208" s="3">
        <v>0</v>
      </c>
      <c r="N1208" s="3">
        <v>0</v>
      </c>
    </row>
    <row r="1209" spans="1:14" x14ac:dyDescent="0.2">
      <c r="A1209" s="5" t="str">
        <f>HYPERLINK("http://www.ncbi.nlm.nih.gov/protein/298358505;298358513","Chchd7")</f>
        <v>Chchd7</v>
      </c>
      <c r="B1209" s="4"/>
      <c r="C1209" s="3">
        <v>0</v>
      </c>
      <c r="D1209" s="3">
        <v>305</v>
      </c>
      <c r="E1209" s="3">
        <v>0</v>
      </c>
      <c r="F1209" s="3">
        <v>0</v>
      </c>
      <c r="G1209" s="3">
        <v>0</v>
      </c>
      <c r="H1209" s="2">
        <f t="shared" si="36"/>
        <v>305</v>
      </c>
      <c r="I1209" t="str">
        <f t="shared" si="37"/>
        <v>Chchd7_305</v>
      </c>
      <c r="J1209" s="3">
        <v>0</v>
      </c>
      <c r="K1209" s="3">
        <v>305</v>
      </c>
      <c r="L1209" s="3">
        <v>0</v>
      </c>
      <c r="M1209" s="3">
        <v>0</v>
      </c>
      <c r="N1209" s="3">
        <v>0</v>
      </c>
    </row>
    <row r="1210" spans="1:14" x14ac:dyDescent="0.2">
      <c r="A1210" s="5" t="str">
        <f>HYPERLINK("http://www.ncbi.nlm.nih.gov/protein/357527416","Chd3")</f>
        <v>Chd3</v>
      </c>
      <c r="B1210" s="4"/>
      <c r="C1210" s="3">
        <v>32347</v>
      </c>
      <c r="D1210" s="3">
        <v>0</v>
      </c>
      <c r="E1210" s="3">
        <v>73</v>
      </c>
      <c r="F1210" s="3">
        <v>5255</v>
      </c>
      <c r="G1210" s="3">
        <v>0</v>
      </c>
      <c r="H1210" s="2">
        <f t="shared" si="36"/>
        <v>37675</v>
      </c>
      <c r="I1210" t="str">
        <f t="shared" si="37"/>
        <v>Chd3_37675</v>
      </c>
      <c r="J1210" s="3">
        <v>32347</v>
      </c>
      <c r="K1210" s="3">
        <v>0</v>
      </c>
      <c r="L1210" s="3">
        <v>73</v>
      </c>
      <c r="M1210" s="3">
        <v>5255</v>
      </c>
      <c r="N1210" s="3">
        <v>0</v>
      </c>
    </row>
    <row r="1211" spans="1:14" x14ac:dyDescent="0.2">
      <c r="A1211" s="5" t="str">
        <f>HYPERLINK("http://www.ncbi.nlm.nih.gov/protein/39204553","Chd4")</f>
        <v>Chd4</v>
      </c>
      <c r="B1211" s="4"/>
      <c r="C1211" s="3">
        <v>57792</v>
      </c>
      <c r="D1211" s="3">
        <v>497</v>
      </c>
      <c r="E1211" s="3">
        <v>566</v>
      </c>
      <c r="F1211" s="3">
        <v>15176</v>
      </c>
      <c r="G1211" s="3">
        <v>5312</v>
      </c>
      <c r="H1211" s="2">
        <f t="shared" si="36"/>
        <v>79343</v>
      </c>
      <c r="I1211" t="str">
        <f t="shared" si="37"/>
        <v>Chd4_79343</v>
      </c>
      <c r="J1211" s="3">
        <v>57792</v>
      </c>
      <c r="K1211" s="3">
        <v>497</v>
      </c>
      <c r="L1211" s="3">
        <v>566</v>
      </c>
      <c r="M1211" s="3">
        <v>15176</v>
      </c>
      <c r="N1211" s="3">
        <v>5312</v>
      </c>
    </row>
    <row r="1212" spans="1:14" x14ac:dyDescent="0.2">
      <c r="A1212" s="5" t="str">
        <f>HYPERLINK("http://www.ncbi.nlm.nih.gov/protein/124487025","Chd5")</f>
        <v>Chd5</v>
      </c>
      <c r="B1212" s="4"/>
      <c r="C1212" s="3">
        <v>27935</v>
      </c>
      <c r="D1212" s="3">
        <v>284</v>
      </c>
      <c r="E1212" s="3">
        <v>490</v>
      </c>
      <c r="F1212" s="3">
        <v>4281</v>
      </c>
      <c r="G1212" s="3">
        <v>3802</v>
      </c>
      <c r="H1212" s="2">
        <f t="shared" si="36"/>
        <v>36792</v>
      </c>
      <c r="I1212" t="str">
        <f t="shared" si="37"/>
        <v>Chd5_36792</v>
      </c>
      <c r="J1212" s="3">
        <v>27935</v>
      </c>
      <c r="K1212" s="3">
        <v>284</v>
      </c>
      <c r="L1212" s="3">
        <v>490</v>
      </c>
      <c r="M1212" s="3">
        <v>4281</v>
      </c>
      <c r="N1212" s="3">
        <v>3802</v>
      </c>
    </row>
    <row r="1213" spans="1:14" x14ac:dyDescent="0.2">
      <c r="A1213" s="5" t="str">
        <f>HYPERLINK("http://www.ncbi.nlm.nih.gov/protein/189458814","Chd5")</f>
        <v>Chd5</v>
      </c>
      <c r="B1213" s="4"/>
      <c r="C1213" s="3">
        <v>27935</v>
      </c>
      <c r="D1213" s="3">
        <v>284</v>
      </c>
      <c r="E1213" s="3">
        <v>490</v>
      </c>
      <c r="F1213" s="3">
        <v>4281</v>
      </c>
      <c r="G1213" s="3">
        <v>3802</v>
      </c>
      <c r="H1213" s="2">
        <f t="shared" si="36"/>
        <v>36792</v>
      </c>
      <c r="I1213" t="str">
        <f t="shared" si="37"/>
        <v>Chd5_36792</v>
      </c>
      <c r="J1213" s="3">
        <v>27935</v>
      </c>
      <c r="K1213" s="3">
        <v>284</v>
      </c>
      <c r="L1213" s="3">
        <v>490</v>
      </c>
      <c r="M1213" s="3">
        <v>4281</v>
      </c>
      <c r="N1213" s="3">
        <v>3802</v>
      </c>
    </row>
    <row r="1214" spans="1:14" x14ac:dyDescent="0.2">
      <c r="A1214" s="5" t="str">
        <f>HYPERLINK("http://www.ncbi.nlm.nih.gov/protein/30425036","Chdh")</f>
        <v>Chdh</v>
      </c>
      <c r="B1214" s="4"/>
      <c r="C1214" s="3">
        <v>84574</v>
      </c>
      <c r="D1214" s="3">
        <v>11245</v>
      </c>
      <c r="E1214" s="3">
        <v>6545</v>
      </c>
      <c r="F1214" s="3">
        <v>0</v>
      </c>
      <c r="G1214" s="3">
        <v>0</v>
      </c>
      <c r="H1214" s="2">
        <f t="shared" si="36"/>
        <v>102364</v>
      </c>
      <c r="I1214" t="str">
        <f t="shared" si="37"/>
        <v>Chdh_102364</v>
      </c>
      <c r="J1214" s="3">
        <v>84574</v>
      </c>
      <c r="K1214" s="3">
        <v>11245</v>
      </c>
      <c r="L1214" s="3">
        <v>6545</v>
      </c>
      <c r="M1214" s="3">
        <v>0</v>
      </c>
      <c r="N1214" s="3">
        <v>0</v>
      </c>
    </row>
    <row r="1215" spans="1:14" x14ac:dyDescent="0.2">
      <c r="A1215" s="5" t="str">
        <f>HYPERLINK("http://www.ncbi.nlm.nih.gov/protein/31542385","Chek1")</f>
        <v>Chek1</v>
      </c>
      <c r="B1215" s="4"/>
      <c r="C1215" s="3">
        <v>0</v>
      </c>
      <c r="D1215" s="3">
        <v>157</v>
      </c>
      <c r="E1215" s="3">
        <v>301</v>
      </c>
      <c r="F1215" s="3">
        <v>0</v>
      </c>
      <c r="G1215" s="3">
        <v>225</v>
      </c>
      <c r="H1215" s="2">
        <f t="shared" si="36"/>
        <v>683</v>
      </c>
      <c r="I1215" t="str">
        <f t="shared" si="37"/>
        <v>Chek1_683</v>
      </c>
      <c r="J1215" s="3">
        <v>0</v>
      </c>
      <c r="K1215" s="3">
        <v>157</v>
      </c>
      <c r="L1215" s="3">
        <v>301</v>
      </c>
      <c r="M1215" s="3">
        <v>0</v>
      </c>
      <c r="N1215" s="3">
        <v>225</v>
      </c>
    </row>
    <row r="1216" spans="1:14" x14ac:dyDescent="0.2">
      <c r="A1216" s="5" t="str">
        <f>HYPERLINK("http://www.ncbi.nlm.nih.gov/protein/119672912","Cherp")</f>
        <v>Cherp</v>
      </c>
      <c r="B1216" s="4"/>
      <c r="C1216" s="3">
        <v>0</v>
      </c>
      <c r="D1216" s="3">
        <v>1182</v>
      </c>
      <c r="E1216" s="3">
        <v>190</v>
      </c>
      <c r="F1216" s="3">
        <v>0</v>
      </c>
      <c r="G1216" s="3">
        <v>0</v>
      </c>
      <c r="H1216" s="2">
        <f t="shared" si="36"/>
        <v>1372</v>
      </c>
      <c r="I1216" t="str">
        <f t="shared" si="37"/>
        <v>Cherp_1372</v>
      </c>
      <c r="J1216" s="3">
        <v>0</v>
      </c>
      <c r="K1216" s="3">
        <v>1182</v>
      </c>
      <c r="L1216" s="3">
        <v>190</v>
      </c>
      <c r="M1216" s="3">
        <v>0</v>
      </c>
      <c r="N1216" s="3">
        <v>0</v>
      </c>
    </row>
    <row r="1217" spans="1:14" x14ac:dyDescent="0.2">
      <c r="A1217" s="5" t="str">
        <f>HYPERLINK("http://www.ncbi.nlm.nih.gov/protein/218083710","Chid1")</f>
        <v>Chid1</v>
      </c>
      <c r="B1217" s="4"/>
      <c r="C1217" s="3">
        <v>0</v>
      </c>
      <c r="D1217" s="3">
        <v>0</v>
      </c>
      <c r="E1217" s="3">
        <v>61</v>
      </c>
      <c r="F1217" s="3">
        <v>0</v>
      </c>
      <c r="G1217" s="3">
        <v>0</v>
      </c>
      <c r="H1217" s="2">
        <f t="shared" si="36"/>
        <v>61</v>
      </c>
      <c r="I1217" t="str">
        <f t="shared" si="37"/>
        <v>Chid1_61</v>
      </c>
      <c r="J1217" s="3">
        <v>0</v>
      </c>
      <c r="K1217" s="3">
        <v>0</v>
      </c>
      <c r="L1217" s="3">
        <v>61</v>
      </c>
      <c r="M1217" s="3">
        <v>0</v>
      </c>
      <c r="N1217" s="3">
        <v>0</v>
      </c>
    </row>
    <row r="1218" spans="1:14" x14ac:dyDescent="0.2">
      <c r="A1218" s="5" t="str">
        <f>HYPERLINK("http://www.ncbi.nlm.nih.gov/protein/31541939","Chid1")</f>
        <v>Chid1</v>
      </c>
      <c r="B1218" s="4"/>
      <c r="C1218" s="3">
        <v>0</v>
      </c>
      <c r="D1218" s="3">
        <v>0</v>
      </c>
      <c r="E1218" s="3">
        <v>61</v>
      </c>
      <c r="F1218" s="3">
        <v>0</v>
      </c>
      <c r="G1218" s="3">
        <v>0</v>
      </c>
      <c r="H1218" s="2">
        <f t="shared" ref="H1218:H1281" si="38">SUM(C1218:G1218)</f>
        <v>61</v>
      </c>
      <c r="I1218" t="str">
        <f t="shared" ref="I1218:I1281" si="39">A1218&amp;"_"&amp;H1218</f>
        <v>Chid1_61</v>
      </c>
      <c r="J1218" s="3">
        <v>0</v>
      </c>
      <c r="K1218" s="3">
        <v>0</v>
      </c>
      <c r="L1218" s="3">
        <v>61</v>
      </c>
      <c r="M1218" s="3">
        <v>0</v>
      </c>
      <c r="N1218" s="3">
        <v>0</v>
      </c>
    </row>
    <row r="1219" spans="1:14" x14ac:dyDescent="0.2">
      <c r="A1219" s="5" t="str">
        <f>HYPERLINK("http://www.ncbi.nlm.nih.gov/protein/407970974","Chka")</f>
        <v>Chka</v>
      </c>
      <c r="B1219" s="4"/>
      <c r="C1219" s="3">
        <v>0</v>
      </c>
      <c r="D1219" s="3">
        <v>0</v>
      </c>
      <c r="E1219" s="3">
        <v>124</v>
      </c>
      <c r="F1219" s="3">
        <v>0</v>
      </c>
      <c r="G1219" s="3">
        <v>1414</v>
      </c>
      <c r="H1219" s="2">
        <f t="shared" si="38"/>
        <v>1538</v>
      </c>
      <c r="I1219" t="str">
        <f t="shared" si="39"/>
        <v>Chka_1538</v>
      </c>
      <c r="J1219" s="3">
        <v>0</v>
      </c>
      <c r="K1219" s="3">
        <v>0</v>
      </c>
      <c r="L1219" s="3">
        <v>124</v>
      </c>
      <c r="M1219" s="3">
        <v>0</v>
      </c>
      <c r="N1219" s="3">
        <v>1414</v>
      </c>
    </row>
    <row r="1220" spans="1:14" x14ac:dyDescent="0.2">
      <c r="A1220" s="5" t="str">
        <f>HYPERLINK("http://www.ncbi.nlm.nih.gov/protein/70908364","Chka")</f>
        <v>Chka</v>
      </c>
      <c r="B1220" s="4"/>
      <c r="C1220" s="3">
        <v>0</v>
      </c>
      <c r="D1220" s="3">
        <v>0</v>
      </c>
      <c r="E1220" s="3">
        <v>124</v>
      </c>
      <c r="F1220" s="3">
        <v>0</v>
      </c>
      <c r="G1220" s="3">
        <v>1414</v>
      </c>
      <c r="H1220" s="2">
        <f t="shared" si="38"/>
        <v>1538</v>
      </c>
      <c r="I1220" t="str">
        <f t="shared" si="39"/>
        <v>Chka_1538</v>
      </c>
      <c r="J1220" s="3">
        <v>0</v>
      </c>
      <c r="K1220" s="3">
        <v>0</v>
      </c>
      <c r="L1220" s="3">
        <v>124</v>
      </c>
      <c r="M1220" s="3">
        <v>0</v>
      </c>
      <c r="N1220" s="3">
        <v>1414</v>
      </c>
    </row>
    <row r="1221" spans="1:14" x14ac:dyDescent="0.2">
      <c r="A1221" s="5" t="str">
        <f>HYPERLINK("http://www.ncbi.nlm.nih.gov/protein/6671748","Chkb")</f>
        <v>Chkb</v>
      </c>
      <c r="B1221" s="4"/>
      <c r="C1221" s="3">
        <v>0</v>
      </c>
      <c r="D1221" s="3">
        <v>541</v>
      </c>
      <c r="E1221" s="3">
        <v>148</v>
      </c>
      <c r="F1221" s="3">
        <v>0</v>
      </c>
      <c r="G1221" s="3">
        <v>2495</v>
      </c>
      <c r="H1221" s="2">
        <f t="shared" si="38"/>
        <v>3184</v>
      </c>
      <c r="I1221" t="str">
        <f t="shared" si="39"/>
        <v>Chkb_3184</v>
      </c>
      <c r="J1221" s="3">
        <v>0</v>
      </c>
      <c r="K1221" s="3">
        <v>541</v>
      </c>
      <c r="L1221" s="3">
        <v>148</v>
      </c>
      <c r="M1221" s="3">
        <v>0</v>
      </c>
      <c r="N1221" s="3">
        <v>2495</v>
      </c>
    </row>
    <row r="1222" spans="1:14" x14ac:dyDescent="0.2">
      <c r="A1222" s="5" t="str">
        <f>HYPERLINK("http://www.ncbi.nlm.nih.gov/protein/110681714","Chm")</f>
        <v>Chm</v>
      </c>
      <c r="B1222" s="4"/>
      <c r="C1222" s="3">
        <v>0</v>
      </c>
      <c r="D1222" s="3">
        <v>0</v>
      </c>
      <c r="E1222" s="3">
        <v>0</v>
      </c>
      <c r="F1222" s="3">
        <v>0</v>
      </c>
      <c r="G1222" s="3">
        <v>2013</v>
      </c>
      <c r="H1222" s="2">
        <f t="shared" si="38"/>
        <v>2013</v>
      </c>
      <c r="I1222" t="str">
        <f t="shared" si="39"/>
        <v>Chm_2013</v>
      </c>
      <c r="J1222" s="3">
        <v>0</v>
      </c>
      <c r="K1222" s="3">
        <v>0</v>
      </c>
      <c r="L1222" s="3">
        <v>0</v>
      </c>
      <c r="M1222" s="3">
        <v>0</v>
      </c>
      <c r="N1222" s="3">
        <v>2013</v>
      </c>
    </row>
    <row r="1223" spans="1:14" x14ac:dyDescent="0.2">
      <c r="A1223" s="5" t="str">
        <f>HYPERLINK("http://www.ncbi.nlm.nih.gov/protein/377834613","Chm")</f>
        <v>Chm</v>
      </c>
      <c r="B1223" s="4"/>
      <c r="C1223" s="3">
        <v>0</v>
      </c>
      <c r="D1223" s="3">
        <v>0</v>
      </c>
      <c r="E1223" s="3">
        <v>0</v>
      </c>
      <c r="F1223" s="3">
        <v>0</v>
      </c>
      <c r="G1223" s="3">
        <v>2013</v>
      </c>
      <c r="H1223" s="2">
        <f t="shared" si="38"/>
        <v>2013</v>
      </c>
      <c r="I1223" t="str">
        <f t="shared" si="39"/>
        <v>Chm_2013</v>
      </c>
      <c r="J1223" s="3">
        <v>0</v>
      </c>
      <c r="K1223" s="3">
        <v>0</v>
      </c>
      <c r="L1223" s="3">
        <v>0</v>
      </c>
      <c r="M1223" s="3">
        <v>0</v>
      </c>
      <c r="N1223" s="3">
        <v>2013</v>
      </c>
    </row>
    <row r="1224" spans="1:14" x14ac:dyDescent="0.2">
      <c r="A1224" s="5" t="str">
        <f>HYPERLINK("http://www.ncbi.nlm.nih.gov/protein/21704220","Chmp1a")</f>
        <v>Chmp1a</v>
      </c>
      <c r="B1224" s="4"/>
      <c r="C1224" s="3">
        <v>0</v>
      </c>
      <c r="D1224" s="3">
        <v>0</v>
      </c>
      <c r="E1224" s="3">
        <v>0</v>
      </c>
      <c r="F1224" s="3">
        <v>0</v>
      </c>
      <c r="G1224" s="3">
        <v>1553</v>
      </c>
      <c r="H1224" s="2">
        <f t="shared" si="38"/>
        <v>1553</v>
      </c>
      <c r="I1224" t="str">
        <f t="shared" si="39"/>
        <v>Chmp1a_1553</v>
      </c>
      <c r="J1224" s="3">
        <v>0</v>
      </c>
      <c r="K1224" s="3">
        <v>0</v>
      </c>
      <c r="L1224" s="3">
        <v>0</v>
      </c>
      <c r="M1224" s="3">
        <v>0</v>
      </c>
      <c r="N1224" s="3">
        <v>1553</v>
      </c>
    </row>
    <row r="1225" spans="1:14" x14ac:dyDescent="0.2">
      <c r="A1225" s="5" t="str">
        <f>HYPERLINK("http://www.ncbi.nlm.nih.gov/protein/21312151","Chmp2a")</f>
        <v>Chmp2a</v>
      </c>
      <c r="B1225" s="4"/>
      <c r="C1225" s="3">
        <v>0</v>
      </c>
      <c r="D1225" s="3">
        <v>547</v>
      </c>
      <c r="E1225" s="3">
        <v>1093</v>
      </c>
      <c r="F1225" s="3">
        <v>7105</v>
      </c>
      <c r="G1225" s="3">
        <v>5954</v>
      </c>
      <c r="H1225" s="2">
        <f t="shared" si="38"/>
        <v>14699</v>
      </c>
      <c r="I1225" t="str">
        <f t="shared" si="39"/>
        <v>Chmp2a_14699</v>
      </c>
      <c r="J1225" s="3">
        <v>0</v>
      </c>
      <c r="K1225" s="3">
        <v>547</v>
      </c>
      <c r="L1225" s="3">
        <v>1093</v>
      </c>
      <c r="M1225" s="3">
        <v>7105</v>
      </c>
      <c r="N1225" s="3">
        <v>5954</v>
      </c>
    </row>
    <row r="1226" spans="1:14" x14ac:dyDescent="0.2">
      <c r="A1226" s="5" t="str">
        <f>HYPERLINK("http://www.ncbi.nlm.nih.gov/protein/30794432","Chmp2b")</f>
        <v>Chmp2b</v>
      </c>
      <c r="B1226" s="4"/>
      <c r="C1226" s="3">
        <v>0</v>
      </c>
      <c r="D1226" s="3">
        <v>269</v>
      </c>
      <c r="E1226" s="3">
        <v>399</v>
      </c>
      <c r="F1226" s="3">
        <v>557</v>
      </c>
      <c r="G1226" s="3">
        <v>11191</v>
      </c>
      <c r="H1226" s="2">
        <f t="shared" si="38"/>
        <v>12416</v>
      </c>
      <c r="I1226" t="str">
        <f t="shared" si="39"/>
        <v>Chmp2b_12416</v>
      </c>
      <c r="J1226" s="3">
        <v>0</v>
      </c>
      <c r="K1226" s="3">
        <v>269</v>
      </c>
      <c r="L1226" s="3">
        <v>399</v>
      </c>
      <c r="M1226" s="3">
        <v>557</v>
      </c>
      <c r="N1226" s="3">
        <v>11191</v>
      </c>
    </row>
    <row r="1227" spans="1:14" x14ac:dyDescent="0.2">
      <c r="A1227" s="5" t="str">
        <f>HYPERLINK("http://www.ncbi.nlm.nih.gov/protein/31541959","Chmp3")</f>
        <v>Chmp3</v>
      </c>
      <c r="B1227" s="4"/>
      <c r="C1227" s="3">
        <v>0</v>
      </c>
      <c r="D1227" s="3">
        <v>0</v>
      </c>
      <c r="E1227" s="3">
        <v>931</v>
      </c>
      <c r="F1227" s="3">
        <v>1768</v>
      </c>
      <c r="G1227" s="3">
        <v>8814</v>
      </c>
      <c r="H1227" s="2">
        <f t="shared" si="38"/>
        <v>11513</v>
      </c>
      <c r="I1227" t="str">
        <f t="shared" si="39"/>
        <v>Chmp3_11513</v>
      </c>
      <c r="J1227" s="3">
        <v>0</v>
      </c>
      <c r="K1227" s="3">
        <v>0</v>
      </c>
      <c r="L1227" s="3">
        <v>931</v>
      </c>
      <c r="M1227" s="3">
        <v>1768</v>
      </c>
      <c r="N1227" s="3">
        <v>8814</v>
      </c>
    </row>
    <row r="1228" spans="1:14" x14ac:dyDescent="0.2">
      <c r="A1228" s="5" t="str">
        <f>HYPERLINK("http://www.ncbi.nlm.nih.gov/protein/28077049","Chmp4b")</f>
        <v>Chmp4b</v>
      </c>
      <c r="B1228" s="4"/>
      <c r="C1228" s="3">
        <v>3496</v>
      </c>
      <c r="D1228" s="3">
        <v>2079</v>
      </c>
      <c r="E1228" s="3">
        <v>10145</v>
      </c>
      <c r="F1228" s="3">
        <v>7023</v>
      </c>
      <c r="G1228" s="3">
        <v>27288</v>
      </c>
      <c r="H1228" s="2">
        <f t="shared" si="38"/>
        <v>50031</v>
      </c>
      <c r="I1228" t="str">
        <f t="shared" si="39"/>
        <v>Chmp4b_50031</v>
      </c>
      <c r="J1228" s="3">
        <v>3496</v>
      </c>
      <c r="K1228" s="3">
        <v>2079</v>
      </c>
      <c r="L1228" s="3">
        <v>10145</v>
      </c>
      <c r="M1228" s="3">
        <v>7023</v>
      </c>
      <c r="N1228" s="3">
        <v>27288</v>
      </c>
    </row>
    <row r="1229" spans="1:14" x14ac:dyDescent="0.2">
      <c r="A1229" s="5" t="str">
        <f>HYPERLINK("http://www.ncbi.nlm.nih.gov/protein/13386442","Chmp5")</f>
        <v>Chmp5</v>
      </c>
      <c r="B1229" s="4"/>
      <c r="C1229" s="3">
        <v>0</v>
      </c>
      <c r="D1229" s="3">
        <v>1710</v>
      </c>
      <c r="E1229" s="3">
        <v>79</v>
      </c>
      <c r="F1229" s="3">
        <v>5206</v>
      </c>
      <c r="G1229" s="3">
        <v>19705</v>
      </c>
      <c r="H1229" s="2">
        <f t="shared" si="38"/>
        <v>26700</v>
      </c>
      <c r="I1229" t="str">
        <f t="shared" si="39"/>
        <v>Chmp5_26700</v>
      </c>
      <c r="J1229" s="3">
        <v>0</v>
      </c>
      <c r="K1229" s="3">
        <v>1710</v>
      </c>
      <c r="L1229" s="3">
        <v>79</v>
      </c>
      <c r="M1229" s="3">
        <v>5206</v>
      </c>
      <c r="N1229" s="3">
        <v>19705</v>
      </c>
    </row>
    <row r="1230" spans="1:14" x14ac:dyDescent="0.2">
      <c r="A1230" s="5" t="str">
        <f>HYPERLINK("http://www.ncbi.nlm.nih.gov/protein/147904547","Chmp6")</f>
        <v>Chmp6</v>
      </c>
      <c r="B1230" s="4"/>
      <c r="C1230" s="3">
        <v>1519</v>
      </c>
      <c r="D1230" s="3">
        <v>5048</v>
      </c>
      <c r="E1230" s="3">
        <v>3503</v>
      </c>
      <c r="F1230" s="3">
        <v>5083</v>
      </c>
      <c r="G1230" s="3">
        <v>0</v>
      </c>
      <c r="H1230" s="2">
        <f t="shared" si="38"/>
        <v>15153</v>
      </c>
      <c r="I1230" t="str">
        <f t="shared" si="39"/>
        <v>Chmp6_15153</v>
      </c>
      <c r="J1230" s="3">
        <v>1519</v>
      </c>
      <c r="K1230" s="3">
        <v>5048</v>
      </c>
      <c r="L1230" s="3">
        <v>3503</v>
      </c>
      <c r="M1230" s="3">
        <v>5083</v>
      </c>
      <c r="N1230" s="3">
        <v>0</v>
      </c>
    </row>
    <row r="1231" spans="1:14" x14ac:dyDescent="0.2">
      <c r="A1231" s="5" t="str">
        <f>HYPERLINK("http://www.ncbi.nlm.nih.gov/protein/13385324","Chordc1")</f>
        <v>Chordc1</v>
      </c>
      <c r="B1231" s="4"/>
      <c r="C1231" s="3">
        <v>0</v>
      </c>
      <c r="D1231" s="3">
        <v>119</v>
      </c>
      <c r="E1231" s="3">
        <v>98</v>
      </c>
      <c r="F1231" s="3">
        <v>876</v>
      </c>
      <c r="G1231" s="3">
        <v>6404</v>
      </c>
      <c r="H1231" s="2">
        <f t="shared" si="38"/>
        <v>7497</v>
      </c>
      <c r="I1231" t="str">
        <f t="shared" si="39"/>
        <v>Chordc1_7497</v>
      </c>
      <c r="J1231" s="3">
        <v>0</v>
      </c>
      <c r="K1231" s="3">
        <v>119</v>
      </c>
      <c r="L1231" s="3">
        <v>98</v>
      </c>
      <c r="M1231" s="3">
        <v>876</v>
      </c>
      <c r="N1231" s="3">
        <v>6404</v>
      </c>
    </row>
    <row r="1232" spans="1:14" x14ac:dyDescent="0.2">
      <c r="A1232" s="5" t="str">
        <f>HYPERLINK("http://www.ncbi.nlm.nih.gov/protein/9790225","Chp1")</f>
        <v>Chp1</v>
      </c>
      <c r="B1232" s="4"/>
      <c r="C1232" s="3">
        <v>14645</v>
      </c>
      <c r="D1232" s="3">
        <v>2357</v>
      </c>
      <c r="E1232" s="3">
        <v>6920</v>
      </c>
      <c r="F1232" s="3">
        <v>237</v>
      </c>
      <c r="G1232" s="3">
        <v>0</v>
      </c>
      <c r="H1232" s="2">
        <f t="shared" si="38"/>
        <v>24159</v>
      </c>
      <c r="I1232" t="str">
        <f t="shared" si="39"/>
        <v>Chp1_24159</v>
      </c>
      <c r="J1232" s="3">
        <v>14645</v>
      </c>
      <c r="K1232" s="3">
        <v>2357</v>
      </c>
      <c r="L1232" s="3">
        <v>6920</v>
      </c>
      <c r="M1232" s="3">
        <v>237</v>
      </c>
      <c r="N1232" s="3">
        <v>0</v>
      </c>
    </row>
    <row r="1233" spans="1:14" x14ac:dyDescent="0.2">
      <c r="A1233" s="5" t="str">
        <f>HYPERLINK("http://www.ncbi.nlm.nih.gov/protein/226442811","Chpt1")</f>
        <v>Chpt1</v>
      </c>
      <c r="B1233" s="4"/>
      <c r="C1233" s="3">
        <v>0</v>
      </c>
      <c r="D1233" s="3">
        <v>0</v>
      </c>
      <c r="E1233" s="3">
        <v>225</v>
      </c>
      <c r="F1233" s="3">
        <v>0</v>
      </c>
      <c r="G1233" s="3">
        <v>0</v>
      </c>
      <c r="H1233" s="2">
        <f t="shared" si="38"/>
        <v>225</v>
      </c>
      <c r="I1233" t="str">
        <f t="shared" si="39"/>
        <v>Chpt1_225</v>
      </c>
      <c r="J1233" s="3">
        <v>0</v>
      </c>
      <c r="K1233" s="3">
        <v>0</v>
      </c>
      <c r="L1233" s="3">
        <v>225</v>
      </c>
      <c r="M1233" s="3">
        <v>0</v>
      </c>
      <c r="N1233" s="3">
        <v>0</v>
      </c>
    </row>
    <row r="1234" spans="1:14" x14ac:dyDescent="0.2">
      <c r="A1234" s="5" t="str">
        <f>HYPERLINK("http://www.ncbi.nlm.nih.gov/protein/226442815","Chpt1")</f>
        <v>Chpt1</v>
      </c>
      <c r="B1234" s="4"/>
      <c r="C1234" s="3">
        <v>0</v>
      </c>
      <c r="D1234" s="3">
        <v>0</v>
      </c>
      <c r="E1234" s="3">
        <v>155</v>
      </c>
      <c r="F1234" s="3">
        <v>0</v>
      </c>
      <c r="G1234" s="3">
        <v>0</v>
      </c>
      <c r="H1234" s="2">
        <f t="shared" si="38"/>
        <v>155</v>
      </c>
      <c r="I1234" t="str">
        <f t="shared" si="39"/>
        <v>Chpt1_155</v>
      </c>
      <c r="J1234" s="3">
        <v>0</v>
      </c>
      <c r="K1234" s="3">
        <v>0</v>
      </c>
      <c r="L1234" s="3">
        <v>155</v>
      </c>
      <c r="M1234" s="3">
        <v>0</v>
      </c>
      <c r="N1234" s="3">
        <v>0</v>
      </c>
    </row>
    <row r="1235" spans="1:14" x14ac:dyDescent="0.2">
      <c r="A1235" s="5" t="str">
        <f>HYPERLINK("http://www.ncbi.nlm.nih.gov/protein/6752950","Chrne")</f>
        <v>Chrne</v>
      </c>
      <c r="B1235" s="4"/>
      <c r="C1235" s="3">
        <v>0</v>
      </c>
      <c r="D1235" s="3">
        <v>0</v>
      </c>
      <c r="E1235" s="3">
        <v>0</v>
      </c>
      <c r="F1235" s="3">
        <v>0</v>
      </c>
      <c r="G1235" s="3">
        <v>4755</v>
      </c>
      <c r="H1235" s="2">
        <f t="shared" si="38"/>
        <v>4755</v>
      </c>
      <c r="I1235" t="str">
        <f t="shared" si="39"/>
        <v>Chrne_4755</v>
      </c>
      <c r="J1235" s="3">
        <v>0</v>
      </c>
      <c r="K1235" s="3">
        <v>0</v>
      </c>
      <c r="L1235" s="3">
        <v>0</v>
      </c>
      <c r="M1235" s="3">
        <v>0</v>
      </c>
      <c r="N1235" s="3">
        <v>4755</v>
      </c>
    </row>
    <row r="1236" spans="1:14" x14ac:dyDescent="0.2">
      <c r="A1236" s="5" t="str">
        <f>HYPERLINK("http://www.ncbi.nlm.nih.gov/protein/157951666","Chtf18")</f>
        <v>Chtf18</v>
      </c>
      <c r="B1236" s="4"/>
      <c r="C1236" s="3">
        <v>0</v>
      </c>
      <c r="D1236" s="3">
        <v>0</v>
      </c>
      <c r="E1236" s="3">
        <v>53</v>
      </c>
      <c r="F1236" s="3">
        <v>5509</v>
      </c>
      <c r="G1236" s="3">
        <v>2710</v>
      </c>
      <c r="H1236" s="2">
        <f t="shared" si="38"/>
        <v>8272</v>
      </c>
      <c r="I1236" t="str">
        <f t="shared" si="39"/>
        <v>Chtf18_8272</v>
      </c>
      <c r="J1236" s="3">
        <v>0</v>
      </c>
      <c r="K1236" s="3">
        <v>0</v>
      </c>
      <c r="L1236" s="3">
        <v>53</v>
      </c>
      <c r="M1236" s="3">
        <v>5509</v>
      </c>
      <c r="N1236" s="3">
        <v>2710</v>
      </c>
    </row>
    <row r="1237" spans="1:14" x14ac:dyDescent="0.2">
      <c r="A1237" s="5" t="str">
        <f>HYPERLINK("http://www.ncbi.nlm.nih.gov/protein/84000434","Chtf8")</f>
        <v>Chtf8</v>
      </c>
      <c r="B1237" s="4"/>
      <c r="C1237" s="3">
        <v>0</v>
      </c>
      <c r="D1237" s="3">
        <v>94</v>
      </c>
      <c r="E1237" s="3">
        <v>31</v>
      </c>
      <c r="F1237" s="3">
        <v>589</v>
      </c>
      <c r="G1237" s="3">
        <v>171</v>
      </c>
      <c r="H1237" s="2">
        <f t="shared" si="38"/>
        <v>885</v>
      </c>
      <c r="I1237" t="str">
        <f t="shared" si="39"/>
        <v>Chtf8_885</v>
      </c>
      <c r="J1237" s="3">
        <v>0</v>
      </c>
      <c r="K1237" s="3">
        <v>94</v>
      </c>
      <c r="L1237" s="3">
        <v>31</v>
      </c>
      <c r="M1237" s="3">
        <v>589</v>
      </c>
      <c r="N1237" s="3">
        <v>171</v>
      </c>
    </row>
    <row r="1238" spans="1:14" x14ac:dyDescent="0.2">
      <c r="A1238" s="5" t="str">
        <f>HYPERLINK("http://www.ncbi.nlm.nih.gov/protein/31981251","Chtop")</f>
        <v>Chtop</v>
      </c>
      <c r="B1238" s="4"/>
      <c r="C1238" s="3">
        <v>12558</v>
      </c>
      <c r="D1238" s="3">
        <v>184</v>
      </c>
      <c r="E1238" s="3">
        <v>1308</v>
      </c>
      <c r="F1238" s="3">
        <v>2726</v>
      </c>
      <c r="G1238" s="3">
        <v>0</v>
      </c>
      <c r="H1238" s="2">
        <f t="shared" si="38"/>
        <v>16776</v>
      </c>
      <c r="I1238" t="str">
        <f t="shared" si="39"/>
        <v>Chtop_16776</v>
      </c>
      <c r="J1238" s="3">
        <v>12558</v>
      </c>
      <c r="K1238" s="3">
        <v>184</v>
      </c>
      <c r="L1238" s="3">
        <v>1308</v>
      </c>
      <c r="M1238" s="3">
        <v>2726</v>
      </c>
      <c r="N1238" s="3">
        <v>0</v>
      </c>
    </row>
    <row r="1239" spans="1:14" x14ac:dyDescent="0.2">
      <c r="A1239" s="5" t="str">
        <f>HYPERLINK("http://www.ncbi.nlm.nih.gov/protein/124249115","Churc1")</f>
        <v>Churc1</v>
      </c>
      <c r="B1239" s="4"/>
      <c r="C1239" s="3">
        <v>0</v>
      </c>
      <c r="D1239" s="3">
        <v>0</v>
      </c>
      <c r="E1239" s="3">
        <v>0</v>
      </c>
      <c r="F1239" s="3">
        <v>0</v>
      </c>
      <c r="G1239" s="3">
        <v>600</v>
      </c>
      <c r="H1239" s="2">
        <f t="shared" si="38"/>
        <v>600</v>
      </c>
      <c r="I1239" t="str">
        <f t="shared" si="39"/>
        <v>Churc1_600</v>
      </c>
      <c r="J1239" s="3">
        <v>0</v>
      </c>
      <c r="K1239" s="3">
        <v>0</v>
      </c>
      <c r="L1239" s="3">
        <v>0</v>
      </c>
      <c r="M1239" s="3">
        <v>0</v>
      </c>
      <c r="N1239" s="3">
        <v>600</v>
      </c>
    </row>
    <row r="1240" spans="1:14" x14ac:dyDescent="0.2">
      <c r="A1240" s="5" t="str">
        <f>HYPERLINK("http://www.ncbi.nlm.nih.gov/protein/31542399","Ciao1")</f>
        <v>Ciao1</v>
      </c>
      <c r="B1240" s="4"/>
      <c r="C1240" s="3">
        <v>0</v>
      </c>
      <c r="D1240" s="3">
        <v>0</v>
      </c>
      <c r="E1240" s="3">
        <v>811</v>
      </c>
      <c r="F1240" s="3">
        <v>3250</v>
      </c>
      <c r="G1240" s="3">
        <v>23165</v>
      </c>
      <c r="H1240" s="2">
        <f t="shared" si="38"/>
        <v>27226</v>
      </c>
      <c r="I1240" t="str">
        <f t="shared" si="39"/>
        <v>Ciao1_27226</v>
      </c>
      <c r="J1240" s="3">
        <v>0</v>
      </c>
      <c r="K1240" s="3">
        <v>0</v>
      </c>
      <c r="L1240" s="3">
        <v>811</v>
      </c>
      <c r="M1240" s="3">
        <v>3250</v>
      </c>
      <c r="N1240" s="3">
        <v>23165</v>
      </c>
    </row>
    <row r="1241" spans="1:14" x14ac:dyDescent="0.2">
      <c r="A1241" s="5" t="str">
        <f>HYPERLINK("http://www.ncbi.nlm.nih.gov/protein/19527376","Ciapin1")</f>
        <v>Ciapin1</v>
      </c>
      <c r="B1241" s="4"/>
      <c r="C1241" s="3">
        <v>0</v>
      </c>
      <c r="D1241" s="3">
        <v>4</v>
      </c>
      <c r="E1241" s="3">
        <v>179</v>
      </c>
      <c r="F1241" s="3">
        <v>0</v>
      </c>
      <c r="G1241" s="3">
        <v>24578</v>
      </c>
      <c r="H1241" s="2">
        <f t="shared" si="38"/>
        <v>24761</v>
      </c>
      <c r="I1241" t="str">
        <f t="shared" si="39"/>
        <v>Ciapin1_24761</v>
      </c>
      <c r="J1241" s="3">
        <v>0</v>
      </c>
      <c r="K1241" s="3">
        <v>4</v>
      </c>
      <c r="L1241" s="3">
        <v>179</v>
      </c>
      <c r="M1241" s="3">
        <v>0</v>
      </c>
      <c r="N1241" s="3">
        <v>24578</v>
      </c>
    </row>
    <row r="1242" spans="1:14" x14ac:dyDescent="0.2">
      <c r="A1242" s="5" t="str">
        <f>HYPERLINK("http://www.ncbi.nlm.nih.gov/protein/6680946","Cirbp")</f>
        <v>Cirbp</v>
      </c>
      <c r="B1242" s="4"/>
      <c r="C1242" s="3">
        <v>7945</v>
      </c>
      <c r="D1242" s="3">
        <v>925</v>
      </c>
      <c r="E1242" s="3">
        <v>2650</v>
      </c>
      <c r="F1242" s="3">
        <v>9847</v>
      </c>
      <c r="G1242" s="3">
        <v>0</v>
      </c>
      <c r="H1242" s="2">
        <f t="shared" si="38"/>
        <v>21367</v>
      </c>
      <c r="I1242" t="str">
        <f t="shared" si="39"/>
        <v>Cirbp_21367</v>
      </c>
      <c r="J1242" s="3">
        <v>7945</v>
      </c>
      <c r="K1242" s="3">
        <v>925</v>
      </c>
      <c r="L1242" s="3">
        <v>2650</v>
      </c>
      <c r="M1242" s="3">
        <v>9847</v>
      </c>
      <c r="N1242" s="3">
        <v>0</v>
      </c>
    </row>
    <row r="1243" spans="1:14" x14ac:dyDescent="0.2">
      <c r="A1243" s="5" t="str">
        <f>HYPERLINK("http://www.ncbi.nlm.nih.gov/protein/19527228","Cisd1")</f>
        <v>Cisd1</v>
      </c>
      <c r="B1243" s="4"/>
      <c r="C1243" s="3">
        <v>115438</v>
      </c>
      <c r="D1243" s="3">
        <v>38262</v>
      </c>
      <c r="E1243" s="3">
        <v>7186</v>
      </c>
      <c r="F1243" s="3">
        <v>7662</v>
      </c>
      <c r="G1243" s="3">
        <v>0</v>
      </c>
      <c r="H1243" s="2">
        <f t="shared" si="38"/>
        <v>168548</v>
      </c>
      <c r="I1243" t="str">
        <f t="shared" si="39"/>
        <v>Cisd1_168548</v>
      </c>
      <c r="J1243" s="3">
        <v>115438</v>
      </c>
      <c r="K1243" s="3">
        <v>38262</v>
      </c>
      <c r="L1243" s="3">
        <v>7186</v>
      </c>
      <c r="M1243" s="3">
        <v>7662</v>
      </c>
      <c r="N1243" s="3">
        <v>0</v>
      </c>
    </row>
    <row r="1244" spans="1:14" x14ac:dyDescent="0.2">
      <c r="A1244" s="5" t="str">
        <f>HYPERLINK("http://www.ncbi.nlm.nih.gov/protein/21728370","Cisd2")</f>
        <v>Cisd2</v>
      </c>
      <c r="B1244" s="4"/>
      <c r="C1244" s="3">
        <v>34727</v>
      </c>
      <c r="D1244" s="3">
        <v>5519</v>
      </c>
      <c r="E1244" s="3">
        <v>2376</v>
      </c>
      <c r="F1244" s="3">
        <v>2644</v>
      </c>
      <c r="G1244" s="3">
        <v>0</v>
      </c>
      <c r="H1244" s="2">
        <f t="shared" si="38"/>
        <v>45266</v>
      </c>
      <c r="I1244" t="str">
        <f t="shared" si="39"/>
        <v>Cisd2_45266</v>
      </c>
      <c r="J1244" s="3">
        <v>34727</v>
      </c>
      <c r="K1244" s="3">
        <v>5519</v>
      </c>
      <c r="L1244" s="3">
        <v>2376</v>
      </c>
      <c r="M1244" s="3">
        <v>2644</v>
      </c>
      <c r="N1244" s="3">
        <v>0</v>
      </c>
    </row>
    <row r="1245" spans="1:14" x14ac:dyDescent="0.2">
      <c r="A1245" s="5" t="str">
        <f>HYPERLINK("http://www.ncbi.nlm.nih.gov/protein/168229148","Cisd3")</f>
        <v>Cisd3</v>
      </c>
      <c r="B1245" s="4"/>
      <c r="C1245" s="3">
        <v>146</v>
      </c>
      <c r="D1245" s="3">
        <v>432</v>
      </c>
      <c r="E1245" s="3">
        <v>0</v>
      </c>
      <c r="F1245" s="3">
        <v>0</v>
      </c>
      <c r="G1245" s="3">
        <v>0</v>
      </c>
      <c r="H1245" s="2">
        <f t="shared" si="38"/>
        <v>578</v>
      </c>
      <c r="I1245" t="str">
        <f t="shared" si="39"/>
        <v>Cisd3_578</v>
      </c>
      <c r="J1245" s="3">
        <v>146</v>
      </c>
      <c r="K1245" s="3">
        <v>432</v>
      </c>
      <c r="L1245" s="3">
        <v>0</v>
      </c>
      <c r="M1245" s="3">
        <v>0</v>
      </c>
      <c r="N1245" s="3">
        <v>0</v>
      </c>
    </row>
    <row r="1246" spans="1:14" x14ac:dyDescent="0.2">
      <c r="A1246" s="5" t="str">
        <f>HYPERLINK("http://www.ncbi.nlm.nih.gov/protein/62526118","Ckap4")</f>
        <v>Ckap4</v>
      </c>
      <c r="B1246" s="4"/>
      <c r="C1246" s="3">
        <v>641</v>
      </c>
      <c r="D1246" s="3">
        <v>1966</v>
      </c>
      <c r="E1246" s="3">
        <v>1455</v>
      </c>
      <c r="F1246" s="3">
        <v>0</v>
      </c>
      <c r="G1246" s="3">
        <v>0</v>
      </c>
      <c r="H1246" s="2">
        <f t="shared" si="38"/>
        <v>4062</v>
      </c>
      <c r="I1246" t="str">
        <f t="shared" si="39"/>
        <v>Ckap4_4062</v>
      </c>
      <c r="J1246" s="3">
        <v>641</v>
      </c>
      <c r="K1246" s="3">
        <v>1966</v>
      </c>
      <c r="L1246" s="3">
        <v>1455</v>
      </c>
      <c r="M1246" s="3">
        <v>0</v>
      </c>
      <c r="N1246" s="3">
        <v>0</v>
      </c>
    </row>
    <row r="1247" spans="1:14" x14ac:dyDescent="0.2">
      <c r="A1247" s="5" t="str">
        <f>HYPERLINK("http://www.ncbi.nlm.nih.gov/protein/260166719","Ckap5")</f>
        <v>Ckap5</v>
      </c>
      <c r="B1247" s="4"/>
      <c r="C1247" s="3">
        <v>0</v>
      </c>
      <c r="D1247" s="3">
        <v>219</v>
      </c>
      <c r="E1247" s="3">
        <v>4734</v>
      </c>
      <c r="F1247" s="3">
        <v>0</v>
      </c>
      <c r="G1247" s="3">
        <v>268</v>
      </c>
      <c r="H1247" s="2">
        <f t="shared" si="38"/>
        <v>5221</v>
      </c>
      <c r="I1247" t="str">
        <f t="shared" si="39"/>
        <v>Ckap5_5221</v>
      </c>
      <c r="J1247" s="3">
        <v>0</v>
      </c>
      <c r="K1247" s="3">
        <v>219</v>
      </c>
      <c r="L1247" s="3">
        <v>4734</v>
      </c>
      <c r="M1247" s="3">
        <v>0</v>
      </c>
      <c r="N1247" s="3">
        <v>268</v>
      </c>
    </row>
    <row r="1248" spans="1:14" x14ac:dyDescent="0.2">
      <c r="A1248" s="5" t="str">
        <f>HYPERLINK("http://www.ncbi.nlm.nih.gov/protein/260166721","Ckap5")</f>
        <v>Ckap5</v>
      </c>
      <c r="B1248" s="4"/>
      <c r="C1248" s="3">
        <v>0</v>
      </c>
      <c r="D1248" s="3">
        <v>219</v>
      </c>
      <c r="E1248" s="3">
        <v>4734</v>
      </c>
      <c r="F1248" s="3">
        <v>0</v>
      </c>
      <c r="G1248" s="3">
        <v>268</v>
      </c>
      <c r="H1248" s="2">
        <f t="shared" si="38"/>
        <v>5221</v>
      </c>
      <c r="I1248" t="str">
        <f t="shared" si="39"/>
        <v>Ckap5_5221</v>
      </c>
      <c r="J1248" s="3">
        <v>0</v>
      </c>
      <c r="K1248" s="3">
        <v>219</v>
      </c>
      <c r="L1248" s="3">
        <v>4734</v>
      </c>
      <c r="M1248" s="3">
        <v>0</v>
      </c>
      <c r="N1248" s="3">
        <v>268</v>
      </c>
    </row>
    <row r="1249" spans="1:14" x14ac:dyDescent="0.2">
      <c r="A1249" s="5" t="str">
        <f>HYPERLINK("http://www.ncbi.nlm.nih.gov/protein/6753428","Ckmt1")</f>
        <v>Ckmt1</v>
      </c>
      <c r="B1249" s="4"/>
      <c r="C1249" s="3">
        <v>349883</v>
      </c>
      <c r="D1249" s="3">
        <v>6937</v>
      </c>
      <c r="E1249" s="3">
        <v>1987</v>
      </c>
      <c r="F1249" s="3">
        <v>336</v>
      </c>
      <c r="G1249" s="3">
        <v>0</v>
      </c>
      <c r="H1249" s="2">
        <f t="shared" si="38"/>
        <v>359143</v>
      </c>
      <c r="I1249" t="str">
        <f t="shared" si="39"/>
        <v>Ckmt1_359143</v>
      </c>
      <c r="J1249" s="3">
        <v>349883</v>
      </c>
      <c r="K1249" s="3">
        <v>6937</v>
      </c>
      <c r="L1249" s="3">
        <v>1987</v>
      </c>
      <c r="M1249" s="3">
        <v>336</v>
      </c>
      <c r="N1249" s="3">
        <v>0</v>
      </c>
    </row>
    <row r="1250" spans="1:14" x14ac:dyDescent="0.2">
      <c r="A1250" s="5" t="str">
        <f>HYPERLINK("http://www.ncbi.nlm.nih.gov/protein/38259206","Ckmt2")</f>
        <v>Ckmt2</v>
      </c>
      <c r="B1250" s="4"/>
      <c r="C1250" s="3">
        <v>347906</v>
      </c>
      <c r="D1250" s="3">
        <v>4041</v>
      </c>
      <c r="E1250" s="3">
        <v>1455</v>
      </c>
      <c r="F1250" s="3">
        <v>336</v>
      </c>
      <c r="G1250" s="3">
        <v>0</v>
      </c>
      <c r="H1250" s="2">
        <f t="shared" si="38"/>
        <v>353738</v>
      </c>
      <c r="I1250" t="str">
        <f t="shared" si="39"/>
        <v>Ckmt2_353738</v>
      </c>
      <c r="J1250" s="3">
        <v>347906</v>
      </c>
      <c r="K1250" s="3">
        <v>4041</v>
      </c>
      <c r="L1250" s="3">
        <v>1455</v>
      </c>
      <c r="M1250" s="3">
        <v>336</v>
      </c>
      <c r="N1250" s="3">
        <v>0</v>
      </c>
    </row>
    <row r="1251" spans="1:14" x14ac:dyDescent="0.2">
      <c r="A1251" s="5" t="str">
        <f>HYPERLINK("http://www.ncbi.nlm.nih.gov/protein/8393135","Cks1b")</f>
        <v>Cks1b</v>
      </c>
      <c r="B1251" s="4"/>
      <c r="C1251" s="3">
        <v>0</v>
      </c>
      <c r="D1251" s="3">
        <v>0</v>
      </c>
      <c r="E1251" s="3">
        <v>0</v>
      </c>
      <c r="F1251" s="3">
        <v>0</v>
      </c>
      <c r="G1251" s="3">
        <v>525</v>
      </c>
      <c r="H1251" s="2">
        <f t="shared" si="38"/>
        <v>525</v>
      </c>
      <c r="I1251" t="str">
        <f t="shared" si="39"/>
        <v>Cks1b_525</v>
      </c>
      <c r="J1251" s="3">
        <v>0</v>
      </c>
      <c r="K1251" s="3">
        <v>0</v>
      </c>
      <c r="L1251" s="3">
        <v>0</v>
      </c>
      <c r="M1251" s="3">
        <v>0</v>
      </c>
      <c r="N1251" s="3">
        <v>525</v>
      </c>
    </row>
    <row r="1252" spans="1:14" x14ac:dyDescent="0.2">
      <c r="A1252" s="5" t="str">
        <f>HYPERLINK("http://www.ncbi.nlm.nih.gov/protein/13384804","Cks2")</f>
        <v>Cks2</v>
      </c>
      <c r="B1252" s="4"/>
      <c r="C1252" s="3">
        <v>0</v>
      </c>
      <c r="D1252" s="3">
        <v>0</v>
      </c>
      <c r="E1252" s="3">
        <v>0</v>
      </c>
      <c r="F1252" s="3">
        <v>0</v>
      </c>
      <c r="G1252" s="3">
        <v>193</v>
      </c>
      <c r="H1252" s="2">
        <f t="shared" si="38"/>
        <v>193</v>
      </c>
      <c r="I1252" t="str">
        <f t="shared" si="39"/>
        <v>Cks2_193</v>
      </c>
      <c r="J1252" s="3">
        <v>0</v>
      </c>
      <c r="K1252" s="3">
        <v>0</v>
      </c>
      <c r="L1252" s="3">
        <v>0</v>
      </c>
      <c r="M1252" s="3">
        <v>0</v>
      </c>
      <c r="N1252" s="3">
        <v>193</v>
      </c>
    </row>
    <row r="1253" spans="1:14" x14ac:dyDescent="0.2">
      <c r="A1253" s="5" t="str">
        <f>HYPERLINK("http://www.ncbi.nlm.nih.gov/protein/124486879","Clasp1")</f>
        <v>Clasp1</v>
      </c>
      <c r="B1253" s="4"/>
      <c r="C1253" s="3">
        <v>0</v>
      </c>
      <c r="D1253" s="3">
        <v>0</v>
      </c>
      <c r="E1253" s="3">
        <v>269</v>
      </c>
      <c r="F1253" s="3">
        <v>0</v>
      </c>
      <c r="G1253" s="3">
        <v>0</v>
      </c>
      <c r="H1253" s="2">
        <f t="shared" si="38"/>
        <v>269</v>
      </c>
      <c r="I1253" t="str">
        <f t="shared" si="39"/>
        <v>Clasp1_269</v>
      </c>
      <c r="J1253" s="3">
        <v>0</v>
      </c>
      <c r="K1253" s="3">
        <v>0</v>
      </c>
      <c r="L1253" s="3">
        <v>269</v>
      </c>
      <c r="M1253" s="3">
        <v>0</v>
      </c>
      <c r="N1253" s="3">
        <v>0</v>
      </c>
    </row>
    <row r="1254" spans="1:14" x14ac:dyDescent="0.2">
      <c r="A1254" s="5" t="str">
        <f>HYPERLINK("http://www.ncbi.nlm.nih.gov/protein/163644247","Clasp1")</f>
        <v>Clasp1</v>
      </c>
      <c r="B1254" s="4"/>
      <c r="C1254" s="3">
        <v>0</v>
      </c>
      <c r="D1254" s="3">
        <v>0</v>
      </c>
      <c r="E1254" s="3">
        <v>269</v>
      </c>
      <c r="F1254" s="3">
        <v>0</v>
      </c>
      <c r="G1254" s="3">
        <v>0</v>
      </c>
      <c r="H1254" s="2">
        <f t="shared" si="38"/>
        <v>269</v>
      </c>
      <c r="I1254" t="str">
        <f t="shared" si="39"/>
        <v>Clasp1_269</v>
      </c>
      <c r="J1254" s="3">
        <v>0</v>
      </c>
      <c r="K1254" s="3">
        <v>0</v>
      </c>
      <c r="L1254" s="3">
        <v>269</v>
      </c>
      <c r="M1254" s="3">
        <v>0</v>
      </c>
      <c r="N1254" s="3">
        <v>0</v>
      </c>
    </row>
    <row r="1255" spans="1:14" x14ac:dyDescent="0.2">
      <c r="A1255" s="5" t="str">
        <f>HYPERLINK("http://www.ncbi.nlm.nih.gov/protein/163644249","Clasp1")</f>
        <v>Clasp1</v>
      </c>
      <c r="B1255" s="4"/>
      <c r="C1255" s="3">
        <v>0</v>
      </c>
      <c r="D1255" s="3">
        <v>0</v>
      </c>
      <c r="E1255" s="3">
        <v>269</v>
      </c>
      <c r="F1255" s="3">
        <v>0</v>
      </c>
      <c r="G1255" s="3">
        <v>0</v>
      </c>
      <c r="H1255" s="2">
        <f t="shared" si="38"/>
        <v>269</v>
      </c>
      <c r="I1255" t="str">
        <f t="shared" si="39"/>
        <v>Clasp1_269</v>
      </c>
      <c r="J1255" s="3">
        <v>0</v>
      </c>
      <c r="K1255" s="3">
        <v>0</v>
      </c>
      <c r="L1255" s="3">
        <v>269</v>
      </c>
      <c r="M1255" s="3">
        <v>0</v>
      </c>
      <c r="N1255" s="3">
        <v>0</v>
      </c>
    </row>
    <row r="1256" spans="1:14" x14ac:dyDescent="0.2">
      <c r="A1256" s="5" t="str">
        <f>HYPERLINK("http://www.ncbi.nlm.nih.gov/protein/295293088","Clcc1")</f>
        <v>Clcc1</v>
      </c>
      <c r="B1256" s="4"/>
      <c r="C1256" s="3">
        <v>0</v>
      </c>
      <c r="D1256" s="3">
        <v>0</v>
      </c>
      <c r="E1256" s="3">
        <v>116</v>
      </c>
      <c r="F1256" s="3">
        <v>0</v>
      </c>
      <c r="G1256" s="3">
        <v>0</v>
      </c>
      <c r="H1256" s="2">
        <f t="shared" si="38"/>
        <v>116</v>
      </c>
      <c r="I1256" t="str">
        <f t="shared" si="39"/>
        <v>Clcc1_116</v>
      </c>
      <c r="J1256" s="3">
        <v>0</v>
      </c>
      <c r="K1256" s="3">
        <v>0</v>
      </c>
      <c r="L1256" s="3">
        <v>116</v>
      </c>
      <c r="M1256" s="3">
        <v>0</v>
      </c>
      <c r="N1256" s="3">
        <v>0</v>
      </c>
    </row>
    <row r="1257" spans="1:14" x14ac:dyDescent="0.2">
      <c r="A1257" s="5" t="str">
        <f>HYPERLINK("http://www.ncbi.nlm.nih.gov/protein/295293090;21704070","Clcc1")</f>
        <v>Clcc1</v>
      </c>
      <c r="B1257" s="4"/>
      <c r="C1257" s="3">
        <v>0</v>
      </c>
      <c r="D1257" s="3">
        <v>0</v>
      </c>
      <c r="E1257" s="3">
        <v>116</v>
      </c>
      <c r="F1257" s="3">
        <v>0</v>
      </c>
      <c r="G1257" s="3">
        <v>0</v>
      </c>
      <c r="H1257" s="2">
        <f t="shared" si="38"/>
        <v>116</v>
      </c>
      <c r="I1257" t="str">
        <f t="shared" si="39"/>
        <v>Clcc1_116</v>
      </c>
      <c r="J1257" s="3">
        <v>0</v>
      </c>
      <c r="K1257" s="3">
        <v>0</v>
      </c>
      <c r="L1257" s="3">
        <v>116</v>
      </c>
      <c r="M1257" s="3">
        <v>0</v>
      </c>
      <c r="N1257" s="3">
        <v>0</v>
      </c>
    </row>
    <row r="1258" spans="1:14" x14ac:dyDescent="0.2">
      <c r="A1258" s="5" t="str">
        <f>HYPERLINK("http://www.ncbi.nlm.nih.gov/protein/189458826","Clcn3")</f>
        <v>Clcn3</v>
      </c>
      <c r="B1258" s="4"/>
      <c r="C1258" s="3">
        <v>0</v>
      </c>
      <c r="D1258" s="3">
        <v>0</v>
      </c>
      <c r="E1258" s="3">
        <v>193</v>
      </c>
      <c r="F1258" s="3">
        <v>0</v>
      </c>
      <c r="G1258" s="3">
        <v>0</v>
      </c>
      <c r="H1258" s="2">
        <f t="shared" si="38"/>
        <v>193</v>
      </c>
      <c r="I1258" t="str">
        <f t="shared" si="39"/>
        <v>Clcn3_193</v>
      </c>
      <c r="J1258" s="3">
        <v>0</v>
      </c>
      <c r="K1258" s="3">
        <v>0</v>
      </c>
      <c r="L1258" s="3">
        <v>193</v>
      </c>
      <c r="M1258" s="3">
        <v>0</v>
      </c>
      <c r="N1258" s="3">
        <v>0</v>
      </c>
    </row>
    <row r="1259" spans="1:14" x14ac:dyDescent="0.2">
      <c r="A1259" s="5" t="str">
        <f>HYPERLINK("http://www.ncbi.nlm.nih.gov/protein/189458829","Clcn3")</f>
        <v>Clcn3</v>
      </c>
      <c r="B1259" s="4"/>
      <c r="C1259" s="3">
        <v>0</v>
      </c>
      <c r="D1259" s="3">
        <v>0</v>
      </c>
      <c r="E1259" s="3">
        <v>193</v>
      </c>
      <c r="F1259" s="3">
        <v>0</v>
      </c>
      <c r="G1259" s="3">
        <v>0</v>
      </c>
      <c r="H1259" s="2">
        <f t="shared" si="38"/>
        <v>193</v>
      </c>
      <c r="I1259" t="str">
        <f t="shared" si="39"/>
        <v>Clcn3_193</v>
      </c>
      <c r="J1259" s="3">
        <v>0</v>
      </c>
      <c r="K1259" s="3">
        <v>0</v>
      </c>
      <c r="L1259" s="3">
        <v>193</v>
      </c>
      <c r="M1259" s="3">
        <v>0</v>
      </c>
      <c r="N1259" s="3">
        <v>0</v>
      </c>
    </row>
    <row r="1260" spans="1:14" x14ac:dyDescent="0.2">
      <c r="A1260" s="5" t="str">
        <f>HYPERLINK("http://www.ncbi.nlm.nih.gov/protein/41281837","Clcn3")</f>
        <v>Clcn3</v>
      </c>
      <c r="B1260" s="4"/>
      <c r="C1260" s="3">
        <v>0</v>
      </c>
      <c r="D1260" s="3">
        <v>0</v>
      </c>
      <c r="E1260" s="3">
        <v>193</v>
      </c>
      <c r="F1260" s="3">
        <v>0</v>
      </c>
      <c r="G1260" s="3">
        <v>0</v>
      </c>
      <c r="H1260" s="2">
        <f t="shared" si="38"/>
        <v>193</v>
      </c>
      <c r="I1260" t="str">
        <f t="shared" si="39"/>
        <v>Clcn3_193</v>
      </c>
      <c r="J1260" s="3">
        <v>0</v>
      </c>
      <c r="K1260" s="3">
        <v>0</v>
      </c>
      <c r="L1260" s="3">
        <v>193</v>
      </c>
      <c r="M1260" s="3">
        <v>0</v>
      </c>
      <c r="N1260" s="3">
        <v>0</v>
      </c>
    </row>
    <row r="1261" spans="1:14" x14ac:dyDescent="0.2">
      <c r="A1261" s="5" t="str">
        <f>HYPERLINK("http://www.ncbi.nlm.nih.gov/protein/6680948","Clcn3")</f>
        <v>Clcn3</v>
      </c>
      <c r="B1261" s="4"/>
      <c r="C1261" s="3">
        <v>0</v>
      </c>
      <c r="D1261" s="3">
        <v>0</v>
      </c>
      <c r="E1261" s="3">
        <v>193</v>
      </c>
      <c r="F1261" s="3">
        <v>0</v>
      </c>
      <c r="G1261" s="3">
        <v>0</v>
      </c>
      <c r="H1261" s="2">
        <f t="shared" si="38"/>
        <v>193</v>
      </c>
      <c r="I1261" t="str">
        <f t="shared" si="39"/>
        <v>Clcn3_193</v>
      </c>
      <c r="J1261" s="3">
        <v>0</v>
      </c>
      <c r="K1261" s="3">
        <v>0</v>
      </c>
      <c r="L1261" s="3">
        <v>193</v>
      </c>
      <c r="M1261" s="3">
        <v>0</v>
      </c>
      <c r="N1261" s="3">
        <v>0</v>
      </c>
    </row>
    <row r="1262" spans="1:14" x14ac:dyDescent="0.2">
      <c r="A1262" s="5" t="str">
        <f>HYPERLINK("http://www.ncbi.nlm.nih.gov/protein/110625940","Clcn4-2")</f>
        <v>Clcn4-2</v>
      </c>
      <c r="B1262" s="4"/>
      <c r="C1262" s="3">
        <v>0</v>
      </c>
      <c r="D1262" s="3">
        <v>0</v>
      </c>
      <c r="E1262" s="3">
        <v>193</v>
      </c>
      <c r="F1262" s="3">
        <v>0</v>
      </c>
      <c r="G1262" s="3">
        <v>0</v>
      </c>
      <c r="H1262" s="2">
        <f t="shared" si="38"/>
        <v>193</v>
      </c>
      <c r="I1262" t="str">
        <f t="shared" si="39"/>
        <v>Clcn4-2_193</v>
      </c>
      <c r="J1262" s="3">
        <v>0</v>
      </c>
      <c r="K1262" s="3">
        <v>0</v>
      </c>
      <c r="L1262" s="3">
        <v>193</v>
      </c>
      <c r="M1262" s="3">
        <v>0</v>
      </c>
      <c r="N1262" s="3">
        <v>0</v>
      </c>
    </row>
    <row r="1263" spans="1:14" x14ac:dyDescent="0.2">
      <c r="A1263" s="5" t="str">
        <f>HYPERLINK("http://www.ncbi.nlm.nih.gov/protein/261823931","Clcn5")</f>
        <v>Clcn5</v>
      </c>
      <c r="B1263" s="4"/>
      <c r="C1263" s="3">
        <v>0</v>
      </c>
      <c r="D1263" s="3">
        <v>0</v>
      </c>
      <c r="E1263" s="3">
        <v>92</v>
      </c>
      <c r="F1263" s="3">
        <v>0</v>
      </c>
      <c r="G1263" s="3">
        <v>0</v>
      </c>
      <c r="H1263" s="2">
        <f t="shared" si="38"/>
        <v>92</v>
      </c>
      <c r="I1263" t="str">
        <f t="shared" si="39"/>
        <v>Clcn5_92</v>
      </c>
      <c r="J1263" s="3">
        <v>0</v>
      </c>
      <c r="K1263" s="3">
        <v>0</v>
      </c>
      <c r="L1263" s="3">
        <v>92</v>
      </c>
      <c r="M1263" s="3">
        <v>0</v>
      </c>
      <c r="N1263" s="3">
        <v>0</v>
      </c>
    </row>
    <row r="1264" spans="1:14" x14ac:dyDescent="0.2">
      <c r="A1264" s="5" t="str">
        <f>HYPERLINK("http://www.ncbi.nlm.nih.gov/protein/344313157","Clcn5")</f>
        <v>Clcn5</v>
      </c>
      <c r="B1264" s="4"/>
      <c r="C1264" s="3">
        <v>0</v>
      </c>
      <c r="D1264" s="3">
        <v>0</v>
      </c>
      <c r="E1264" s="3">
        <v>92</v>
      </c>
      <c r="F1264" s="3">
        <v>0</v>
      </c>
      <c r="G1264" s="3">
        <v>0</v>
      </c>
      <c r="H1264" s="2">
        <f t="shared" si="38"/>
        <v>92</v>
      </c>
      <c r="I1264" t="str">
        <f t="shared" si="39"/>
        <v>Clcn5_92</v>
      </c>
      <c r="J1264" s="3">
        <v>0</v>
      </c>
      <c r="K1264" s="3">
        <v>0</v>
      </c>
      <c r="L1264" s="3">
        <v>92</v>
      </c>
      <c r="M1264" s="3">
        <v>0</v>
      </c>
      <c r="N1264" s="3">
        <v>0</v>
      </c>
    </row>
    <row r="1265" spans="1:14" x14ac:dyDescent="0.2">
      <c r="A1265" s="5" t="str">
        <f>HYPERLINK("http://www.ncbi.nlm.nih.gov/protein/6753436","Clcn7")</f>
        <v>Clcn7</v>
      </c>
      <c r="B1265" s="4"/>
      <c r="C1265" s="3">
        <v>0</v>
      </c>
      <c r="D1265" s="3">
        <v>0</v>
      </c>
      <c r="E1265" s="3">
        <v>445</v>
      </c>
      <c r="F1265" s="3">
        <v>0</v>
      </c>
      <c r="G1265" s="3">
        <v>0</v>
      </c>
      <c r="H1265" s="2">
        <f t="shared" si="38"/>
        <v>445</v>
      </c>
      <c r="I1265" t="str">
        <f t="shared" si="39"/>
        <v>Clcn7_445</v>
      </c>
      <c r="J1265" s="3">
        <v>0</v>
      </c>
      <c r="K1265" s="3">
        <v>0</v>
      </c>
      <c r="L1265" s="3">
        <v>445</v>
      </c>
      <c r="M1265" s="3">
        <v>0</v>
      </c>
      <c r="N1265" s="3">
        <v>0</v>
      </c>
    </row>
    <row r="1266" spans="1:14" x14ac:dyDescent="0.2">
      <c r="A1266" s="5" t="str">
        <f>HYPERLINK("http://www.ncbi.nlm.nih.gov/protein/7710002","Cldn1")</f>
        <v>Cldn1</v>
      </c>
      <c r="B1266" s="4"/>
      <c r="C1266" s="3">
        <v>0</v>
      </c>
      <c r="D1266" s="3">
        <v>40</v>
      </c>
      <c r="E1266" s="3">
        <v>165</v>
      </c>
      <c r="F1266" s="3">
        <v>0</v>
      </c>
      <c r="G1266" s="3">
        <v>0</v>
      </c>
      <c r="H1266" s="2">
        <f t="shared" si="38"/>
        <v>205</v>
      </c>
      <c r="I1266" t="str">
        <f t="shared" si="39"/>
        <v>Cldn1_205</v>
      </c>
      <c r="J1266" s="3">
        <v>0</v>
      </c>
      <c r="K1266" s="3">
        <v>40</v>
      </c>
      <c r="L1266" s="3">
        <v>165</v>
      </c>
      <c r="M1266" s="3">
        <v>0</v>
      </c>
      <c r="N1266" s="3">
        <v>0</v>
      </c>
    </row>
    <row r="1267" spans="1:14" x14ac:dyDescent="0.2">
      <c r="A1267" s="5" t="str">
        <f>HYPERLINK("http://www.ncbi.nlm.nih.gov/protein/25188197","Cldn25")</f>
        <v>Cldn25</v>
      </c>
      <c r="B1267" s="4"/>
      <c r="C1267" s="3">
        <v>0</v>
      </c>
      <c r="D1267" s="3">
        <v>159</v>
      </c>
      <c r="E1267" s="3">
        <v>95</v>
      </c>
      <c r="F1267" s="3">
        <v>0</v>
      </c>
      <c r="G1267" s="3">
        <v>0</v>
      </c>
      <c r="H1267" s="2">
        <f t="shared" si="38"/>
        <v>254</v>
      </c>
      <c r="I1267" t="str">
        <f t="shared" si="39"/>
        <v>Cldn25_254</v>
      </c>
      <c r="J1267" s="3">
        <v>0</v>
      </c>
      <c r="K1267" s="3">
        <v>159</v>
      </c>
      <c r="L1267" s="3">
        <v>95</v>
      </c>
      <c r="M1267" s="3">
        <v>0</v>
      </c>
      <c r="N1267" s="3">
        <v>0</v>
      </c>
    </row>
    <row r="1268" spans="1:14" x14ac:dyDescent="0.2">
      <c r="A1268" s="5" t="str">
        <f>HYPERLINK("http://www.ncbi.nlm.nih.gov/protein/356991139","Cldn25")</f>
        <v>Cldn25</v>
      </c>
      <c r="B1268" s="4"/>
      <c r="C1268" s="3">
        <v>0</v>
      </c>
      <c r="D1268" s="3">
        <v>159</v>
      </c>
      <c r="E1268" s="3">
        <v>95</v>
      </c>
      <c r="F1268" s="3">
        <v>0</v>
      </c>
      <c r="G1268" s="3">
        <v>0</v>
      </c>
      <c r="H1268" s="2">
        <f t="shared" si="38"/>
        <v>254</v>
      </c>
      <c r="I1268" t="str">
        <f t="shared" si="39"/>
        <v>Cldn25_254</v>
      </c>
      <c r="J1268" s="3">
        <v>0</v>
      </c>
      <c r="K1268" s="3">
        <v>159</v>
      </c>
      <c r="L1268" s="3">
        <v>95</v>
      </c>
      <c r="M1268" s="3">
        <v>0</v>
      </c>
      <c r="N1268" s="3">
        <v>0</v>
      </c>
    </row>
    <row r="1269" spans="1:14" x14ac:dyDescent="0.2">
      <c r="A1269" s="5" t="str">
        <f>HYPERLINK("http://www.ncbi.nlm.nih.gov/protein/356995848","Cldn25")</f>
        <v>Cldn25</v>
      </c>
      <c r="B1269" s="4"/>
      <c r="C1269" s="3">
        <v>0</v>
      </c>
      <c r="D1269" s="3">
        <v>159</v>
      </c>
      <c r="E1269" s="3">
        <v>95</v>
      </c>
      <c r="F1269" s="3">
        <v>0</v>
      </c>
      <c r="G1269" s="3">
        <v>0</v>
      </c>
      <c r="H1269" s="2">
        <f t="shared" si="38"/>
        <v>254</v>
      </c>
      <c r="I1269" t="str">
        <f t="shared" si="39"/>
        <v>Cldn25_254</v>
      </c>
      <c r="J1269" s="3">
        <v>0</v>
      </c>
      <c r="K1269" s="3">
        <v>159</v>
      </c>
      <c r="L1269" s="3">
        <v>95</v>
      </c>
      <c r="M1269" s="3">
        <v>0</v>
      </c>
      <c r="N1269" s="3">
        <v>0</v>
      </c>
    </row>
    <row r="1270" spans="1:14" x14ac:dyDescent="0.2">
      <c r="A1270" s="5" t="str">
        <f>HYPERLINK("http://www.ncbi.nlm.nih.gov/protein/6753438","Cldn3")</f>
        <v>Cldn3</v>
      </c>
      <c r="B1270" s="4"/>
      <c r="C1270" s="3">
        <v>28319</v>
      </c>
      <c r="D1270" s="3">
        <v>12571</v>
      </c>
      <c r="E1270" s="3">
        <v>6977</v>
      </c>
      <c r="F1270" s="3">
        <v>7932</v>
      </c>
      <c r="G1270" s="3">
        <v>0</v>
      </c>
      <c r="H1270" s="2">
        <f t="shared" si="38"/>
        <v>55799</v>
      </c>
      <c r="I1270" t="str">
        <f t="shared" si="39"/>
        <v>Cldn3_55799</v>
      </c>
      <c r="J1270" s="3">
        <v>28319</v>
      </c>
      <c r="K1270" s="3">
        <v>12571</v>
      </c>
      <c r="L1270" s="3">
        <v>6977</v>
      </c>
      <c r="M1270" s="3">
        <v>7932</v>
      </c>
      <c r="N1270" s="3">
        <v>0</v>
      </c>
    </row>
    <row r="1271" spans="1:14" x14ac:dyDescent="0.2">
      <c r="A1271" s="5" t="str">
        <f>HYPERLINK("http://www.ncbi.nlm.nih.gov/protein/6753440","Cldn4")</f>
        <v>Cldn4</v>
      </c>
      <c r="B1271" s="4"/>
      <c r="C1271" s="3">
        <v>146</v>
      </c>
      <c r="D1271" s="3">
        <v>5114</v>
      </c>
      <c r="E1271" s="3">
        <v>18177</v>
      </c>
      <c r="F1271" s="3">
        <v>6229</v>
      </c>
      <c r="G1271" s="3">
        <v>0</v>
      </c>
      <c r="H1271" s="2">
        <f t="shared" si="38"/>
        <v>29666</v>
      </c>
      <c r="I1271" t="str">
        <f t="shared" si="39"/>
        <v>Cldn4_29666</v>
      </c>
      <c r="J1271" s="3">
        <v>146</v>
      </c>
      <c r="K1271" s="3">
        <v>5114</v>
      </c>
      <c r="L1271" s="3">
        <v>18177</v>
      </c>
      <c r="M1271" s="3">
        <v>6229</v>
      </c>
      <c r="N1271" s="3">
        <v>0</v>
      </c>
    </row>
    <row r="1272" spans="1:14" x14ac:dyDescent="0.2">
      <c r="A1272" s="5" t="str">
        <f>HYPERLINK("http://www.ncbi.nlm.nih.gov/protein/9055190","Cldn6")</f>
        <v>Cldn6</v>
      </c>
      <c r="B1272" s="4"/>
      <c r="C1272" s="3">
        <v>7066</v>
      </c>
      <c r="D1272" s="3">
        <v>219</v>
      </c>
      <c r="E1272" s="3">
        <v>2034</v>
      </c>
      <c r="F1272" s="3">
        <v>1793</v>
      </c>
      <c r="G1272" s="3">
        <v>0</v>
      </c>
      <c r="H1272" s="2">
        <f t="shared" si="38"/>
        <v>11112</v>
      </c>
      <c r="I1272" t="str">
        <f t="shared" si="39"/>
        <v>Cldn6_11112</v>
      </c>
      <c r="J1272" s="3">
        <v>7066</v>
      </c>
      <c r="K1272" s="3">
        <v>219</v>
      </c>
      <c r="L1272" s="3">
        <v>2034</v>
      </c>
      <c r="M1272" s="3">
        <v>1793</v>
      </c>
      <c r="N1272" s="3">
        <v>0</v>
      </c>
    </row>
    <row r="1273" spans="1:14" x14ac:dyDescent="0.2">
      <c r="A1273" s="5" t="str">
        <f>HYPERLINK("http://www.ncbi.nlm.nih.gov/protein/302318906;8393144","Cldn7")</f>
        <v>Cldn7</v>
      </c>
      <c r="B1273" s="4"/>
      <c r="C1273" s="3">
        <v>0</v>
      </c>
      <c r="D1273" s="3">
        <v>0</v>
      </c>
      <c r="E1273" s="3">
        <v>3578</v>
      </c>
      <c r="F1273" s="3">
        <v>0</v>
      </c>
      <c r="G1273" s="3">
        <v>0</v>
      </c>
      <c r="H1273" s="2">
        <f t="shared" si="38"/>
        <v>3578</v>
      </c>
      <c r="I1273" t="str">
        <f t="shared" si="39"/>
        <v>Cldn7_3578</v>
      </c>
      <c r="J1273" s="3">
        <v>0</v>
      </c>
      <c r="K1273" s="3">
        <v>0</v>
      </c>
      <c r="L1273" s="3">
        <v>3578</v>
      </c>
      <c r="M1273" s="3">
        <v>0</v>
      </c>
      <c r="N1273" s="3">
        <v>0</v>
      </c>
    </row>
    <row r="1274" spans="1:14" x14ac:dyDescent="0.2">
      <c r="A1274" s="5" t="str">
        <f>HYPERLINK("http://www.ncbi.nlm.nih.gov/protein/8393144","Cldn7")</f>
        <v>Cldn7</v>
      </c>
      <c r="B1274" s="4"/>
      <c r="C1274" s="3">
        <v>7780</v>
      </c>
      <c r="D1274" s="3">
        <v>893</v>
      </c>
      <c r="E1274" s="3">
        <v>0</v>
      </c>
      <c r="F1274" s="3">
        <v>2357</v>
      </c>
      <c r="G1274" s="3">
        <v>0</v>
      </c>
      <c r="H1274" s="2">
        <f t="shared" si="38"/>
        <v>11030</v>
      </c>
      <c r="I1274" t="str">
        <f t="shared" si="39"/>
        <v>Cldn7_11030</v>
      </c>
      <c r="J1274" s="3">
        <v>7780</v>
      </c>
      <c r="K1274" s="3">
        <v>893</v>
      </c>
      <c r="L1274" s="3">
        <v>0</v>
      </c>
      <c r="M1274" s="3">
        <v>2357</v>
      </c>
      <c r="N1274" s="3">
        <v>0</v>
      </c>
    </row>
    <row r="1275" spans="1:14" x14ac:dyDescent="0.2">
      <c r="A1275" s="5" t="str">
        <f>HYPERLINK("http://www.ncbi.nlm.nih.gov/protein/9055192","Cldn8")</f>
        <v>Cldn8</v>
      </c>
      <c r="B1275" s="4"/>
      <c r="C1275" s="3">
        <v>7048</v>
      </c>
      <c r="D1275" s="3">
        <v>380</v>
      </c>
      <c r="E1275" s="3">
        <v>1428</v>
      </c>
      <c r="F1275" s="3">
        <v>769</v>
      </c>
      <c r="G1275" s="3">
        <v>0</v>
      </c>
      <c r="H1275" s="2">
        <f t="shared" si="38"/>
        <v>9625</v>
      </c>
      <c r="I1275" t="str">
        <f t="shared" si="39"/>
        <v>Cldn8_9625</v>
      </c>
      <c r="J1275" s="3">
        <v>7048</v>
      </c>
      <c r="K1275" s="3">
        <v>380</v>
      </c>
      <c r="L1275" s="3">
        <v>1428</v>
      </c>
      <c r="M1275" s="3">
        <v>769</v>
      </c>
      <c r="N1275" s="3">
        <v>0</v>
      </c>
    </row>
    <row r="1276" spans="1:14" x14ac:dyDescent="0.2">
      <c r="A1276" s="5" t="str">
        <f>HYPERLINK("http://www.ncbi.nlm.nih.gov/protein/61098102","Cldn9")</f>
        <v>Cldn9</v>
      </c>
      <c r="B1276" s="4"/>
      <c r="C1276" s="3">
        <v>7066</v>
      </c>
      <c r="D1276" s="3">
        <v>6</v>
      </c>
      <c r="E1276" s="3">
        <v>480</v>
      </c>
      <c r="F1276" s="3">
        <v>1277</v>
      </c>
      <c r="G1276" s="3">
        <v>0</v>
      </c>
      <c r="H1276" s="2">
        <f t="shared" si="38"/>
        <v>8829</v>
      </c>
      <c r="I1276" t="str">
        <f t="shared" si="39"/>
        <v>Cldn9_8829</v>
      </c>
      <c r="J1276" s="3">
        <v>7066</v>
      </c>
      <c r="K1276" s="3">
        <v>6</v>
      </c>
      <c r="L1276" s="3">
        <v>480</v>
      </c>
      <c r="M1276" s="3">
        <v>1277</v>
      </c>
      <c r="N1276" s="3">
        <v>0</v>
      </c>
    </row>
    <row r="1277" spans="1:14" x14ac:dyDescent="0.2">
      <c r="A1277" s="5" t="str">
        <f>HYPERLINK("http://www.ncbi.nlm.nih.gov/protein/323668269","Clec16a")</f>
        <v>Clec16a</v>
      </c>
      <c r="B1277" s="4"/>
      <c r="C1277" s="3">
        <v>0</v>
      </c>
      <c r="D1277" s="3">
        <v>0</v>
      </c>
      <c r="E1277" s="3">
        <v>18</v>
      </c>
      <c r="F1277" s="3">
        <v>401</v>
      </c>
      <c r="G1277" s="3">
        <v>0</v>
      </c>
      <c r="H1277" s="2">
        <f t="shared" si="38"/>
        <v>419</v>
      </c>
      <c r="I1277" t="str">
        <f t="shared" si="39"/>
        <v>Clec16a_419</v>
      </c>
      <c r="J1277" s="3">
        <v>0</v>
      </c>
      <c r="K1277" s="3">
        <v>0</v>
      </c>
      <c r="L1277" s="3">
        <v>18</v>
      </c>
      <c r="M1277" s="3">
        <v>401</v>
      </c>
      <c r="N1277" s="3">
        <v>0</v>
      </c>
    </row>
    <row r="1278" spans="1:14" x14ac:dyDescent="0.2">
      <c r="A1278" s="5" t="str">
        <f>HYPERLINK("http://www.ncbi.nlm.nih.gov/protein/61656175","Clec16a")</f>
        <v>Clec16a</v>
      </c>
      <c r="B1278" s="4"/>
      <c r="C1278" s="3">
        <v>0</v>
      </c>
      <c r="D1278" s="3">
        <v>0</v>
      </c>
      <c r="E1278" s="3">
        <v>18</v>
      </c>
      <c r="F1278" s="3">
        <v>401</v>
      </c>
      <c r="G1278" s="3">
        <v>0</v>
      </c>
      <c r="H1278" s="2">
        <f t="shared" si="38"/>
        <v>419</v>
      </c>
      <c r="I1278" t="str">
        <f t="shared" si="39"/>
        <v>Clec16a_419</v>
      </c>
      <c r="J1278" s="3">
        <v>0</v>
      </c>
      <c r="K1278" s="3">
        <v>0</v>
      </c>
      <c r="L1278" s="3">
        <v>18</v>
      </c>
      <c r="M1278" s="3">
        <v>401</v>
      </c>
      <c r="N1278" s="3">
        <v>0</v>
      </c>
    </row>
    <row r="1279" spans="1:14" x14ac:dyDescent="0.2">
      <c r="A1279" s="5" t="str">
        <f>HYPERLINK("http://www.ncbi.nlm.nih.gov/protein/15617203","Clic1")</f>
        <v>Clic1</v>
      </c>
      <c r="B1279" s="4"/>
      <c r="C1279" s="3">
        <v>53234</v>
      </c>
      <c r="D1279" s="3">
        <v>22543</v>
      </c>
      <c r="E1279" s="3">
        <v>77897</v>
      </c>
      <c r="F1279" s="3">
        <v>27839</v>
      </c>
      <c r="G1279" s="3">
        <v>194720</v>
      </c>
      <c r="H1279" s="2">
        <f t="shared" si="38"/>
        <v>376233</v>
      </c>
      <c r="I1279" t="str">
        <f t="shared" si="39"/>
        <v>Clic1_376233</v>
      </c>
      <c r="J1279" s="3">
        <v>53234</v>
      </c>
      <c r="K1279" s="3">
        <v>22543</v>
      </c>
      <c r="L1279" s="3">
        <v>77897</v>
      </c>
      <c r="M1279" s="3">
        <v>27839</v>
      </c>
      <c r="N1279" s="3">
        <v>194720</v>
      </c>
    </row>
    <row r="1280" spans="1:14" x14ac:dyDescent="0.2">
      <c r="A1280" s="5" t="str">
        <f>HYPERLINK("http://www.ncbi.nlm.nih.gov/protein/27229085","Clic3")</f>
        <v>Clic3</v>
      </c>
      <c r="B1280" s="4"/>
      <c r="C1280" s="3">
        <v>0</v>
      </c>
      <c r="D1280" s="3">
        <v>0</v>
      </c>
      <c r="E1280" s="3">
        <v>133</v>
      </c>
      <c r="F1280" s="3">
        <v>0</v>
      </c>
      <c r="G1280" s="3">
        <v>0</v>
      </c>
      <c r="H1280" s="2">
        <f t="shared" si="38"/>
        <v>133</v>
      </c>
      <c r="I1280" t="str">
        <f t="shared" si="39"/>
        <v>Clic3_133</v>
      </c>
      <c r="J1280" s="3">
        <v>0</v>
      </c>
      <c r="K1280" s="3">
        <v>0</v>
      </c>
      <c r="L1280" s="3">
        <v>133</v>
      </c>
      <c r="M1280" s="3">
        <v>0</v>
      </c>
      <c r="N1280" s="3">
        <v>0</v>
      </c>
    </row>
    <row r="1281" spans="1:14" x14ac:dyDescent="0.2">
      <c r="A1281" s="5" t="str">
        <f>HYPERLINK("http://www.ncbi.nlm.nih.gov/protein/7304963","Clic4")</f>
        <v>Clic4</v>
      </c>
      <c r="B1281" s="4"/>
      <c r="C1281" s="3">
        <v>0</v>
      </c>
      <c r="D1281" s="3">
        <v>5828</v>
      </c>
      <c r="E1281" s="3">
        <v>25011</v>
      </c>
      <c r="F1281" s="3">
        <v>5018</v>
      </c>
      <c r="G1281" s="3">
        <v>42881</v>
      </c>
      <c r="H1281" s="2">
        <f t="shared" si="38"/>
        <v>78738</v>
      </c>
      <c r="I1281" t="str">
        <f t="shared" si="39"/>
        <v>Clic4_78738</v>
      </c>
      <c r="J1281" s="3">
        <v>0</v>
      </c>
      <c r="K1281" s="3">
        <v>5828</v>
      </c>
      <c r="L1281" s="3">
        <v>25011</v>
      </c>
      <c r="M1281" s="3">
        <v>5018</v>
      </c>
      <c r="N1281" s="3">
        <v>42881</v>
      </c>
    </row>
    <row r="1282" spans="1:14" x14ac:dyDescent="0.2">
      <c r="A1282" s="5" t="str">
        <f>HYPERLINK("http://www.ncbi.nlm.nih.gov/protein/27369886","Clic5")</f>
        <v>Clic5</v>
      </c>
      <c r="B1282" s="4"/>
      <c r="C1282" s="3">
        <v>0</v>
      </c>
      <c r="D1282" s="3">
        <v>0</v>
      </c>
      <c r="E1282" s="3">
        <v>31</v>
      </c>
      <c r="F1282" s="3">
        <v>0</v>
      </c>
      <c r="G1282" s="3">
        <v>0</v>
      </c>
      <c r="H1282" s="2">
        <f t="shared" ref="H1282:H1345" si="40">SUM(C1282:G1282)</f>
        <v>31</v>
      </c>
      <c r="I1282" t="str">
        <f t="shared" ref="I1282:I1345" si="41">A1282&amp;"_"&amp;H1282</f>
        <v>Clic5_31</v>
      </c>
      <c r="J1282" s="3">
        <v>0</v>
      </c>
      <c r="K1282" s="3">
        <v>0</v>
      </c>
      <c r="L1282" s="3">
        <v>31</v>
      </c>
      <c r="M1282" s="3">
        <v>0</v>
      </c>
      <c r="N1282" s="3">
        <v>0</v>
      </c>
    </row>
    <row r="1283" spans="1:14" x14ac:dyDescent="0.2">
      <c r="A1283" s="5" t="str">
        <f>HYPERLINK("http://www.ncbi.nlm.nih.gov/protein/154240730","Clint1")</f>
        <v>Clint1</v>
      </c>
      <c r="B1283" s="4"/>
      <c r="C1283" s="3">
        <v>21217</v>
      </c>
      <c r="D1283" s="3">
        <v>6486</v>
      </c>
      <c r="E1283" s="3">
        <v>45342</v>
      </c>
      <c r="F1283" s="3">
        <v>12761</v>
      </c>
      <c r="G1283" s="3">
        <v>14608</v>
      </c>
      <c r="H1283" s="2">
        <f t="shared" si="40"/>
        <v>100414</v>
      </c>
      <c r="I1283" t="str">
        <f t="shared" si="41"/>
        <v>Clint1_100414</v>
      </c>
      <c r="J1283" s="3">
        <v>21217</v>
      </c>
      <c r="K1283" s="3">
        <v>6486</v>
      </c>
      <c r="L1283" s="3">
        <v>45342</v>
      </c>
      <c r="M1283" s="3">
        <v>12761</v>
      </c>
      <c r="N1283" s="3">
        <v>14608</v>
      </c>
    </row>
    <row r="1284" spans="1:14" x14ac:dyDescent="0.2">
      <c r="A1284" s="5" t="str">
        <f>HYPERLINK("http://www.ncbi.nlm.nih.gov/protein/23821025","Clip1")</f>
        <v>Clip1</v>
      </c>
      <c r="B1284" s="4"/>
      <c r="C1284" s="3">
        <v>0</v>
      </c>
      <c r="D1284" s="3">
        <v>0</v>
      </c>
      <c r="E1284" s="3">
        <v>132</v>
      </c>
      <c r="F1284" s="3">
        <v>0</v>
      </c>
      <c r="G1284" s="3">
        <v>49521</v>
      </c>
      <c r="H1284" s="2">
        <f t="shared" si="40"/>
        <v>49653</v>
      </c>
      <c r="I1284" t="str">
        <f t="shared" si="41"/>
        <v>Clip1_49653</v>
      </c>
      <c r="J1284" s="3">
        <v>0</v>
      </c>
      <c r="K1284" s="3">
        <v>0</v>
      </c>
      <c r="L1284" s="3">
        <v>132</v>
      </c>
      <c r="M1284" s="3">
        <v>0</v>
      </c>
      <c r="N1284" s="3">
        <v>49521</v>
      </c>
    </row>
    <row r="1285" spans="1:14" x14ac:dyDescent="0.2">
      <c r="A1285" s="5" t="str">
        <f>HYPERLINK("http://www.ncbi.nlm.nih.gov/protein/85662406","Clip2")</f>
        <v>Clip2</v>
      </c>
      <c r="B1285" s="4"/>
      <c r="C1285" s="3">
        <v>10398</v>
      </c>
      <c r="D1285" s="3">
        <v>13</v>
      </c>
      <c r="E1285" s="3">
        <v>0</v>
      </c>
      <c r="F1285" s="3">
        <v>0</v>
      </c>
      <c r="G1285" s="3">
        <v>5398</v>
      </c>
      <c r="H1285" s="2">
        <f t="shared" si="40"/>
        <v>15809</v>
      </c>
      <c r="I1285" t="str">
        <f t="shared" si="41"/>
        <v>Clip2_15809</v>
      </c>
      <c r="J1285" s="3">
        <v>10398</v>
      </c>
      <c r="K1285" s="3">
        <v>13</v>
      </c>
      <c r="L1285" s="3">
        <v>0</v>
      </c>
      <c r="M1285" s="3">
        <v>0</v>
      </c>
      <c r="N1285" s="3">
        <v>5398</v>
      </c>
    </row>
    <row r="1286" spans="1:14" x14ac:dyDescent="0.2">
      <c r="A1286" s="5" t="str">
        <f>HYPERLINK("http://www.ncbi.nlm.nih.gov/protein/85662410","Clip2")</f>
        <v>Clip2</v>
      </c>
      <c r="B1286" s="4"/>
      <c r="C1286" s="3">
        <v>10398</v>
      </c>
      <c r="D1286" s="3">
        <v>13</v>
      </c>
      <c r="E1286" s="3">
        <v>0</v>
      </c>
      <c r="F1286" s="3">
        <v>0</v>
      </c>
      <c r="G1286" s="3">
        <v>5398</v>
      </c>
      <c r="H1286" s="2">
        <f t="shared" si="40"/>
        <v>15809</v>
      </c>
      <c r="I1286" t="str">
        <f t="shared" si="41"/>
        <v>Clip2_15809</v>
      </c>
      <c r="J1286" s="3">
        <v>10398</v>
      </c>
      <c r="K1286" s="3">
        <v>13</v>
      </c>
      <c r="L1286" s="3">
        <v>0</v>
      </c>
      <c r="M1286" s="3">
        <v>0</v>
      </c>
      <c r="N1286" s="3">
        <v>5398</v>
      </c>
    </row>
    <row r="1287" spans="1:14" x14ac:dyDescent="0.2">
      <c r="A1287" s="5" t="str">
        <f>HYPERLINK("http://www.ncbi.nlm.nih.gov/protein/100816764","Clmn")</f>
        <v>Clmn</v>
      </c>
      <c r="B1287" s="4"/>
      <c r="C1287" s="3">
        <v>3039</v>
      </c>
      <c r="D1287" s="3">
        <v>0</v>
      </c>
      <c r="E1287" s="3">
        <v>0</v>
      </c>
      <c r="F1287" s="3">
        <v>0</v>
      </c>
      <c r="G1287" s="3">
        <v>0</v>
      </c>
      <c r="H1287" s="2">
        <f t="shared" si="40"/>
        <v>3039</v>
      </c>
      <c r="I1287" t="str">
        <f t="shared" si="41"/>
        <v>Clmn_3039</v>
      </c>
      <c r="J1287" s="3">
        <v>3039</v>
      </c>
      <c r="K1287" s="3">
        <v>0</v>
      </c>
      <c r="L1287" s="3">
        <v>0</v>
      </c>
      <c r="M1287" s="3">
        <v>0</v>
      </c>
      <c r="N1287" s="3">
        <v>0</v>
      </c>
    </row>
    <row r="1288" spans="1:14" x14ac:dyDescent="0.2">
      <c r="A1288" s="5" t="str">
        <f>HYPERLINK("http://www.ncbi.nlm.nih.gov/protein/100816903","Clmn")</f>
        <v>Clmn</v>
      </c>
      <c r="B1288" s="4"/>
      <c r="C1288" s="3">
        <v>3039</v>
      </c>
      <c r="D1288" s="3">
        <v>0</v>
      </c>
      <c r="E1288" s="3">
        <v>0</v>
      </c>
      <c r="F1288" s="3">
        <v>0</v>
      </c>
      <c r="G1288" s="3">
        <v>0</v>
      </c>
      <c r="H1288" s="2">
        <f t="shared" si="40"/>
        <v>3039</v>
      </c>
      <c r="I1288" t="str">
        <f t="shared" si="41"/>
        <v>Clmn_3039</v>
      </c>
      <c r="J1288" s="3">
        <v>3039</v>
      </c>
      <c r="K1288" s="3">
        <v>0</v>
      </c>
      <c r="L1288" s="3">
        <v>0</v>
      </c>
      <c r="M1288" s="3">
        <v>0</v>
      </c>
      <c r="N1288" s="3">
        <v>0</v>
      </c>
    </row>
    <row r="1289" spans="1:14" x14ac:dyDescent="0.2">
      <c r="A1289" s="5" t="str">
        <f>HYPERLINK("http://www.ncbi.nlm.nih.gov/protein/226423881","Cln3")</f>
        <v>Cln3</v>
      </c>
      <c r="B1289" s="4"/>
      <c r="C1289" s="3">
        <v>0</v>
      </c>
      <c r="D1289" s="3">
        <v>13</v>
      </c>
      <c r="E1289" s="3">
        <v>45</v>
      </c>
      <c r="F1289" s="3">
        <v>0</v>
      </c>
      <c r="G1289" s="3">
        <v>0</v>
      </c>
      <c r="H1289" s="2">
        <f t="shared" si="40"/>
        <v>58</v>
      </c>
      <c r="I1289" t="str">
        <f t="shared" si="41"/>
        <v>Cln3_58</v>
      </c>
      <c r="J1289" s="3">
        <v>0</v>
      </c>
      <c r="K1289" s="3">
        <v>13</v>
      </c>
      <c r="L1289" s="3">
        <v>45</v>
      </c>
      <c r="M1289" s="3">
        <v>0</v>
      </c>
      <c r="N1289" s="3">
        <v>0</v>
      </c>
    </row>
    <row r="1290" spans="1:14" x14ac:dyDescent="0.2">
      <c r="A1290" s="5" t="str">
        <f>HYPERLINK("http://www.ncbi.nlm.nih.gov/protein/112734833","Cln5")</f>
        <v>Cln5</v>
      </c>
      <c r="B1290" s="4"/>
      <c r="C1290" s="3">
        <v>0</v>
      </c>
      <c r="D1290" s="3">
        <v>2572</v>
      </c>
      <c r="E1290" s="3">
        <v>534</v>
      </c>
      <c r="F1290" s="3">
        <v>0</v>
      </c>
      <c r="G1290" s="3">
        <v>0</v>
      </c>
      <c r="H1290" s="2">
        <f t="shared" si="40"/>
        <v>3106</v>
      </c>
      <c r="I1290" t="str">
        <f t="shared" si="41"/>
        <v>Cln5_3106</v>
      </c>
      <c r="J1290" s="3">
        <v>0</v>
      </c>
      <c r="K1290" s="3">
        <v>2572</v>
      </c>
      <c r="L1290" s="3">
        <v>534</v>
      </c>
      <c r="M1290" s="3">
        <v>0</v>
      </c>
      <c r="N1290" s="3">
        <v>0</v>
      </c>
    </row>
    <row r="1291" spans="1:14" x14ac:dyDescent="0.2">
      <c r="A1291" s="5" t="str">
        <f>HYPERLINK("http://www.ncbi.nlm.nih.gov/protein/75677520","Cln6")</f>
        <v>Cln6</v>
      </c>
      <c r="B1291" s="4"/>
      <c r="C1291" s="3">
        <v>4741</v>
      </c>
      <c r="D1291" s="3">
        <v>0</v>
      </c>
      <c r="E1291" s="3">
        <v>471</v>
      </c>
      <c r="F1291" s="3">
        <v>0</v>
      </c>
      <c r="G1291" s="3">
        <v>0</v>
      </c>
      <c r="H1291" s="2">
        <f t="shared" si="40"/>
        <v>5212</v>
      </c>
      <c r="I1291" t="str">
        <f t="shared" si="41"/>
        <v>Cln6_5212</v>
      </c>
      <c r="J1291" s="3">
        <v>4741</v>
      </c>
      <c r="K1291" s="3">
        <v>0</v>
      </c>
      <c r="L1291" s="3">
        <v>471</v>
      </c>
      <c r="M1291" s="3">
        <v>0</v>
      </c>
      <c r="N1291" s="3">
        <v>0</v>
      </c>
    </row>
    <row r="1292" spans="1:14" x14ac:dyDescent="0.2">
      <c r="A1292" s="5" t="str">
        <f>HYPERLINK("http://www.ncbi.nlm.nih.gov/protein/19263324","Clns1a")</f>
        <v>Clns1a</v>
      </c>
      <c r="B1292" s="4"/>
      <c r="C1292" s="3">
        <v>0</v>
      </c>
      <c r="D1292" s="3">
        <v>0</v>
      </c>
      <c r="E1292" s="3">
        <v>836</v>
      </c>
      <c r="F1292" s="3">
        <v>0</v>
      </c>
      <c r="G1292" s="3">
        <v>24964</v>
      </c>
      <c r="H1292" s="2">
        <f t="shared" si="40"/>
        <v>25800</v>
      </c>
      <c r="I1292" t="str">
        <f t="shared" si="41"/>
        <v>Clns1a_25800</v>
      </c>
      <c r="J1292" s="3">
        <v>0</v>
      </c>
      <c r="K1292" s="3">
        <v>0</v>
      </c>
      <c r="L1292" s="3">
        <v>836</v>
      </c>
      <c r="M1292" s="3">
        <v>0</v>
      </c>
      <c r="N1292" s="3">
        <v>24964</v>
      </c>
    </row>
    <row r="1293" spans="1:14" x14ac:dyDescent="0.2">
      <c r="A1293" s="5" t="str">
        <f>HYPERLINK("http://www.ncbi.nlm.nih.gov/protein/19527056","Clp1")</f>
        <v>Clp1</v>
      </c>
      <c r="B1293" s="4"/>
      <c r="C1293" s="3">
        <v>0</v>
      </c>
      <c r="D1293" s="3">
        <v>0</v>
      </c>
      <c r="E1293" s="3">
        <v>225</v>
      </c>
      <c r="F1293" s="3">
        <v>0</v>
      </c>
      <c r="G1293" s="3">
        <v>0</v>
      </c>
      <c r="H1293" s="2">
        <f t="shared" si="40"/>
        <v>225</v>
      </c>
      <c r="I1293" t="str">
        <f t="shared" si="41"/>
        <v>Clp1_225</v>
      </c>
      <c r="J1293" s="3">
        <v>0</v>
      </c>
      <c r="K1293" s="3">
        <v>0</v>
      </c>
      <c r="L1293" s="3">
        <v>225</v>
      </c>
      <c r="M1293" s="3">
        <v>0</v>
      </c>
      <c r="N1293" s="3">
        <v>0</v>
      </c>
    </row>
    <row r="1294" spans="1:14" x14ac:dyDescent="0.2">
      <c r="A1294" s="5" t="str">
        <f>HYPERLINK("http://www.ncbi.nlm.nih.gov/protein/6677983","Clpb")</f>
        <v>Clpb</v>
      </c>
      <c r="B1294" s="4"/>
      <c r="C1294" s="3">
        <v>0</v>
      </c>
      <c r="D1294" s="3">
        <v>4</v>
      </c>
      <c r="E1294" s="3">
        <v>0</v>
      </c>
      <c r="F1294" s="3">
        <v>0</v>
      </c>
      <c r="G1294" s="3">
        <v>0</v>
      </c>
      <c r="H1294" s="2">
        <f t="shared" si="40"/>
        <v>4</v>
      </c>
      <c r="I1294" t="str">
        <f t="shared" si="41"/>
        <v>Clpb_4</v>
      </c>
      <c r="J1294" s="3">
        <v>0</v>
      </c>
      <c r="K1294" s="3">
        <v>4</v>
      </c>
      <c r="L1294" s="3">
        <v>0</v>
      </c>
      <c r="M1294" s="3">
        <v>0</v>
      </c>
      <c r="N1294" s="3">
        <v>0</v>
      </c>
    </row>
    <row r="1295" spans="1:14" x14ac:dyDescent="0.2">
      <c r="A1295" s="5" t="str">
        <f>HYPERLINK("http://www.ncbi.nlm.nih.gov/protein/8393156","Clpp")</f>
        <v>Clpp</v>
      </c>
      <c r="B1295" s="4"/>
      <c r="C1295" s="3">
        <v>14901</v>
      </c>
      <c r="D1295" s="3">
        <v>15253</v>
      </c>
      <c r="E1295" s="3">
        <v>0</v>
      </c>
      <c r="F1295" s="3">
        <v>0</v>
      </c>
      <c r="G1295" s="3">
        <v>942</v>
      </c>
      <c r="H1295" s="2">
        <f t="shared" si="40"/>
        <v>31096</v>
      </c>
      <c r="I1295" t="str">
        <f t="shared" si="41"/>
        <v>Clpp_31096</v>
      </c>
      <c r="J1295" s="3">
        <v>14901</v>
      </c>
      <c r="K1295" s="3">
        <v>15253</v>
      </c>
      <c r="L1295" s="3">
        <v>0</v>
      </c>
      <c r="M1295" s="3">
        <v>0</v>
      </c>
      <c r="N1295" s="3">
        <v>942</v>
      </c>
    </row>
    <row r="1296" spans="1:14" x14ac:dyDescent="0.2">
      <c r="A1296" s="5" t="str">
        <f>HYPERLINK("http://www.ncbi.nlm.nih.gov/protein/103472025","Clptm1")</f>
        <v>Clptm1</v>
      </c>
      <c r="B1296" s="4"/>
      <c r="C1296" s="3">
        <v>4979</v>
      </c>
      <c r="D1296" s="3">
        <v>2108</v>
      </c>
      <c r="E1296" s="3">
        <v>1095</v>
      </c>
      <c r="F1296" s="3">
        <v>0</v>
      </c>
      <c r="G1296" s="3">
        <v>0</v>
      </c>
      <c r="H1296" s="2">
        <f t="shared" si="40"/>
        <v>8182</v>
      </c>
      <c r="I1296" t="str">
        <f t="shared" si="41"/>
        <v>Clptm1_8182</v>
      </c>
      <c r="J1296" s="3">
        <v>4979</v>
      </c>
      <c r="K1296" s="3">
        <v>2108</v>
      </c>
      <c r="L1296" s="3">
        <v>1095</v>
      </c>
      <c r="M1296" s="3">
        <v>0</v>
      </c>
      <c r="N1296" s="3">
        <v>0</v>
      </c>
    </row>
    <row r="1297" spans="1:14" x14ac:dyDescent="0.2">
      <c r="A1297" s="5" t="str">
        <f>HYPERLINK("http://www.ncbi.nlm.nih.gov/protein/326937503","Clptm1l")</f>
        <v>Clptm1l</v>
      </c>
      <c r="B1297" s="4"/>
      <c r="C1297" s="3">
        <v>0</v>
      </c>
      <c r="D1297" s="3">
        <v>71</v>
      </c>
      <c r="E1297" s="3">
        <v>0</v>
      </c>
      <c r="F1297" s="3">
        <v>0</v>
      </c>
      <c r="G1297" s="3">
        <v>0</v>
      </c>
      <c r="H1297" s="2">
        <f t="shared" si="40"/>
        <v>71</v>
      </c>
      <c r="I1297" t="str">
        <f t="shared" si="41"/>
        <v>Clptm1l_71</v>
      </c>
      <c r="J1297" s="3">
        <v>0</v>
      </c>
      <c r="K1297" s="3">
        <v>71</v>
      </c>
      <c r="L1297" s="3">
        <v>0</v>
      </c>
      <c r="M1297" s="3">
        <v>0</v>
      </c>
      <c r="N1297" s="3">
        <v>0</v>
      </c>
    </row>
    <row r="1298" spans="1:14" x14ac:dyDescent="0.2">
      <c r="A1298" s="5" t="str">
        <f>HYPERLINK("http://www.ncbi.nlm.nih.gov/protein/113205069","Clpx")</f>
        <v>Clpx</v>
      </c>
      <c r="B1298" s="4"/>
      <c r="C1298" s="3">
        <v>0</v>
      </c>
      <c r="D1298" s="3">
        <v>4008</v>
      </c>
      <c r="E1298" s="3">
        <v>0</v>
      </c>
      <c r="F1298" s="3">
        <v>0</v>
      </c>
      <c r="G1298" s="3">
        <v>0</v>
      </c>
      <c r="H1298" s="2">
        <f t="shared" si="40"/>
        <v>4008</v>
      </c>
      <c r="I1298" t="str">
        <f t="shared" si="41"/>
        <v>Clpx_4008</v>
      </c>
      <c r="J1298" s="3">
        <v>0</v>
      </c>
      <c r="K1298" s="3">
        <v>4008</v>
      </c>
      <c r="L1298" s="3">
        <v>0</v>
      </c>
      <c r="M1298" s="3">
        <v>0</v>
      </c>
      <c r="N1298" s="3">
        <v>0</v>
      </c>
    </row>
    <row r="1299" spans="1:14" x14ac:dyDescent="0.2">
      <c r="A1299" s="5" t="str">
        <f>HYPERLINK("http://www.ncbi.nlm.nih.gov/protein/113205071","Clpx")</f>
        <v>Clpx</v>
      </c>
      <c r="B1299" s="4"/>
      <c r="C1299" s="3">
        <v>0</v>
      </c>
      <c r="D1299" s="3">
        <v>4008</v>
      </c>
      <c r="E1299" s="3">
        <v>0</v>
      </c>
      <c r="F1299" s="3">
        <v>0</v>
      </c>
      <c r="G1299" s="3">
        <v>0</v>
      </c>
      <c r="H1299" s="2">
        <f t="shared" si="40"/>
        <v>4008</v>
      </c>
      <c r="I1299" t="str">
        <f t="shared" si="41"/>
        <v>Clpx_4008</v>
      </c>
      <c r="J1299" s="3">
        <v>0</v>
      </c>
      <c r="K1299" s="3">
        <v>4008</v>
      </c>
      <c r="L1299" s="3">
        <v>0</v>
      </c>
      <c r="M1299" s="3">
        <v>0</v>
      </c>
      <c r="N1299" s="3">
        <v>0</v>
      </c>
    </row>
    <row r="1300" spans="1:14" x14ac:dyDescent="0.2">
      <c r="A1300" s="5" t="str">
        <f>HYPERLINK("http://www.ncbi.nlm.nih.gov/protein/122939192","Clta")</f>
        <v>Clta</v>
      </c>
      <c r="B1300" s="4"/>
      <c r="C1300" s="3">
        <v>0</v>
      </c>
      <c r="D1300" s="3">
        <v>0</v>
      </c>
      <c r="E1300" s="3">
        <v>5906</v>
      </c>
      <c r="F1300" s="3">
        <v>1056</v>
      </c>
      <c r="G1300" s="3">
        <v>793</v>
      </c>
      <c r="H1300" s="2">
        <f t="shared" si="40"/>
        <v>7755</v>
      </c>
      <c r="I1300" t="str">
        <f t="shared" si="41"/>
        <v>Clta_7755</v>
      </c>
      <c r="J1300" s="3">
        <v>0</v>
      </c>
      <c r="K1300" s="3">
        <v>0</v>
      </c>
      <c r="L1300" s="3">
        <v>5906</v>
      </c>
      <c r="M1300" s="3">
        <v>1056</v>
      </c>
      <c r="N1300" s="3">
        <v>793</v>
      </c>
    </row>
    <row r="1301" spans="1:14" x14ac:dyDescent="0.2">
      <c r="A1301" s="5" t="str">
        <f>HYPERLINK("http://www.ncbi.nlm.nih.gov/protein/122939194","Clta")</f>
        <v>Clta</v>
      </c>
      <c r="B1301" s="4"/>
      <c r="C1301" s="3">
        <v>0</v>
      </c>
      <c r="D1301" s="3">
        <v>0</v>
      </c>
      <c r="E1301" s="3">
        <v>5906</v>
      </c>
      <c r="F1301" s="3">
        <v>1056</v>
      </c>
      <c r="G1301" s="3">
        <v>793</v>
      </c>
      <c r="H1301" s="2">
        <f t="shared" si="40"/>
        <v>7755</v>
      </c>
      <c r="I1301" t="str">
        <f t="shared" si="41"/>
        <v>Clta_7755</v>
      </c>
      <c r="J1301" s="3">
        <v>0</v>
      </c>
      <c r="K1301" s="3">
        <v>0</v>
      </c>
      <c r="L1301" s="3">
        <v>5906</v>
      </c>
      <c r="M1301" s="3">
        <v>1056</v>
      </c>
      <c r="N1301" s="3">
        <v>793</v>
      </c>
    </row>
    <row r="1302" spans="1:14" x14ac:dyDescent="0.2">
      <c r="A1302" s="5" t="str">
        <f>HYPERLINK("http://www.ncbi.nlm.nih.gov/protein/122939196","Clta")</f>
        <v>Clta</v>
      </c>
      <c r="B1302" s="4"/>
      <c r="C1302" s="3">
        <v>0</v>
      </c>
      <c r="D1302" s="3">
        <v>0</v>
      </c>
      <c r="E1302" s="3">
        <v>5906</v>
      </c>
      <c r="F1302" s="3">
        <v>1056</v>
      </c>
      <c r="G1302" s="3">
        <v>793</v>
      </c>
      <c r="H1302" s="2">
        <f t="shared" si="40"/>
        <v>7755</v>
      </c>
      <c r="I1302" t="str">
        <f t="shared" si="41"/>
        <v>Clta_7755</v>
      </c>
      <c r="J1302" s="3">
        <v>0</v>
      </c>
      <c r="K1302" s="3">
        <v>0</v>
      </c>
      <c r="L1302" s="3">
        <v>5906</v>
      </c>
      <c r="M1302" s="3">
        <v>1056</v>
      </c>
      <c r="N1302" s="3">
        <v>793</v>
      </c>
    </row>
    <row r="1303" spans="1:14" x14ac:dyDescent="0.2">
      <c r="A1303" s="5" t="str">
        <f>HYPERLINK("http://www.ncbi.nlm.nih.gov/protein/122939198","Clta")</f>
        <v>Clta</v>
      </c>
      <c r="B1303" s="4"/>
      <c r="C1303" s="3">
        <v>0</v>
      </c>
      <c r="D1303" s="3">
        <v>0</v>
      </c>
      <c r="E1303" s="3">
        <v>5906</v>
      </c>
      <c r="F1303" s="3">
        <v>1056</v>
      </c>
      <c r="G1303" s="3">
        <v>793</v>
      </c>
      <c r="H1303" s="2">
        <f t="shared" si="40"/>
        <v>7755</v>
      </c>
      <c r="I1303" t="str">
        <f t="shared" si="41"/>
        <v>Clta_7755</v>
      </c>
      <c r="J1303" s="3">
        <v>0</v>
      </c>
      <c r="K1303" s="3">
        <v>0</v>
      </c>
      <c r="L1303" s="3">
        <v>5906</v>
      </c>
      <c r="M1303" s="3">
        <v>1056</v>
      </c>
      <c r="N1303" s="3">
        <v>793</v>
      </c>
    </row>
    <row r="1304" spans="1:14" x14ac:dyDescent="0.2">
      <c r="A1304" s="5" t="str">
        <f>HYPERLINK("http://www.ncbi.nlm.nih.gov/protein/30794164","Cltb")</f>
        <v>Cltb</v>
      </c>
      <c r="B1304" s="4"/>
      <c r="C1304" s="3">
        <v>0</v>
      </c>
      <c r="D1304" s="3">
        <v>0</v>
      </c>
      <c r="E1304" s="3">
        <v>2410</v>
      </c>
      <c r="F1304" s="3">
        <v>0</v>
      </c>
      <c r="G1304" s="3">
        <v>9703</v>
      </c>
      <c r="H1304" s="2">
        <f t="shared" si="40"/>
        <v>12113</v>
      </c>
      <c r="I1304" t="str">
        <f t="shared" si="41"/>
        <v>Cltb_12113</v>
      </c>
      <c r="J1304" s="3">
        <v>0</v>
      </c>
      <c r="K1304" s="3">
        <v>0</v>
      </c>
      <c r="L1304" s="3">
        <v>2410</v>
      </c>
      <c r="M1304" s="3">
        <v>0</v>
      </c>
      <c r="N1304" s="3">
        <v>9703</v>
      </c>
    </row>
    <row r="1305" spans="1:14" x14ac:dyDescent="0.2">
      <c r="A1305" s="5" t="str">
        <f>HYPERLINK("http://www.ncbi.nlm.nih.gov/protein/51491845","Cltc")</f>
        <v>Cltc</v>
      </c>
      <c r="B1305" s="4"/>
      <c r="C1305" s="3">
        <v>916564</v>
      </c>
      <c r="D1305" s="3">
        <v>24962</v>
      </c>
      <c r="E1305" s="3">
        <v>442694</v>
      </c>
      <c r="F1305" s="3">
        <v>826537</v>
      </c>
      <c r="G1305" s="3">
        <v>634485</v>
      </c>
      <c r="H1305" s="2">
        <f t="shared" si="40"/>
        <v>2845242</v>
      </c>
      <c r="I1305" t="str">
        <f t="shared" si="41"/>
        <v>Cltc_2845242</v>
      </c>
      <c r="J1305" s="3">
        <v>916564</v>
      </c>
      <c r="K1305" s="3">
        <v>24962</v>
      </c>
      <c r="L1305" s="3">
        <v>442694</v>
      </c>
      <c r="M1305" s="3">
        <v>826537</v>
      </c>
      <c r="N1305" s="3">
        <v>634485</v>
      </c>
    </row>
    <row r="1306" spans="1:14" x14ac:dyDescent="0.2">
      <c r="A1306" s="5" t="str">
        <f>HYPERLINK("http://www.ncbi.nlm.nih.gov/protein/214010170","Clu")</f>
        <v>Clu</v>
      </c>
      <c r="B1306" s="4"/>
      <c r="C1306" s="3">
        <v>0</v>
      </c>
      <c r="D1306" s="3">
        <v>468</v>
      </c>
      <c r="E1306" s="3">
        <v>1422</v>
      </c>
      <c r="F1306" s="3">
        <v>0</v>
      </c>
      <c r="G1306" s="3">
        <v>0</v>
      </c>
      <c r="H1306" s="2">
        <f t="shared" si="40"/>
        <v>1890</v>
      </c>
      <c r="I1306" t="str">
        <f t="shared" si="41"/>
        <v>Clu_1890</v>
      </c>
      <c r="J1306" s="3">
        <v>0</v>
      </c>
      <c r="K1306" s="3">
        <v>468</v>
      </c>
      <c r="L1306" s="3">
        <v>1422</v>
      </c>
      <c r="M1306" s="3">
        <v>0</v>
      </c>
      <c r="N1306" s="3">
        <v>0</v>
      </c>
    </row>
    <row r="1307" spans="1:14" x14ac:dyDescent="0.2">
      <c r="A1307" s="5" t="str">
        <f>HYPERLINK("http://www.ncbi.nlm.nih.gov/protein/39930457","Cluap1")</f>
        <v>Cluap1</v>
      </c>
      <c r="B1307" s="4"/>
      <c r="C1307" s="3">
        <v>0</v>
      </c>
      <c r="D1307" s="3">
        <v>0</v>
      </c>
      <c r="E1307" s="3">
        <v>0</v>
      </c>
      <c r="F1307" s="3">
        <v>958</v>
      </c>
      <c r="G1307" s="3">
        <v>0</v>
      </c>
      <c r="H1307" s="2">
        <f t="shared" si="40"/>
        <v>958</v>
      </c>
      <c r="I1307" t="str">
        <f t="shared" si="41"/>
        <v>Cluap1_958</v>
      </c>
      <c r="J1307" s="3">
        <v>0</v>
      </c>
      <c r="K1307" s="3">
        <v>0</v>
      </c>
      <c r="L1307" s="3">
        <v>0</v>
      </c>
      <c r="M1307" s="3">
        <v>958</v>
      </c>
      <c r="N1307" s="3">
        <v>0</v>
      </c>
    </row>
    <row r="1308" spans="1:14" x14ac:dyDescent="0.2">
      <c r="A1308" s="5" t="str">
        <f>HYPERLINK("http://www.ncbi.nlm.nih.gov/protein/124487201","Cluh")</f>
        <v>Cluh</v>
      </c>
      <c r="B1308" s="4"/>
      <c r="C1308" s="3">
        <v>0</v>
      </c>
      <c r="D1308" s="3">
        <v>0</v>
      </c>
      <c r="E1308" s="3">
        <v>3572</v>
      </c>
      <c r="F1308" s="3">
        <v>0</v>
      </c>
      <c r="G1308" s="3">
        <v>29365</v>
      </c>
      <c r="H1308" s="2">
        <f t="shared" si="40"/>
        <v>32937</v>
      </c>
      <c r="I1308" t="str">
        <f t="shared" si="41"/>
        <v>Cluh_32937</v>
      </c>
      <c r="J1308" s="3">
        <v>0</v>
      </c>
      <c r="K1308" s="3">
        <v>0</v>
      </c>
      <c r="L1308" s="3">
        <v>3572</v>
      </c>
      <c r="M1308" s="3">
        <v>0</v>
      </c>
      <c r="N1308" s="3">
        <v>29365</v>
      </c>
    </row>
    <row r="1309" spans="1:14" x14ac:dyDescent="0.2">
      <c r="A1309" s="5" t="str">
        <f>HYPERLINK("http://www.ncbi.nlm.nih.gov/protein/256220113","Clybl")</f>
        <v>Clybl</v>
      </c>
      <c r="B1309" s="4"/>
      <c r="C1309" s="3">
        <v>384</v>
      </c>
      <c r="D1309" s="3">
        <v>6565</v>
      </c>
      <c r="E1309" s="3">
        <v>0</v>
      </c>
      <c r="F1309" s="3">
        <v>0</v>
      </c>
      <c r="G1309" s="3">
        <v>0</v>
      </c>
      <c r="H1309" s="2">
        <f t="shared" si="40"/>
        <v>6949</v>
      </c>
      <c r="I1309" t="str">
        <f t="shared" si="41"/>
        <v>Clybl_6949</v>
      </c>
      <c r="J1309" s="3">
        <v>384</v>
      </c>
      <c r="K1309" s="3">
        <v>6565</v>
      </c>
      <c r="L1309" s="3">
        <v>0</v>
      </c>
      <c r="M1309" s="3">
        <v>0</v>
      </c>
      <c r="N1309" s="3">
        <v>0</v>
      </c>
    </row>
    <row r="1310" spans="1:14" x14ac:dyDescent="0.2">
      <c r="A1310" s="5" t="str">
        <f>HYPERLINK("http://www.ncbi.nlm.nih.gov/protein/247269309","Cmas")</f>
        <v>Cmas</v>
      </c>
      <c r="B1310" s="4"/>
      <c r="C1310" s="3">
        <v>2233</v>
      </c>
      <c r="D1310" s="3">
        <v>0</v>
      </c>
      <c r="E1310" s="3">
        <v>0</v>
      </c>
      <c r="F1310" s="3">
        <v>0</v>
      </c>
      <c r="G1310" s="3">
        <v>0</v>
      </c>
      <c r="H1310" s="2">
        <f t="shared" si="40"/>
        <v>2233</v>
      </c>
      <c r="I1310" t="str">
        <f t="shared" si="41"/>
        <v>Cmas_2233</v>
      </c>
      <c r="J1310" s="3">
        <v>2233</v>
      </c>
      <c r="K1310" s="3">
        <v>0</v>
      </c>
      <c r="L1310" s="3">
        <v>0</v>
      </c>
      <c r="M1310" s="3">
        <v>0</v>
      </c>
      <c r="N1310" s="3">
        <v>0</v>
      </c>
    </row>
    <row r="1311" spans="1:14" x14ac:dyDescent="0.2">
      <c r="A1311" s="5" t="str">
        <f>HYPERLINK("http://www.ncbi.nlm.nih.gov/protein/21735441","Cmc1")</f>
        <v>Cmc1</v>
      </c>
      <c r="B1311" s="4"/>
      <c r="C1311" s="3">
        <v>531</v>
      </c>
      <c r="D1311" s="3">
        <v>125</v>
      </c>
      <c r="E1311" s="3">
        <v>0</v>
      </c>
      <c r="F1311" s="3">
        <v>0</v>
      </c>
      <c r="G1311" s="3">
        <v>0</v>
      </c>
      <c r="H1311" s="2">
        <f t="shared" si="40"/>
        <v>656</v>
      </c>
      <c r="I1311" t="str">
        <f t="shared" si="41"/>
        <v>Cmc1_656</v>
      </c>
      <c r="J1311" s="3">
        <v>531</v>
      </c>
      <c r="K1311" s="3">
        <v>125</v>
      </c>
      <c r="L1311" s="3">
        <v>0</v>
      </c>
      <c r="M1311" s="3">
        <v>0</v>
      </c>
      <c r="N1311" s="3">
        <v>0</v>
      </c>
    </row>
    <row r="1312" spans="1:14" x14ac:dyDescent="0.2">
      <c r="A1312" s="5" t="str">
        <f>HYPERLINK("http://www.ncbi.nlm.nih.gov/protein/33457314","Cmc2")</f>
        <v>Cmc2</v>
      </c>
      <c r="B1312" s="4"/>
      <c r="C1312" s="3">
        <v>0</v>
      </c>
      <c r="D1312" s="3">
        <v>8</v>
      </c>
      <c r="E1312" s="3">
        <v>0</v>
      </c>
      <c r="F1312" s="3">
        <v>0</v>
      </c>
      <c r="G1312" s="3">
        <v>0</v>
      </c>
      <c r="H1312" s="2">
        <f t="shared" si="40"/>
        <v>8</v>
      </c>
      <c r="I1312" t="str">
        <f t="shared" si="41"/>
        <v>Cmc2_8</v>
      </c>
      <c r="J1312" s="3">
        <v>0</v>
      </c>
      <c r="K1312" s="3">
        <v>8</v>
      </c>
      <c r="L1312" s="3">
        <v>0</v>
      </c>
      <c r="M1312" s="3">
        <v>0</v>
      </c>
      <c r="N1312" s="3">
        <v>0</v>
      </c>
    </row>
    <row r="1313" spans="1:14" x14ac:dyDescent="0.2">
      <c r="A1313" s="5" t="str">
        <f>HYPERLINK("http://www.ncbi.nlm.nih.gov/protein/165377065","Cmpk1")</f>
        <v>Cmpk1</v>
      </c>
      <c r="B1313" s="4"/>
      <c r="C1313" s="3">
        <v>0</v>
      </c>
      <c r="D1313" s="3">
        <v>5369</v>
      </c>
      <c r="E1313" s="3">
        <v>6629</v>
      </c>
      <c r="F1313" s="3">
        <v>3020</v>
      </c>
      <c r="G1313" s="3">
        <v>88257</v>
      </c>
      <c r="H1313" s="2">
        <f t="shared" si="40"/>
        <v>103275</v>
      </c>
      <c r="I1313" t="str">
        <f t="shared" si="41"/>
        <v>Cmpk1_103275</v>
      </c>
      <c r="J1313" s="3">
        <v>0</v>
      </c>
      <c r="K1313" s="3">
        <v>5369</v>
      </c>
      <c r="L1313" s="3">
        <v>6629</v>
      </c>
      <c r="M1313" s="3">
        <v>3020</v>
      </c>
      <c r="N1313" s="3">
        <v>88257</v>
      </c>
    </row>
    <row r="1314" spans="1:14" x14ac:dyDescent="0.2">
      <c r="A1314" s="5" t="str">
        <f>HYPERLINK("http://www.ncbi.nlm.nih.gov/protein/165932364","Cmss1")</f>
        <v>Cmss1</v>
      </c>
      <c r="B1314" s="4"/>
      <c r="C1314" s="3">
        <v>0</v>
      </c>
      <c r="D1314" s="3">
        <v>580</v>
      </c>
      <c r="E1314" s="3">
        <v>1277</v>
      </c>
      <c r="F1314" s="3">
        <v>5165</v>
      </c>
      <c r="G1314" s="3">
        <v>0</v>
      </c>
      <c r="H1314" s="2">
        <f t="shared" si="40"/>
        <v>7022</v>
      </c>
      <c r="I1314" t="str">
        <f t="shared" si="41"/>
        <v>Cmss1_7022</v>
      </c>
      <c r="J1314" s="3">
        <v>0</v>
      </c>
      <c r="K1314" s="3">
        <v>580</v>
      </c>
      <c r="L1314" s="3">
        <v>1277</v>
      </c>
      <c r="M1314" s="3">
        <v>5165</v>
      </c>
      <c r="N1314" s="3">
        <v>0</v>
      </c>
    </row>
    <row r="1315" spans="1:14" x14ac:dyDescent="0.2">
      <c r="A1315" s="5" t="str">
        <f>HYPERLINK("http://www.ncbi.nlm.nih.gov/protein/27312023","Cmtm4")</f>
        <v>Cmtm4</v>
      </c>
      <c r="B1315" s="4"/>
      <c r="C1315" s="3">
        <v>0</v>
      </c>
      <c r="D1315" s="3">
        <v>0</v>
      </c>
      <c r="E1315" s="3">
        <v>269</v>
      </c>
      <c r="F1315" s="3">
        <v>0</v>
      </c>
      <c r="G1315" s="3">
        <v>0</v>
      </c>
      <c r="H1315" s="2">
        <f t="shared" si="40"/>
        <v>269</v>
      </c>
      <c r="I1315" t="str">
        <f t="shared" si="41"/>
        <v>Cmtm4_269</v>
      </c>
      <c r="J1315" s="3">
        <v>0</v>
      </c>
      <c r="K1315" s="3">
        <v>0</v>
      </c>
      <c r="L1315" s="3">
        <v>269</v>
      </c>
      <c r="M1315" s="3">
        <v>0</v>
      </c>
      <c r="N1315" s="3">
        <v>0</v>
      </c>
    </row>
    <row r="1316" spans="1:14" x14ac:dyDescent="0.2">
      <c r="A1316" s="5" t="str">
        <f>HYPERLINK("http://www.ncbi.nlm.nih.gov/protein/19527198","Cmtm7")</f>
        <v>Cmtm7</v>
      </c>
      <c r="B1316" s="4"/>
      <c r="C1316" s="3">
        <v>0</v>
      </c>
      <c r="D1316" s="3">
        <v>0</v>
      </c>
      <c r="E1316" s="3">
        <v>100</v>
      </c>
      <c r="F1316" s="3">
        <v>0</v>
      </c>
      <c r="G1316" s="3">
        <v>0</v>
      </c>
      <c r="H1316" s="2">
        <f t="shared" si="40"/>
        <v>100</v>
      </c>
      <c r="I1316" t="str">
        <f t="shared" si="41"/>
        <v>Cmtm7_100</v>
      </c>
      <c r="J1316" s="3">
        <v>0</v>
      </c>
      <c r="K1316" s="3">
        <v>0</v>
      </c>
      <c r="L1316" s="3">
        <v>100</v>
      </c>
      <c r="M1316" s="3">
        <v>0</v>
      </c>
      <c r="N1316" s="3">
        <v>0</v>
      </c>
    </row>
    <row r="1317" spans="1:14" x14ac:dyDescent="0.2">
      <c r="A1317" s="5" t="str">
        <f>HYPERLINK("http://www.ncbi.nlm.nih.gov/protein/357197168","Cmtm7")</f>
        <v>Cmtm7</v>
      </c>
      <c r="B1317" s="4"/>
      <c r="C1317" s="3">
        <v>0</v>
      </c>
      <c r="D1317" s="3">
        <v>0</v>
      </c>
      <c r="E1317" s="3">
        <v>100</v>
      </c>
      <c r="F1317" s="3">
        <v>0</v>
      </c>
      <c r="G1317" s="3">
        <v>0</v>
      </c>
      <c r="H1317" s="2">
        <f t="shared" si="40"/>
        <v>100</v>
      </c>
      <c r="I1317" t="str">
        <f t="shared" si="41"/>
        <v>Cmtm7_100</v>
      </c>
      <c r="J1317" s="3">
        <v>0</v>
      </c>
      <c r="K1317" s="3">
        <v>0</v>
      </c>
      <c r="L1317" s="3">
        <v>100</v>
      </c>
      <c r="M1317" s="3">
        <v>0</v>
      </c>
      <c r="N1317" s="3">
        <v>0</v>
      </c>
    </row>
    <row r="1318" spans="1:14" x14ac:dyDescent="0.2">
      <c r="A1318" s="5" t="str">
        <f>HYPERLINK("http://www.ncbi.nlm.nih.gov/protein/21311939","Cmtr1")</f>
        <v>Cmtr1</v>
      </c>
      <c r="B1318" s="4"/>
      <c r="C1318" s="3">
        <v>0</v>
      </c>
      <c r="D1318" s="3">
        <v>92</v>
      </c>
      <c r="E1318" s="3">
        <v>312</v>
      </c>
      <c r="F1318" s="3">
        <v>1408</v>
      </c>
      <c r="G1318" s="3">
        <v>6169</v>
      </c>
      <c r="H1318" s="2">
        <f t="shared" si="40"/>
        <v>7981</v>
      </c>
      <c r="I1318" t="str">
        <f t="shared" si="41"/>
        <v>Cmtr1_7981</v>
      </c>
      <c r="J1318" s="3">
        <v>0</v>
      </c>
      <c r="K1318" s="3">
        <v>92</v>
      </c>
      <c r="L1318" s="3">
        <v>312</v>
      </c>
      <c r="M1318" s="3">
        <v>1408</v>
      </c>
      <c r="N1318" s="3">
        <v>6169</v>
      </c>
    </row>
    <row r="1319" spans="1:14" x14ac:dyDescent="0.2">
      <c r="A1319" s="5" t="str">
        <f>HYPERLINK("http://www.ncbi.nlm.nih.gov/protein/157909782","Cnbp")</f>
        <v>Cnbp</v>
      </c>
      <c r="B1319" s="4"/>
      <c r="C1319" s="3">
        <v>48987</v>
      </c>
      <c r="D1319" s="3">
        <v>607</v>
      </c>
      <c r="E1319" s="3">
        <v>10827</v>
      </c>
      <c r="F1319" s="3">
        <v>24565</v>
      </c>
      <c r="G1319" s="3">
        <v>21987</v>
      </c>
      <c r="H1319" s="2">
        <f t="shared" si="40"/>
        <v>106973</v>
      </c>
      <c r="I1319" t="str">
        <f t="shared" si="41"/>
        <v>Cnbp_106973</v>
      </c>
      <c r="J1319" s="3">
        <v>48987</v>
      </c>
      <c r="K1319" s="3">
        <v>607</v>
      </c>
      <c r="L1319" s="3">
        <v>10827</v>
      </c>
      <c r="M1319" s="3">
        <v>24565</v>
      </c>
      <c r="N1319" s="3">
        <v>21987</v>
      </c>
    </row>
    <row r="1320" spans="1:14" x14ac:dyDescent="0.2">
      <c r="A1320" s="5" t="str">
        <f>HYPERLINK("http://www.ncbi.nlm.nih.gov/protein/157909784","Cnbp")</f>
        <v>Cnbp</v>
      </c>
      <c r="B1320" s="4"/>
      <c r="C1320" s="3">
        <v>63705</v>
      </c>
      <c r="D1320" s="3">
        <v>1774</v>
      </c>
      <c r="E1320" s="3">
        <v>16565</v>
      </c>
      <c r="F1320" s="3">
        <v>36745</v>
      </c>
      <c r="G1320" s="3">
        <v>33606</v>
      </c>
      <c r="H1320" s="2">
        <f t="shared" si="40"/>
        <v>152395</v>
      </c>
      <c r="I1320" t="str">
        <f t="shared" si="41"/>
        <v>Cnbp_152395</v>
      </c>
      <c r="J1320" s="3">
        <v>63705</v>
      </c>
      <c r="K1320" s="3">
        <v>1774</v>
      </c>
      <c r="L1320" s="3">
        <v>16565</v>
      </c>
      <c r="M1320" s="3">
        <v>36745</v>
      </c>
      <c r="N1320" s="3">
        <v>33606</v>
      </c>
    </row>
    <row r="1321" spans="1:14" x14ac:dyDescent="0.2">
      <c r="A1321" s="5" t="str">
        <f>HYPERLINK("http://www.ncbi.nlm.nih.gov/protein/7304969","Cnbp")</f>
        <v>Cnbp</v>
      </c>
      <c r="B1321" s="4"/>
      <c r="C1321" s="3">
        <v>48987</v>
      </c>
      <c r="D1321" s="3">
        <v>607</v>
      </c>
      <c r="E1321" s="3">
        <v>10827</v>
      </c>
      <c r="F1321" s="3">
        <v>25506</v>
      </c>
      <c r="G1321" s="3">
        <v>21987</v>
      </c>
      <c r="H1321" s="2">
        <f t="shared" si="40"/>
        <v>107914</v>
      </c>
      <c r="I1321" t="str">
        <f t="shared" si="41"/>
        <v>Cnbp_107914</v>
      </c>
      <c r="J1321" s="3">
        <v>48987</v>
      </c>
      <c r="K1321" s="3">
        <v>607</v>
      </c>
      <c r="L1321" s="3">
        <v>10827</v>
      </c>
      <c r="M1321" s="3">
        <v>25506</v>
      </c>
      <c r="N1321" s="3">
        <v>21987</v>
      </c>
    </row>
    <row r="1322" spans="1:14" x14ac:dyDescent="0.2">
      <c r="A1322" s="5" t="str">
        <f>HYPERLINK("http://www.ncbi.nlm.nih.gov/protein/31981273","Cndp2")</f>
        <v>Cndp2</v>
      </c>
      <c r="B1322" s="4"/>
      <c r="C1322" s="3">
        <v>14956</v>
      </c>
      <c r="D1322" s="3">
        <v>27685</v>
      </c>
      <c r="E1322" s="3">
        <v>37452</v>
      </c>
      <c r="F1322" s="3">
        <v>62349</v>
      </c>
      <c r="G1322" s="3">
        <v>907106</v>
      </c>
      <c r="H1322" s="2">
        <f t="shared" si="40"/>
        <v>1049548</v>
      </c>
      <c r="I1322" t="str">
        <f t="shared" si="41"/>
        <v>Cndp2_1049548</v>
      </c>
      <c r="J1322" s="3">
        <v>14956</v>
      </c>
      <c r="K1322" s="3">
        <v>27685</v>
      </c>
      <c r="L1322" s="3">
        <v>37452</v>
      </c>
      <c r="M1322" s="3">
        <v>62349</v>
      </c>
      <c r="N1322" s="3">
        <v>907106</v>
      </c>
    </row>
    <row r="1323" spans="1:14" x14ac:dyDescent="0.2">
      <c r="A1323" s="5" t="str">
        <f>HYPERLINK("http://www.ncbi.nlm.nih.gov/protein/68131553","Cnih4")</f>
        <v>Cnih4</v>
      </c>
      <c r="B1323" s="4"/>
      <c r="C1323" s="3">
        <v>0</v>
      </c>
      <c r="D1323" s="3">
        <v>0</v>
      </c>
      <c r="E1323" s="3">
        <v>26</v>
      </c>
      <c r="F1323" s="3">
        <v>1293</v>
      </c>
      <c r="G1323" s="3">
        <v>0</v>
      </c>
      <c r="H1323" s="2">
        <f t="shared" si="40"/>
        <v>1319</v>
      </c>
      <c r="I1323" t="str">
        <f t="shared" si="41"/>
        <v>Cnih4_1319</v>
      </c>
      <c r="J1323" s="3">
        <v>0</v>
      </c>
      <c r="K1323" s="3">
        <v>0</v>
      </c>
      <c r="L1323" s="3">
        <v>26</v>
      </c>
      <c r="M1323" s="3">
        <v>1293</v>
      </c>
      <c r="N1323" s="3">
        <v>0</v>
      </c>
    </row>
    <row r="1324" spans="1:14" x14ac:dyDescent="0.2">
      <c r="A1324" s="5" t="str">
        <f>HYPERLINK("http://www.ncbi.nlm.nih.gov/protein/27369772","Cnksr3")</f>
        <v>Cnksr3</v>
      </c>
      <c r="B1324" s="4"/>
      <c r="C1324" s="3">
        <v>0</v>
      </c>
      <c r="D1324" s="3">
        <v>29</v>
      </c>
      <c r="E1324" s="3">
        <v>721</v>
      </c>
      <c r="F1324" s="3">
        <v>0</v>
      </c>
      <c r="G1324" s="3">
        <v>0</v>
      </c>
      <c r="H1324" s="2">
        <f t="shared" si="40"/>
        <v>750</v>
      </c>
      <c r="I1324" t="str">
        <f t="shared" si="41"/>
        <v>Cnksr3_750</v>
      </c>
      <c r="J1324" s="3">
        <v>0</v>
      </c>
      <c r="K1324" s="3">
        <v>29</v>
      </c>
      <c r="L1324" s="3">
        <v>721</v>
      </c>
      <c r="M1324" s="3">
        <v>0</v>
      </c>
      <c r="N1324" s="3">
        <v>0</v>
      </c>
    </row>
    <row r="1325" spans="1:14" x14ac:dyDescent="0.2">
      <c r="A1325" s="5" t="str">
        <f>HYPERLINK("http://www.ncbi.nlm.nih.gov/protein/6680952","Cnn2")</f>
        <v>Cnn2</v>
      </c>
      <c r="B1325" s="4"/>
      <c r="C1325" s="3">
        <v>0</v>
      </c>
      <c r="D1325" s="3">
        <v>2806</v>
      </c>
      <c r="E1325" s="3">
        <v>6668</v>
      </c>
      <c r="F1325" s="3">
        <v>909</v>
      </c>
      <c r="G1325" s="3">
        <v>40289</v>
      </c>
      <c r="H1325" s="2">
        <f t="shared" si="40"/>
        <v>50672</v>
      </c>
      <c r="I1325" t="str">
        <f t="shared" si="41"/>
        <v>Cnn2_50672</v>
      </c>
      <c r="J1325" s="3">
        <v>0</v>
      </c>
      <c r="K1325" s="3">
        <v>2806</v>
      </c>
      <c r="L1325" s="3">
        <v>6668</v>
      </c>
      <c r="M1325" s="3">
        <v>909</v>
      </c>
      <c r="N1325" s="3">
        <v>40289</v>
      </c>
    </row>
    <row r="1326" spans="1:14" x14ac:dyDescent="0.2">
      <c r="A1326" s="5" t="str">
        <f>HYPERLINK("http://www.ncbi.nlm.nih.gov/protein/21312564","Cnn3")</f>
        <v>Cnn3</v>
      </c>
      <c r="B1326" s="4"/>
      <c r="C1326" s="3">
        <v>0</v>
      </c>
      <c r="D1326" s="3">
        <v>3298</v>
      </c>
      <c r="E1326" s="3">
        <v>19906</v>
      </c>
      <c r="F1326" s="3">
        <v>24074</v>
      </c>
      <c r="G1326" s="3">
        <v>148477</v>
      </c>
      <c r="H1326" s="2">
        <f t="shared" si="40"/>
        <v>195755</v>
      </c>
      <c r="I1326" t="str">
        <f t="shared" si="41"/>
        <v>Cnn3_195755</v>
      </c>
      <c r="J1326" s="3">
        <v>0</v>
      </c>
      <c r="K1326" s="3">
        <v>3298</v>
      </c>
      <c r="L1326" s="3">
        <v>19906</v>
      </c>
      <c r="M1326" s="3">
        <v>24074</v>
      </c>
      <c r="N1326" s="3">
        <v>148477</v>
      </c>
    </row>
    <row r="1327" spans="1:14" x14ac:dyDescent="0.2">
      <c r="A1327" s="5" t="str">
        <f>HYPERLINK("http://www.ncbi.nlm.nih.gov/protein/156447046","Cnnm2")</f>
        <v>Cnnm2</v>
      </c>
      <c r="B1327" s="4"/>
      <c r="C1327" s="3">
        <v>0</v>
      </c>
      <c r="D1327" s="3">
        <v>0</v>
      </c>
      <c r="E1327" s="3">
        <v>9</v>
      </c>
      <c r="F1327" s="3">
        <v>0</v>
      </c>
      <c r="G1327" s="3">
        <v>0</v>
      </c>
      <c r="H1327" s="2">
        <f t="shared" si="40"/>
        <v>9</v>
      </c>
      <c r="I1327" t="str">
        <f t="shared" si="41"/>
        <v>Cnnm2_9</v>
      </c>
      <c r="J1327" s="3">
        <v>0</v>
      </c>
      <c r="K1327" s="3">
        <v>0</v>
      </c>
      <c r="L1327" s="3">
        <v>9</v>
      </c>
      <c r="M1327" s="3">
        <v>0</v>
      </c>
      <c r="N1327" s="3">
        <v>0</v>
      </c>
    </row>
    <row r="1328" spans="1:14" x14ac:dyDescent="0.2">
      <c r="A1328" s="5" t="str">
        <f>HYPERLINK("http://www.ncbi.nlm.nih.gov/protein/156447048","Cnnm2")</f>
        <v>Cnnm2</v>
      </c>
      <c r="B1328" s="4"/>
      <c r="C1328" s="3">
        <v>0</v>
      </c>
      <c r="D1328" s="3">
        <v>0</v>
      </c>
      <c r="E1328" s="3">
        <v>9</v>
      </c>
      <c r="F1328" s="3">
        <v>0</v>
      </c>
      <c r="G1328" s="3">
        <v>0</v>
      </c>
      <c r="H1328" s="2">
        <f t="shared" si="40"/>
        <v>9</v>
      </c>
      <c r="I1328" t="str">
        <f t="shared" si="41"/>
        <v>Cnnm2_9</v>
      </c>
      <c r="J1328" s="3">
        <v>0</v>
      </c>
      <c r="K1328" s="3">
        <v>0</v>
      </c>
      <c r="L1328" s="3">
        <v>9</v>
      </c>
      <c r="M1328" s="3">
        <v>0</v>
      </c>
      <c r="N1328" s="3">
        <v>0</v>
      </c>
    </row>
    <row r="1329" spans="1:14" x14ac:dyDescent="0.2">
      <c r="A1329" s="5" t="str">
        <f>HYPERLINK("http://www.ncbi.nlm.nih.gov/protein/88196782","Cnnm3")</f>
        <v>Cnnm3</v>
      </c>
      <c r="B1329" s="4"/>
      <c r="C1329" s="3">
        <v>0</v>
      </c>
      <c r="D1329" s="3">
        <v>0</v>
      </c>
      <c r="E1329" s="3">
        <v>15</v>
      </c>
      <c r="F1329" s="3">
        <v>0</v>
      </c>
      <c r="G1329" s="3">
        <v>0</v>
      </c>
      <c r="H1329" s="2">
        <f t="shared" si="40"/>
        <v>15</v>
      </c>
      <c r="I1329" t="str">
        <f t="shared" si="41"/>
        <v>Cnnm3_15</v>
      </c>
      <c r="J1329" s="3">
        <v>0</v>
      </c>
      <c r="K1329" s="3">
        <v>0</v>
      </c>
      <c r="L1329" s="3">
        <v>15</v>
      </c>
      <c r="M1329" s="3">
        <v>0</v>
      </c>
      <c r="N1329" s="3">
        <v>0</v>
      </c>
    </row>
    <row r="1330" spans="1:14" x14ac:dyDescent="0.2">
      <c r="A1330" s="5" t="str">
        <f>HYPERLINK("http://www.ncbi.nlm.nih.gov/protein/88196784","Cnnm3")</f>
        <v>Cnnm3</v>
      </c>
      <c r="B1330" s="4"/>
      <c r="C1330" s="3">
        <v>0</v>
      </c>
      <c r="D1330" s="3">
        <v>0</v>
      </c>
      <c r="E1330" s="3">
        <v>15</v>
      </c>
      <c r="F1330" s="3">
        <v>0</v>
      </c>
      <c r="G1330" s="3">
        <v>0</v>
      </c>
      <c r="H1330" s="2">
        <f t="shared" si="40"/>
        <v>15</v>
      </c>
      <c r="I1330" t="str">
        <f t="shared" si="41"/>
        <v>Cnnm3_15</v>
      </c>
      <c r="J1330" s="3">
        <v>0</v>
      </c>
      <c r="K1330" s="3">
        <v>0</v>
      </c>
      <c r="L1330" s="3">
        <v>15</v>
      </c>
      <c r="M1330" s="3">
        <v>0</v>
      </c>
      <c r="N1330" s="3">
        <v>0</v>
      </c>
    </row>
    <row r="1331" spans="1:14" x14ac:dyDescent="0.2">
      <c r="A1331" s="5" t="str">
        <f>HYPERLINK("http://www.ncbi.nlm.nih.gov/protein/189458844","Cnot1")</f>
        <v>Cnot1</v>
      </c>
      <c r="B1331" s="4"/>
      <c r="C1331" s="3">
        <v>2801</v>
      </c>
      <c r="D1331" s="3">
        <v>6688</v>
      </c>
      <c r="E1331" s="3">
        <v>61976</v>
      </c>
      <c r="F1331" s="3">
        <v>7261</v>
      </c>
      <c r="G1331" s="3">
        <v>1039</v>
      </c>
      <c r="H1331" s="2">
        <f t="shared" si="40"/>
        <v>79765</v>
      </c>
      <c r="I1331" t="str">
        <f t="shared" si="41"/>
        <v>Cnot1_79765</v>
      </c>
      <c r="J1331" s="3">
        <v>2801</v>
      </c>
      <c r="K1331" s="3">
        <v>6688</v>
      </c>
      <c r="L1331" s="3">
        <v>61976</v>
      </c>
      <c r="M1331" s="3">
        <v>7261</v>
      </c>
      <c r="N1331" s="3">
        <v>1039</v>
      </c>
    </row>
    <row r="1332" spans="1:14" x14ac:dyDescent="0.2">
      <c r="A1332" s="5" t="str">
        <f>HYPERLINK("http://www.ncbi.nlm.nih.gov/protein/327315389","Cnot1")</f>
        <v>Cnot1</v>
      </c>
      <c r="B1332" s="4"/>
      <c r="C1332" s="3">
        <v>2801</v>
      </c>
      <c r="D1332" s="3">
        <v>6688</v>
      </c>
      <c r="E1332" s="3">
        <v>61976</v>
      </c>
      <c r="F1332" s="3">
        <v>7261</v>
      </c>
      <c r="G1332" s="3">
        <v>1039</v>
      </c>
      <c r="H1332" s="2">
        <f t="shared" si="40"/>
        <v>79765</v>
      </c>
      <c r="I1332" t="str">
        <f t="shared" si="41"/>
        <v>Cnot1_79765</v>
      </c>
      <c r="J1332" s="3">
        <v>2801</v>
      </c>
      <c r="K1332" s="3">
        <v>6688</v>
      </c>
      <c r="L1332" s="3">
        <v>61976</v>
      </c>
      <c r="M1332" s="3">
        <v>7261</v>
      </c>
      <c r="N1332" s="3">
        <v>1039</v>
      </c>
    </row>
    <row r="1333" spans="1:14" x14ac:dyDescent="0.2">
      <c r="A1333" s="5" t="str">
        <f>HYPERLINK("http://www.ncbi.nlm.nih.gov/protein/327315392","Cnot1")</f>
        <v>Cnot1</v>
      </c>
      <c r="B1333" s="4"/>
      <c r="C1333" s="3">
        <v>2801</v>
      </c>
      <c r="D1333" s="3">
        <v>6688</v>
      </c>
      <c r="E1333" s="3">
        <v>61976</v>
      </c>
      <c r="F1333" s="3">
        <v>7261</v>
      </c>
      <c r="G1333" s="3">
        <v>1039</v>
      </c>
      <c r="H1333" s="2">
        <f t="shared" si="40"/>
        <v>79765</v>
      </c>
      <c r="I1333" t="str">
        <f t="shared" si="41"/>
        <v>Cnot1_79765</v>
      </c>
      <c r="J1333" s="3">
        <v>2801</v>
      </c>
      <c r="K1333" s="3">
        <v>6688</v>
      </c>
      <c r="L1333" s="3">
        <v>61976</v>
      </c>
      <c r="M1333" s="3">
        <v>7261</v>
      </c>
      <c r="N1333" s="3">
        <v>1039</v>
      </c>
    </row>
    <row r="1334" spans="1:14" x14ac:dyDescent="0.2">
      <c r="A1334" s="5" t="str">
        <f>HYPERLINK("http://www.ncbi.nlm.nih.gov/protein/31324571","Cnot10")</f>
        <v>Cnot10</v>
      </c>
      <c r="B1334" s="4"/>
      <c r="C1334" s="3">
        <v>0</v>
      </c>
      <c r="D1334" s="3">
        <v>491</v>
      </c>
      <c r="E1334" s="3">
        <v>13679</v>
      </c>
      <c r="F1334" s="3">
        <v>4518</v>
      </c>
      <c r="G1334" s="3">
        <v>0</v>
      </c>
      <c r="H1334" s="2">
        <f t="shared" si="40"/>
        <v>18688</v>
      </c>
      <c r="I1334" t="str">
        <f t="shared" si="41"/>
        <v>Cnot10_18688</v>
      </c>
      <c r="J1334" s="3">
        <v>0</v>
      </c>
      <c r="K1334" s="3">
        <v>491</v>
      </c>
      <c r="L1334" s="3">
        <v>13679</v>
      </c>
      <c r="M1334" s="3">
        <v>4518</v>
      </c>
      <c r="N1334" s="3">
        <v>0</v>
      </c>
    </row>
    <row r="1335" spans="1:14" x14ac:dyDescent="0.2">
      <c r="A1335" s="5" t="str">
        <f>HYPERLINK("http://www.ncbi.nlm.nih.gov/protein/26553441","Cnot11")</f>
        <v>Cnot11</v>
      </c>
      <c r="B1335" s="4"/>
      <c r="C1335" s="3">
        <v>0</v>
      </c>
      <c r="D1335" s="3">
        <v>96</v>
      </c>
      <c r="E1335" s="3">
        <v>1121</v>
      </c>
      <c r="F1335" s="3">
        <v>638</v>
      </c>
      <c r="G1335" s="3">
        <v>0</v>
      </c>
      <c r="H1335" s="2">
        <f t="shared" si="40"/>
        <v>1855</v>
      </c>
      <c r="I1335" t="str">
        <f t="shared" si="41"/>
        <v>Cnot11_1855</v>
      </c>
      <c r="J1335" s="3">
        <v>0</v>
      </c>
      <c r="K1335" s="3">
        <v>96</v>
      </c>
      <c r="L1335" s="3">
        <v>1121</v>
      </c>
      <c r="M1335" s="3">
        <v>638</v>
      </c>
      <c r="N1335" s="3">
        <v>0</v>
      </c>
    </row>
    <row r="1336" spans="1:14" x14ac:dyDescent="0.2">
      <c r="A1336" s="5" t="str">
        <f>HYPERLINK("http://www.ncbi.nlm.nih.gov/protein/210147539","Cnot2")</f>
        <v>Cnot2</v>
      </c>
      <c r="B1336" s="4"/>
      <c r="C1336" s="3">
        <v>0</v>
      </c>
      <c r="D1336" s="3">
        <v>0</v>
      </c>
      <c r="E1336" s="3">
        <v>3904</v>
      </c>
      <c r="F1336" s="3">
        <v>557</v>
      </c>
      <c r="G1336" s="3">
        <v>0</v>
      </c>
      <c r="H1336" s="2">
        <f t="shared" si="40"/>
        <v>4461</v>
      </c>
      <c r="I1336" t="str">
        <f t="shared" si="41"/>
        <v>Cnot2_4461</v>
      </c>
      <c r="J1336" s="3">
        <v>0</v>
      </c>
      <c r="K1336" s="3">
        <v>0</v>
      </c>
      <c r="L1336" s="3">
        <v>3904</v>
      </c>
      <c r="M1336" s="3">
        <v>557</v>
      </c>
      <c r="N1336" s="3">
        <v>0</v>
      </c>
    </row>
    <row r="1337" spans="1:14" x14ac:dyDescent="0.2">
      <c r="A1337" s="5" t="str">
        <f>HYPERLINK("http://www.ncbi.nlm.nih.gov/protein/210147541","Cnot2")</f>
        <v>Cnot2</v>
      </c>
      <c r="B1337" s="4"/>
      <c r="C1337" s="3">
        <v>0</v>
      </c>
      <c r="D1337" s="3">
        <v>0</v>
      </c>
      <c r="E1337" s="3">
        <v>3904</v>
      </c>
      <c r="F1337" s="3">
        <v>557</v>
      </c>
      <c r="G1337" s="3">
        <v>0</v>
      </c>
      <c r="H1337" s="2">
        <f t="shared" si="40"/>
        <v>4461</v>
      </c>
      <c r="I1337" t="str">
        <f t="shared" si="41"/>
        <v>Cnot2_4461</v>
      </c>
      <c r="J1337" s="3">
        <v>0</v>
      </c>
      <c r="K1337" s="3">
        <v>0</v>
      </c>
      <c r="L1337" s="3">
        <v>3904</v>
      </c>
      <c r="M1337" s="3">
        <v>557</v>
      </c>
      <c r="N1337" s="3">
        <v>0</v>
      </c>
    </row>
    <row r="1338" spans="1:14" x14ac:dyDescent="0.2">
      <c r="A1338" s="5" t="str">
        <f>HYPERLINK("http://www.ncbi.nlm.nih.gov/protein/211065515","Cnot2")</f>
        <v>Cnot2</v>
      </c>
      <c r="B1338" s="4"/>
      <c r="C1338" s="3">
        <v>0</v>
      </c>
      <c r="D1338" s="3">
        <v>0</v>
      </c>
      <c r="E1338" s="3">
        <v>3904</v>
      </c>
      <c r="F1338" s="3">
        <v>557</v>
      </c>
      <c r="G1338" s="3">
        <v>0</v>
      </c>
      <c r="H1338" s="2">
        <f t="shared" si="40"/>
        <v>4461</v>
      </c>
      <c r="I1338" t="str">
        <f t="shared" si="41"/>
        <v>Cnot2_4461</v>
      </c>
      <c r="J1338" s="3">
        <v>0</v>
      </c>
      <c r="K1338" s="3">
        <v>0</v>
      </c>
      <c r="L1338" s="3">
        <v>3904</v>
      </c>
      <c r="M1338" s="3">
        <v>557</v>
      </c>
      <c r="N1338" s="3">
        <v>0</v>
      </c>
    </row>
    <row r="1339" spans="1:14" x14ac:dyDescent="0.2">
      <c r="A1339" s="5" t="str">
        <f>HYPERLINK("http://www.ncbi.nlm.nih.gov/protein/22122717","Cnot3")</f>
        <v>Cnot3</v>
      </c>
      <c r="B1339" s="4"/>
      <c r="C1339" s="3">
        <v>0</v>
      </c>
      <c r="D1339" s="3">
        <v>0</v>
      </c>
      <c r="E1339" s="3">
        <v>508</v>
      </c>
      <c r="F1339" s="3">
        <v>0</v>
      </c>
      <c r="G1339" s="3">
        <v>0</v>
      </c>
      <c r="H1339" s="2">
        <f t="shared" si="40"/>
        <v>508</v>
      </c>
      <c r="I1339" t="str">
        <f t="shared" si="41"/>
        <v>Cnot3_508</v>
      </c>
      <c r="J1339" s="3">
        <v>0</v>
      </c>
      <c r="K1339" s="3">
        <v>0</v>
      </c>
      <c r="L1339" s="3">
        <v>508</v>
      </c>
      <c r="M1339" s="3">
        <v>0</v>
      </c>
      <c r="N1339" s="3">
        <v>0</v>
      </c>
    </row>
    <row r="1340" spans="1:14" x14ac:dyDescent="0.2">
      <c r="A1340" s="5" t="str">
        <f>HYPERLINK("http://www.ncbi.nlm.nih.gov/protein/47059015","Cnot6")</f>
        <v>Cnot6</v>
      </c>
      <c r="B1340" s="4"/>
      <c r="C1340" s="3">
        <v>0</v>
      </c>
      <c r="D1340" s="3">
        <v>0</v>
      </c>
      <c r="E1340" s="3">
        <v>1225</v>
      </c>
      <c r="F1340" s="3">
        <v>0</v>
      </c>
      <c r="G1340" s="3">
        <v>0</v>
      </c>
      <c r="H1340" s="2">
        <f t="shared" si="40"/>
        <v>1225</v>
      </c>
      <c r="I1340" t="str">
        <f t="shared" si="41"/>
        <v>Cnot6_1225</v>
      </c>
      <c r="J1340" s="3">
        <v>0</v>
      </c>
      <c r="K1340" s="3">
        <v>0</v>
      </c>
      <c r="L1340" s="3">
        <v>1225</v>
      </c>
      <c r="M1340" s="3">
        <v>0</v>
      </c>
      <c r="N1340" s="3">
        <v>0</v>
      </c>
    </row>
    <row r="1341" spans="1:14" x14ac:dyDescent="0.2">
      <c r="A1341" s="5" t="str">
        <f>HYPERLINK("http://www.ncbi.nlm.nih.gov/protein/121674807","Cnot6l")</f>
        <v>Cnot6l</v>
      </c>
      <c r="B1341" s="4"/>
      <c r="C1341" s="3">
        <v>0</v>
      </c>
      <c r="D1341" s="3">
        <v>0</v>
      </c>
      <c r="E1341" s="3">
        <v>954</v>
      </c>
      <c r="F1341" s="3">
        <v>0</v>
      </c>
      <c r="G1341" s="3">
        <v>0</v>
      </c>
      <c r="H1341" s="2">
        <f t="shared" si="40"/>
        <v>954</v>
      </c>
      <c r="I1341" t="str">
        <f t="shared" si="41"/>
        <v>Cnot6l_954</v>
      </c>
      <c r="J1341" s="3">
        <v>0</v>
      </c>
      <c r="K1341" s="3">
        <v>0</v>
      </c>
      <c r="L1341" s="3">
        <v>954</v>
      </c>
      <c r="M1341" s="3">
        <v>0</v>
      </c>
      <c r="N1341" s="3">
        <v>0</v>
      </c>
    </row>
    <row r="1342" spans="1:14" x14ac:dyDescent="0.2">
      <c r="A1342" s="5" t="str">
        <f>HYPERLINK("http://www.ncbi.nlm.nih.gov/protein/21450299","Cnot6l")</f>
        <v>Cnot6l</v>
      </c>
      <c r="B1342" s="4"/>
      <c r="C1342" s="3">
        <v>0</v>
      </c>
      <c r="D1342" s="3">
        <v>0</v>
      </c>
      <c r="E1342" s="3">
        <v>954</v>
      </c>
      <c r="F1342" s="3">
        <v>0</v>
      </c>
      <c r="G1342" s="3">
        <v>0</v>
      </c>
      <c r="H1342" s="2">
        <f t="shared" si="40"/>
        <v>954</v>
      </c>
      <c r="I1342" t="str">
        <f t="shared" si="41"/>
        <v>Cnot6l_954</v>
      </c>
      <c r="J1342" s="3">
        <v>0</v>
      </c>
      <c r="K1342" s="3">
        <v>0</v>
      </c>
      <c r="L1342" s="3">
        <v>954</v>
      </c>
      <c r="M1342" s="3">
        <v>0</v>
      </c>
      <c r="N1342" s="3">
        <v>0</v>
      </c>
    </row>
    <row r="1343" spans="1:14" x14ac:dyDescent="0.2">
      <c r="A1343" s="5" t="str">
        <f>HYPERLINK("http://www.ncbi.nlm.nih.gov/protein/408968125","Cnot7")</f>
        <v>Cnot7</v>
      </c>
      <c r="B1343" s="4"/>
      <c r="C1343" s="3">
        <v>366</v>
      </c>
      <c r="D1343" s="3">
        <v>797</v>
      </c>
      <c r="E1343" s="3">
        <v>2575</v>
      </c>
      <c r="F1343" s="3">
        <v>6311</v>
      </c>
      <c r="G1343" s="3">
        <v>0</v>
      </c>
      <c r="H1343" s="2">
        <f t="shared" si="40"/>
        <v>10049</v>
      </c>
      <c r="I1343" t="str">
        <f t="shared" si="41"/>
        <v>Cnot7_10049</v>
      </c>
      <c r="J1343" s="3">
        <v>366</v>
      </c>
      <c r="K1343" s="3">
        <v>797</v>
      </c>
      <c r="L1343" s="3">
        <v>2575</v>
      </c>
      <c r="M1343" s="3">
        <v>6311</v>
      </c>
      <c r="N1343" s="3">
        <v>0</v>
      </c>
    </row>
    <row r="1344" spans="1:14" x14ac:dyDescent="0.2">
      <c r="A1344" s="5" t="str">
        <f>HYPERLINK("http://www.ncbi.nlm.nih.gov/protein/6755126","Cnot7")</f>
        <v>Cnot7</v>
      </c>
      <c r="B1344" s="4"/>
      <c r="C1344" s="3">
        <v>366</v>
      </c>
      <c r="D1344" s="3">
        <v>879</v>
      </c>
      <c r="E1344" s="3">
        <v>2789</v>
      </c>
      <c r="F1344" s="3">
        <v>8448</v>
      </c>
      <c r="G1344" s="3">
        <v>0</v>
      </c>
      <c r="H1344" s="2">
        <f t="shared" si="40"/>
        <v>12482</v>
      </c>
      <c r="I1344" t="str">
        <f t="shared" si="41"/>
        <v>Cnot7_12482</v>
      </c>
      <c r="J1344" s="3">
        <v>366</v>
      </c>
      <c r="K1344" s="3">
        <v>879</v>
      </c>
      <c r="L1344" s="3">
        <v>2789</v>
      </c>
      <c r="M1344" s="3">
        <v>8448</v>
      </c>
      <c r="N1344" s="3">
        <v>0</v>
      </c>
    </row>
    <row r="1345" spans="1:14" x14ac:dyDescent="0.2">
      <c r="A1345" s="5" t="str">
        <f>HYPERLINK("http://www.ncbi.nlm.nih.gov/protein/13386186","Cnot8")</f>
        <v>Cnot8</v>
      </c>
      <c r="B1345" s="4"/>
      <c r="C1345" s="3">
        <v>0</v>
      </c>
      <c r="D1345" s="3">
        <v>0</v>
      </c>
      <c r="E1345" s="3">
        <v>606</v>
      </c>
      <c r="F1345" s="3">
        <v>499</v>
      </c>
      <c r="G1345" s="3">
        <v>0</v>
      </c>
      <c r="H1345" s="2">
        <f t="shared" si="40"/>
        <v>1105</v>
      </c>
      <c r="I1345" t="str">
        <f t="shared" si="41"/>
        <v>Cnot8_1105</v>
      </c>
      <c r="J1345" s="3">
        <v>0</v>
      </c>
      <c r="K1345" s="3">
        <v>0</v>
      </c>
      <c r="L1345" s="3">
        <v>606</v>
      </c>
      <c r="M1345" s="3">
        <v>499</v>
      </c>
      <c r="N1345" s="3">
        <v>0</v>
      </c>
    </row>
    <row r="1346" spans="1:14" x14ac:dyDescent="0.2">
      <c r="A1346" s="5" t="str">
        <f>HYPERLINK("http://www.ncbi.nlm.nih.gov/protein/226423907","Cnp")</f>
        <v>Cnp</v>
      </c>
      <c r="B1346" s="4"/>
      <c r="C1346" s="3">
        <v>0</v>
      </c>
      <c r="D1346" s="3">
        <v>4897</v>
      </c>
      <c r="E1346" s="3">
        <v>8244</v>
      </c>
      <c r="F1346" s="3">
        <v>0</v>
      </c>
      <c r="G1346" s="3">
        <v>0</v>
      </c>
      <c r="H1346" s="2">
        <f t="shared" ref="H1346:H1409" si="42">SUM(C1346:G1346)</f>
        <v>13141</v>
      </c>
      <c r="I1346" t="str">
        <f t="shared" ref="I1346:I1409" si="43">A1346&amp;"_"&amp;H1346</f>
        <v>Cnp_13141</v>
      </c>
      <c r="J1346" s="3">
        <v>0</v>
      </c>
      <c r="K1346" s="3">
        <v>4897</v>
      </c>
      <c r="L1346" s="3">
        <v>8244</v>
      </c>
      <c r="M1346" s="3">
        <v>0</v>
      </c>
      <c r="N1346" s="3">
        <v>0</v>
      </c>
    </row>
    <row r="1347" spans="1:14" x14ac:dyDescent="0.2">
      <c r="A1347" s="5" t="str">
        <f>HYPERLINK("http://www.ncbi.nlm.nih.gov/protein/226423909","Cnp")</f>
        <v>Cnp</v>
      </c>
      <c r="B1347" s="4"/>
      <c r="C1347" s="3">
        <v>0</v>
      </c>
      <c r="D1347" s="3">
        <v>4897</v>
      </c>
      <c r="E1347" s="3">
        <v>8244</v>
      </c>
      <c r="F1347" s="3">
        <v>0</v>
      </c>
      <c r="G1347" s="3">
        <v>0</v>
      </c>
      <c r="H1347" s="2">
        <f t="shared" si="42"/>
        <v>13141</v>
      </c>
      <c r="I1347" t="str">
        <f t="shared" si="43"/>
        <v>Cnp_13141</v>
      </c>
      <c r="J1347" s="3">
        <v>0</v>
      </c>
      <c r="K1347" s="3">
        <v>4897</v>
      </c>
      <c r="L1347" s="3">
        <v>8244</v>
      </c>
      <c r="M1347" s="3">
        <v>0</v>
      </c>
      <c r="N1347" s="3">
        <v>0</v>
      </c>
    </row>
    <row r="1348" spans="1:14" x14ac:dyDescent="0.2">
      <c r="A1348" s="5" t="str">
        <f>HYPERLINK("http://www.ncbi.nlm.nih.gov/protein/9903607","Cnpy2")</f>
        <v>Cnpy2</v>
      </c>
      <c r="B1348" s="4"/>
      <c r="C1348" s="3">
        <v>48310</v>
      </c>
      <c r="D1348" s="3">
        <v>5342</v>
      </c>
      <c r="E1348" s="3">
        <v>6279</v>
      </c>
      <c r="F1348" s="3">
        <v>0</v>
      </c>
      <c r="G1348" s="3">
        <v>14404</v>
      </c>
      <c r="H1348" s="2">
        <f t="shared" si="42"/>
        <v>74335</v>
      </c>
      <c r="I1348" t="str">
        <f t="shared" si="43"/>
        <v>Cnpy2_74335</v>
      </c>
      <c r="J1348" s="3">
        <v>48310</v>
      </c>
      <c r="K1348" s="3">
        <v>5342</v>
      </c>
      <c r="L1348" s="3">
        <v>6279</v>
      </c>
      <c r="M1348" s="3">
        <v>0</v>
      </c>
      <c r="N1348" s="3">
        <v>14404</v>
      </c>
    </row>
    <row r="1349" spans="1:14" x14ac:dyDescent="0.2">
      <c r="A1349" s="5" t="str">
        <f>HYPERLINK("http://www.ncbi.nlm.nih.gov/protein/21312510","Cnpy3")</f>
        <v>Cnpy3</v>
      </c>
      <c r="B1349" s="4"/>
      <c r="C1349" s="3">
        <v>531</v>
      </c>
      <c r="D1349" s="3">
        <v>357</v>
      </c>
      <c r="E1349" s="3">
        <v>0</v>
      </c>
      <c r="F1349" s="3">
        <v>0</v>
      </c>
      <c r="G1349" s="3">
        <v>0</v>
      </c>
      <c r="H1349" s="2">
        <f t="shared" si="42"/>
        <v>888</v>
      </c>
      <c r="I1349" t="str">
        <f t="shared" si="43"/>
        <v>Cnpy3_888</v>
      </c>
      <c r="J1349" s="3">
        <v>531</v>
      </c>
      <c r="K1349" s="3">
        <v>357</v>
      </c>
      <c r="L1349" s="3">
        <v>0</v>
      </c>
      <c r="M1349" s="3">
        <v>0</v>
      </c>
      <c r="N1349" s="3">
        <v>0</v>
      </c>
    </row>
    <row r="1350" spans="1:14" x14ac:dyDescent="0.2">
      <c r="A1350" s="5" t="str">
        <f>HYPERLINK("http://www.ncbi.nlm.nih.gov/protein/30519939","Cnpy4")</f>
        <v>Cnpy4</v>
      </c>
      <c r="B1350" s="4"/>
      <c r="C1350" s="3">
        <v>1629</v>
      </c>
      <c r="D1350" s="3">
        <v>737</v>
      </c>
      <c r="E1350" s="3">
        <v>180</v>
      </c>
      <c r="F1350" s="3">
        <v>0</v>
      </c>
      <c r="G1350" s="3">
        <v>1349</v>
      </c>
      <c r="H1350" s="2">
        <f t="shared" si="42"/>
        <v>3895</v>
      </c>
      <c r="I1350" t="str">
        <f t="shared" si="43"/>
        <v>Cnpy4_3895</v>
      </c>
      <c r="J1350" s="3">
        <v>1629</v>
      </c>
      <c r="K1350" s="3">
        <v>737</v>
      </c>
      <c r="L1350" s="3">
        <v>180</v>
      </c>
      <c r="M1350" s="3">
        <v>0</v>
      </c>
      <c r="N1350" s="3">
        <v>1349</v>
      </c>
    </row>
    <row r="1351" spans="1:14" x14ac:dyDescent="0.2">
      <c r="A1351" s="5" t="str">
        <f>HYPERLINK("http://www.ncbi.nlm.nih.gov/protein/21311867","Coa3")</f>
        <v>Coa3</v>
      </c>
      <c r="B1351" s="4"/>
      <c r="C1351" s="3">
        <v>3606</v>
      </c>
      <c r="D1351" s="3">
        <v>3845</v>
      </c>
      <c r="E1351" s="3">
        <v>51</v>
      </c>
      <c r="F1351" s="3">
        <v>0</v>
      </c>
      <c r="G1351" s="3">
        <v>0</v>
      </c>
      <c r="H1351" s="2">
        <f t="shared" si="42"/>
        <v>7502</v>
      </c>
      <c r="I1351" t="str">
        <f t="shared" si="43"/>
        <v>Coa3_7502</v>
      </c>
      <c r="J1351" s="3">
        <v>3606</v>
      </c>
      <c r="K1351" s="3">
        <v>3845</v>
      </c>
      <c r="L1351" s="3">
        <v>51</v>
      </c>
      <c r="M1351" s="3">
        <v>0</v>
      </c>
      <c r="N1351" s="3">
        <v>0</v>
      </c>
    </row>
    <row r="1352" spans="1:14" x14ac:dyDescent="0.2">
      <c r="A1352" s="5" t="str">
        <f>HYPERLINK("http://www.ncbi.nlm.nih.gov/protein/30424683","Coa6")</f>
        <v>Coa6</v>
      </c>
      <c r="B1352" s="4"/>
      <c r="C1352" s="3">
        <v>476</v>
      </c>
      <c r="D1352" s="3">
        <v>718</v>
      </c>
      <c r="E1352" s="3">
        <v>0</v>
      </c>
      <c r="F1352" s="3">
        <v>0</v>
      </c>
      <c r="G1352" s="3">
        <v>171</v>
      </c>
      <c r="H1352" s="2">
        <f t="shared" si="42"/>
        <v>1365</v>
      </c>
      <c r="I1352" t="str">
        <f t="shared" si="43"/>
        <v>Coa6_1365</v>
      </c>
      <c r="J1352" s="3">
        <v>476</v>
      </c>
      <c r="K1352" s="3">
        <v>718</v>
      </c>
      <c r="L1352" s="3">
        <v>0</v>
      </c>
      <c r="M1352" s="3">
        <v>0</v>
      </c>
      <c r="N1352" s="3">
        <v>171</v>
      </c>
    </row>
    <row r="1353" spans="1:14" x14ac:dyDescent="0.2">
      <c r="A1353" s="5" t="str">
        <f>HYPERLINK("http://www.ncbi.nlm.nih.gov/protein/27229125","Coasy")</f>
        <v>Coasy</v>
      </c>
      <c r="B1353" s="4"/>
      <c r="C1353" s="3">
        <v>0</v>
      </c>
      <c r="D1353" s="3">
        <v>825</v>
      </c>
      <c r="E1353" s="3">
        <v>348</v>
      </c>
      <c r="F1353" s="3">
        <v>4690</v>
      </c>
      <c r="G1353" s="3">
        <v>9135</v>
      </c>
      <c r="H1353" s="2">
        <f t="shared" si="42"/>
        <v>14998</v>
      </c>
      <c r="I1353" t="str">
        <f t="shared" si="43"/>
        <v>Coasy_14998</v>
      </c>
      <c r="J1353" s="3">
        <v>0</v>
      </c>
      <c r="K1353" s="3">
        <v>825</v>
      </c>
      <c r="L1353" s="3">
        <v>348</v>
      </c>
      <c r="M1353" s="3">
        <v>4690</v>
      </c>
      <c r="N1353" s="3">
        <v>9135</v>
      </c>
    </row>
    <row r="1354" spans="1:14" x14ac:dyDescent="0.2">
      <c r="A1354" s="5" t="str">
        <f>HYPERLINK("http://www.ncbi.nlm.nih.gov/protein/162135966","Cobl")</f>
        <v>Cobl</v>
      </c>
      <c r="B1354" s="4"/>
      <c r="C1354" s="3">
        <v>0</v>
      </c>
      <c r="D1354" s="3">
        <v>0</v>
      </c>
      <c r="E1354" s="3">
        <v>7077</v>
      </c>
      <c r="F1354" s="3">
        <v>0</v>
      </c>
      <c r="G1354" s="3">
        <v>0</v>
      </c>
      <c r="H1354" s="2">
        <f t="shared" si="42"/>
        <v>7077</v>
      </c>
      <c r="I1354" t="str">
        <f t="shared" si="43"/>
        <v>Cobl_7077</v>
      </c>
      <c r="J1354" s="3">
        <v>0</v>
      </c>
      <c r="K1354" s="3">
        <v>0</v>
      </c>
      <c r="L1354" s="3">
        <v>7077</v>
      </c>
      <c r="M1354" s="3">
        <v>0</v>
      </c>
      <c r="N1354" s="3">
        <v>0</v>
      </c>
    </row>
    <row r="1355" spans="1:14" x14ac:dyDescent="0.2">
      <c r="A1355" s="5" t="str">
        <f>HYPERLINK("http://www.ncbi.nlm.nih.gov/protein/189458847","Cobll1")</f>
        <v>Cobll1</v>
      </c>
      <c r="B1355" s="4"/>
      <c r="C1355" s="3">
        <v>0</v>
      </c>
      <c r="D1355" s="3">
        <v>2</v>
      </c>
      <c r="E1355" s="3">
        <v>8613</v>
      </c>
      <c r="F1355" s="3">
        <v>28633</v>
      </c>
      <c r="G1355" s="3">
        <v>9071</v>
      </c>
      <c r="H1355" s="2">
        <f t="shared" si="42"/>
        <v>46319</v>
      </c>
      <c r="I1355" t="str">
        <f t="shared" si="43"/>
        <v>Cobll1_46319</v>
      </c>
      <c r="J1355" s="3">
        <v>0</v>
      </c>
      <c r="K1355" s="3">
        <v>2</v>
      </c>
      <c r="L1355" s="3">
        <v>8613</v>
      </c>
      <c r="M1355" s="3">
        <v>28633</v>
      </c>
      <c r="N1355" s="3">
        <v>9071</v>
      </c>
    </row>
    <row r="1356" spans="1:14" x14ac:dyDescent="0.2">
      <c r="A1356" s="5" t="str">
        <f>HYPERLINK("http://www.ncbi.nlm.nih.gov/protein/32441279","Cobll1")</f>
        <v>Cobll1</v>
      </c>
      <c r="B1356" s="4"/>
      <c r="C1356" s="3">
        <v>0</v>
      </c>
      <c r="D1356" s="3">
        <v>2</v>
      </c>
      <c r="E1356" s="3">
        <v>8613</v>
      </c>
      <c r="F1356" s="3">
        <v>28633</v>
      </c>
      <c r="G1356" s="3">
        <v>9071</v>
      </c>
      <c r="H1356" s="2">
        <f t="shared" si="42"/>
        <v>46319</v>
      </c>
      <c r="I1356" t="str">
        <f t="shared" si="43"/>
        <v>Cobll1_46319</v>
      </c>
      <c r="J1356" s="3">
        <v>0</v>
      </c>
      <c r="K1356" s="3">
        <v>2</v>
      </c>
      <c r="L1356" s="3">
        <v>8613</v>
      </c>
      <c r="M1356" s="3">
        <v>28633</v>
      </c>
      <c r="N1356" s="3">
        <v>9071</v>
      </c>
    </row>
    <row r="1357" spans="1:14" x14ac:dyDescent="0.2">
      <c r="A1357" s="5" t="str">
        <f>HYPERLINK("http://www.ncbi.nlm.nih.gov/protein/159110754","Cog1")</f>
        <v>Cog1</v>
      </c>
      <c r="B1357" s="4"/>
      <c r="C1357" s="3">
        <v>0</v>
      </c>
      <c r="D1357" s="3">
        <v>111</v>
      </c>
      <c r="E1357" s="3">
        <v>416</v>
      </c>
      <c r="F1357" s="3">
        <v>1383</v>
      </c>
      <c r="G1357" s="3">
        <v>0</v>
      </c>
      <c r="H1357" s="2">
        <f t="shared" si="42"/>
        <v>1910</v>
      </c>
      <c r="I1357" t="str">
        <f t="shared" si="43"/>
        <v>Cog1_1910</v>
      </c>
      <c r="J1357" s="3">
        <v>0</v>
      </c>
      <c r="K1357" s="3">
        <v>111</v>
      </c>
      <c r="L1357" s="3">
        <v>416</v>
      </c>
      <c r="M1357" s="3">
        <v>1383</v>
      </c>
      <c r="N1357" s="3">
        <v>0</v>
      </c>
    </row>
    <row r="1358" spans="1:14" x14ac:dyDescent="0.2">
      <c r="A1358" s="5" t="str">
        <f>HYPERLINK("http://www.ncbi.nlm.nih.gov/protein/256985208","Cog2")</f>
        <v>Cog2</v>
      </c>
      <c r="B1358" s="4"/>
      <c r="C1358" s="3">
        <v>0</v>
      </c>
      <c r="D1358" s="3">
        <v>633</v>
      </c>
      <c r="E1358" s="3">
        <v>271</v>
      </c>
      <c r="F1358" s="3">
        <v>13310</v>
      </c>
      <c r="G1358" s="3">
        <v>1810</v>
      </c>
      <c r="H1358" s="2">
        <f t="shared" si="42"/>
        <v>16024</v>
      </c>
      <c r="I1358" t="str">
        <f t="shared" si="43"/>
        <v>Cog2_16024</v>
      </c>
      <c r="J1358" s="3">
        <v>0</v>
      </c>
      <c r="K1358" s="3">
        <v>633</v>
      </c>
      <c r="L1358" s="3">
        <v>271</v>
      </c>
      <c r="M1358" s="3">
        <v>13310</v>
      </c>
      <c r="N1358" s="3">
        <v>1810</v>
      </c>
    </row>
    <row r="1359" spans="1:14" x14ac:dyDescent="0.2">
      <c r="A1359" s="5" t="str">
        <f>HYPERLINK("http://www.ncbi.nlm.nih.gov/protein/119392070","Cog3")</f>
        <v>Cog3</v>
      </c>
      <c r="B1359" s="4"/>
      <c r="C1359" s="3">
        <v>0</v>
      </c>
      <c r="D1359" s="3">
        <v>633</v>
      </c>
      <c r="E1359" s="3">
        <v>0</v>
      </c>
      <c r="F1359" s="3">
        <v>15937</v>
      </c>
      <c r="G1359" s="3">
        <v>867</v>
      </c>
      <c r="H1359" s="2">
        <f t="shared" si="42"/>
        <v>17437</v>
      </c>
      <c r="I1359" t="str">
        <f t="shared" si="43"/>
        <v>Cog3_17437</v>
      </c>
      <c r="J1359" s="3">
        <v>0</v>
      </c>
      <c r="K1359" s="3">
        <v>633</v>
      </c>
      <c r="L1359" s="3">
        <v>0</v>
      </c>
      <c r="M1359" s="3">
        <v>15937</v>
      </c>
      <c r="N1359" s="3">
        <v>867</v>
      </c>
    </row>
    <row r="1360" spans="1:14" x14ac:dyDescent="0.2">
      <c r="A1360" s="5" t="str">
        <f>HYPERLINK("http://www.ncbi.nlm.nih.gov/protein/19527194","Cog4")</f>
        <v>Cog4</v>
      </c>
      <c r="B1360" s="4"/>
      <c r="C1360" s="3">
        <v>0</v>
      </c>
      <c r="D1360" s="3">
        <v>15</v>
      </c>
      <c r="E1360" s="3">
        <v>1333</v>
      </c>
      <c r="F1360" s="3">
        <v>17902</v>
      </c>
      <c r="G1360" s="3">
        <v>589</v>
      </c>
      <c r="H1360" s="2">
        <f t="shared" si="42"/>
        <v>19839</v>
      </c>
      <c r="I1360" t="str">
        <f t="shared" si="43"/>
        <v>Cog4_19839</v>
      </c>
      <c r="J1360" s="3">
        <v>0</v>
      </c>
      <c r="K1360" s="3">
        <v>15</v>
      </c>
      <c r="L1360" s="3">
        <v>1333</v>
      </c>
      <c r="M1360" s="3">
        <v>17902</v>
      </c>
      <c r="N1360" s="3">
        <v>589</v>
      </c>
    </row>
    <row r="1361" spans="1:14" x14ac:dyDescent="0.2">
      <c r="A1361" s="5" t="str">
        <f>HYPERLINK("http://www.ncbi.nlm.nih.gov/protein/253314464","Cog5")</f>
        <v>Cog5</v>
      </c>
      <c r="B1361" s="4"/>
      <c r="C1361" s="3">
        <v>3661</v>
      </c>
      <c r="D1361" s="3">
        <v>163</v>
      </c>
      <c r="E1361" s="3">
        <v>3287</v>
      </c>
      <c r="F1361" s="3">
        <v>25793</v>
      </c>
      <c r="G1361" s="3">
        <v>4916</v>
      </c>
      <c r="H1361" s="2">
        <f t="shared" si="42"/>
        <v>37820</v>
      </c>
      <c r="I1361" t="str">
        <f t="shared" si="43"/>
        <v>Cog5_37820</v>
      </c>
      <c r="J1361" s="3">
        <v>3661</v>
      </c>
      <c r="K1361" s="3">
        <v>163</v>
      </c>
      <c r="L1361" s="3">
        <v>3287</v>
      </c>
      <c r="M1361" s="3">
        <v>25793</v>
      </c>
      <c r="N1361" s="3">
        <v>4916</v>
      </c>
    </row>
    <row r="1362" spans="1:14" x14ac:dyDescent="0.2">
      <c r="A1362" s="5" t="str">
        <f>HYPERLINK("http://www.ncbi.nlm.nih.gov/protein/160333744","Cog6")</f>
        <v>Cog6</v>
      </c>
      <c r="B1362" s="4"/>
      <c r="C1362" s="3">
        <v>0</v>
      </c>
      <c r="D1362" s="3">
        <v>1163</v>
      </c>
      <c r="E1362" s="3">
        <v>179</v>
      </c>
      <c r="F1362" s="3">
        <v>19105</v>
      </c>
      <c r="G1362" s="3">
        <v>857</v>
      </c>
      <c r="H1362" s="2">
        <f t="shared" si="42"/>
        <v>21304</v>
      </c>
      <c r="I1362" t="str">
        <f t="shared" si="43"/>
        <v>Cog6_21304</v>
      </c>
      <c r="J1362" s="3">
        <v>0</v>
      </c>
      <c r="K1362" s="3">
        <v>1163</v>
      </c>
      <c r="L1362" s="3">
        <v>179</v>
      </c>
      <c r="M1362" s="3">
        <v>19105</v>
      </c>
      <c r="N1362" s="3">
        <v>857</v>
      </c>
    </row>
    <row r="1363" spans="1:14" x14ac:dyDescent="0.2">
      <c r="A1363" s="5" t="str">
        <f>HYPERLINK("http://www.ncbi.nlm.nih.gov/protein/110625631","Cog7")</f>
        <v>Cog7</v>
      </c>
      <c r="B1363" s="4"/>
      <c r="C1363" s="3">
        <v>0</v>
      </c>
      <c r="D1363" s="3">
        <v>633</v>
      </c>
      <c r="E1363" s="3">
        <v>1760</v>
      </c>
      <c r="F1363" s="3">
        <v>17730</v>
      </c>
      <c r="G1363" s="3">
        <v>5301</v>
      </c>
      <c r="H1363" s="2">
        <f t="shared" si="42"/>
        <v>25424</v>
      </c>
      <c r="I1363" t="str">
        <f t="shared" si="43"/>
        <v>Cog7_25424</v>
      </c>
      <c r="J1363" s="3">
        <v>0</v>
      </c>
      <c r="K1363" s="3">
        <v>633</v>
      </c>
      <c r="L1363" s="3">
        <v>1760</v>
      </c>
      <c r="M1363" s="3">
        <v>17730</v>
      </c>
      <c r="N1363" s="3">
        <v>5301</v>
      </c>
    </row>
    <row r="1364" spans="1:14" x14ac:dyDescent="0.2">
      <c r="A1364" s="5" t="str">
        <f>HYPERLINK("http://www.ncbi.nlm.nih.gov/protein/66392581","Cog8")</f>
        <v>Cog8</v>
      </c>
      <c r="B1364" s="4"/>
      <c r="C1364" s="3">
        <v>0</v>
      </c>
      <c r="D1364" s="3">
        <v>0</v>
      </c>
      <c r="E1364" s="3">
        <v>0</v>
      </c>
      <c r="F1364" s="3">
        <v>3684</v>
      </c>
      <c r="G1364" s="3">
        <v>0</v>
      </c>
      <c r="H1364" s="2">
        <f t="shared" si="42"/>
        <v>3684</v>
      </c>
      <c r="I1364" t="str">
        <f t="shared" si="43"/>
        <v>Cog8_3684</v>
      </c>
      <c r="J1364" s="3">
        <v>0</v>
      </c>
      <c r="K1364" s="3">
        <v>0</v>
      </c>
      <c r="L1364" s="3">
        <v>0</v>
      </c>
      <c r="M1364" s="3">
        <v>3684</v>
      </c>
      <c r="N1364" s="3">
        <v>0</v>
      </c>
    </row>
    <row r="1365" spans="1:14" x14ac:dyDescent="0.2">
      <c r="A1365" s="5" t="str">
        <f>HYPERLINK("http://www.ncbi.nlm.nih.gov/protein/134053929","Coil")</f>
        <v>Coil</v>
      </c>
      <c r="B1365" s="4"/>
      <c r="C1365" s="3">
        <v>0</v>
      </c>
      <c r="D1365" s="3">
        <v>0</v>
      </c>
      <c r="E1365" s="3">
        <v>12</v>
      </c>
      <c r="F1365" s="3">
        <v>0</v>
      </c>
      <c r="G1365" s="3">
        <v>0</v>
      </c>
      <c r="H1365" s="2">
        <f t="shared" si="42"/>
        <v>12</v>
      </c>
      <c r="I1365" t="str">
        <f t="shared" si="43"/>
        <v>Coil_12</v>
      </c>
      <c r="J1365" s="3">
        <v>0</v>
      </c>
      <c r="K1365" s="3">
        <v>0</v>
      </c>
      <c r="L1365" s="3">
        <v>12</v>
      </c>
      <c r="M1365" s="3">
        <v>0</v>
      </c>
      <c r="N1365" s="3">
        <v>0</v>
      </c>
    </row>
    <row r="1366" spans="1:14" x14ac:dyDescent="0.2">
      <c r="A1366" s="5" t="str">
        <f>HYPERLINK("http://www.ncbi.nlm.nih.gov/protein/158508560","Col18a1")</f>
        <v>Col18a1</v>
      </c>
      <c r="B1366" s="4"/>
      <c r="C1366" s="3">
        <v>0</v>
      </c>
      <c r="D1366" s="3">
        <v>1219</v>
      </c>
      <c r="E1366" s="3">
        <v>1918</v>
      </c>
      <c r="F1366" s="3">
        <v>0</v>
      </c>
      <c r="G1366" s="3">
        <v>0</v>
      </c>
      <c r="H1366" s="2">
        <f t="shared" si="42"/>
        <v>3137</v>
      </c>
      <c r="I1366" t="str">
        <f t="shared" si="43"/>
        <v>Col18a1_3137</v>
      </c>
      <c r="J1366" s="3">
        <v>0</v>
      </c>
      <c r="K1366" s="3">
        <v>1219</v>
      </c>
      <c r="L1366" s="3">
        <v>1918</v>
      </c>
      <c r="M1366" s="3">
        <v>0</v>
      </c>
      <c r="N1366" s="3">
        <v>0</v>
      </c>
    </row>
    <row r="1367" spans="1:14" x14ac:dyDescent="0.2">
      <c r="A1367" s="5" t="str">
        <f>HYPERLINK("http://www.ncbi.nlm.nih.gov/protein/40789282","Col18a1")</f>
        <v>Col18a1</v>
      </c>
      <c r="B1367" s="4"/>
      <c r="C1367" s="3">
        <v>0</v>
      </c>
      <c r="D1367" s="3">
        <v>1219</v>
      </c>
      <c r="E1367" s="3">
        <v>1918</v>
      </c>
      <c r="F1367" s="3">
        <v>0</v>
      </c>
      <c r="G1367" s="3">
        <v>0</v>
      </c>
      <c r="H1367" s="2">
        <f t="shared" si="42"/>
        <v>3137</v>
      </c>
      <c r="I1367" t="str">
        <f t="shared" si="43"/>
        <v>Col18a1_3137</v>
      </c>
      <c r="J1367" s="3">
        <v>0</v>
      </c>
      <c r="K1367" s="3">
        <v>1219</v>
      </c>
      <c r="L1367" s="3">
        <v>1918</v>
      </c>
      <c r="M1367" s="3">
        <v>0</v>
      </c>
      <c r="N1367" s="3">
        <v>0</v>
      </c>
    </row>
    <row r="1368" spans="1:14" x14ac:dyDescent="0.2">
      <c r="A1368" s="5" t="str">
        <f>HYPERLINK("http://www.ncbi.nlm.nih.gov/protein/12963671","Col4a3bp")</f>
        <v>Col4a3bp</v>
      </c>
      <c r="B1368" s="4"/>
      <c r="C1368" s="3">
        <v>0</v>
      </c>
      <c r="D1368" s="3">
        <v>0</v>
      </c>
      <c r="E1368" s="3">
        <v>0</v>
      </c>
      <c r="F1368" s="3">
        <v>0</v>
      </c>
      <c r="G1368" s="3">
        <v>4112</v>
      </c>
      <c r="H1368" s="2">
        <f t="shared" si="42"/>
        <v>4112</v>
      </c>
      <c r="I1368" t="str">
        <f t="shared" si="43"/>
        <v>Col4a3bp_4112</v>
      </c>
      <c r="J1368" s="3">
        <v>0</v>
      </c>
      <c r="K1368" s="3">
        <v>0</v>
      </c>
      <c r="L1368" s="3">
        <v>0</v>
      </c>
      <c r="M1368" s="3">
        <v>0</v>
      </c>
      <c r="N1368" s="3">
        <v>4112</v>
      </c>
    </row>
    <row r="1369" spans="1:14" x14ac:dyDescent="0.2">
      <c r="A1369" s="5" t="str">
        <f>HYPERLINK("http://www.ncbi.nlm.nih.gov/protein/255982524","Col4a3bp")</f>
        <v>Col4a3bp</v>
      </c>
      <c r="B1369" s="4"/>
      <c r="C1369" s="3">
        <v>0</v>
      </c>
      <c r="D1369" s="3">
        <v>0</v>
      </c>
      <c r="E1369" s="3">
        <v>0</v>
      </c>
      <c r="F1369" s="3">
        <v>0</v>
      </c>
      <c r="G1369" s="3">
        <v>4112</v>
      </c>
      <c r="H1369" s="2">
        <f t="shared" si="42"/>
        <v>4112</v>
      </c>
      <c r="I1369" t="str">
        <f t="shared" si="43"/>
        <v>Col4a3bp_4112</v>
      </c>
      <c r="J1369" s="3">
        <v>0</v>
      </c>
      <c r="K1369" s="3">
        <v>0</v>
      </c>
      <c r="L1369" s="3">
        <v>0</v>
      </c>
      <c r="M1369" s="3">
        <v>0</v>
      </c>
      <c r="N1369" s="3">
        <v>4112</v>
      </c>
    </row>
    <row r="1370" spans="1:14" x14ac:dyDescent="0.2">
      <c r="A1370" s="5" t="str">
        <f>HYPERLINK("http://www.ncbi.nlm.nih.gov/protein/84452161","Commd1")</f>
        <v>Commd1</v>
      </c>
      <c r="B1370" s="4"/>
      <c r="C1370" s="3">
        <v>0</v>
      </c>
      <c r="D1370" s="3">
        <v>518</v>
      </c>
      <c r="E1370" s="3">
        <v>1261</v>
      </c>
      <c r="F1370" s="3">
        <v>5100</v>
      </c>
      <c r="G1370" s="3">
        <v>4359</v>
      </c>
      <c r="H1370" s="2">
        <f t="shared" si="42"/>
        <v>11238</v>
      </c>
      <c r="I1370" t="str">
        <f t="shared" si="43"/>
        <v>Commd1_11238</v>
      </c>
      <c r="J1370" s="3">
        <v>0</v>
      </c>
      <c r="K1370" s="3">
        <v>518</v>
      </c>
      <c r="L1370" s="3">
        <v>1261</v>
      </c>
      <c r="M1370" s="3">
        <v>5100</v>
      </c>
      <c r="N1370" s="3">
        <v>4359</v>
      </c>
    </row>
    <row r="1371" spans="1:14" x14ac:dyDescent="0.2">
      <c r="A1371" s="5" t="str">
        <f>HYPERLINK("http://www.ncbi.nlm.nih.gov/protein/30410016","Commd10")</f>
        <v>Commd10</v>
      </c>
      <c r="B1371" s="4"/>
      <c r="C1371" s="3">
        <v>0</v>
      </c>
      <c r="D1371" s="3">
        <v>470</v>
      </c>
      <c r="E1371" s="3">
        <v>717</v>
      </c>
      <c r="F1371" s="3">
        <v>3397</v>
      </c>
      <c r="G1371" s="3">
        <v>2945</v>
      </c>
      <c r="H1371" s="2">
        <f t="shared" si="42"/>
        <v>7529</v>
      </c>
      <c r="I1371" t="str">
        <f t="shared" si="43"/>
        <v>Commd10_7529</v>
      </c>
      <c r="J1371" s="3">
        <v>0</v>
      </c>
      <c r="K1371" s="3">
        <v>470</v>
      </c>
      <c r="L1371" s="3">
        <v>717</v>
      </c>
      <c r="M1371" s="3">
        <v>3397</v>
      </c>
      <c r="N1371" s="3">
        <v>2945</v>
      </c>
    </row>
    <row r="1372" spans="1:14" x14ac:dyDescent="0.2">
      <c r="A1372" s="5" t="str">
        <f>HYPERLINK("http://www.ncbi.nlm.nih.gov/protein/110626003","Commd2")</f>
        <v>Commd2</v>
      </c>
      <c r="B1372" s="4"/>
      <c r="C1372" s="3">
        <v>0</v>
      </c>
      <c r="D1372" s="3">
        <v>1380</v>
      </c>
      <c r="E1372" s="3">
        <v>1608</v>
      </c>
      <c r="F1372" s="3">
        <v>10297</v>
      </c>
      <c r="G1372" s="3">
        <v>7936</v>
      </c>
      <c r="H1372" s="2">
        <f t="shared" si="42"/>
        <v>21221</v>
      </c>
      <c r="I1372" t="str">
        <f t="shared" si="43"/>
        <v>Commd2_21221</v>
      </c>
      <c r="J1372" s="3">
        <v>0</v>
      </c>
      <c r="K1372" s="3">
        <v>1380</v>
      </c>
      <c r="L1372" s="3">
        <v>1608</v>
      </c>
      <c r="M1372" s="3">
        <v>10297</v>
      </c>
      <c r="N1372" s="3">
        <v>7936</v>
      </c>
    </row>
    <row r="1373" spans="1:14" x14ac:dyDescent="0.2">
      <c r="A1373" s="5" t="str">
        <f>HYPERLINK("http://www.ncbi.nlm.nih.gov/protein/22296603","Commd3")</f>
        <v>Commd3</v>
      </c>
      <c r="B1373" s="4"/>
      <c r="C1373" s="3">
        <v>732</v>
      </c>
      <c r="D1373" s="3">
        <v>1257</v>
      </c>
      <c r="E1373" s="3">
        <v>2196</v>
      </c>
      <c r="F1373" s="3">
        <v>6205</v>
      </c>
      <c r="G1373" s="3">
        <v>7786</v>
      </c>
      <c r="H1373" s="2">
        <f t="shared" si="42"/>
        <v>18176</v>
      </c>
      <c r="I1373" t="str">
        <f t="shared" si="43"/>
        <v>Commd3_18176</v>
      </c>
      <c r="J1373" s="3">
        <v>732</v>
      </c>
      <c r="K1373" s="3">
        <v>1257</v>
      </c>
      <c r="L1373" s="3">
        <v>2196</v>
      </c>
      <c r="M1373" s="3">
        <v>6205</v>
      </c>
      <c r="N1373" s="3">
        <v>7786</v>
      </c>
    </row>
    <row r="1374" spans="1:14" x14ac:dyDescent="0.2">
      <c r="A1374" s="5" t="str">
        <f>HYPERLINK("http://www.ncbi.nlm.nih.gov/protein/13384806","Commd4")</f>
        <v>Commd4</v>
      </c>
      <c r="B1374" s="4"/>
      <c r="C1374" s="3">
        <v>0</v>
      </c>
      <c r="D1374" s="3">
        <v>875</v>
      </c>
      <c r="E1374" s="3">
        <v>293</v>
      </c>
      <c r="F1374" s="3">
        <v>598</v>
      </c>
      <c r="G1374" s="3">
        <v>1788</v>
      </c>
      <c r="H1374" s="2">
        <f t="shared" si="42"/>
        <v>3554</v>
      </c>
      <c r="I1374" t="str">
        <f t="shared" si="43"/>
        <v>Commd4_3554</v>
      </c>
      <c r="J1374" s="3">
        <v>0</v>
      </c>
      <c r="K1374" s="3">
        <v>875</v>
      </c>
      <c r="L1374" s="3">
        <v>293</v>
      </c>
      <c r="M1374" s="3">
        <v>598</v>
      </c>
      <c r="N1374" s="3">
        <v>1788</v>
      </c>
    </row>
    <row r="1375" spans="1:14" x14ac:dyDescent="0.2">
      <c r="A1375" s="5" t="str">
        <f>HYPERLINK("http://www.ncbi.nlm.nih.gov/protein/21313478","Commd5")</f>
        <v>Commd5</v>
      </c>
      <c r="B1375" s="4"/>
      <c r="C1375" s="3">
        <v>0</v>
      </c>
      <c r="D1375" s="3">
        <v>1424</v>
      </c>
      <c r="E1375" s="3">
        <v>278</v>
      </c>
      <c r="F1375" s="3">
        <v>7948</v>
      </c>
      <c r="G1375" s="3">
        <v>1660</v>
      </c>
      <c r="H1375" s="2">
        <f t="shared" si="42"/>
        <v>11310</v>
      </c>
      <c r="I1375" t="str">
        <f t="shared" si="43"/>
        <v>Commd5_11310</v>
      </c>
      <c r="J1375" s="3">
        <v>0</v>
      </c>
      <c r="K1375" s="3">
        <v>1424</v>
      </c>
      <c r="L1375" s="3">
        <v>278</v>
      </c>
      <c r="M1375" s="3">
        <v>7948</v>
      </c>
      <c r="N1375" s="3">
        <v>1660</v>
      </c>
    </row>
    <row r="1376" spans="1:14" x14ac:dyDescent="0.2">
      <c r="A1376" s="5" t="str">
        <f>HYPERLINK("http://www.ncbi.nlm.nih.gov/protein/274319665","Commd6")</f>
        <v>Commd6</v>
      </c>
      <c r="B1376" s="4"/>
      <c r="C1376" s="3">
        <v>0</v>
      </c>
      <c r="D1376" s="3">
        <v>65</v>
      </c>
      <c r="E1376" s="3">
        <v>445</v>
      </c>
      <c r="F1376" s="3">
        <v>74</v>
      </c>
      <c r="G1376" s="3">
        <v>396</v>
      </c>
      <c r="H1376" s="2">
        <f t="shared" si="42"/>
        <v>980</v>
      </c>
      <c r="I1376" t="str">
        <f t="shared" si="43"/>
        <v>Commd6_980</v>
      </c>
      <c r="J1376" s="3">
        <v>0</v>
      </c>
      <c r="K1376" s="3">
        <v>65</v>
      </c>
      <c r="L1376" s="3">
        <v>445</v>
      </c>
      <c r="M1376" s="3">
        <v>74</v>
      </c>
      <c r="N1376" s="3">
        <v>396</v>
      </c>
    </row>
    <row r="1377" spans="1:14" x14ac:dyDescent="0.2">
      <c r="A1377" s="5" t="str">
        <f>HYPERLINK("http://www.ncbi.nlm.nih.gov/protein/84370278","Commd6")</f>
        <v>Commd6</v>
      </c>
      <c r="B1377" s="4"/>
      <c r="C1377" s="3">
        <v>0</v>
      </c>
      <c r="D1377" s="3">
        <v>65</v>
      </c>
      <c r="E1377" s="3">
        <v>473</v>
      </c>
      <c r="F1377" s="3">
        <v>74</v>
      </c>
      <c r="G1377" s="3">
        <v>471</v>
      </c>
      <c r="H1377" s="2">
        <f t="shared" si="42"/>
        <v>1083</v>
      </c>
      <c r="I1377" t="str">
        <f t="shared" si="43"/>
        <v>Commd6_1083</v>
      </c>
      <c r="J1377" s="3">
        <v>0</v>
      </c>
      <c r="K1377" s="3">
        <v>65</v>
      </c>
      <c r="L1377" s="3">
        <v>473</v>
      </c>
      <c r="M1377" s="3">
        <v>74</v>
      </c>
      <c r="N1377" s="3">
        <v>471</v>
      </c>
    </row>
    <row r="1378" spans="1:14" x14ac:dyDescent="0.2">
      <c r="A1378" s="5" t="str">
        <f>HYPERLINK("http://www.ncbi.nlm.nih.gov/protein/306035198","Commd7")</f>
        <v>Commd7</v>
      </c>
      <c r="B1378" s="4"/>
      <c r="C1378" s="3">
        <v>0</v>
      </c>
      <c r="D1378" s="3">
        <v>1232</v>
      </c>
      <c r="E1378" s="3">
        <v>979</v>
      </c>
      <c r="F1378" s="3">
        <v>10297</v>
      </c>
      <c r="G1378" s="3">
        <v>2592</v>
      </c>
      <c r="H1378" s="2">
        <f t="shared" si="42"/>
        <v>15100</v>
      </c>
      <c r="I1378" t="str">
        <f t="shared" si="43"/>
        <v>Commd7_15100</v>
      </c>
      <c r="J1378" s="3">
        <v>0</v>
      </c>
      <c r="K1378" s="3">
        <v>1232</v>
      </c>
      <c r="L1378" s="3">
        <v>979</v>
      </c>
      <c r="M1378" s="3">
        <v>10297</v>
      </c>
      <c r="N1378" s="3">
        <v>2592</v>
      </c>
    </row>
    <row r="1379" spans="1:14" x14ac:dyDescent="0.2">
      <c r="A1379" s="5" t="str">
        <f>HYPERLINK("http://www.ncbi.nlm.nih.gov/protein/306035200","Commd7")</f>
        <v>Commd7</v>
      </c>
      <c r="B1379" s="4"/>
      <c r="C1379" s="3">
        <v>0</v>
      </c>
      <c r="D1379" s="3">
        <v>1232</v>
      </c>
      <c r="E1379" s="3">
        <v>979</v>
      </c>
      <c r="F1379" s="3">
        <v>7711</v>
      </c>
      <c r="G1379" s="3">
        <v>2592</v>
      </c>
      <c r="H1379" s="2">
        <f t="shared" si="42"/>
        <v>12514</v>
      </c>
      <c r="I1379" t="str">
        <f t="shared" si="43"/>
        <v>Commd7_12514</v>
      </c>
      <c r="J1379" s="3">
        <v>0</v>
      </c>
      <c r="K1379" s="3">
        <v>1232</v>
      </c>
      <c r="L1379" s="3">
        <v>979</v>
      </c>
      <c r="M1379" s="3">
        <v>7711</v>
      </c>
      <c r="N1379" s="3">
        <v>2592</v>
      </c>
    </row>
    <row r="1380" spans="1:14" x14ac:dyDescent="0.2">
      <c r="A1380" s="5" t="str">
        <f>HYPERLINK("http://www.ncbi.nlm.nih.gov/protein/21313224","Commd9")</f>
        <v>Commd9</v>
      </c>
      <c r="B1380" s="4"/>
      <c r="C1380" s="3">
        <v>0</v>
      </c>
      <c r="D1380" s="3">
        <v>61</v>
      </c>
      <c r="E1380" s="3">
        <v>793</v>
      </c>
      <c r="F1380" s="3">
        <v>941</v>
      </c>
      <c r="G1380" s="3">
        <v>2517</v>
      </c>
      <c r="H1380" s="2">
        <f t="shared" si="42"/>
        <v>4312</v>
      </c>
      <c r="I1380" t="str">
        <f t="shared" si="43"/>
        <v>Commd9_4312</v>
      </c>
      <c r="J1380" s="3">
        <v>0</v>
      </c>
      <c r="K1380" s="3">
        <v>61</v>
      </c>
      <c r="L1380" s="3">
        <v>793</v>
      </c>
      <c r="M1380" s="3">
        <v>941</v>
      </c>
      <c r="N1380" s="3">
        <v>2517</v>
      </c>
    </row>
    <row r="1381" spans="1:14" x14ac:dyDescent="0.2">
      <c r="A1381" s="5" t="str">
        <f>HYPERLINK("http://www.ncbi.nlm.nih.gov/protein/161484634","Comt")</f>
        <v>Comt</v>
      </c>
      <c r="B1381" s="4"/>
      <c r="C1381" s="3">
        <v>8256</v>
      </c>
      <c r="D1381" s="3">
        <v>7156</v>
      </c>
      <c r="E1381" s="3">
        <v>6847</v>
      </c>
      <c r="F1381" s="3">
        <v>1744</v>
      </c>
      <c r="G1381" s="3">
        <v>41639</v>
      </c>
      <c r="H1381" s="2">
        <f t="shared" si="42"/>
        <v>65642</v>
      </c>
      <c r="I1381" t="str">
        <f t="shared" si="43"/>
        <v>Comt_65642</v>
      </c>
      <c r="J1381" s="3">
        <v>8256</v>
      </c>
      <c r="K1381" s="3">
        <v>7156</v>
      </c>
      <c r="L1381" s="3">
        <v>6847</v>
      </c>
      <c r="M1381" s="3">
        <v>1744</v>
      </c>
      <c r="N1381" s="3">
        <v>41639</v>
      </c>
    </row>
    <row r="1382" spans="1:14" x14ac:dyDescent="0.2">
      <c r="A1382" s="5" t="str">
        <f>HYPERLINK("http://www.ncbi.nlm.nih.gov/protein/33468999","Comtd1")</f>
        <v>Comtd1</v>
      </c>
      <c r="B1382" s="4"/>
      <c r="C1382" s="3">
        <v>4851</v>
      </c>
      <c r="D1382" s="3">
        <v>2252</v>
      </c>
      <c r="E1382" s="3">
        <v>306</v>
      </c>
      <c r="F1382" s="3">
        <v>0</v>
      </c>
      <c r="G1382" s="3">
        <v>0</v>
      </c>
      <c r="H1382" s="2">
        <f t="shared" si="42"/>
        <v>7409</v>
      </c>
      <c r="I1382" t="str">
        <f t="shared" si="43"/>
        <v>Comtd1_7409</v>
      </c>
      <c r="J1382" s="3">
        <v>4851</v>
      </c>
      <c r="K1382" s="3">
        <v>2252</v>
      </c>
      <c r="L1382" s="3">
        <v>306</v>
      </c>
      <c r="M1382" s="3">
        <v>0</v>
      </c>
      <c r="N1382" s="3">
        <v>0</v>
      </c>
    </row>
    <row r="1383" spans="1:14" x14ac:dyDescent="0.2">
      <c r="A1383" s="5" t="str">
        <f>HYPERLINK("http://www.ncbi.nlm.nih.gov/protein/226823359","Copa")</f>
        <v>Copa</v>
      </c>
      <c r="B1383" s="4"/>
      <c r="C1383" s="3">
        <v>32823</v>
      </c>
      <c r="D1383" s="3">
        <v>2355</v>
      </c>
      <c r="E1383" s="3">
        <v>28694</v>
      </c>
      <c r="F1383" s="3">
        <v>345562</v>
      </c>
      <c r="G1383" s="3">
        <v>44048</v>
      </c>
      <c r="H1383" s="2">
        <f t="shared" si="42"/>
        <v>453482</v>
      </c>
      <c r="I1383" t="str">
        <f t="shared" si="43"/>
        <v>Copa_453482</v>
      </c>
      <c r="J1383" s="3">
        <v>32823</v>
      </c>
      <c r="K1383" s="3">
        <v>2355</v>
      </c>
      <c r="L1383" s="3">
        <v>28694</v>
      </c>
      <c r="M1383" s="3">
        <v>345562</v>
      </c>
      <c r="N1383" s="3">
        <v>44048</v>
      </c>
    </row>
    <row r="1384" spans="1:14" x14ac:dyDescent="0.2">
      <c r="A1384" s="5" t="str">
        <f>HYPERLINK("http://www.ncbi.nlm.nih.gov/protein/15426055","Copb1")</f>
        <v>Copb1</v>
      </c>
      <c r="B1384" s="4"/>
      <c r="C1384" s="3">
        <v>63888</v>
      </c>
      <c r="D1384" s="3">
        <v>11172</v>
      </c>
      <c r="E1384" s="3">
        <v>18826</v>
      </c>
      <c r="F1384" s="3">
        <v>189807</v>
      </c>
      <c r="G1384" s="3">
        <v>10378</v>
      </c>
      <c r="H1384" s="2">
        <f t="shared" si="42"/>
        <v>294071</v>
      </c>
      <c r="I1384" t="str">
        <f t="shared" si="43"/>
        <v>Copb1_294071</v>
      </c>
      <c r="J1384" s="3">
        <v>63888</v>
      </c>
      <c r="K1384" s="3">
        <v>11172</v>
      </c>
      <c r="L1384" s="3">
        <v>18826</v>
      </c>
      <c r="M1384" s="3">
        <v>189807</v>
      </c>
      <c r="N1384" s="3">
        <v>10378</v>
      </c>
    </row>
    <row r="1385" spans="1:14" x14ac:dyDescent="0.2">
      <c r="A1385" s="5" t="str">
        <f>HYPERLINK("http://www.ncbi.nlm.nih.gov/protein/29789080","Copb2")</f>
        <v>Copb2</v>
      </c>
      <c r="B1385" s="4"/>
      <c r="C1385" s="3">
        <v>13766</v>
      </c>
      <c r="D1385" s="3">
        <v>15792</v>
      </c>
      <c r="E1385" s="3">
        <v>35174</v>
      </c>
      <c r="F1385" s="3">
        <v>181654</v>
      </c>
      <c r="G1385" s="3">
        <v>18602</v>
      </c>
      <c r="H1385" s="2">
        <f t="shared" si="42"/>
        <v>264988</v>
      </c>
      <c r="I1385" t="str">
        <f t="shared" si="43"/>
        <v>Copb2_264988</v>
      </c>
      <c r="J1385" s="3">
        <v>13766</v>
      </c>
      <c r="K1385" s="3">
        <v>15792</v>
      </c>
      <c r="L1385" s="3">
        <v>35174</v>
      </c>
      <c r="M1385" s="3">
        <v>181654</v>
      </c>
      <c r="N1385" s="3">
        <v>18602</v>
      </c>
    </row>
    <row r="1386" spans="1:14" x14ac:dyDescent="0.2">
      <c r="A1386" s="5" t="str">
        <f>HYPERLINK("http://www.ncbi.nlm.nih.gov/protein/10946972","Cope")</f>
        <v>Cope</v>
      </c>
      <c r="B1386" s="4"/>
      <c r="C1386" s="3">
        <v>11679</v>
      </c>
      <c r="D1386" s="3">
        <v>13356</v>
      </c>
      <c r="E1386" s="3">
        <v>2302</v>
      </c>
      <c r="F1386" s="3">
        <v>64363</v>
      </c>
      <c r="G1386" s="3">
        <v>9821</v>
      </c>
      <c r="H1386" s="2">
        <f t="shared" si="42"/>
        <v>101521</v>
      </c>
      <c r="I1386" t="str">
        <f t="shared" si="43"/>
        <v>Cope_101521</v>
      </c>
      <c r="J1386" s="3">
        <v>11679</v>
      </c>
      <c r="K1386" s="3">
        <v>13356</v>
      </c>
      <c r="L1386" s="3">
        <v>2302</v>
      </c>
      <c r="M1386" s="3">
        <v>64363</v>
      </c>
      <c r="N1386" s="3">
        <v>9821</v>
      </c>
    </row>
    <row r="1387" spans="1:14" x14ac:dyDescent="0.2">
      <c r="A1387" s="5" t="str">
        <f>HYPERLINK("http://www.ncbi.nlm.nih.gov/protein/47059163","Copg1")</f>
        <v>Copg1</v>
      </c>
      <c r="B1387" s="4"/>
      <c r="C1387" s="3">
        <v>0</v>
      </c>
      <c r="D1387" s="3">
        <v>520</v>
      </c>
      <c r="E1387" s="3">
        <v>1193</v>
      </c>
      <c r="F1387" s="3">
        <v>16502</v>
      </c>
      <c r="G1387" s="3">
        <v>7529</v>
      </c>
      <c r="H1387" s="2">
        <f t="shared" si="42"/>
        <v>25744</v>
      </c>
      <c r="I1387" t="str">
        <f t="shared" si="43"/>
        <v>Copg1_25744</v>
      </c>
      <c r="J1387" s="3">
        <v>0</v>
      </c>
      <c r="K1387" s="3">
        <v>520</v>
      </c>
      <c r="L1387" s="3">
        <v>1193</v>
      </c>
      <c r="M1387" s="3">
        <v>16502</v>
      </c>
      <c r="N1387" s="3">
        <v>7529</v>
      </c>
    </row>
    <row r="1388" spans="1:14" x14ac:dyDescent="0.2">
      <c r="A1388" s="5" t="str">
        <f>HYPERLINK("http://www.ncbi.nlm.nih.gov/protein/8567338","Copg1")</f>
        <v>Copg1</v>
      </c>
      <c r="B1388" s="4"/>
      <c r="C1388" s="3">
        <v>21601</v>
      </c>
      <c r="D1388" s="3">
        <v>5075</v>
      </c>
      <c r="E1388" s="3">
        <v>8057</v>
      </c>
      <c r="F1388" s="3">
        <v>128112</v>
      </c>
      <c r="G1388" s="3">
        <v>11438</v>
      </c>
      <c r="H1388" s="2">
        <f t="shared" si="42"/>
        <v>174283</v>
      </c>
      <c r="I1388" t="str">
        <f t="shared" si="43"/>
        <v>Copg1_174283</v>
      </c>
      <c r="J1388" s="3">
        <v>21601</v>
      </c>
      <c r="K1388" s="3">
        <v>5075</v>
      </c>
      <c r="L1388" s="3">
        <v>8057</v>
      </c>
      <c r="M1388" s="3">
        <v>128112</v>
      </c>
      <c r="N1388" s="3">
        <v>11438</v>
      </c>
    </row>
    <row r="1389" spans="1:14" x14ac:dyDescent="0.2">
      <c r="A1389" s="5" t="str">
        <f>HYPERLINK("http://www.ncbi.nlm.nih.gov/protein/8567340","Copg2")</f>
        <v>Copg2</v>
      </c>
      <c r="B1389" s="4"/>
      <c r="C1389" s="3">
        <v>17995</v>
      </c>
      <c r="D1389" s="3">
        <v>4651</v>
      </c>
      <c r="E1389" s="3">
        <v>8748</v>
      </c>
      <c r="F1389" s="3">
        <v>60434</v>
      </c>
      <c r="G1389" s="3">
        <v>4841</v>
      </c>
      <c r="H1389" s="2">
        <f t="shared" si="42"/>
        <v>96669</v>
      </c>
      <c r="I1389" t="str">
        <f t="shared" si="43"/>
        <v>Copg2_96669</v>
      </c>
      <c r="J1389" s="3">
        <v>17995</v>
      </c>
      <c r="K1389" s="3">
        <v>4651</v>
      </c>
      <c r="L1389" s="3">
        <v>8748</v>
      </c>
      <c r="M1389" s="3">
        <v>60434</v>
      </c>
      <c r="N1389" s="3">
        <v>4841</v>
      </c>
    </row>
    <row r="1390" spans="1:14" x14ac:dyDescent="0.2">
      <c r="A1390" s="5" t="str">
        <f>HYPERLINK("http://www.ncbi.nlm.nih.gov/protein/70909327","Cops2")</f>
        <v>Cops2</v>
      </c>
      <c r="B1390" s="4"/>
      <c r="C1390" s="3">
        <v>0</v>
      </c>
      <c r="D1390" s="3">
        <v>1756</v>
      </c>
      <c r="E1390" s="3">
        <v>253</v>
      </c>
      <c r="F1390" s="3">
        <v>99103</v>
      </c>
      <c r="G1390" s="3">
        <v>19716</v>
      </c>
      <c r="H1390" s="2">
        <f t="shared" si="42"/>
        <v>120828</v>
      </c>
      <c r="I1390" t="str">
        <f t="shared" si="43"/>
        <v>Cops2_120828</v>
      </c>
      <c r="J1390" s="3">
        <v>0</v>
      </c>
      <c r="K1390" s="3">
        <v>1756</v>
      </c>
      <c r="L1390" s="3">
        <v>253</v>
      </c>
      <c r="M1390" s="3">
        <v>99103</v>
      </c>
      <c r="N1390" s="3">
        <v>19716</v>
      </c>
    </row>
    <row r="1391" spans="1:14" x14ac:dyDescent="0.2">
      <c r="A1391" s="5" t="str">
        <f>HYPERLINK("http://www.ncbi.nlm.nih.gov/protein/6753488","Cops3")</f>
        <v>Cops3</v>
      </c>
      <c r="B1391" s="4"/>
      <c r="C1391" s="3">
        <v>0</v>
      </c>
      <c r="D1391" s="3">
        <v>789</v>
      </c>
      <c r="E1391" s="3">
        <v>2726</v>
      </c>
      <c r="F1391" s="3">
        <v>67326</v>
      </c>
      <c r="G1391" s="3">
        <v>22533</v>
      </c>
      <c r="H1391" s="2">
        <f t="shared" si="42"/>
        <v>93374</v>
      </c>
      <c r="I1391" t="str">
        <f t="shared" si="43"/>
        <v>Cops3_93374</v>
      </c>
      <c r="J1391" s="3">
        <v>0</v>
      </c>
      <c r="K1391" s="3">
        <v>789</v>
      </c>
      <c r="L1391" s="3">
        <v>2726</v>
      </c>
      <c r="M1391" s="3">
        <v>67326</v>
      </c>
      <c r="N1391" s="3">
        <v>22533</v>
      </c>
    </row>
    <row r="1392" spans="1:14" x14ac:dyDescent="0.2">
      <c r="A1392" s="5" t="str">
        <f>HYPERLINK("http://www.ncbi.nlm.nih.gov/protein/6753490","Cops4")</f>
        <v>Cops4</v>
      </c>
      <c r="B1392" s="4"/>
      <c r="C1392" s="3">
        <v>0</v>
      </c>
      <c r="D1392" s="3">
        <v>5958</v>
      </c>
      <c r="E1392" s="3">
        <v>5688</v>
      </c>
      <c r="F1392" s="3">
        <v>132917</v>
      </c>
      <c r="G1392" s="3">
        <v>90913</v>
      </c>
      <c r="H1392" s="2">
        <f t="shared" si="42"/>
        <v>235476</v>
      </c>
      <c r="I1392" t="str">
        <f t="shared" si="43"/>
        <v>Cops4_235476</v>
      </c>
      <c r="J1392" s="3">
        <v>0</v>
      </c>
      <c r="K1392" s="3">
        <v>5958</v>
      </c>
      <c r="L1392" s="3">
        <v>5688</v>
      </c>
      <c r="M1392" s="3">
        <v>132917</v>
      </c>
      <c r="N1392" s="3">
        <v>90913</v>
      </c>
    </row>
    <row r="1393" spans="1:14" x14ac:dyDescent="0.2">
      <c r="A1393" s="5" t="str">
        <f>HYPERLINK("http://www.ncbi.nlm.nih.gov/protein/459447369","Cops5")</f>
        <v>Cops5</v>
      </c>
      <c r="B1393" s="4"/>
      <c r="C1393" s="3">
        <v>0</v>
      </c>
      <c r="D1393" s="3">
        <v>2545</v>
      </c>
      <c r="E1393" s="3">
        <v>594</v>
      </c>
      <c r="F1393" s="3">
        <v>0</v>
      </c>
      <c r="G1393" s="3">
        <v>0</v>
      </c>
      <c r="H1393" s="2">
        <f t="shared" si="42"/>
        <v>3139</v>
      </c>
      <c r="I1393" t="str">
        <f t="shared" si="43"/>
        <v>Cops5_3139</v>
      </c>
      <c r="J1393" s="3">
        <v>0</v>
      </c>
      <c r="K1393" s="3">
        <v>2545</v>
      </c>
      <c r="L1393" s="3">
        <v>594</v>
      </c>
      <c r="M1393" s="3">
        <v>0</v>
      </c>
      <c r="N1393" s="3">
        <v>0</v>
      </c>
    </row>
    <row r="1394" spans="1:14" x14ac:dyDescent="0.2">
      <c r="A1394" s="5" t="str">
        <f>HYPERLINK("http://www.ncbi.nlm.nih.gov/protein/7304971","Cops5")</f>
        <v>Cops5</v>
      </c>
      <c r="B1394" s="4"/>
      <c r="C1394" s="3">
        <v>0</v>
      </c>
      <c r="D1394" s="3">
        <v>3580</v>
      </c>
      <c r="E1394" s="3">
        <v>3126</v>
      </c>
      <c r="F1394" s="3">
        <v>69184</v>
      </c>
      <c r="G1394" s="3">
        <v>16161</v>
      </c>
      <c r="H1394" s="2">
        <f t="shared" si="42"/>
        <v>92051</v>
      </c>
      <c r="I1394" t="str">
        <f t="shared" si="43"/>
        <v>Cops5_92051</v>
      </c>
      <c r="J1394" s="3">
        <v>0</v>
      </c>
      <c r="K1394" s="3">
        <v>3580</v>
      </c>
      <c r="L1394" s="3">
        <v>3126</v>
      </c>
      <c r="M1394" s="3">
        <v>69184</v>
      </c>
      <c r="N1394" s="3">
        <v>16161</v>
      </c>
    </row>
    <row r="1395" spans="1:14" x14ac:dyDescent="0.2">
      <c r="A1395" s="5" t="str">
        <f>HYPERLINK("http://www.ncbi.nlm.nih.gov/protein/33563284","Cops6")</f>
        <v>Cops6</v>
      </c>
      <c r="B1395" s="4"/>
      <c r="C1395" s="3">
        <v>0</v>
      </c>
      <c r="D1395" s="3">
        <v>3639</v>
      </c>
      <c r="E1395" s="3">
        <v>2365</v>
      </c>
      <c r="F1395" s="3">
        <v>43072</v>
      </c>
      <c r="G1395" s="3">
        <v>30019</v>
      </c>
      <c r="H1395" s="2">
        <f t="shared" si="42"/>
        <v>79095</v>
      </c>
      <c r="I1395" t="str">
        <f t="shared" si="43"/>
        <v>Cops6_79095</v>
      </c>
      <c r="J1395" s="3">
        <v>0</v>
      </c>
      <c r="K1395" s="3">
        <v>3639</v>
      </c>
      <c r="L1395" s="3">
        <v>2365</v>
      </c>
      <c r="M1395" s="3">
        <v>43072</v>
      </c>
      <c r="N1395" s="3">
        <v>30019</v>
      </c>
    </row>
    <row r="1396" spans="1:14" x14ac:dyDescent="0.2">
      <c r="A1396" s="5" t="str">
        <f>HYPERLINK("http://www.ncbi.nlm.nih.gov/protein/255760052","Cops7a")</f>
        <v>Cops7a</v>
      </c>
      <c r="B1396" s="4"/>
      <c r="C1396" s="3">
        <v>0</v>
      </c>
      <c r="D1396" s="3">
        <v>2100</v>
      </c>
      <c r="E1396" s="3">
        <v>2066</v>
      </c>
      <c r="F1396" s="3">
        <v>25809</v>
      </c>
      <c r="G1396" s="3">
        <v>17328</v>
      </c>
      <c r="H1396" s="2">
        <f t="shared" si="42"/>
        <v>47303</v>
      </c>
      <c r="I1396" t="str">
        <f t="shared" si="43"/>
        <v>Cops7a_47303</v>
      </c>
      <c r="J1396" s="3">
        <v>0</v>
      </c>
      <c r="K1396" s="3">
        <v>2100</v>
      </c>
      <c r="L1396" s="3">
        <v>2066</v>
      </c>
      <c r="M1396" s="3">
        <v>25809</v>
      </c>
      <c r="N1396" s="3">
        <v>17328</v>
      </c>
    </row>
    <row r="1397" spans="1:14" x14ac:dyDescent="0.2">
      <c r="A1397" s="5" t="str">
        <f>HYPERLINK("http://www.ncbi.nlm.nih.gov/protein/7242142","Cops7a")</f>
        <v>Cops7a</v>
      </c>
      <c r="B1397" s="4"/>
      <c r="C1397" s="3">
        <v>0</v>
      </c>
      <c r="D1397" s="3">
        <v>2100</v>
      </c>
      <c r="E1397" s="3">
        <v>2066</v>
      </c>
      <c r="F1397" s="3">
        <v>33896</v>
      </c>
      <c r="G1397" s="3">
        <v>17328</v>
      </c>
      <c r="H1397" s="2">
        <f t="shared" si="42"/>
        <v>55390</v>
      </c>
      <c r="I1397" t="str">
        <f t="shared" si="43"/>
        <v>Cops7a_55390</v>
      </c>
      <c r="J1397" s="3">
        <v>0</v>
      </c>
      <c r="K1397" s="3">
        <v>2100</v>
      </c>
      <c r="L1397" s="3">
        <v>2066</v>
      </c>
      <c r="M1397" s="3">
        <v>33896</v>
      </c>
      <c r="N1397" s="3">
        <v>17328</v>
      </c>
    </row>
    <row r="1398" spans="1:14" x14ac:dyDescent="0.2">
      <c r="A1398" s="5" t="str">
        <f>HYPERLINK("http://www.ncbi.nlm.nih.gov/protein/27764886","Cops7b")</f>
        <v>Cops7b</v>
      </c>
      <c r="B1398" s="4"/>
      <c r="C1398" s="3">
        <v>0</v>
      </c>
      <c r="D1398" s="3">
        <v>102</v>
      </c>
      <c r="E1398" s="3">
        <v>0</v>
      </c>
      <c r="F1398" s="3">
        <v>6360</v>
      </c>
      <c r="G1398" s="3">
        <v>2367</v>
      </c>
      <c r="H1398" s="2">
        <f t="shared" si="42"/>
        <v>8829</v>
      </c>
      <c r="I1398" t="str">
        <f t="shared" si="43"/>
        <v>Cops7b_8829</v>
      </c>
      <c r="J1398" s="3">
        <v>0</v>
      </c>
      <c r="K1398" s="3">
        <v>102</v>
      </c>
      <c r="L1398" s="3">
        <v>0</v>
      </c>
      <c r="M1398" s="3">
        <v>6360</v>
      </c>
      <c r="N1398" s="3">
        <v>2367</v>
      </c>
    </row>
    <row r="1399" spans="1:14" x14ac:dyDescent="0.2">
      <c r="A1399" s="5" t="str">
        <f>HYPERLINK("http://www.ncbi.nlm.nih.gov/protein/114158691","Cops8")</f>
        <v>Cops8</v>
      </c>
      <c r="B1399" s="4"/>
      <c r="C1399" s="3">
        <v>1410</v>
      </c>
      <c r="D1399" s="3">
        <v>2367</v>
      </c>
      <c r="E1399" s="3">
        <v>1253</v>
      </c>
      <c r="F1399" s="3">
        <v>18057</v>
      </c>
      <c r="G1399" s="3">
        <v>10795</v>
      </c>
      <c r="H1399" s="2">
        <f t="shared" si="42"/>
        <v>33882</v>
      </c>
      <c r="I1399" t="str">
        <f t="shared" si="43"/>
        <v>Cops8_33882</v>
      </c>
      <c r="J1399" s="3">
        <v>1410</v>
      </c>
      <c r="K1399" s="3">
        <v>2367</v>
      </c>
      <c r="L1399" s="3">
        <v>1253</v>
      </c>
      <c r="M1399" s="3">
        <v>18057</v>
      </c>
      <c r="N1399" s="3">
        <v>10795</v>
      </c>
    </row>
    <row r="1400" spans="1:14" x14ac:dyDescent="0.2">
      <c r="A1400" s="5" t="str">
        <f>HYPERLINK("http://www.ncbi.nlm.nih.gov/protein/9789913","Copz1")</f>
        <v>Copz1</v>
      </c>
      <c r="B1400" s="4"/>
      <c r="C1400" s="3">
        <v>11295</v>
      </c>
      <c r="D1400" s="3">
        <v>4221</v>
      </c>
      <c r="E1400" s="3">
        <v>2325</v>
      </c>
      <c r="F1400" s="3">
        <v>19072</v>
      </c>
      <c r="G1400" s="3">
        <v>25242</v>
      </c>
      <c r="H1400" s="2">
        <f t="shared" si="42"/>
        <v>62155</v>
      </c>
      <c r="I1400" t="str">
        <f t="shared" si="43"/>
        <v>Copz1_62155</v>
      </c>
      <c r="J1400" s="3">
        <v>11295</v>
      </c>
      <c r="K1400" s="3">
        <v>4221</v>
      </c>
      <c r="L1400" s="3">
        <v>2325</v>
      </c>
      <c r="M1400" s="3">
        <v>19072</v>
      </c>
      <c r="N1400" s="3">
        <v>25242</v>
      </c>
    </row>
    <row r="1401" spans="1:14" x14ac:dyDescent="0.2">
      <c r="A1401" s="5" t="str">
        <f>HYPERLINK("http://www.ncbi.nlm.nih.gov/protein/9845242","Copz2")</f>
        <v>Copz2</v>
      </c>
      <c r="B1401" s="4"/>
      <c r="C1401" s="3">
        <v>0</v>
      </c>
      <c r="D1401" s="3">
        <v>0</v>
      </c>
      <c r="E1401" s="3">
        <v>54</v>
      </c>
      <c r="F1401" s="3">
        <v>90</v>
      </c>
      <c r="G1401" s="3">
        <v>1349</v>
      </c>
      <c r="H1401" s="2">
        <f t="shared" si="42"/>
        <v>1493</v>
      </c>
      <c r="I1401" t="str">
        <f t="shared" si="43"/>
        <v>Copz2_1493</v>
      </c>
      <c r="J1401" s="3">
        <v>0</v>
      </c>
      <c r="K1401" s="3">
        <v>0</v>
      </c>
      <c r="L1401" s="3">
        <v>54</v>
      </c>
      <c r="M1401" s="3">
        <v>90</v>
      </c>
      <c r="N1401" s="3">
        <v>1349</v>
      </c>
    </row>
    <row r="1402" spans="1:14" x14ac:dyDescent="0.2">
      <c r="A1402" s="5" t="str">
        <f>HYPERLINK("http://www.ncbi.nlm.nih.gov/protein/27369992","Coq3")</f>
        <v>Coq3</v>
      </c>
      <c r="B1402" s="4"/>
      <c r="C1402" s="3">
        <v>0</v>
      </c>
      <c r="D1402" s="3">
        <v>1025</v>
      </c>
      <c r="E1402" s="3">
        <v>0</v>
      </c>
      <c r="F1402" s="3">
        <v>0</v>
      </c>
      <c r="G1402" s="3">
        <v>0</v>
      </c>
      <c r="H1402" s="2">
        <f t="shared" si="42"/>
        <v>1025</v>
      </c>
      <c r="I1402" t="str">
        <f t="shared" si="43"/>
        <v>Coq3_1025</v>
      </c>
      <c r="J1402" s="3">
        <v>0</v>
      </c>
      <c r="K1402" s="3">
        <v>1025</v>
      </c>
      <c r="L1402" s="3">
        <v>0</v>
      </c>
      <c r="M1402" s="3">
        <v>0</v>
      </c>
      <c r="N1402" s="3">
        <v>0</v>
      </c>
    </row>
    <row r="1403" spans="1:14" x14ac:dyDescent="0.2">
      <c r="A1403" s="5" t="str">
        <f>HYPERLINK("http://www.ncbi.nlm.nih.gov/protein/30520093","Coq4")</f>
        <v>Coq4</v>
      </c>
      <c r="B1403" s="4"/>
      <c r="C1403" s="3">
        <v>0</v>
      </c>
      <c r="D1403" s="3">
        <v>236</v>
      </c>
      <c r="E1403" s="3">
        <v>0</v>
      </c>
      <c r="F1403" s="3">
        <v>0</v>
      </c>
      <c r="G1403" s="3">
        <v>0</v>
      </c>
      <c r="H1403" s="2">
        <f t="shared" si="42"/>
        <v>236</v>
      </c>
      <c r="I1403" t="str">
        <f t="shared" si="43"/>
        <v>Coq4_236</v>
      </c>
      <c r="J1403" s="3">
        <v>0</v>
      </c>
      <c r="K1403" s="3">
        <v>236</v>
      </c>
      <c r="L1403" s="3">
        <v>0</v>
      </c>
      <c r="M1403" s="3">
        <v>0</v>
      </c>
      <c r="N1403" s="3">
        <v>0</v>
      </c>
    </row>
    <row r="1404" spans="1:14" x14ac:dyDescent="0.2">
      <c r="A1404" s="5" t="str">
        <f>HYPERLINK("http://www.ncbi.nlm.nih.gov/protein/13385992","Coq5")</f>
        <v>Coq5</v>
      </c>
      <c r="B1404" s="4"/>
      <c r="C1404" s="3">
        <v>0</v>
      </c>
      <c r="D1404" s="3">
        <v>213</v>
      </c>
      <c r="E1404" s="3">
        <v>0</v>
      </c>
      <c r="F1404" s="3">
        <v>0</v>
      </c>
      <c r="G1404" s="3">
        <v>0</v>
      </c>
      <c r="H1404" s="2">
        <f t="shared" si="42"/>
        <v>213</v>
      </c>
      <c r="I1404" t="str">
        <f t="shared" si="43"/>
        <v>Coq5_213</v>
      </c>
      <c r="J1404" s="3">
        <v>0</v>
      </c>
      <c r="K1404" s="3">
        <v>213</v>
      </c>
      <c r="L1404" s="3">
        <v>0</v>
      </c>
      <c r="M1404" s="3">
        <v>0</v>
      </c>
      <c r="N1404" s="3">
        <v>0</v>
      </c>
    </row>
    <row r="1405" spans="1:14" x14ac:dyDescent="0.2">
      <c r="A1405" s="5" t="str">
        <f>HYPERLINK("http://www.ncbi.nlm.nih.gov/protein/283135186","Coq6")</f>
        <v>Coq6</v>
      </c>
      <c r="B1405" s="4"/>
      <c r="C1405" s="3">
        <v>0</v>
      </c>
      <c r="D1405" s="3">
        <v>0</v>
      </c>
      <c r="E1405" s="3">
        <v>18</v>
      </c>
      <c r="F1405" s="3">
        <v>0</v>
      </c>
      <c r="G1405" s="3">
        <v>0</v>
      </c>
      <c r="H1405" s="2">
        <f t="shared" si="42"/>
        <v>18</v>
      </c>
      <c r="I1405" t="str">
        <f t="shared" si="43"/>
        <v>Coq6_18</v>
      </c>
      <c r="J1405" s="3">
        <v>0</v>
      </c>
      <c r="K1405" s="3">
        <v>0</v>
      </c>
      <c r="L1405" s="3">
        <v>18</v>
      </c>
      <c r="M1405" s="3">
        <v>0</v>
      </c>
      <c r="N1405" s="3">
        <v>0</v>
      </c>
    </row>
    <row r="1406" spans="1:14" x14ac:dyDescent="0.2">
      <c r="A1406" s="5" t="str">
        <f>HYPERLINK("http://www.ncbi.nlm.nih.gov/protein/20587962","Coq7")</f>
        <v>Coq7</v>
      </c>
      <c r="B1406" s="4"/>
      <c r="C1406" s="3">
        <v>0</v>
      </c>
      <c r="D1406" s="3">
        <v>117</v>
      </c>
      <c r="E1406" s="3">
        <v>0</v>
      </c>
      <c r="F1406" s="3">
        <v>0</v>
      </c>
      <c r="G1406" s="3">
        <v>0</v>
      </c>
      <c r="H1406" s="2">
        <f t="shared" si="42"/>
        <v>117</v>
      </c>
      <c r="I1406" t="str">
        <f t="shared" si="43"/>
        <v>Coq7_117</v>
      </c>
      <c r="J1406" s="3">
        <v>0</v>
      </c>
      <c r="K1406" s="3">
        <v>117</v>
      </c>
      <c r="L1406" s="3">
        <v>0</v>
      </c>
      <c r="M1406" s="3">
        <v>0</v>
      </c>
      <c r="N1406" s="3">
        <v>0</v>
      </c>
    </row>
    <row r="1407" spans="1:14" x14ac:dyDescent="0.2">
      <c r="A1407" s="5" t="str">
        <f>HYPERLINK("http://www.ncbi.nlm.nih.gov/protein/33859690","Coq9")</f>
        <v>Coq9</v>
      </c>
      <c r="B1407" s="4"/>
      <c r="C1407" s="3">
        <v>6133</v>
      </c>
      <c r="D1407" s="3">
        <v>739</v>
      </c>
      <c r="E1407" s="3">
        <v>0</v>
      </c>
      <c r="F1407" s="3">
        <v>0</v>
      </c>
      <c r="G1407" s="3">
        <v>311</v>
      </c>
      <c r="H1407" s="2">
        <f t="shared" si="42"/>
        <v>7183</v>
      </c>
      <c r="I1407" t="str">
        <f t="shared" si="43"/>
        <v>Coq9_7183</v>
      </c>
      <c r="J1407" s="3">
        <v>6133</v>
      </c>
      <c r="K1407" s="3">
        <v>739</v>
      </c>
      <c r="L1407" s="3">
        <v>0</v>
      </c>
      <c r="M1407" s="3">
        <v>0</v>
      </c>
      <c r="N1407" s="3">
        <v>311</v>
      </c>
    </row>
    <row r="1408" spans="1:14" x14ac:dyDescent="0.2">
      <c r="A1408" s="5" t="str">
        <f>HYPERLINK("http://www.ncbi.nlm.nih.gov/protein/6753494","Coro1b")</f>
        <v>Coro1b</v>
      </c>
      <c r="B1408" s="4"/>
      <c r="C1408" s="3">
        <v>25702</v>
      </c>
      <c r="D1408" s="3">
        <v>5380</v>
      </c>
      <c r="E1408" s="3">
        <v>21353</v>
      </c>
      <c r="F1408" s="3">
        <v>82862</v>
      </c>
      <c r="G1408" s="3">
        <v>127497</v>
      </c>
      <c r="H1408" s="2">
        <f t="shared" si="42"/>
        <v>262794</v>
      </c>
      <c r="I1408" t="str">
        <f t="shared" si="43"/>
        <v>Coro1b_262794</v>
      </c>
      <c r="J1408" s="3">
        <v>25702</v>
      </c>
      <c r="K1408" s="3">
        <v>5380</v>
      </c>
      <c r="L1408" s="3">
        <v>21353</v>
      </c>
      <c r="M1408" s="3">
        <v>82862</v>
      </c>
      <c r="N1408" s="3">
        <v>127497</v>
      </c>
    </row>
    <row r="1409" spans="1:14" x14ac:dyDescent="0.2">
      <c r="A1409" s="5" t="str">
        <f>HYPERLINK("http://www.ncbi.nlm.nih.gov/protein/31542413","Coro1c")</f>
        <v>Coro1c</v>
      </c>
      <c r="B1409" s="4"/>
      <c r="C1409" s="3">
        <v>3368</v>
      </c>
      <c r="D1409" s="3">
        <v>2207</v>
      </c>
      <c r="E1409" s="3">
        <v>2691</v>
      </c>
      <c r="F1409" s="3">
        <v>4617</v>
      </c>
      <c r="G1409" s="3">
        <v>5044</v>
      </c>
      <c r="H1409" s="2">
        <f t="shared" si="42"/>
        <v>17927</v>
      </c>
      <c r="I1409" t="str">
        <f t="shared" si="43"/>
        <v>Coro1c_17927</v>
      </c>
      <c r="J1409" s="3">
        <v>3368</v>
      </c>
      <c r="K1409" s="3">
        <v>2207</v>
      </c>
      <c r="L1409" s="3">
        <v>2691</v>
      </c>
      <c r="M1409" s="3">
        <v>4617</v>
      </c>
      <c r="N1409" s="3">
        <v>5044</v>
      </c>
    </row>
    <row r="1410" spans="1:14" x14ac:dyDescent="0.2">
      <c r="A1410" s="5" t="str">
        <f>HYPERLINK("http://www.ncbi.nlm.nih.gov/protein/258645152","Coro2a")</f>
        <v>Coro2a</v>
      </c>
      <c r="B1410" s="4"/>
      <c r="C1410" s="3">
        <v>0</v>
      </c>
      <c r="D1410" s="3">
        <v>265</v>
      </c>
      <c r="E1410" s="3">
        <v>1335</v>
      </c>
      <c r="F1410" s="3">
        <v>6819</v>
      </c>
      <c r="G1410" s="3">
        <v>0</v>
      </c>
      <c r="H1410" s="2">
        <f t="shared" ref="H1410:H1473" si="44">SUM(C1410:G1410)</f>
        <v>8419</v>
      </c>
      <c r="I1410" t="str">
        <f t="shared" ref="I1410:I1473" si="45">A1410&amp;"_"&amp;H1410</f>
        <v>Coro2a_8419</v>
      </c>
      <c r="J1410" s="3">
        <v>0</v>
      </c>
      <c r="K1410" s="3">
        <v>265</v>
      </c>
      <c r="L1410" s="3">
        <v>1335</v>
      </c>
      <c r="M1410" s="3">
        <v>6819</v>
      </c>
      <c r="N1410" s="3">
        <v>0</v>
      </c>
    </row>
    <row r="1411" spans="1:14" x14ac:dyDescent="0.2">
      <c r="A1411" s="5" t="str">
        <f>HYPERLINK("http://www.ncbi.nlm.nih.gov/protein/404501474","Coro2a")</f>
        <v>Coro2a</v>
      </c>
      <c r="B1411" s="4"/>
      <c r="C1411" s="3">
        <v>0</v>
      </c>
      <c r="D1411" s="3">
        <v>265</v>
      </c>
      <c r="E1411" s="3">
        <v>1335</v>
      </c>
      <c r="F1411" s="3">
        <v>6819</v>
      </c>
      <c r="G1411" s="3">
        <v>0</v>
      </c>
      <c r="H1411" s="2">
        <f t="shared" si="44"/>
        <v>8419</v>
      </c>
      <c r="I1411" t="str">
        <f t="shared" si="45"/>
        <v>Coro2a_8419</v>
      </c>
      <c r="J1411" s="3">
        <v>0</v>
      </c>
      <c r="K1411" s="3">
        <v>265</v>
      </c>
      <c r="L1411" s="3">
        <v>1335</v>
      </c>
      <c r="M1411" s="3">
        <v>6819</v>
      </c>
      <c r="N1411" s="3">
        <v>0</v>
      </c>
    </row>
    <row r="1412" spans="1:14" x14ac:dyDescent="0.2">
      <c r="A1412" s="5" t="str">
        <f>HYPERLINK("http://www.ncbi.nlm.nih.gov/protein/148747331","Coro7")</f>
        <v>Coro7</v>
      </c>
      <c r="B1412" s="4"/>
      <c r="C1412" s="3">
        <v>0</v>
      </c>
      <c r="D1412" s="3">
        <v>194</v>
      </c>
      <c r="E1412" s="3">
        <v>1485</v>
      </c>
      <c r="F1412" s="3">
        <v>5525</v>
      </c>
      <c r="G1412" s="3">
        <v>33596</v>
      </c>
      <c r="H1412" s="2">
        <f t="shared" si="44"/>
        <v>40800</v>
      </c>
      <c r="I1412" t="str">
        <f t="shared" si="45"/>
        <v>Coro7_40800</v>
      </c>
      <c r="J1412" s="3">
        <v>0</v>
      </c>
      <c r="K1412" s="3">
        <v>194</v>
      </c>
      <c r="L1412" s="3">
        <v>1485</v>
      </c>
      <c r="M1412" s="3">
        <v>5525</v>
      </c>
      <c r="N1412" s="3">
        <v>33596</v>
      </c>
    </row>
    <row r="1413" spans="1:14" x14ac:dyDescent="0.2">
      <c r="A1413" s="5" t="str">
        <f>HYPERLINK("http://www.ncbi.nlm.nih.gov/protein/19482160","Cotl1")</f>
        <v>Cotl1</v>
      </c>
      <c r="B1413" s="4"/>
      <c r="C1413" s="3">
        <v>0</v>
      </c>
      <c r="D1413" s="3">
        <v>582</v>
      </c>
      <c r="E1413" s="3">
        <v>2571</v>
      </c>
      <c r="F1413" s="3">
        <v>753</v>
      </c>
      <c r="G1413" s="3">
        <v>39261</v>
      </c>
      <c r="H1413" s="2">
        <f t="shared" si="44"/>
        <v>43167</v>
      </c>
      <c r="I1413" t="str">
        <f t="shared" si="45"/>
        <v>Cotl1_43167</v>
      </c>
      <c r="J1413" s="3">
        <v>0</v>
      </c>
      <c r="K1413" s="3">
        <v>582</v>
      </c>
      <c r="L1413" s="3">
        <v>2571</v>
      </c>
      <c r="M1413" s="3">
        <v>753</v>
      </c>
      <c r="N1413" s="3">
        <v>39261</v>
      </c>
    </row>
    <row r="1414" spans="1:14" x14ac:dyDescent="0.2">
      <c r="A1414" s="5" t="str">
        <f>HYPERLINK("http://www.ncbi.nlm.nih.gov/protein/167716839","COX1")</f>
        <v>COX1</v>
      </c>
      <c r="B1414" s="4"/>
      <c r="C1414" s="3">
        <v>3680</v>
      </c>
      <c r="D1414" s="3">
        <v>1008</v>
      </c>
      <c r="E1414" s="3">
        <v>0</v>
      </c>
      <c r="F1414" s="3">
        <v>0</v>
      </c>
      <c r="G1414" s="3">
        <v>0</v>
      </c>
      <c r="H1414" s="2">
        <f t="shared" si="44"/>
        <v>4688</v>
      </c>
      <c r="I1414" t="str">
        <f t="shared" si="45"/>
        <v>COX1_4688</v>
      </c>
      <c r="J1414" s="3">
        <v>3680</v>
      </c>
      <c r="K1414" s="3">
        <v>1008</v>
      </c>
      <c r="L1414" s="3">
        <v>0</v>
      </c>
      <c r="M1414" s="3">
        <v>0</v>
      </c>
      <c r="N1414" s="3">
        <v>0</v>
      </c>
    </row>
    <row r="1415" spans="1:14" x14ac:dyDescent="0.2">
      <c r="A1415" s="5" t="str">
        <f>HYPERLINK("http://www.ncbi.nlm.nih.gov/protein/34538600","COX1")</f>
        <v>COX1</v>
      </c>
      <c r="B1415" s="4"/>
      <c r="C1415" s="3">
        <v>3680</v>
      </c>
      <c r="D1415" s="3">
        <v>1008</v>
      </c>
      <c r="E1415" s="3">
        <v>0</v>
      </c>
      <c r="F1415" s="3">
        <v>0</v>
      </c>
      <c r="G1415" s="3">
        <v>0</v>
      </c>
      <c r="H1415" s="2">
        <f t="shared" si="44"/>
        <v>4688</v>
      </c>
      <c r="I1415" t="str">
        <f t="shared" si="45"/>
        <v>COX1_4688</v>
      </c>
      <c r="J1415" s="3">
        <v>3680</v>
      </c>
      <c r="K1415" s="3">
        <v>1008</v>
      </c>
      <c r="L1415" s="3">
        <v>0</v>
      </c>
      <c r="M1415" s="3">
        <v>0</v>
      </c>
      <c r="N1415" s="3">
        <v>0</v>
      </c>
    </row>
    <row r="1416" spans="1:14" x14ac:dyDescent="0.2">
      <c r="A1416" s="5" t="str">
        <f>HYPERLINK("http://www.ncbi.nlm.nih.gov/protein/39841021","Cox11")</f>
        <v>Cox11</v>
      </c>
      <c r="B1416" s="4"/>
      <c r="C1416" s="3">
        <v>0</v>
      </c>
      <c r="D1416" s="3">
        <v>104</v>
      </c>
      <c r="E1416" s="3">
        <v>0</v>
      </c>
      <c r="F1416" s="3">
        <v>0</v>
      </c>
      <c r="G1416" s="3">
        <v>0</v>
      </c>
      <c r="H1416" s="2">
        <f t="shared" si="44"/>
        <v>104</v>
      </c>
      <c r="I1416" t="str">
        <f t="shared" si="45"/>
        <v>Cox11_104</v>
      </c>
      <c r="J1416" s="3">
        <v>0</v>
      </c>
      <c r="K1416" s="3">
        <v>104</v>
      </c>
      <c r="L1416" s="3">
        <v>0</v>
      </c>
      <c r="M1416" s="3">
        <v>0</v>
      </c>
      <c r="N1416" s="3">
        <v>0</v>
      </c>
    </row>
    <row r="1417" spans="1:14" x14ac:dyDescent="0.2">
      <c r="A1417" s="5" t="str">
        <f>HYPERLINK("http://www.ncbi.nlm.nih.gov/protein/31541932","Cox15")</f>
        <v>Cox15</v>
      </c>
      <c r="B1417" s="4"/>
      <c r="C1417" s="3">
        <v>0</v>
      </c>
      <c r="D1417" s="3">
        <v>1386</v>
      </c>
      <c r="E1417" s="3">
        <v>0</v>
      </c>
      <c r="F1417" s="3">
        <v>0</v>
      </c>
      <c r="G1417" s="3">
        <v>0</v>
      </c>
      <c r="H1417" s="2">
        <f t="shared" si="44"/>
        <v>1386</v>
      </c>
      <c r="I1417" t="str">
        <f t="shared" si="45"/>
        <v>Cox15_1386</v>
      </c>
      <c r="J1417" s="3">
        <v>0</v>
      </c>
      <c r="K1417" s="3">
        <v>1386</v>
      </c>
      <c r="L1417" s="3">
        <v>0</v>
      </c>
      <c r="M1417" s="3">
        <v>0</v>
      </c>
      <c r="N1417" s="3">
        <v>0</v>
      </c>
    </row>
    <row r="1418" spans="1:14" x14ac:dyDescent="0.2">
      <c r="A1418" s="5" t="str">
        <f>HYPERLINK("http://www.ncbi.nlm.nih.gov/protein/13384872","Cox16")</f>
        <v>Cox16</v>
      </c>
      <c r="B1418" s="4"/>
      <c r="C1418" s="3">
        <v>238</v>
      </c>
      <c r="D1418" s="3">
        <v>0</v>
      </c>
      <c r="E1418" s="3">
        <v>0</v>
      </c>
      <c r="F1418" s="3">
        <v>0</v>
      </c>
      <c r="G1418" s="3">
        <v>0</v>
      </c>
      <c r="H1418" s="2">
        <f t="shared" si="44"/>
        <v>238</v>
      </c>
      <c r="I1418" t="str">
        <f t="shared" si="45"/>
        <v>Cox16_238</v>
      </c>
      <c r="J1418" s="3">
        <v>238</v>
      </c>
      <c r="K1418" s="3">
        <v>0</v>
      </c>
      <c r="L1418" s="3">
        <v>0</v>
      </c>
      <c r="M1418" s="3">
        <v>0</v>
      </c>
      <c r="N1418" s="3">
        <v>0</v>
      </c>
    </row>
    <row r="1419" spans="1:14" x14ac:dyDescent="0.2">
      <c r="A1419" s="5" t="str">
        <f>HYPERLINK("http://www.ncbi.nlm.nih.gov/protein/62945234","Cox17")</f>
        <v>Cox17</v>
      </c>
      <c r="B1419" s="4"/>
      <c r="C1419" s="3">
        <v>384</v>
      </c>
      <c r="D1419" s="3">
        <v>65</v>
      </c>
      <c r="E1419" s="3">
        <v>1</v>
      </c>
      <c r="F1419" s="3">
        <v>0</v>
      </c>
      <c r="G1419" s="3">
        <v>11</v>
      </c>
      <c r="H1419" s="2">
        <f t="shared" si="44"/>
        <v>461</v>
      </c>
      <c r="I1419" t="str">
        <f t="shared" si="45"/>
        <v>Cox17_461</v>
      </c>
      <c r="J1419" s="3">
        <v>384</v>
      </c>
      <c r="K1419" s="3">
        <v>65</v>
      </c>
      <c r="L1419" s="3">
        <v>1</v>
      </c>
      <c r="M1419" s="3">
        <v>0</v>
      </c>
      <c r="N1419" s="3">
        <v>11</v>
      </c>
    </row>
    <row r="1420" spans="1:14" x14ac:dyDescent="0.2">
      <c r="A1420" s="5" t="str">
        <f>HYPERLINK("http://www.ncbi.nlm.nih.gov/protein/167716840","COX2")</f>
        <v>COX2</v>
      </c>
      <c r="B1420" s="4"/>
      <c r="C1420" s="3">
        <v>248779</v>
      </c>
      <c r="D1420" s="3">
        <v>115627</v>
      </c>
      <c r="E1420" s="3">
        <v>5707</v>
      </c>
      <c r="F1420" s="3">
        <v>1048</v>
      </c>
      <c r="G1420" s="3">
        <v>0</v>
      </c>
      <c r="H1420" s="2">
        <f t="shared" si="44"/>
        <v>371161</v>
      </c>
      <c r="I1420" t="str">
        <f t="shared" si="45"/>
        <v>COX2_371161</v>
      </c>
      <c r="J1420" s="3">
        <v>248779</v>
      </c>
      <c r="K1420" s="3">
        <v>115627</v>
      </c>
      <c r="L1420" s="3">
        <v>5707</v>
      </c>
      <c r="M1420" s="3">
        <v>1048</v>
      </c>
      <c r="N1420" s="3">
        <v>0</v>
      </c>
    </row>
    <row r="1421" spans="1:14" x14ac:dyDescent="0.2">
      <c r="A1421" s="5" t="str">
        <f>HYPERLINK("http://www.ncbi.nlm.nih.gov/protein/34538601","COX2")</f>
        <v>COX2</v>
      </c>
      <c r="B1421" s="4"/>
      <c r="C1421" s="3">
        <v>249767</v>
      </c>
      <c r="D1421" s="3">
        <v>115627</v>
      </c>
      <c r="E1421" s="3">
        <v>5707</v>
      </c>
      <c r="F1421" s="3">
        <v>1048</v>
      </c>
      <c r="G1421" s="3">
        <v>0</v>
      </c>
      <c r="H1421" s="2">
        <f t="shared" si="44"/>
        <v>372149</v>
      </c>
      <c r="I1421" t="str">
        <f t="shared" si="45"/>
        <v>COX2_372149</v>
      </c>
      <c r="J1421" s="3">
        <v>249767</v>
      </c>
      <c r="K1421" s="3">
        <v>115627</v>
      </c>
      <c r="L1421" s="3">
        <v>5707</v>
      </c>
      <c r="M1421" s="3">
        <v>1048</v>
      </c>
      <c r="N1421" s="3">
        <v>0</v>
      </c>
    </row>
    <row r="1422" spans="1:14" x14ac:dyDescent="0.2">
      <c r="A1422" s="5" t="str">
        <f>HYPERLINK("http://www.ncbi.nlm.nih.gov/protein/21313516","Cox20")</f>
        <v>Cox20</v>
      </c>
      <c r="B1422" s="4"/>
      <c r="C1422" s="3">
        <v>1556</v>
      </c>
      <c r="D1422" s="3">
        <v>288</v>
      </c>
      <c r="E1422" s="3">
        <v>18</v>
      </c>
      <c r="F1422" s="3">
        <v>0</v>
      </c>
      <c r="G1422" s="3">
        <v>0</v>
      </c>
      <c r="H1422" s="2">
        <f t="shared" si="44"/>
        <v>1862</v>
      </c>
      <c r="I1422" t="str">
        <f t="shared" si="45"/>
        <v>Cox20_1862</v>
      </c>
      <c r="J1422" s="3">
        <v>1556</v>
      </c>
      <c r="K1422" s="3">
        <v>288</v>
      </c>
      <c r="L1422" s="3">
        <v>18</v>
      </c>
      <c r="M1422" s="3">
        <v>0</v>
      </c>
      <c r="N1422" s="3">
        <v>0</v>
      </c>
    </row>
    <row r="1423" spans="1:14" x14ac:dyDescent="0.2">
      <c r="A1423" s="5" t="str">
        <f>HYPERLINK("http://www.ncbi.nlm.nih.gov/protein/226453481","COX3")</f>
        <v>COX3</v>
      </c>
      <c r="B1423" s="4"/>
      <c r="C1423" s="3">
        <v>3954</v>
      </c>
      <c r="D1423" s="3">
        <v>92</v>
      </c>
      <c r="E1423" s="3">
        <v>10</v>
      </c>
      <c r="F1423" s="3">
        <v>0</v>
      </c>
      <c r="G1423" s="3">
        <v>0</v>
      </c>
      <c r="H1423" s="2">
        <f t="shared" si="44"/>
        <v>4056</v>
      </c>
      <c r="I1423" t="str">
        <f t="shared" si="45"/>
        <v>COX3_4056</v>
      </c>
      <c r="J1423" s="3">
        <v>3954</v>
      </c>
      <c r="K1423" s="3">
        <v>92</v>
      </c>
      <c r="L1423" s="3">
        <v>10</v>
      </c>
      <c r="M1423" s="3">
        <v>0</v>
      </c>
      <c r="N1423" s="3">
        <v>0</v>
      </c>
    </row>
    <row r="1424" spans="1:14" x14ac:dyDescent="0.2">
      <c r="A1424" s="5" t="str">
        <f>HYPERLINK("http://www.ncbi.nlm.nih.gov/protein/34538604","COX3")</f>
        <v>COX3</v>
      </c>
      <c r="B1424" s="4"/>
      <c r="C1424" s="3">
        <v>3954</v>
      </c>
      <c r="D1424" s="3">
        <v>92</v>
      </c>
      <c r="E1424" s="3">
        <v>10</v>
      </c>
      <c r="F1424" s="3">
        <v>0</v>
      </c>
      <c r="G1424" s="3">
        <v>0</v>
      </c>
      <c r="H1424" s="2">
        <f t="shared" si="44"/>
        <v>4056</v>
      </c>
      <c r="I1424" t="str">
        <f t="shared" si="45"/>
        <v>COX3_4056</v>
      </c>
      <c r="J1424" s="3">
        <v>3954</v>
      </c>
      <c r="K1424" s="3">
        <v>92</v>
      </c>
      <c r="L1424" s="3">
        <v>10</v>
      </c>
      <c r="M1424" s="3">
        <v>0</v>
      </c>
      <c r="N1424" s="3">
        <v>0</v>
      </c>
    </row>
    <row r="1425" spans="1:14" x14ac:dyDescent="0.2">
      <c r="A1425" s="5" t="str">
        <f>HYPERLINK("http://www.ncbi.nlm.nih.gov/protein/6753498","Cox4i1")</f>
        <v>Cox4i1</v>
      </c>
      <c r="B1425" s="4"/>
      <c r="C1425" s="3">
        <v>118989</v>
      </c>
      <c r="D1425" s="3">
        <v>37569</v>
      </c>
      <c r="E1425" s="3">
        <v>14569</v>
      </c>
      <c r="F1425" s="3">
        <v>2210</v>
      </c>
      <c r="G1425" s="3">
        <v>0</v>
      </c>
      <c r="H1425" s="2">
        <f t="shared" si="44"/>
        <v>173337</v>
      </c>
      <c r="I1425" t="str">
        <f t="shared" si="45"/>
        <v>Cox4i1_173337</v>
      </c>
      <c r="J1425" s="3">
        <v>118989</v>
      </c>
      <c r="K1425" s="3">
        <v>37569</v>
      </c>
      <c r="L1425" s="3">
        <v>14569</v>
      </c>
      <c r="M1425" s="3">
        <v>2210</v>
      </c>
      <c r="N1425" s="3">
        <v>0</v>
      </c>
    </row>
    <row r="1426" spans="1:14" x14ac:dyDescent="0.2">
      <c r="A1426" s="5" t="str">
        <f>HYPERLINK("http://www.ncbi.nlm.nih.gov/protein/112181182","Cox5a")</f>
        <v>Cox5a</v>
      </c>
      <c r="B1426" s="4"/>
      <c r="C1426" s="3">
        <v>46351</v>
      </c>
      <c r="D1426" s="3">
        <v>4298</v>
      </c>
      <c r="E1426" s="3">
        <v>5461</v>
      </c>
      <c r="F1426" s="3">
        <v>0</v>
      </c>
      <c r="G1426" s="3">
        <v>0</v>
      </c>
      <c r="H1426" s="2">
        <f t="shared" si="44"/>
        <v>56110</v>
      </c>
      <c r="I1426" t="str">
        <f t="shared" si="45"/>
        <v>Cox5a_56110</v>
      </c>
      <c r="J1426" s="3">
        <v>46351</v>
      </c>
      <c r="K1426" s="3">
        <v>4298</v>
      </c>
      <c r="L1426" s="3">
        <v>5461</v>
      </c>
      <c r="M1426" s="3">
        <v>0</v>
      </c>
      <c r="N1426" s="3">
        <v>0</v>
      </c>
    </row>
    <row r="1427" spans="1:14" x14ac:dyDescent="0.2">
      <c r="A1427" s="5" t="str">
        <f>HYPERLINK("http://www.ncbi.nlm.nih.gov/protein/13385090","Cox6b1")</f>
        <v>Cox6b1</v>
      </c>
      <c r="B1427" s="4"/>
      <c r="C1427" s="3">
        <v>30809</v>
      </c>
      <c r="D1427" s="3">
        <v>10289</v>
      </c>
      <c r="E1427" s="3">
        <v>2391</v>
      </c>
      <c r="F1427" s="3">
        <v>0</v>
      </c>
      <c r="G1427" s="3">
        <v>0</v>
      </c>
      <c r="H1427" s="2">
        <f t="shared" si="44"/>
        <v>43489</v>
      </c>
      <c r="I1427" t="str">
        <f t="shared" si="45"/>
        <v>Cox6b1_43489</v>
      </c>
      <c r="J1427" s="3">
        <v>30809</v>
      </c>
      <c r="K1427" s="3">
        <v>10289</v>
      </c>
      <c r="L1427" s="3">
        <v>2391</v>
      </c>
      <c r="M1427" s="3">
        <v>0</v>
      </c>
      <c r="N1427" s="3">
        <v>0</v>
      </c>
    </row>
    <row r="1428" spans="1:14" x14ac:dyDescent="0.2">
      <c r="A1428" s="5" t="str">
        <f>HYPERLINK("http://www.ncbi.nlm.nih.gov/protein/16716343","Cox6c")</f>
        <v>Cox6c</v>
      </c>
      <c r="B1428" s="4"/>
      <c r="C1428" s="3">
        <v>108848</v>
      </c>
      <c r="D1428" s="3">
        <v>20439</v>
      </c>
      <c r="E1428" s="3">
        <v>6509</v>
      </c>
      <c r="F1428" s="3">
        <v>0</v>
      </c>
      <c r="G1428" s="3">
        <v>0</v>
      </c>
      <c r="H1428" s="2">
        <f t="shared" si="44"/>
        <v>135796</v>
      </c>
      <c r="I1428" t="str">
        <f t="shared" si="45"/>
        <v>Cox6c_135796</v>
      </c>
      <c r="J1428" s="3">
        <v>108848</v>
      </c>
      <c r="K1428" s="3">
        <v>20439</v>
      </c>
      <c r="L1428" s="3">
        <v>6509</v>
      </c>
      <c r="M1428" s="3">
        <v>0</v>
      </c>
      <c r="N1428" s="3">
        <v>0</v>
      </c>
    </row>
    <row r="1429" spans="1:14" x14ac:dyDescent="0.2">
      <c r="A1429" s="5" t="str">
        <f>HYPERLINK("http://www.ncbi.nlm.nih.gov/protein/31981830","Cox7a2")</f>
        <v>Cox7a2</v>
      </c>
      <c r="B1429" s="4"/>
      <c r="C1429" s="3">
        <v>38003</v>
      </c>
      <c r="D1429" s="3">
        <v>13995</v>
      </c>
      <c r="E1429" s="3">
        <v>4991</v>
      </c>
      <c r="F1429" s="3">
        <v>0</v>
      </c>
      <c r="G1429" s="3">
        <v>0</v>
      </c>
      <c r="H1429" s="2">
        <f t="shared" si="44"/>
        <v>56989</v>
      </c>
      <c r="I1429" t="str">
        <f t="shared" si="45"/>
        <v>Cox7a2_56989</v>
      </c>
      <c r="J1429" s="3">
        <v>38003</v>
      </c>
      <c r="K1429" s="3">
        <v>13995</v>
      </c>
      <c r="L1429" s="3">
        <v>4991</v>
      </c>
      <c r="M1429" s="3">
        <v>0</v>
      </c>
      <c r="N1429" s="3">
        <v>0</v>
      </c>
    </row>
    <row r="1430" spans="1:14" x14ac:dyDescent="0.2">
      <c r="A1430" s="5" t="str">
        <f>HYPERLINK("http://www.ncbi.nlm.nih.gov/protein/226958512","Cox7a2l")</f>
        <v>Cox7a2l</v>
      </c>
      <c r="B1430" s="4"/>
      <c r="C1430" s="3">
        <v>256</v>
      </c>
      <c r="D1430" s="3">
        <v>332</v>
      </c>
      <c r="E1430" s="3">
        <v>135</v>
      </c>
      <c r="F1430" s="3">
        <v>0</v>
      </c>
      <c r="G1430" s="3">
        <v>0</v>
      </c>
      <c r="H1430" s="2">
        <f t="shared" si="44"/>
        <v>723</v>
      </c>
      <c r="I1430" t="str">
        <f t="shared" si="45"/>
        <v>Cox7a2l_723</v>
      </c>
      <c r="J1430" s="3">
        <v>256</v>
      </c>
      <c r="K1430" s="3">
        <v>332</v>
      </c>
      <c r="L1430" s="3">
        <v>135</v>
      </c>
      <c r="M1430" s="3">
        <v>0</v>
      </c>
      <c r="N1430" s="3">
        <v>0</v>
      </c>
    </row>
    <row r="1431" spans="1:14" x14ac:dyDescent="0.2">
      <c r="A1431" s="5" t="str">
        <f>HYPERLINK("http://www.ncbi.nlm.nih.gov/protein/6677977","Cox7a2l")</f>
        <v>Cox7a2l</v>
      </c>
      <c r="B1431" s="4"/>
      <c r="C1431" s="3">
        <v>256</v>
      </c>
      <c r="D1431" s="3">
        <v>332</v>
      </c>
      <c r="E1431" s="3">
        <v>135</v>
      </c>
      <c r="F1431" s="3">
        <v>0</v>
      </c>
      <c r="G1431" s="3">
        <v>0</v>
      </c>
      <c r="H1431" s="2">
        <f t="shared" si="44"/>
        <v>723</v>
      </c>
      <c r="I1431" t="str">
        <f t="shared" si="45"/>
        <v>Cox7a2l_723</v>
      </c>
      <c r="J1431" s="3">
        <v>256</v>
      </c>
      <c r="K1431" s="3">
        <v>332</v>
      </c>
      <c r="L1431" s="3">
        <v>135</v>
      </c>
      <c r="M1431" s="3">
        <v>0</v>
      </c>
      <c r="N1431" s="3">
        <v>0</v>
      </c>
    </row>
    <row r="1432" spans="1:14" x14ac:dyDescent="0.2">
      <c r="A1432" s="5" t="str">
        <f>HYPERLINK("http://www.ncbi.nlm.nih.gov/protein/13384754","Cox7b")</f>
        <v>Cox7b</v>
      </c>
      <c r="B1432" s="4"/>
      <c r="C1432" s="3">
        <v>0</v>
      </c>
      <c r="D1432" s="3">
        <v>0</v>
      </c>
      <c r="E1432" s="3">
        <v>12</v>
      </c>
      <c r="F1432" s="3">
        <v>0</v>
      </c>
      <c r="G1432" s="3">
        <v>0</v>
      </c>
      <c r="H1432" s="2">
        <f t="shared" si="44"/>
        <v>12</v>
      </c>
      <c r="I1432" t="str">
        <f t="shared" si="45"/>
        <v>Cox7b_12</v>
      </c>
      <c r="J1432" s="3">
        <v>0</v>
      </c>
      <c r="K1432" s="3">
        <v>0</v>
      </c>
      <c r="L1432" s="3">
        <v>12</v>
      </c>
      <c r="M1432" s="3">
        <v>0</v>
      </c>
      <c r="N1432" s="3">
        <v>0</v>
      </c>
    </row>
    <row r="1433" spans="1:14" x14ac:dyDescent="0.2">
      <c r="A1433" s="5" t="str">
        <f>HYPERLINK("http://www.ncbi.nlm.nih.gov/protein/150378501","Cpd")</f>
        <v>Cpd</v>
      </c>
      <c r="B1433" s="4"/>
      <c r="C1433" s="3">
        <v>0</v>
      </c>
      <c r="D1433" s="3">
        <v>10465</v>
      </c>
      <c r="E1433" s="3">
        <v>16243</v>
      </c>
      <c r="F1433" s="3">
        <v>778</v>
      </c>
      <c r="G1433" s="3">
        <v>0</v>
      </c>
      <c r="H1433" s="2">
        <f t="shared" si="44"/>
        <v>27486</v>
      </c>
      <c r="I1433" t="str">
        <f t="shared" si="45"/>
        <v>Cpd_27486</v>
      </c>
      <c r="J1433" s="3">
        <v>0</v>
      </c>
      <c r="K1433" s="3">
        <v>10465</v>
      </c>
      <c r="L1433" s="3">
        <v>16243</v>
      </c>
      <c r="M1433" s="3">
        <v>778</v>
      </c>
      <c r="N1433" s="3">
        <v>0</v>
      </c>
    </row>
    <row r="1434" spans="1:14" x14ac:dyDescent="0.2">
      <c r="A1434" s="5" t="str">
        <f>HYPERLINK("http://www.ncbi.nlm.nih.gov/protein/22203763","Cpe")</f>
        <v>Cpe</v>
      </c>
      <c r="B1434" s="4"/>
      <c r="C1434" s="3">
        <v>0</v>
      </c>
      <c r="D1434" s="3">
        <v>0</v>
      </c>
      <c r="E1434" s="3">
        <v>399</v>
      </c>
      <c r="F1434" s="3">
        <v>0</v>
      </c>
      <c r="G1434" s="3">
        <v>0</v>
      </c>
      <c r="H1434" s="2">
        <f t="shared" si="44"/>
        <v>399</v>
      </c>
      <c r="I1434" t="str">
        <f t="shared" si="45"/>
        <v>Cpe_399</v>
      </c>
      <c r="J1434" s="3">
        <v>0</v>
      </c>
      <c r="K1434" s="3">
        <v>0</v>
      </c>
      <c r="L1434" s="3">
        <v>399</v>
      </c>
      <c r="M1434" s="3">
        <v>0</v>
      </c>
      <c r="N1434" s="3">
        <v>0</v>
      </c>
    </row>
    <row r="1435" spans="1:14" x14ac:dyDescent="0.2">
      <c r="A1435" s="5" t="str">
        <f>HYPERLINK("http://www.ncbi.nlm.nih.gov/protein/293651586","Cpeb2")</f>
        <v>Cpeb2</v>
      </c>
      <c r="B1435" s="4"/>
      <c r="C1435" s="3">
        <v>0</v>
      </c>
      <c r="D1435" s="3">
        <v>0</v>
      </c>
      <c r="E1435" s="3">
        <v>32</v>
      </c>
      <c r="F1435" s="3">
        <v>0</v>
      </c>
      <c r="G1435" s="3">
        <v>0</v>
      </c>
      <c r="H1435" s="2">
        <f t="shared" si="44"/>
        <v>32</v>
      </c>
      <c r="I1435" t="str">
        <f t="shared" si="45"/>
        <v>Cpeb2_32</v>
      </c>
      <c r="J1435" s="3">
        <v>0</v>
      </c>
      <c r="K1435" s="3">
        <v>0</v>
      </c>
      <c r="L1435" s="3">
        <v>32</v>
      </c>
      <c r="M1435" s="3">
        <v>0</v>
      </c>
      <c r="N1435" s="3">
        <v>0</v>
      </c>
    </row>
    <row r="1436" spans="1:14" x14ac:dyDescent="0.2">
      <c r="A1436" s="5" t="str">
        <f>HYPERLINK("http://www.ncbi.nlm.nih.gov/protein/293651589","Cpeb2")</f>
        <v>Cpeb2</v>
      </c>
      <c r="B1436" s="4"/>
      <c r="C1436" s="3">
        <v>0</v>
      </c>
      <c r="D1436" s="3">
        <v>0</v>
      </c>
      <c r="E1436" s="3">
        <v>32</v>
      </c>
      <c r="F1436" s="3">
        <v>0</v>
      </c>
      <c r="G1436" s="3">
        <v>0</v>
      </c>
      <c r="H1436" s="2">
        <f t="shared" si="44"/>
        <v>32</v>
      </c>
      <c r="I1436" t="str">
        <f t="shared" si="45"/>
        <v>Cpeb2_32</v>
      </c>
      <c r="J1436" s="3">
        <v>0</v>
      </c>
      <c r="K1436" s="3">
        <v>0</v>
      </c>
      <c r="L1436" s="3">
        <v>32</v>
      </c>
      <c r="M1436" s="3">
        <v>0</v>
      </c>
      <c r="N1436" s="3">
        <v>0</v>
      </c>
    </row>
    <row r="1437" spans="1:14" x14ac:dyDescent="0.2">
      <c r="A1437" s="5" t="str">
        <f>HYPERLINK("http://www.ncbi.nlm.nih.gov/protein/84370380","Cpeb3")</f>
        <v>Cpeb3</v>
      </c>
      <c r="B1437" s="4"/>
      <c r="C1437" s="3">
        <v>0</v>
      </c>
      <c r="D1437" s="3">
        <v>0</v>
      </c>
      <c r="E1437" s="3">
        <v>32</v>
      </c>
      <c r="F1437" s="3">
        <v>0</v>
      </c>
      <c r="G1437" s="3">
        <v>0</v>
      </c>
      <c r="H1437" s="2">
        <f t="shared" si="44"/>
        <v>32</v>
      </c>
      <c r="I1437" t="str">
        <f t="shared" si="45"/>
        <v>Cpeb3_32</v>
      </c>
      <c r="J1437" s="3">
        <v>0</v>
      </c>
      <c r="K1437" s="3">
        <v>0</v>
      </c>
      <c r="L1437" s="3">
        <v>32</v>
      </c>
      <c r="M1437" s="3">
        <v>0</v>
      </c>
      <c r="N1437" s="3">
        <v>0</v>
      </c>
    </row>
    <row r="1438" spans="1:14" x14ac:dyDescent="0.2">
      <c r="A1438" s="5" t="str">
        <f>HYPERLINK("http://www.ncbi.nlm.nih.gov/protein/52138749","Cpeb4")</f>
        <v>Cpeb4</v>
      </c>
      <c r="B1438" s="4"/>
      <c r="C1438" s="3">
        <v>0</v>
      </c>
      <c r="D1438" s="3">
        <v>0</v>
      </c>
      <c r="E1438" s="3">
        <v>32</v>
      </c>
      <c r="F1438" s="3">
        <v>0</v>
      </c>
      <c r="G1438" s="3">
        <v>0</v>
      </c>
      <c r="H1438" s="2">
        <f t="shared" si="44"/>
        <v>32</v>
      </c>
      <c r="I1438" t="str">
        <f t="shared" si="45"/>
        <v>Cpeb4_32</v>
      </c>
      <c r="J1438" s="3">
        <v>0</v>
      </c>
      <c r="K1438" s="3">
        <v>0</v>
      </c>
      <c r="L1438" s="3">
        <v>32</v>
      </c>
      <c r="M1438" s="3">
        <v>0</v>
      </c>
      <c r="N1438" s="3">
        <v>0</v>
      </c>
    </row>
    <row r="1439" spans="1:14" x14ac:dyDescent="0.2">
      <c r="A1439" s="5" t="str">
        <f>HYPERLINK("http://www.ncbi.nlm.nih.gov/protein/189458849","Cpm")</f>
        <v>Cpm</v>
      </c>
      <c r="B1439" s="4"/>
      <c r="C1439" s="3">
        <v>0</v>
      </c>
      <c r="D1439" s="3">
        <v>378</v>
      </c>
      <c r="E1439" s="3">
        <v>1266</v>
      </c>
      <c r="F1439" s="3">
        <v>0</v>
      </c>
      <c r="G1439" s="3">
        <v>0</v>
      </c>
      <c r="H1439" s="2">
        <f t="shared" si="44"/>
        <v>1644</v>
      </c>
      <c r="I1439" t="str">
        <f t="shared" si="45"/>
        <v>Cpm_1644</v>
      </c>
      <c r="J1439" s="3">
        <v>0</v>
      </c>
      <c r="K1439" s="3">
        <v>378</v>
      </c>
      <c r="L1439" s="3">
        <v>1266</v>
      </c>
      <c r="M1439" s="3">
        <v>0</v>
      </c>
      <c r="N1439" s="3">
        <v>0</v>
      </c>
    </row>
    <row r="1440" spans="1:14" x14ac:dyDescent="0.2">
      <c r="A1440" s="5" t="str">
        <f>HYPERLINK("http://www.ncbi.nlm.nih.gov/protein/25141330","Cpne1")</f>
        <v>Cpne1</v>
      </c>
      <c r="B1440" s="4"/>
      <c r="C1440" s="3">
        <v>769</v>
      </c>
      <c r="D1440" s="3">
        <v>2875</v>
      </c>
      <c r="E1440" s="3">
        <v>8903</v>
      </c>
      <c r="F1440" s="3">
        <v>794</v>
      </c>
      <c r="G1440" s="3">
        <v>21880</v>
      </c>
      <c r="H1440" s="2">
        <f t="shared" si="44"/>
        <v>35221</v>
      </c>
      <c r="I1440" t="str">
        <f t="shared" si="45"/>
        <v>Cpne1_35221</v>
      </c>
      <c r="J1440" s="3">
        <v>769</v>
      </c>
      <c r="K1440" s="3">
        <v>2875</v>
      </c>
      <c r="L1440" s="3">
        <v>8903</v>
      </c>
      <c r="M1440" s="3">
        <v>794</v>
      </c>
      <c r="N1440" s="3">
        <v>21880</v>
      </c>
    </row>
    <row r="1441" spans="1:14" x14ac:dyDescent="0.2">
      <c r="A1441" s="5" t="str">
        <f>HYPERLINK("http://www.ncbi.nlm.nih.gov/protein/23943807","Cpne2")</f>
        <v>Cpne2</v>
      </c>
      <c r="B1441" s="4"/>
      <c r="C1441" s="3">
        <v>1666</v>
      </c>
      <c r="D1441" s="3">
        <v>5778</v>
      </c>
      <c r="E1441" s="3">
        <v>13085</v>
      </c>
      <c r="F1441" s="3">
        <v>3487</v>
      </c>
      <c r="G1441" s="3">
        <v>1692</v>
      </c>
      <c r="H1441" s="2">
        <f t="shared" si="44"/>
        <v>25708</v>
      </c>
      <c r="I1441" t="str">
        <f t="shared" si="45"/>
        <v>Cpne2_25708</v>
      </c>
      <c r="J1441" s="3">
        <v>1666</v>
      </c>
      <c r="K1441" s="3">
        <v>5778</v>
      </c>
      <c r="L1441" s="3">
        <v>13085</v>
      </c>
      <c r="M1441" s="3">
        <v>3487</v>
      </c>
      <c r="N1441" s="3">
        <v>1692</v>
      </c>
    </row>
    <row r="1442" spans="1:14" x14ac:dyDescent="0.2">
      <c r="A1442" s="5" t="str">
        <f>HYPERLINK("http://www.ncbi.nlm.nih.gov/protein/25141335","Cpne3")</f>
        <v>Cpne3</v>
      </c>
      <c r="B1442" s="4"/>
      <c r="C1442" s="3">
        <v>1666</v>
      </c>
      <c r="D1442" s="3">
        <v>4793</v>
      </c>
      <c r="E1442" s="3">
        <v>16323</v>
      </c>
      <c r="F1442" s="3">
        <v>4183</v>
      </c>
      <c r="G1442" s="3">
        <v>28851</v>
      </c>
      <c r="H1442" s="2">
        <f t="shared" si="44"/>
        <v>55816</v>
      </c>
      <c r="I1442" t="str">
        <f t="shared" si="45"/>
        <v>Cpne3_55816</v>
      </c>
      <c r="J1442" s="3">
        <v>1666</v>
      </c>
      <c r="K1442" s="3">
        <v>4793</v>
      </c>
      <c r="L1442" s="3">
        <v>16323</v>
      </c>
      <c r="M1442" s="3">
        <v>4183</v>
      </c>
      <c r="N1442" s="3">
        <v>28851</v>
      </c>
    </row>
    <row r="1443" spans="1:14" x14ac:dyDescent="0.2">
      <c r="A1443" s="5" t="str">
        <f>HYPERLINK("http://www.ncbi.nlm.nih.gov/protein/58037333","Cpne4")</f>
        <v>Cpne4</v>
      </c>
      <c r="B1443" s="4"/>
      <c r="C1443" s="3">
        <v>1666</v>
      </c>
      <c r="D1443" s="3">
        <v>3666</v>
      </c>
      <c r="E1443" s="3">
        <v>3243</v>
      </c>
      <c r="F1443" s="3">
        <v>1907</v>
      </c>
      <c r="G1443" s="3">
        <v>1692</v>
      </c>
      <c r="H1443" s="2">
        <f t="shared" si="44"/>
        <v>12174</v>
      </c>
      <c r="I1443" t="str">
        <f t="shared" si="45"/>
        <v>Cpne4_12174</v>
      </c>
      <c r="J1443" s="3">
        <v>1666</v>
      </c>
      <c r="K1443" s="3">
        <v>3666</v>
      </c>
      <c r="L1443" s="3">
        <v>3243</v>
      </c>
      <c r="M1443" s="3">
        <v>1907</v>
      </c>
      <c r="N1443" s="3">
        <v>1692</v>
      </c>
    </row>
    <row r="1444" spans="1:14" x14ac:dyDescent="0.2">
      <c r="A1444" s="5" t="str">
        <f>HYPERLINK("http://www.ncbi.nlm.nih.gov/protein/23346611","Cpne5")</f>
        <v>Cpne5</v>
      </c>
      <c r="B1444" s="4"/>
      <c r="C1444" s="3">
        <v>1666</v>
      </c>
      <c r="D1444" s="3">
        <v>3666</v>
      </c>
      <c r="E1444" s="3">
        <v>4904</v>
      </c>
      <c r="F1444" s="3">
        <v>1907</v>
      </c>
      <c r="G1444" s="3">
        <v>1692</v>
      </c>
      <c r="H1444" s="2">
        <f t="shared" si="44"/>
        <v>13835</v>
      </c>
      <c r="I1444" t="str">
        <f t="shared" si="45"/>
        <v>Cpne5_13835</v>
      </c>
      <c r="J1444" s="3">
        <v>1666</v>
      </c>
      <c r="K1444" s="3">
        <v>3666</v>
      </c>
      <c r="L1444" s="3">
        <v>4904</v>
      </c>
      <c r="M1444" s="3">
        <v>1907</v>
      </c>
      <c r="N1444" s="3">
        <v>1692</v>
      </c>
    </row>
    <row r="1445" spans="1:14" x14ac:dyDescent="0.2">
      <c r="A1445" s="5" t="str">
        <f>HYPERLINK("http://www.ncbi.nlm.nih.gov/protein/226052679","Cpne6")</f>
        <v>Cpne6</v>
      </c>
      <c r="B1445" s="4"/>
      <c r="C1445" s="3">
        <v>1666</v>
      </c>
      <c r="D1445" s="3">
        <v>3666</v>
      </c>
      <c r="E1445" s="3">
        <v>3243</v>
      </c>
      <c r="F1445" s="3">
        <v>1907</v>
      </c>
      <c r="G1445" s="3">
        <v>1692</v>
      </c>
      <c r="H1445" s="2">
        <f t="shared" si="44"/>
        <v>12174</v>
      </c>
      <c r="I1445" t="str">
        <f t="shared" si="45"/>
        <v>Cpne6_12174</v>
      </c>
      <c r="J1445" s="3">
        <v>1666</v>
      </c>
      <c r="K1445" s="3">
        <v>3666</v>
      </c>
      <c r="L1445" s="3">
        <v>3243</v>
      </c>
      <c r="M1445" s="3">
        <v>1907</v>
      </c>
      <c r="N1445" s="3">
        <v>1692</v>
      </c>
    </row>
    <row r="1446" spans="1:14" x14ac:dyDescent="0.2">
      <c r="A1446" s="5" t="str">
        <f>HYPERLINK("http://www.ncbi.nlm.nih.gov/protein/6753510","Cpne6")</f>
        <v>Cpne6</v>
      </c>
      <c r="B1446" s="4"/>
      <c r="C1446" s="3">
        <v>1666</v>
      </c>
      <c r="D1446" s="3">
        <v>3666</v>
      </c>
      <c r="E1446" s="3">
        <v>3243</v>
      </c>
      <c r="F1446" s="3">
        <v>1907</v>
      </c>
      <c r="G1446" s="3">
        <v>1692</v>
      </c>
      <c r="H1446" s="2">
        <f t="shared" si="44"/>
        <v>12174</v>
      </c>
      <c r="I1446" t="str">
        <f t="shared" si="45"/>
        <v>Cpne6_12174</v>
      </c>
      <c r="J1446" s="3">
        <v>1666</v>
      </c>
      <c r="K1446" s="3">
        <v>3666</v>
      </c>
      <c r="L1446" s="3">
        <v>3243</v>
      </c>
      <c r="M1446" s="3">
        <v>1907</v>
      </c>
      <c r="N1446" s="3">
        <v>1692</v>
      </c>
    </row>
    <row r="1447" spans="1:14" x14ac:dyDescent="0.2">
      <c r="A1447" s="5" t="str">
        <f>HYPERLINK("http://www.ncbi.nlm.nih.gov/protein/25470894","Cpne7")</f>
        <v>Cpne7</v>
      </c>
      <c r="B1447" s="4"/>
      <c r="C1447" s="3">
        <v>1666</v>
      </c>
      <c r="D1447" s="3">
        <v>3666</v>
      </c>
      <c r="E1447" s="3">
        <v>3243</v>
      </c>
      <c r="F1447" s="3">
        <v>1907</v>
      </c>
      <c r="G1447" s="3">
        <v>1692</v>
      </c>
      <c r="H1447" s="2">
        <f t="shared" si="44"/>
        <v>12174</v>
      </c>
      <c r="I1447" t="str">
        <f t="shared" si="45"/>
        <v>Cpne7_12174</v>
      </c>
      <c r="J1447" s="3">
        <v>1666</v>
      </c>
      <c r="K1447" s="3">
        <v>3666</v>
      </c>
      <c r="L1447" s="3">
        <v>3243</v>
      </c>
      <c r="M1447" s="3">
        <v>1907</v>
      </c>
      <c r="N1447" s="3">
        <v>1692</v>
      </c>
    </row>
    <row r="1448" spans="1:14" x14ac:dyDescent="0.2">
      <c r="A1448" s="5" t="str">
        <f>HYPERLINK("http://www.ncbi.nlm.nih.gov/protein/76563928","Cpne8")</f>
        <v>Cpne8</v>
      </c>
      <c r="B1448" s="4"/>
      <c r="C1448" s="3">
        <v>0</v>
      </c>
      <c r="D1448" s="3">
        <v>802</v>
      </c>
      <c r="E1448" s="3">
        <v>59</v>
      </c>
      <c r="F1448" s="3">
        <v>0</v>
      </c>
      <c r="G1448" s="3">
        <v>0</v>
      </c>
      <c r="H1448" s="2">
        <f t="shared" si="44"/>
        <v>861</v>
      </c>
      <c r="I1448" t="str">
        <f t="shared" si="45"/>
        <v>Cpne8_861</v>
      </c>
      <c r="J1448" s="3">
        <v>0</v>
      </c>
      <c r="K1448" s="3">
        <v>802</v>
      </c>
      <c r="L1448" s="3">
        <v>59</v>
      </c>
      <c r="M1448" s="3">
        <v>0</v>
      </c>
      <c r="N1448" s="3">
        <v>0</v>
      </c>
    </row>
    <row r="1449" spans="1:14" x14ac:dyDescent="0.2">
      <c r="A1449" s="5" t="str">
        <f>HYPERLINK("http://www.ncbi.nlm.nih.gov/protein/21630253","Cpne8")</f>
        <v>Cpne8</v>
      </c>
      <c r="B1449" s="4"/>
      <c r="C1449" s="3">
        <v>1666</v>
      </c>
      <c r="D1449" s="3">
        <v>7653</v>
      </c>
      <c r="E1449" s="3">
        <v>7939</v>
      </c>
      <c r="F1449" s="3">
        <v>2104</v>
      </c>
      <c r="G1449" s="3">
        <v>1692</v>
      </c>
      <c r="H1449" s="2">
        <f t="shared" si="44"/>
        <v>21054</v>
      </c>
      <c r="I1449" t="str">
        <f t="shared" si="45"/>
        <v>Cpne8_21054</v>
      </c>
      <c r="J1449" s="3">
        <v>1666</v>
      </c>
      <c r="K1449" s="3">
        <v>7653</v>
      </c>
      <c r="L1449" s="3">
        <v>7939</v>
      </c>
      <c r="M1449" s="3">
        <v>2104</v>
      </c>
      <c r="N1449" s="3">
        <v>1692</v>
      </c>
    </row>
    <row r="1450" spans="1:14" x14ac:dyDescent="0.2">
      <c r="A1450" s="5" t="str">
        <f>HYPERLINK("http://www.ncbi.nlm.nih.gov/protein/28416905","Cpne9")</f>
        <v>Cpne9</v>
      </c>
      <c r="B1450" s="4"/>
      <c r="C1450" s="3">
        <v>1666</v>
      </c>
      <c r="D1450" s="3">
        <v>3666</v>
      </c>
      <c r="E1450" s="3">
        <v>4904</v>
      </c>
      <c r="F1450" s="3">
        <v>1907</v>
      </c>
      <c r="G1450" s="3">
        <v>1692</v>
      </c>
      <c r="H1450" s="2">
        <f t="shared" si="44"/>
        <v>13835</v>
      </c>
      <c r="I1450" t="str">
        <f t="shared" si="45"/>
        <v>Cpne9_13835</v>
      </c>
      <c r="J1450" s="3">
        <v>1666</v>
      </c>
      <c r="K1450" s="3">
        <v>3666</v>
      </c>
      <c r="L1450" s="3">
        <v>4904</v>
      </c>
      <c r="M1450" s="3">
        <v>1907</v>
      </c>
      <c r="N1450" s="3">
        <v>1692</v>
      </c>
    </row>
    <row r="1451" spans="1:14" x14ac:dyDescent="0.2">
      <c r="A1451" s="5" t="str">
        <f>HYPERLINK("http://www.ncbi.nlm.nih.gov/protein/161484660","Cpox")</f>
        <v>Cpox</v>
      </c>
      <c r="B1451" s="4"/>
      <c r="C1451" s="3">
        <v>18471</v>
      </c>
      <c r="D1451" s="3">
        <v>4192</v>
      </c>
      <c r="E1451" s="3">
        <v>246</v>
      </c>
      <c r="F1451" s="3">
        <v>0</v>
      </c>
      <c r="G1451" s="3">
        <v>2677</v>
      </c>
      <c r="H1451" s="2">
        <f t="shared" si="44"/>
        <v>25586</v>
      </c>
      <c r="I1451" t="str">
        <f t="shared" si="45"/>
        <v>Cpox_25586</v>
      </c>
      <c r="J1451" s="3">
        <v>18471</v>
      </c>
      <c r="K1451" s="3">
        <v>4192</v>
      </c>
      <c r="L1451" s="3">
        <v>246</v>
      </c>
      <c r="M1451" s="3">
        <v>0</v>
      </c>
      <c r="N1451" s="3">
        <v>2677</v>
      </c>
    </row>
    <row r="1452" spans="1:14" x14ac:dyDescent="0.2">
      <c r="A1452" s="5" t="str">
        <f>HYPERLINK("http://www.ncbi.nlm.nih.gov/protein/31981882","Cpped1")</f>
        <v>Cpped1</v>
      </c>
      <c r="B1452" s="4"/>
      <c r="C1452" s="3">
        <v>0</v>
      </c>
      <c r="D1452" s="3">
        <v>0</v>
      </c>
      <c r="E1452" s="3">
        <v>0</v>
      </c>
      <c r="F1452" s="3">
        <v>0</v>
      </c>
      <c r="G1452" s="3">
        <v>24450</v>
      </c>
      <c r="H1452" s="2">
        <f t="shared" si="44"/>
        <v>24450</v>
      </c>
      <c r="I1452" t="str">
        <f t="shared" si="45"/>
        <v>Cpped1_24450</v>
      </c>
      <c r="J1452" s="3">
        <v>0</v>
      </c>
      <c r="K1452" s="3">
        <v>0</v>
      </c>
      <c r="L1452" s="3">
        <v>0</v>
      </c>
      <c r="M1452" s="3">
        <v>0</v>
      </c>
      <c r="N1452" s="3">
        <v>24450</v>
      </c>
    </row>
    <row r="1453" spans="1:14" x14ac:dyDescent="0.2">
      <c r="A1453" s="5" t="str">
        <f>HYPERLINK("http://www.ncbi.nlm.nih.gov/protein/124248512","Cps1")</f>
        <v>Cps1</v>
      </c>
      <c r="B1453" s="4"/>
      <c r="C1453" s="3">
        <v>0</v>
      </c>
      <c r="D1453" s="3">
        <v>0</v>
      </c>
      <c r="E1453" s="3">
        <v>0</v>
      </c>
      <c r="F1453" s="3">
        <v>0</v>
      </c>
      <c r="G1453" s="3">
        <v>1253</v>
      </c>
      <c r="H1453" s="2">
        <f t="shared" si="44"/>
        <v>1253</v>
      </c>
      <c r="I1453" t="str">
        <f t="shared" si="45"/>
        <v>Cps1_1253</v>
      </c>
      <c r="J1453" s="3">
        <v>0</v>
      </c>
      <c r="K1453" s="3">
        <v>0</v>
      </c>
      <c r="L1453" s="3">
        <v>0</v>
      </c>
      <c r="M1453" s="3">
        <v>0</v>
      </c>
      <c r="N1453" s="3">
        <v>1253</v>
      </c>
    </row>
    <row r="1454" spans="1:14" x14ac:dyDescent="0.2">
      <c r="A1454" s="5" t="str">
        <f>HYPERLINK("http://www.ncbi.nlm.nih.gov/protein/16751835","Cpsf1")</f>
        <v>Cpsf1</v>
      </c>
      <c r="B1454" s="4"/>
      <c r="C1454" s="3">
        <v>3020</v>
      </c>
      <c r="D1454" s="3">
        <v>0</v>
      </c>
      <c r="E1454" s="3">
        <v>50</v>
      </c>
      <c r="F1454" s="3">
        <v>0</v>
      </c>
      <c r="G1454" s="3">
        <v>0</v>
      </c>
      <c r="H1454" s="2">
        <f t="shared" si="44"/>
        <v>3070</v>
      </c>
      <c r="I1454" t="str">
        <f t="shared" si="45"/>
        <v>Cpsf1_3070</v>
      </c>
      <c r="J1454" s="3">
        <v>3020</v>
      </c>
      <c r="K1454" s="3">
        <v>0</v>
      </c>
      <c r="L1454" s="3">
        <v>50</v>
      </c>
      <c r="M1454" s="3">
        <v>0</v>
      </c>
      <c r="N1454" s="3">
        <v>0</v>
      </c>
    </row>
    <row r="1455" spans="1:14" x14ac:dyDescent="0.2">
      <c r="A1455" s="5" t="str">
        <f>HYPERLINK("http://www.ncbi.nlm.nih.gov/protein/255918233","Cpsf1")</f>
        <v>Cpsf1</v>
      </c>
      <c r="B1455" s="4"/>
      <c r="C1455" s="3">
        <v>1831</v>
      </c>
      <c r="D1455" s="3">
        <v>0</v>
      </c>
      <c r="E1455" s="3">
        <v>50</v>
      </c>
      <c r="F1455" s="3">
        <v>0</v>
      </c>
      <c r="G1455" s="3">
        <v>0</v>
      </c>
      <c r="H1455" s="2">
        <f t="shared" si="44"/>
        <v>1881</v>
      </c>
      <c r="I1455" t="str">
        <f t="shared" si="45"/>
        <v>Cpsf1_1881</v>
      </c>
      <c r="J1455" s="3">
        <v>1831</v>
      </c>
      <c r="K1455" s="3">
        <v>0</v>
      </c>
      <c r="L1455" s="3">
        <v>50</v>
      </c>
      <c r="M1455" s="3">
        <v>0</v>
      </c>
      <c r="N1455" s="3">
        <v>0</v>
      </c>
    </row>
    <row r="1456" spans="1:14" x14ac:dyDescent="0.2">
      <c r="A1456" s="5" t="str">
        <f>HYPERLINK("http://www.ncbi.nlm.nih.gov/protein/8393762","Cpsf2")</f>
        <v>Cpsf2</v>
      </c>
      <c r="B1456" s="4"/>
      <c r="C1456" s="3">
        <v>1263</v>
      </c>
      <c r="D1456" s="3">
        <v>0</v>
      </c>
      <c r="E1456" s="3">
        <v>18</v>
      </c>
      <c r="F1456" s="3">
        <v>303</v>
      </c>
      <c r="G1456" s="3">
        <v>8461</v>
      </c>
      <c r="H1456" s="2">
        <f t="shared" si="44"/>
        <v>10045</v>
      </c>
      <c r="I1456" t="str">
        <f t="shared" si="45"/>
        <v>Cpsf2_10045</v>
      </c>
      <c r="J1456" s="3">
        <v>1263</v>
      </c>
      <c r="K1456" s="3">
        <v>0</v>
      </c>
      <c r="L1456" s="3">
        <v>18</v>
      </c>
      <c r="M1456" s="3">
        <v>303</v>
      </c>
      <c r="N1456" s="3">
        <v>8461</v>
      </c>
    </row>
    <row r="1457" spans="1:14" x14ac:dyDescent="0.2">
      <c r="A1457" s="5" t="str">
        <f>HYPERLINK("http://www.ncbi.nlm.nih.gov/protein/31980904","Cpsf3")</f>
        <v>Cpsf3</v>
      </c>
      <c r="B1457" s="4"/>
      <c r="C1457" s="3">
        <v>0</v>
      </c>
      <c r="D1457" s="3">
        <v>0</v>
      </c>
      <c r="E1457" s="3">
        <v>378</v>
      </c>
      <c r="F1457" s="3">
        <v>3520</v>
      </c>
      <c r="G1457" s="3">
        <v>4723</v>
      </c>
      <c r="H1457" s="2">
        <f t="shared" si="44"/>
        <v>8621</v>
      </c>
      <c r="I1457" t="str">
        <f t="shared" si="45"/>
        <v>Cpsf3_8621</v>
      </c>
      <c r="J1457" s="3">
        <v>0</v>
      </c>
      <c r="K1457" s="3">
        <v>0</v>
      </c>
      <c r="L1457" s="3">
        <v>378</v>
      </c>
      <c r="M1457" s="3">
        <v>3520</v>
      </c>
      <c r="N1457" s="3">
        <v>4723</v>
      </c>
    </row>
    <row r="1458" spans="1:14" x14ac:dyDescent="0.2">
      <c r="A1458" s="5" t="str">
        <f>HYPERLINK("http://www.ncbi.nlm.nih.gov/protein/21312614","Cpsf3l")</f>
        <v>Cpsf3l</v>
      </c>
      <c r="B1458" s="4"/>
      <c r="C1458" s="3">
        <v>0</v>
      </c>
      <c r="D1458" s="3">
        <v>0</v>
      </c>
      <c r="E1458" s="3">
        <v>0</v>
      </c>
      <c r="F1458" s="3">
        <v>2759</v>
      </c>
      <c r="G1458" s="3">
        <v>0</v>
      </c>
      <c r="H1458" s="2">
        <f t="shared" si="44"/>
        <v>2759</v>
      </c>
      <c r="I1458" t="str">
        <f t="shared" si="45"/>
        <v>Cpsf3l_2759</v>
      </c>
      <c r="J1458" s="3">
        <v>0</v>
      </c>
      <c r="K1458" s="3">
        <v>0</v>
      </c>
      <c r="L1458" s="3">
        <v>0</v>
      </c>
      <c r="M1458" s="3">
        <v>2759</v>
      </c>
      <c r="N1458" s="3">
        <v>0</v>
      </c>
    </row>
    <row r="1459" spans="1:14" x14ac:dyDescent="0.2">
      <c r="A1459" s="5" t="str">
        <f>HYPERLINK("http://www.ncbi.nlm.nih.gov/protein/62909983","Cpsf6")</f>
        <v>Cpsf6</v>
      </c>
      <c r="B1459" s="4"/>
      <c r="C1459" s="3">
        <v>4577</v>
      </c>
      <c r="D1459" s="3">
        <v>1971</v>
      </c>
      <c r="E1459" s="3">
        <v>4896</v>
      </c>
      <c r="F1459" s="3">
        <v>5059</v>
      </c>
      <c r="G1459" s="3">
        <v>2056</v>
      </c>
      <c r="H1459" s="2">
        <f t="shared" si="44"/>
        <v>18559</v>
      </c>
      <c r="I1459" t="str">
        <f t="shared" si="45"/>
        <v>Cpsf6_18559</v>
      </c>
      <c r="J1459" s="3">
        <v>4577</v>
      </c>
      <c r="K1459" s="3">
        <v>1971</v>
      </c>
      <c r="L1459" s="3">
        <v>4896</v>
      </c>
      <c r="M1459" s="3">
        <v>5059</v>
      </c>
      <c r="N1459" s="3">
        <v>2056</v>
      </c>
    </row>
    <row r="1460" spans="1:14" x14ac:dyDescent="0.2">
      <c r="A1460" s="5" t="str">
        <f>HYPERLINK("http://www.ncbi.nlm.nih.gov/protein/256665243","Cpsf7")</f>
        <v>Cpsf7</v>
      </c>
      <c r="B1460" s="4"/>
      <c r="C1460" s="3">
        <v>8402</v>
      </c>
      <c r="D1460" s="3">
        <v>0</v>
      </c>
      <c r="E1460" s="3">
        <v>2188</v>
      </c>
      <c r="F1460" s="3">
        <v>5157</v>
      </c>
      <c r="G1460" s="3">
        <v>0</v>
      </c>
      <c r="H1460" s="2">
        <f t="shared" si="44"/>
        <v>15747</v>
      </c>
      <c r="I1460" t="str">
        <f t="shared" si="45"/>
        <v>Cpsf7_15747</v>
      </c>
      <c r="J1460" s="3">
        <v>8402</v>
      </c>
      <c r="K1460" s="3">
        <v>0</v>
      </c>
      <c r="L1460" s="3">
        <v>2188</v>
      </c>
      <c r="M1460" s="3">
        <v>5157</v>
      </c>
      <c r="N1460" s="3">
        <v>0</v>
      </c>
    </row>
    <row r="1461" spans="1:14" x14ac:dyDescent="0.2">
      <c r="A1461" s="5" t="str">
        <f>HYPERLINK("http://www.ncbi.nlm.nih.gov/protein/256665245","Cpsf7")</f>
        <v>Cpsf7</v>
      </c>
      <c r="B1461" s="4"/>
      <c r="C1461" s="3">
        <v>8402</v>
      </c>
      <c r="D1461" s="3">
        <v>0</v>
      </c>
      <c r="E1461" s="3">
        <v>2188</v>
      </c>
      <c r="F1461" s="3">
        <v>5157</v>
      </c>
      <c r="G1461" s="3">
        <v>0</v>
      </c>
      <c r="H1461" s="2">
        <f t="shared" si="44"/>
        <v>15747</v>
      </c>
      <c r="I1461" t="str">
        <f t="shared" si="45"/>
        <v>Cpsf7_15747</v>
      </c>
      <c r="J1461" s="3">
        <v>8402</v>
      </c>
      <c r="K1461" s="3">
        <v>0</v>
      </c>
      <c r="L1461" s="3">
        <v>2188</v>
      </c>
      <c r="M1461" s="3">
        <v>5157</v>
      </c>
      <c r="N1461" s="3">
        <v>0</v>
      </c>
    </row>
    <row r="1462" spans="1:14" x14ac:dyDescent="0.2">
      <c r="A1462" s="5" t="str">
        <f>HYPERLINK("http://www.ncbi.nlm.nih.gov/protein/162287142","Cpt1a")</f>
        <v>Cpt1a</v>
      </c>
      <c r="B1462" s="4"/>
      <c r="C1462" s="3">
        <v>85745</v>
      </c>
      <c r="D1462" s="3">
        <v>41001</v>
      </c>
      <c r="E1462" s="3">
        <v>13329</v>
      </c>
      <c r="F1462" s="3">
        <v>638</v>
      </c>
      <c r="G1462" s="3">
        <v>0</v>
      </c>
      <c r="H1462" s="2">
        <f t="shared" si="44"/>
        <v>140713</v>
      </c>
      <c r="I1462" t="str">
        <f t="shared" si="45"/>
        <v>Cpt1a_140713</v>
      </c>
      <c r="J1462" s="3">
        <v>85745</v>
      </c>
      <c r="K1462" s="3">
        <v>41001</v>
      </c>
      <c r="L1462" s="3">
        <v>13329</v>
      </c>
      <c r="M1462" s="3">
        <v>638</v>
      </c>
      <c r="N1462" s="3">
        <v>0</v>
      </c>
    </row>
    <row r="1463" spans="1:14" x14ac:dyDescent="0.2">
      <c r="A1463" s="5" t="str">
        <f>HYPERLINK("http://www.ncbi.nlm.nih.gov/protein/162287165","Cpt1b")</f>
        <v>Cpt1b</v>
      </c>
      <c r="B1463" s="4"/>
      <c r="C1463" s="3">
        <v>0</v>
      </c>
      <c r="D1463" s="3">
        <v>1230</v>
      </c>
      <c r="E1463" s="3">
        <v>3710</v>
      </c>
      <c r="F1463" s="3">
        <v>638</v>
      </c>
      <c r="G1463" s="3">
        <v>0</v>
      </c>
      <c r="H1463" s="2">
        <f t="shared" si="44"/>
        <v>5578</v>
      </c>
      <c r="I1463" t="str">
        <f t="shared" si="45"/>
        <v>Cpt1b_5578</v>
      </c>
      <c r="J1463" s="3">
        <v>0</v>
      </c>
      <c r="K1463" s="3">
        <v>1230</v>
      </c>
      <c r="L1463" s="3">
        <v>3710</v>
      </c>
      <c r="M1463" s="3">
        <v>638</v>
      </c>
      <c r="N1463" s="3">
        <v>0</v>
      </c>
    </row>
    <row r="1464" spans="1:14" x14ac:dyDescent="0.2">
      <c r="A1464" s="5" t="str">
        <f>HYPERLINK("http://www.ncbi.nlm.nih.gov/protein/162138915","Cpt2")</f>
        <v>Cpt2</v>
      </c>
      <c r="B1464" s="4"/>
      <c r="C1464" s="3">
        <v>4155</v>
      </c>
      <c r="D1464" s="3">
        <v>6557</v>
      </c>
      <c r="E1464" s="3">
        <v>0</v>
      </c>
      <c r="F1464" s="3">
        <v>0</v>
      </c>
      <c r="G1464" s="3">
        <v>0</v>
      </c>
      <c r="H1464" s="2">
        <f t="shared" si="44"/>
        <v>10712</v>
      </c>
      <c r="I1464" t="str">
        <f t="shared" si="45"/>
        <v>Cpt2_10712</v>
      </c>
      <c r="J1464" s="3">
        <v>4155</v>
      </c>
      <c r="K1464" s="3">
        <v>6557</v>
      </c>
      <c r="L1464" s="3">
        <v>0</v>
      </c>
      <c r="M1464" s="3">
        <v>0</v>
      </c>
      <c r="N1464" s="3">
        <v>0</v>
      </c>
    </row>
    <row r="1465" spans="1:14" x14ac:dyDescent="0.2">
      <c r="A1465" s="5" t="str">
        <f>HYPERLINK("http://www.ncbi.nlm.nih.gov/protein/52426750","Cr1l")</f>
        <v>Cr1l</v>
      </c>
      <c r="B1465" s="4"/>
      <c r="C1465" s="3">
        <v>0</v>
      </c>
      <c r="D1465" s="3">
        <v>29</v>
      </c>
      <c r="E1465" s="3">
        <v>3794</v>
      </c>
      <c r="F1465" s="3">
        <v>0</v>
      </c>
      <c r="G1465" s="3">
        <v>0</v>
      </c>
      <c r="H1465" s="2">
        <f t="shared" si="44"/>
        <v>3823</v>
      </c>
      <c r="I1465" t="str">
        <f t="shared" si="45"/>
        <v>Cr1l_3823</v>
      </c>
      <c r="J1465" s="3">
        <v>0</v>
      </c>
      <c r="K1465" s="3">
        <v>29</v>
      </c>
      <c r="L1465" s="3">
        <v>3794</v>
      </c>
      <c r="M1465" s="3">
        <v>0</v>
      </c>
      <c r="N1465" s="3">
        <v>0</v>
      </c>
    </row>
    <row r="1466" spans="1:14" x14ac:dyDescent="0.2">
      <c r="A1466" s="5" t="str">
        <f>HYPERLINK("http://www.ncbi.nlm.nih.gov/protein/7304975","Crabp1")</f>
        <v>Crabp1</v>
      </c>
      <c r="B1466" s="4"/>
      <c r="C1466" s="3">
        <v>0</v>
      </c>
      <c r="D1466" s="3">
        <v>0</v>
      </c>
      <c r="E1466" s="3">
        <v>0</v>
      </c>
      <c r="F1466" s="3">
        <v>0</v>
      </c>
      <c r="G1466" s="3">
        <v>41371</v>
      </c>
      <c r="H1466" s="2">
        <f t="shared" si="44"/>
        <v>41371</v>
      </c>
      <c r="I1466" t="str">
        <f t="shared" si="45"/>
        <v>Crabp1_41371</v>
      </c>
      <c r="J1466" s="3">
        <v>0</v>
      </c>
      <c r="K1466" s="3">
        <v>0</v>
      </c>
      <c r="L1466" s="3">
        <v>0</v>
      </c>
      <c r="M1466" s="3">
        <v>0</v>
      </c>
      <c r="N1466" s="3">
        <v>41371</v>
      </c>
    </row>
    <row r="1467" spans="1:14" x14ac:dyDescent="0.2">
      <c r="A1467" s="5" t="str">
        <f>HYPERLINK("http://www.ncbi.nlm.nih.gov/protein/33469075","Crabp2")</f>
        <v>Crabp2</v>
      </c>
      <c r="B1467" s="4"/>
      <c r="C1467" s="3">
        <v>0</v>
      </c>
      <c r="D1467" s="3">
        <v>8751</v>
      </c>
      <c r="E1467" s="3">
        <v>15960</v>
      </c>
      <c r="F1467" s="3">
        <v>13482</v>
      </c>
      <c r="G1467" s="3">
        <v>121810</v>
      </c>
      <c r="H1467" s="2">
        <f t="shared" si="44"/>
        <v>160003</v>
      </c>
      <c r="I1467" t="str">
        <f t="shared" si="45"/>
        <v>Crabp2_160003</v>
      </c>
      <c r="J1467" s="3">
        <v>0</v>
      </c>
      <c r="K1467" s="3">
        <v>8751</v>
      </c>
      <c r="L1467" s="3">
        <v>15960</v>
      </c>
      <c r="M1467" s="3">
        <v>13482</v>
      </c>
      <c r="N1467" s="3">
        <v>121810</v>
      </c>
    </row>
    <row r="1468" spans="1:14" x14ac:dyDescent="0.2">
      <c r="A1468" s="5" t="str">
        <f>HYPERLINK("http://www.ncbi.nlm.nih.gov/protein/85662408","Crat")</f>
        <v>Crat</v>
      </c>
      <c r="B1468" s="4"/>
      <c r="C1468" s="3">
        <v>0</v>
      </c>
      <c r="D1468" s="3">
        <v>969</v>
      </c>
      <c r="E1468" s="3">
        <v>0</v>
      </c>
      <c r="F1468" s="3">
        <v>0</v>
      </c>
      <c r="G1468" s="3">
        <v>0</v>
      </c>
      <c r="H1468" s="2">
        <f t="shared" si="44"/>
        <v>969</v>
      </c>
      <c r="I1468" t="str">
        <f t="shared" si="45"/>
        <v>Crat_969</v>
      </c>
      <c r="J1468" s="3">
        <v>0</v>
      </c>
      <c r="K1468" s="3">
        <v>969</v>
      </c>
      <c r="L1468" s="3">
        <v>0</v>
      </c>
      <c r="M1468" s="3">
        <v>0</v>
      </c>
      <c r="N1468" s="3">
        <v>0</v>
      </c>
    </row>
    <row r="1469" spans="1:14" x14ac:dyDescent="0.2">
      <c r="A1469" s="5" t="str">
        <f>HYPERLINK("http://www.ncbi.nlm.nih.gov/protein/29244038","Crb3")</f>
        <v>Crb3</v>
      </c>
      <c r="B1469" s="4"/>
      <c r="C1469" s="3">
        <v>0</v>
      </c>
      <c r="D1469" s="3">
        <v>42</v>
      </c>
      <c r="E1469" s="3">
        <v>202</v>
      </c>
      <c r="F1469" s="3">
        <v>0</v>
      </c>
      <c r="G1469" s="3">
        <v>0</v>
      </c>
      <c r="H1469" s="2">
        <f t="shared" si="44"/>
        <v>244</v>
      </c>
      <c r="I1469" t="str">
        <f t="shared" si="45"/>
        <v>Crb3_244</v>
      </c>
      <c r="J1469" s="3">
        <v>0</v>
      </c>
      <c r="K1469" s="3">
        <v>42</v>
      </c>
      <c r="L1469" s="3">
        <v>202</v>
      </c>
      <c r="M1469" s="3">
        <v>0</v>
      </c>
      <c r="N1469" s="3">
        <v>0</v>
      </c>
    </row>
    <row r="1470" spans="1:14" x14ac:dyDescent="0.2">
      <c r="A1470" s="5" t="str">
        <f>HYPERLINK("http://www.ncbi.nlm.nih.gov/protein/28202023","Crbn")</f>
        <v>Crbn</v>
      </c>
      <c r="B1470" s="4"/>
      <c r="C1470" s="3">
        <v>3661</v>
      </c>
      <c r="D1470" s="3">
        <v>668</v>
      </c>
      <c r="E1470" s="3">
        <v>5201</v>
      </c>
      <c r="F1470" s="3">
        <v>6917</v>
      </c>
      <c r="G1470" s="3">
        <v>17360</v>
      </c>
      <c r="H1470" s="2">
        <f t="shared" si="44"/>
        <v>33807</v>
      </c>
      <c r="I1470" t="str">
        <f t="shared" si="45"/>
        <v>Crbn_33807</v>
      </c>
      <c r="J1470" s="3">
        <v>3661</v>
      </c>
      <c r="K1470" s="3">
        <v>668</v>
      </c>
      <c r="L1470" s="3">
        <v>5201</v>
      </c>
      <c r="M1470" s="3">
        <v>6917</v>
      </c>
      <c r="N1470" s="3">
        <v>17360</v>
      </c>
    </row>
    <row r="1471" spans="1:14" x14ac:dyDescent="0.2">
      <c r="A1471" s="5" t="str">
        <f>HYPERLINK("http://www.ncbi.nlm.nih.gov/protein/90403612","Crbn")</f>
        <v>Crbn</v>
      </c>
      <c r="B1471" s="4"/>
      <c r="C1471" s="3">
        <v>3661</v>
      </c>
      <c r="D1471" s="3">
        <v>668</v>
      </c>
      <c r="E1471" s="3">
        <v>5201</v>
      </c>
      <c r="F1471" s="3">
        <v>6917</v>
      </c>
      <c r="G1471" s="3">
        <v>17360</v>
      </c>
      <c r="H1471" s="2">
        <f t="shared" si="44"/>
        <v>33807</v>
      </c>
      <c r="I1471" t="str">
        <f t="shared" si="45"/>
        <v>Crbn_33807</v>
      </c>
      <c r="J1471" s="3">
        <v>3661</v>
      </c>
      <c r="K1471" s="3">
        <v>668</v>
      </c>
      <c r="L1471" s="3">
        <v>5201</v>
      </c>
      <c r="M1471" s="3">
        <v>6917</v>
      </c>
      <c r="N1471" s="3">
        <v>17360</v>
      </c>
    </row>
    <row r="1472" spans="1:14" x14ac:dyDescent="0.2">
      <c r="A1472" s="5" t="str">
        <f>HYPERLINK("http://www.ncbi.nlm.nih.gov/protein/70995311","Crebbp")</f>
        <v>Crebbp</v>
      </c>
      <c r="B1472" s="4"/>
      <c r="C1472" s="3">
        <v>0</v>
      </c>
      <c r="D1472" s="3">
        <v>4</v>
      </c>
      <c r="E1472" s="3">
        <v>69</v>
      </c>
      <c r="F1472" s="3">
        <v>606</v>
      </c>
      <c r="G1472" s="3">
        <v>1510</v>
      </c>
      <c r="H1472" s="2">
        <f t="shared" si="44"/>
        <v>2189</v>
      </c>
      <c r="I1472" t="str">
        <f t="shared" si="45"/>
        <v>Crebbp_2189</v>
      </c>
      <c r="J1472" s="3">
        <v>0</v>
      </c>
      <c r="K1472" s="3">
        <v>4</v>
      </c>
      <c r="L1472" s="3">
        <v>69</v>
      </c>
      <c r="M1472" s="3">
        <v>606</v>
      </c>
      <c r="N1472" s="3">
        <v>1510</v>
      </c>
    </row>
    <row r="1473" spans="1:14" x14ac:dyDescent="0.2">
      <c r="A1473" s="5" t="str">
        <f>HYPERLINK("http://www.ncbi.nlm.nih.gov/protein/19527148","Creld1")</f>
        <v>Creld1</v>
      </c>
      <c r="B1473" s="4"/>
      <c r="C1473" s="3">
        <v>0</v>
      </c>
      <c r="D1473" s="3">
        <v>0</v>
      </c>
      <c r="E1473" s="3">
        <v>212</v>
      </c>
      <c r="F1473" s="3">
        <v>0</v>
      </c>
      <c r="G1473" s="3">
        <v>0</v>
      </c>
      <c r="H1473" s="2">
        <f t="shared" si="44"/>
        <v>212</v>
      </c>
      <c r="I1473" t="str">
        <f t="shared" si="45"/>
        <v>Creld1_212</v>
      </c>
      <c r="J1473" s="3">
        <v>0</v>
      </c>
      <c r="K1473" s="3">
        <v>0</v>
      </c>
      <c r="L1473" s="3">
        <v>212</v>
      </c>
      <c r="M1473" s="3">
        <v>0</v>
      </c>
      <c r="N1473" s="3">
        <v>0</v>
      </c>
    </row>
    <row r="1474" spans="1:14" x14ac:dyDescent="0.2">
      <c r="A1474" s="5" t="str">
        <f>HYPERLINK("http://www.ncbi.nlm.nih.gov/protein/21313278","Creld2")</f>
        <v>Creld2</v>
      </c>
      <c r="B1474" s="4"/>
      <c r="C1474" s="3">
        <v>1483</v>
      </c>
      <c r="D1474" s="3">
        <v>2889</v>
      </c>
      <c r="E1474" s="3">
        <v>38</v>
      </c>
      <c r="F1474" s="3">
        <v>0</v>
      </c>
      <c r="G1474" s="3">
        <v>3577</v>
      </c>
      <c r="H1474" s="2">
        <f t="shared" ref="H1474:H1537" si="46">SUM(C1474:G1474)</f>
        <v>7987</v>
      </c>
      <c r="I1474" t="str">
        <f t="shared" ref="I1474:I1537" si="47">A1474&amp;"_"&amp;H1474</f>
        <v>Creld2_7987</v>
      </c>
      <c r="J1474" s="3">
        <v>1483</v>
      </c>
      <c r="K1474" s="3">
        <v>2889</v>
      </c>
      <c r="L1474" s="3">
        <v>38</v>
      </c>
      <c r="M1474" s="3">
        <v>0</v>
      </c>
      <c r="N1474" s="3">
        <v>3577</v>
      </c>
    </row>
    <row r="1475" spans="1:14" x14ac:dyDescent="0.2">
      <c r="A1475" s="5" t="str">
        <f>HYPERLINK("http://www.ncbi.nlm.nih.gov/protein/6681015","Crip1")</f>
        <v>Crip1</v>
      </c>
      <c r="B1475" s="4"/>
      <c r="C1475" s="3">
        <v>0</v>
      </c>
      <c r="D1475" s="3">
        <v>0</v>
      </c>
      <c r="E1475" s="3">
        <v>240</v>
      </c>
      <c r="F1475" s="3">
        <v>0</v>
      </c>
      <c r="G1475" s="3">
        <v>8021</v>
      </c>
      <c r="H1475" s="2">
        <f t="shared" si="46"/>
        <v>8261</v>
      </c>
      <c r="I1475" t="str">
        <f t="shared" si="47"/>
        <v>Crip1_8261</v>
      </c>
      <c r="J1475" s="3">
        <v>0</v>
      </c>
      <c r="K1475" s="3">
        <v>0</v>
      </c>
      <c r="L1475" s="3">
        <v>240</v>
      </c>
      <c r="M1475" s="3">
        <v>0</v>
      </c>
      <c r="N1475" s="3">
        <v>8021</v>
      </c>
    </row>
    <row r="1476" spans="1:14" x14ac:dyDescent="0.2">
      <c r="A1476" s="5" t="str">
        <f>HYPERLINK("http://www.ncbi.nlm.nih.gov/protein/13195646","Crip2")</f>
        <v>Crip2</v>
      </c>
      <c r="B1476" s="4"/>
      <c r="C1476" s="3">
        <v>0</v>
      </c>
      <c r="D1476" s="3">
        <v>591</v>
      </c>
      <c r="E1476" s="3">
        <v>2393</v>
      </c>
      <c r="F1476" s="3">
        <v>0</v>
      </c>
      <c r="G1476" s="3">
        <v>86801</v>
      </c>
      <c r="H1476" s="2">
        <f t="shared" si="46"/>
        <v>89785</v>
      </c>
      <c r="I1476" t="str">
        <f t="shared" si="47"/>
        <v>Crip2_89785</v>
      </c>
      <c r="J1476" s="3">
        <v>0</v>
      </c>
      <c r="K1476" s="3">
        <v>591</v>
      </c>
      <c r="L1476" s="3">
        <v>2393</v>
      </c>
      <c r="M1476" s="3">
        <v>0</v>
      </c>
      <c r="N1476" s="3">
        <v>86801</v>
      </c>
    </row>
    <row r="1477" spans="1:14" x14ac:dyDescent="0.2">
      <c r="A1477" s="5" t="str">
        <f>HYPERLINK("http://www.ncbi.nlm.nih.gov/protein/31559995","Crk")</f>
        <v>Crk</v>
      </c>
      <c r="B1477" s="4"/>
      <c r="C1477" s="3">
        <v>0</v>
      </c>
      <c r="D1477" s="3">
        <v>0</v>
      </c>
      <c r="E1477" s="3">
        <v>211</v>
      </c>
      <c r="F1477" s="3">
        <v>0</v>
      </c>
      <c r="G1477" s="3">
        <v>19738</v>
      </c>
      <c r="H1477" s="2">
        <f t="shared" si="46"/>
        <v>19949</v>
      </c>
      <c r="I1477" t="str">
        <f t="shared" si="47"/>
        <v>Crk_19949</v>
      </c>
      <c r="J1477" s="3">
        <v>0</v>
      </c>
      <c r="K1477" s="3">
        <v>0</v>
      </c>
      <c r="L1477" s="3">
        <v>211</v>
      </c>
      <c r="M1477" s="3">
        <v>0</v>
      </c>
      <c r="N1477" s="3">
        <v>19738</v>
      </c>
    </row>
    <row r="1478" spans="1:14" x14ac:dyDescent="0.2">
      <c r="A1478" s="5" t="str">
        <f>HYPERLINK("http://www.ncbi.nlm.nih.gov/protein/31542421","Crkl")</f>
        <v>Crkl</v>
      </c>
      <c r="B1478" s="4"/>
      <c r="C1478" s="3">
        <v>0</v>
      </c>
      <c r="D1478" s="3">
        <v>0</v>
      </c>
      <c r="E1478" s="3">
        <v>230</v>
      </c>
      <c r="F1478" s="3">
        <v>0</v>
      </c>
      <c r="G1478" s="3">
        <v>39133</v>
      </c>
      <c r="H1478" s="2">
        <f t="shared" si="46"/>
        <v>39363</v>
      </c>
      <c r="I1478" t="str">
        <f t="shared" si="47"/>
        <v>Crkl_39363</v>
      </c>
      <c r="J1478" s="3">
        <v>0</v>
      </c>
      <c r="K1478" s="3">
        <v>0</v>
      </c>
      <c r="L1478" s="3">
        <v>230</v>
      </c>
      <c r="M1478" s="3">
        <v>0</v>
      </c>
      <c r="N1478" s="3">
        <v>39133</v>
      </c>
    </row>
    <row r="1479" spans="1:14" x14ac:dyDescent="0.2">
      <c r="A1479" s="5" t="str">
        <f>HYPERLINK("http://www.ncbi.nlm.nih.gov/protein/9055200","Crlf3")</f>
        <v>Crlf3</v>
      </c>
      <c r="B1479" s="4"/>
      <c r="C1479" s="3">
        <v>0</v>
      </c>
      <c r="D1479" s="3">
        <v>0</v>
      </c>
      <c r="E1479" s="3">
        <v>0</v>
      </c>
      <c r="F1479" s="3">
        <v>0</v>
      </c>
      <c r="G1479" s="3">
        <v>12391</v>
      </c>
      <c r="H1479" s="2">
        <f t="shared" si="46"/>
        <v>12391</v>
      </c>
      <c r="I1479" t="str">
        <f t="shared" si="47"/>
        <v>Crlf3_12391</v>
      </c>
      <c r="J1479" s="3">
        <v>0</v>
      </c>
      <c r="K1479" s="3">
        <v>0</v>
      </c>
      <c r="L1479" s="3">
        <v>0</v>
      </c>
      <c r="M1479" s="3">
        <v>0</v>
      </c>
      <c r="N1479" s="3">
        <v>12391</v>
      </c>
    </row>
    <row r="1480" spans="1:14" x14ac:dyDescent="0.2">
      <c r="A1480" s="5" t="str">
        <f>HYPERLINK("http://www.ncbi.nlm.nih.gov/protein/66932980","Crls1")</f>
        <v>Crls1</v>
      </c>
      <c r="B1480" s="4"/>
      <c r="C1480" s="3">
        <v>0</v>
      </c>
      <c r="D1480" s="3">
        <v>100</v>
      </c>
      <c r="E1480" s="3">
        <v>0</v>
      </c>
      <c r="F1480" s="3">
        <v>0</v>
      </c>
      <c r="G1480" s="3">
        <v>0</v>
      </c>
      <c r="H1480" s="2">
        <f t="shared" si="46"/>
        <v>100</v>
      </c>
      <c r="I1480" t="str">
        <f t="shared" si="47"/>
        <v>Crls1_100</v>
      </c>
      <c r="J1480" s="3">
        <v>0</v>
      </c>
      <c r="K1480" s="3">
        <v>100</v>
      </c>
      <c r="L1480" s="3">
        <v>0</v>
      </c>
      <c r="M1480" s="3">
        <v>0</v>
      </c>
      <c r="N1480" s="3">
        <v>0</v>
      </c>
    </row>
    <row r="1481" spans="1:14" x14ac:dyDescent="0.2">
      <c r="A1481" s="5" t="str">
        <f>HYPERLINK("http://www.ncbi.nlm.nih.gov/protein/209862923","Crmp1")</f>
        <v>Crmp1</v>
      </c>
      <c r="B1481" s="4"/>
      <c r="C1481" s="3">
        <v>0</v>
      </c>
      <c r="D1481" s="3">
        <v>1238</v>
      </c>
      <c r="E1481" s="3">
        <v>8736</v>
      </c>
      <c r="F1481" s="3">
        <v>32390</v>
      </c>
      <c r="G1481" s="3">
        <v>9574</v>
      </c>
      <c r="H1481" s="2">
        <f t="shared" si="46"/>
        <v>51938</v>
      </c>
      <c r="I1481" t="str">
        <f t="shared" si="47"/>
        <v>Crmp1_51938</v>
      </c>
      <c r="J1481" s="3">
        <v>0</v>
      </c>
      <c r="K1481" s="3">
        <v>1238</v>
      </c>
      <c r="L1481" s="3">
        <v>8736</v>
      </c>
      <c r="M1481" s="3">
        <v>32390</v>
      </c>
      <c r="N1481" s="3">
        <v>9574</v>
      </c>
    </row>
    <row r="1482" spans="1:14" x14ac:dyDescent="0.2">
      <c r="A1482" s="5" t="str">
        <f>HYPERLINK("http://www.ncbi.nlm.nih.gov/protein/40068507","Crmp1")</f>
        <v>Crmp1</v>
      </c>
      <c r="B1482" s="4"/>
      <c r="C1482" s="3">
        <v>0</v>
      </c>
      <c r="D1482" s="3">
        <v>1238</v>
      </c>
      <c r="E1482" s="3">
        <v>8736</v>
      </c>
      <c r="F1482" s="3">
        <v>32390</v>
      </c>
      <c r="G1482" s="3">
        <v>9574</v>
      </c>
      <c r="H1482" s="2">
        <f t="shared" si="46"/>
        <v>51938</v>
      </c>
      <c r="I1482" t="str">
        <f t="shared" si="47"/>
        <v>Crmp1_51938</v>
      </c>
      <c r="J1482" s="3">
        <v>0</v>
      </c>
      <c r="K1482" s="3">
        <v>1238</v>
      </c>
      <c r="L1482" s="3">
        <v>8736</v>
      </c>
      <c r="M1482" s="3">
        <v>32390</v>
      </c>
      <c r="N1482" s="3">
        <v>9574</v>
      </c>
    </row>
    <row r="1483" spans="1:14" x14ac:dyDescent="0.2">
      <c r="A1483" s="5" t="str">
        <f>HYPERLINK("http://www.ncbi.nlm.nih.gov/protein/13385288","Crnkl1")</f>
        <v>Crnkl1</v>
      </c>
      <c r="B1483" s="4"/>
      <c r="C1483" s="3">
        <v>9391</v>
      </c>
      <c r="D1483" s="3">
        <v>17</v>
      </c>
      <c r="E1483" s="3">
        <v>758</v>
      </c>
      <c r="F1483" s="3">
        <v>6262</v>
      </c>
      <c r="G1483" s="3">
        <v>643</v>
      </c>
      <c r="H1483" s="2">
        <f t="shared" si="46"/>
        <v>17071</v>
      </c>
      <c r="I1483" t="str">
        <f t="shared" si="47"/>
        <v>Crnkl1_17071</v>
      </c>
      <c r="J1483" s="3">
        <v>9391</v>
      </c>
      <c r="K1483" s="3">
        <v>17</v>
      </c>
      <c r="L1483" s="3">
        <v>758</v>
      </c>
      <c r="M1483" s="3">
        <v>6262</v>
      </c>
      <c r="N1483" s="3">
        <v>643</v>
      </c>
    </row>
    <row r="1484" spans="1:14" x14ac:dyDescent="0.2">
      <c r="A1484" s="5" t="str">
        <f>HYPERLINK("http://www.ncbi.nlm.nih.gov/protein/225543191","Crocc")</f>
        <v>Crocc</v>
      </c>
      <c r="B1484" s="4"/>
      <c r="C1484" s="3">
        <v>78514</v>
      </c>
      <c r="D1484" s="3">
        <v>4684</v>
      </c>
      <c r="E1484" s="3">
        <v>58553</v>
      </c>
      <c r="F1484" s="3">
        <v>30671</v>
      </c>
      <c r="G1484" s="3">
        <v>18795</v>
      </c>
      <c r="H1484" s="2">
        <f t="shared" si="46"/>
        <v>191217</v>
      </c>
      <c r="I1484" t="str">
        <f t="shared" si="47"/>
        <v>Crocc_191217</v>
      </c>
      <c r="J1484" s="3">
        <v>78514</v>
      </c>
      <c r="K1484" s="3">
        <v>4684</v>
      </c>
      <c r="L1484" s="3">
        <v>58553</v>
      </c>
      <c r="M1484" s="3">
        <v>30671</v>
      </c>
      <c r="N1484" s="3">
        <v>18795</v>
      </c>
    </row>
    <row r="1485" spans="1:14" x14ac:dyDescent="0.2">
      <c r="A1485" s="5" t="str">
        <f>HYPERLINK("http://www.ncbi.nlm.nih.gov/protein/225543193","Crocc")</f>
        <v>Crocc</v>
      </c>
      <c r="B1485" s="4"/>
      <c r="C1485" s="3">
        <v>78514</v>
      </c>
      <c r="D1485" s="3">
        <v>4684</v>
      </c>
      <c r="E1485" s="3">
        <v>58553</v>
      </c>
      <c r="F1485" s="3">
        <v>30671</v>
      </c>
      <c r="G1485" s="3">
        <v>18795</v>
      </c>
      <c r="H1485" s="2">
        <f t="shared" si="46"/>
        <v>191217</v>
      </c>
      <c r="I1485" t="str">
        <f t="shared" si="47"/>
        <v>Crocc_191217</v>
      </c>
      <c r="J1485" s="3">
        <v>78514</v>
      </c>
      <c r="K1485" s="3">
        <v>4684</v>
      </c>
      <c r="L1485" s="3">
        <v>58553</v>
      </c>
      <c r="M1485" s="3">
        <v>30671</v>
      </c>
      <c r="N1485" s="3">
        <v>18795</v>
      </c>
    </row>
    <row r="1486" spans="1:14" x14ac:dyDescent="0.2">
      <c r="A1486" s="5" t="str">
        <f>HYPERLINK("http://www.ncbi.nlm.nih.gov/protein/17157983","Crot")</f>
        <v>Crot</v>
      </c>
      <c r="B1486" s="4"/>
      <c r="C1486" s="3">
        <v>15524</v>
      </c>
      <c r="D1486" s="3">
        <v>4478</v>
      </c>
      <c r="E1486" s="3">
        <v>6566</v>
      </c>
      <c r="F1486" s="3">
        <v>647</v>
      </c>
      <c r="G1486" s="3">
        <v>5408</v>
      </c>
      <c r="H1486" s="2">
        <f t="shared" si="46"/>
        <v>32623</v>
      </c>
      <c r="I1486" t="str">
        <f t="shared" si="47"/>
        <v>Crot_32623</v>
      </c>
      <c r="J1486" s="3">
        <v>15524</v>
      </c>
      <c r="K1486" s="3">
        <v>4478</v>
      </c>
      <c r="L1486" s="3">
        <v>6566</v>
      </c>
      <c r="M1486" s="3">
        <v>647</v>
      </c>
      <c r="N1486" s="3">
        <v>5408</v>
      </c>
    </row>
    <row r="1487" spans="1:14" x14ac:dyDescent="0.2">
      <c r="A1487" s="5" t="str">
        <f>HYPERLINK("http://www.ncbi.nlm.nih.gov/protein/225543173","Crtap")</f>
        <v>Crtap</v>
      </c>
      <c r="B1487" s="4"/>
      <c r="C1487" s="3">
        <v>0</v>
      </c>
      <c r="D1487" s="3">
        <v>395</v>
      </c>
      <c r="E1487" s="3">
        <v>0</v>
      </c>
      <c r="F1487" s="3">
        <v>0</v>
      </c>
      <c r="G1487" s="3">
        <v>0</v>
      </c>
      <c r="H1487" s="2">
        <f t="shared" si="46"/>
        <v>395</v>
      </c>
      <c r="I1487" t="str">
        <f t="shared" si="47"/>
        <v>Crtap_395</v>
      </c>
      <c r="J1487" s="3">
        <v>0</v>
      </c>
      <c r="K1487" s="3">
        <v>395</v>
      </c>
      <c r="L1487" s="3">
        <v>0</v>
      </c>
      <c r="M1487" s="3">
        <v>0</v>
      </c>
      <c r="N1487" s="3">
        <v>0</v>
      </c>
    </row>
    <row r="1488" spans="1:14" x14ac:dyDescent="0.2">
      <c r="A1488" s="5" t="str">
        <f>HYPERLINK("http://www.ncbi.nlm.nih.gov/protein/6681031","Cry1")</f>
        <v>Cry1</v>
      </c>
      <c r="B1488" s="4"/>
      <c r="C1488" s="3">
        <v>3039</v>
      </c>
      <c r="D1488" s="3">
        <v>0</v>
      </c>
      <c r="E1488" s="3">
        <v>546</v>
      </c>
      <c r="F1488" s="3">
        <v>0</v>
      </c>
      <c r="G1488" s="3">
        <v>0</v>
      </c>
      <c r="H1488" s="2">
        <f t="shared" si="46"/>
        <v>3585</v>
      </c>
      <c r="I1488" t="str">
        <f t="shared" si="47"/>
        <v>Cry1_3585</v>
      </c>
      <c r="J1488" s="3">
        <v>3039</v>
      </c>
      <c r="K1488" s="3">
        <v>0</v>
      </c>
      <c r="L1488" s="3">
        <v>546</v>
      </c>
      <c r="M1488" s="3">
        <v>0</v>
      </c>
      <c r="N1488" s="3">
        <v>0</v>
      </c>
    </row>
    <row r="1489" spans="1:14" x14ac:dyDescent="0.2">
      <c r="A1489" s="5" t="str">
        <f>HYPERLINK("http://www.ncbi.nlm.nih.gov/protein/27312016","Cry2")</f>
        <v>Cry2</v>
      </c>
      <c r="B1489" s="4"/>
      <c r="C1489" s="3">
        <v>0</v>
      </c>
      <c r="D1489" s="3">
        <v>0</v>
      </c>
      <c r="E1489" s="3">
        <v>0</v>
      </c>
      <c r="F1489" s="3">
        <v>467</v>
      </c>
      <c r="G1489" s="3">
        <v>278</v>
      </c>
      <c r="H1489" s="2">
        <f t="shared" si="46"/>
        <v>745</v>
      </c>
      <c r="I1489" t="str">
        <f t="shared" si="47"/>
        <v>Cry2_745</v>
      </c>
      <c r="J1489" s="3">
        <v>0</v>
      </c>
      <c r="K1489" s="3">
        <v>0</v>
      </c>
      <c r="L1489" s="3">
        <v>0</v>
      </c>
      <c r="M1489" s="3">
        <v>467</v>
      </c>
      <c r="N1489" s="3">
        <v>278</v>
      </c>
    </row>
    <row r="1490" spans="1:14" x14ac:dyDescent="0.2">
      <c r="A1490" s="5" t="str">
        <f>HYPERLINK("http://www.ncbi.nlm.nih.gov/protein/6753530","Cryab")</f>
        <v>Cryab</v>
      </c>
      <c r="B1490" s="4"/>
      <c r="C1490" s="3">
        <v>0</v>
      </c>
      <c r="D1490" s="3">
        <v>424</v>
      </c>
      <c r="E1490" s="3">
        <v>972</v>
      </c>
      <c r="F1490" s="3">
        <v>28240</v>
      </c>
      <c r="G1490" s="3">
        <v>3566</v>
      </c>
      <c r="H1490" s="2">
        <f t="shared" si="46"/>
        <v>33202</v>
      </c>
      <c r="I1490" t="str">
        <f t="shared" si="47"/>
        <v>Cryab_33202</v>
      </c>
      <c r="J1490" s="3">
        <v>0</v>
      </c>
      <c r="K1490" s="3">
        <v>424</v>
      </c>
      <c r="L1490" s="3">
        <v>972</v>
      </c>
      <c r="M1490" s="3">
        <v>28240</v>
      </c>
      <c r="N1490" s="3">
        <v>3566</v>
      </c>
    </row>
    <row r="1491" spans="1:14" x14ac:dyDescent="0.2">
      <c r="A1491" s="5" t="str">
        <f>HYPERLINK("http://www.ncbi.nlm.nih.gov/protein/19525729","Cryl1")</f>
        <v>Cryl1</v>
      </c>
      <c r="B1491" s="4"/>
      <c r="C1491" s="3">
        <v>0</v>
      </c>
      <c r="D1491" s="3">
        <v>466</v>
      </c>
      <c r="E1491" s="3">
        <v>395</v>
      </c>
      <c r="F1491" s="3">
        <v>0</v>
      </c>
      <c r="G1491" s="3">
        <v>16289</v>
      </c>
      <c r="H1491" s="2">
        <f t="shared" si="46"/>
        <v>17150</v>
      </c>
      <c r="I1491" t="str">
        <f t="shared" si="47"/>
        <v>Cryl1_17150</v>
      </c>
      <c r="J1491" s="3">
        <v>0</v>
      </c>
      <c r="K1491" s="3">
        <v>466</v>
      </c>
      <c r="L1491" s="3">
        <v>395</v>
      </c>
      <c r="M1491" s="3">
        <v>0</v>
      </c>
      <c r="N1491" s="3">
        <v>16289</v>
      </c>
    </row>
    <row r="1492" spans="1:14" x14ac:dyDescent="0.2">
      <c r="A1492" s="5" t="str">
        <f>HYPERLINK("http://www.ncbi.nlm.nih.gov/protein/33859530","Cryz")</f>
        <v>Cryz</v>
      </c>
      <c r="B1492" s="4"/>
      <c r="C1492" s="3">
        <v>0</v>
      </c>
      <c r="D1492" s="3">
        <v>9373</v>
      </c>
      <c r="E1492" s="3">
        <v>3906</v>
      </c>
      <c r="F1492" s="3">
        <v>13547</v>
      </c>
      <c r="G1492" s="3">
        <v>145157</v>
      </c>
      <c r="H1492" s="2">
        <f t="shared" si="46"/>
        <v>171983</v>
      </c>
      <c r="I1492" t="str">
        <f t="shared" si="47"/>
        <v>Cryz_171983</v>
      </c>
      <c r="J1492" s="3">
        <v>0</v>
      </c>
      <c r="K1492" s="3">
        <v>9373</v>
      </c>
      <c r="L1492" s="3">
        <v>3906</v>
      </c>
      <c r="M1492" s="3">
        <v>13547</v>
      </c>
      <c r="N1492" s="3">
        <v>145157</v>
      </c>
    </row>
    <row r="1493" spans="1:14" x14ac:dyDescent="0.2">
      <c r="A1493" s="5" t="str">
        <f>HYPERLINK("http://www.ncbi.nlm.nih.gov/protein/21617847","Cryzl1")</f>
        <v>Cryzl1</v>
      </c>
      <c r="B1493" s="4"/>
      <c r="C1493" s="3">
        <v>0</v>
      </c>
      <c r="D1493" s="3">
        <v>0</v>
      </c>
      <c r="E1493" s="3">
        <v>277</v>
      </c>
      <c r="F1493" s="3">
        <v>3127</v>
      </c>
      <c r="G1493" s="3">
        <v>8696</v>
      </c>
      <c r="H1493" s="2">
        <f t="shared" si="46"/>
        <v>12100</v>
      </c>
      <c r="I1493" t="str">
        <f t="shared" si="47"/>
        <v>Cryzl1_12100</v>
      </c>
      <c r="J1493" s="3">
        <v>0</v>
      </c>
      <c r="K1493" s="3">
        <v>0</v>
      </c>
      <c r="L1493" s="3">
        <v>277</v>
      </c>
      <c r="M1493" s="3">
        <v>3127</v>
      </c>
      <c r="N1493" s="3">
        <v>8696</v>
      </c>
    </row>
    <row r="1494" spans="1:14" x14ac:dyDescent="0.2">
      <c r="A1494" s="5" t="str">
        <f>HYPERLINK("http://www.ncbi.nlm.nih.gov/protein/323462200","Cryzl1")</f>
        <v>Cryzl1</v>
      </c>
      <c r="B1494" s="4"/>
      <c r="C1494" s="3">
        <v>0</v>
      </c>
      <c r="D1494" s="3">
        <v>0</v>
      </c>
      <c r="E1494" s="3">
        <v>277</v>
      </c>
      <c r="F1494" s="3">
        <v>3127</v>
      </c>
      <c r="G1494" s="3">
        <v>8696</v>
      </c>
      <c r="H1494" s="2">
        <f t="shared" si="46"/>
        <v>12100</v>
      </c>
      <c r="I1494" t="str">
        <f t="shared" si="47"/>
        <v>Cryzl1_12100</v>
      </c>
      <c r="J1494" s="3">
        <v>0</v>
      </c>
      <c r="K1494" s="3">
        <v>0</v>
      </c>
      <c r="L1494" s="3">
        <v>277</v>
      </c>
      <c r="M1494" s="3">
        <v>3127</v>
      </c>
      <c r="N1494" s="3">
        <v>8696</v>
      </c>
    </row>
    <row r="1495" spans="1:14" x14ac:dyDescent="0.2">
      <c r="A1495" s="5" t="str">
        <f>HYPERLINK("http://www.ncbi.nlm.nih.gov/protein/13385942","Cs")</f>
        <v>Cs</v>
      </c>
      <c r="B1495" s="4"/>
      <c r="C1495" s="3">
        <v>414210</v>
      </c>
      <c r="D1495" s="3">
        <v>70362</v>
      </c>
      <c r="E1495" s="3">
        <v>9485</v>
      </c>
      <c r="F1495" s="3">
        <v>6769</v>
      </c>
      <c r="G1495" s="3">
        <v>9446</v>
      </c>
      <c r="H1495" s="2">
        <f t="shared" si="46"/>
        <v>510272</v>
      </c>
      <c r="I1495" t="str">
        <f t="shared" si="47"/>
        <v>Cs_510272</v>
      </c>
      <c r="J1495" s="3">
        <v>414210</v>
      </c>
      <c r="K1495" s="3">
        <v>70362</v>
      </c>
      <c r="L1495" s="3">
        <v>9485</v>
      </c>
      <c r="M1495" s="3">
        <v>6769</v>
      </c>
      <c r="N1495" s="3">
        <v>9446</v>
      </c>
    </row>
    <row r="1496" spans="1:14" x14ac:dyDescent="0.2">
      <c r="A1496" s="5" t="str">
        <f>HYPERLINK("http://www.ncbi.nlm.nih.gov/protein/21450351","Csad")</f>
        <v>Csad</v>
      </c>
      <c r="B1496" s="4"/>
      <c r="C1496" s="3">
        <v>0</v>
      </c>
      <c r="D1496" s="3">
        <v>0</v>
      </c>
      <c r="E1496" s="3">
        <v>0</v>
      </c>
      <c r="F1496" s="3">
        <v>0</v>
      </c>
      <c r="G1496" s="3">
        <v>8664</v>
      </c>
      <c r="H1496" s="2">
        <f t="shared" si="46"/>
        <v>8664</v>
      </c>
      <c r="I1496" t="str">
        <f t="shared" si="47"/>
        <v>Csad_8664</v>
      </c>
      <c r="J1496" s="3">
        <v>0</v>
      </c>
      <c r="K1496" s="3">
        <v>0</v>
      </c>
      <c r="L1496" s="3">
        <v>0</v>
      </c>
      <c r="M1496" s="3">
        <v>0</v>
      </c>
      <c r="N1496" s="3">
        <v>8664</v>
      </c>
    </row>
    <row r="1497" spans="1:14" x14ac:dyDescent="0.2">
      <c r="A1497" s="5" t="str">
        <f>HYPERLINK("http://www.ncbi.nlm.nih.gov/protein/21450287","Csde1")</f>
        <v>Csde1</v>
      </c>
      <c r="B1497" s="4"/>
      <c r="C1497" s="3">
        <v>0</v>
      </c>
      <c r="D1497" s="3">
        <v>2390</v>
      </c>
      <c r="E1497" s="3">
        <v>48973</v>
      </c>
      <c r="F1497" s="3">
        <v>57610</v>
      </c>
      <c r="G1497" s="3">
        <v>6169</v>
      </c>
      <c r="H1497" s="2">
        <f t="shared" si="46"/>
        <v>115142</v>
      </c>
      <c r="I1497" t="str">
        <f t="shared" si="47"/>
        <v>Csde1_115142</v>
      </c>
      <c r="J1497" s="3">
        <v>0</v>
      </c>
      <c r="K1497" s="3">
        <v>2390</v>
      </c>
      <c r="L1497" s="3">
        <v>48973</v>
      </c>
      <c r="M1497" s="3">
        <v>57610</v>
      </c>
      <c r="N1497" s="3">
        <v>6169</v>
      </c>
    </row>
    <row r="1498" spans="1:14" x14ac:dyDescent="0.2">
      <c r="A1498" s="5" t="str">
        <f>HYPERLINK("http://www.ncbi.nlm.nih.gov/protein/240255574","Csde1")</f>
        <v>Csde1</v>
      </c>
      <c r="B1498" s="4"/>
      <c r="C1498" s="3">
        <v>0</v>
      </c>
      <c r="D1498" s="3">
        <v>2390</v>
      </c>
      <c r="E1498" s="3">
        <v>45083</v>
      </c>
      <c r="F1498" s="3">
        <v>52044</v>
      </c>
      <c r="G1498" s="3">
        <v>6169</v>
      </c>
      <c r="H1498" s="2">
        <f t="shared" si="46"/>
        <v>105686</v>
      </c>
      <c r="I1498" t="str">
        <f t="shared" si="47"/>
        <v>Csde1_105686</v>
      </c>
      <c r="J1498" s="3">
        <v>0</v>
      </c>
      <c r="K1498" s="3">
        <v>2390</v>
      </c>
      <c r="L1498" s="3">
        <v>45083</v>
      </c>
      <c r="M1498" s="3">
        <v>52044</v>
      </c>
      <c r="N1498" s="3">
        <v>6169</v>
      </c>
    </row>
    <row r="1499" spans="1:14" x14ac:dyDescent="0.2">
      <c r="A1499" s="5" t="str">
        <f>HYPERLINK("http://www.ncbi.nlm.nih.gov/protein/12963737","Cse1l")</f>
        <v>Cse1l</v>
      </c>
      <c r="B1499" s="4"/>
      <c r="C1499" s="3">
        <v>995280</v>
      </c>
      <c r="D1499" s="3">
        <v>15683</v>
      </c>
      <c r="E1499" s="3">
        <v>39198</v>
      </c>
      <c r="F1499" s="3">
        <v>532749</v>
      </c>
      <c r="G1499" s="3">
        <v>112760</v>
      </c>
      <c r="H1499" s="2">
        <f t="shared" si="46"/>
        <v>1695670</v>
      </c>
      <c r="I1499" t="str">
        <f t="shared" si="47"/>
        <v>Cse1l_1695670</v>
      </c>
      <c r="J1499" s="3">
        <v>995280</v>
      </c>
      <c r="K1499" s="3">
        <v>15683</v>
      </c>
      <c r="L1499" s="3">
        <v>39198</v>
      </c>
      <c r="M1499" s="3">
        <v>532749</v>
      </c>
      <c r="N1499" s="3">
        <v>112760</v>
      </c>
    </row>
    <row r="1500" spans="1:14" x14ac:dyDescent="0.2">
      <c r="A1500" s="5" t="str">
        <f>HYPERLINK("http://www.ncbi.nlm.nih.gov/protein/6753536","Csf3")</f>
        <v>Csf3</v>
      </c>
      <c r="B1500" s="4"/>
      <c r="C1500" s="3">
        <v>1501</v>
      </c>
      <c r="D1500" s="3">
        <v>0</v>
      </c>
      <c r="E1500" s="3">
        <v>0</v>
      </c>
      <c r="F1500" s="3">
        <v>0</v>
      </c>
      <c r="G1500" s="3">
        <v>0</v>
      </c>
      <c r="H1500" s="2">
        <f t="shared" si="46"/>
        <v>1501</v>
      </c>
      <c r="I1500" t="str">
        <f t="shared" si="47"/>
        <v>Csf3_1501</v>
      </c>
      <c r="J1500" s="3">
        <v>1501</v>
      </c>
      <c r="K1500" s="3">
        <v>0</v>
      </c>
      <c r="L1500" s="3">
        <v>0</v>
      </c>
      <c r="M1500" s="3">
        <v>0</v>
      </c>
      <c r="N1500" s="3">
        <v>0</v>
      </c>
    </row>
    <row r="1501" spans="1:14" x14ac:dyDescent="0.2">
      <c r="A1501" s="5" t="str">
        <f>HYPERLINK("http://www.ncbi.nlm.nih.gov/protein/31560712","Csk")</f>
        <v>Csk</v>
      </c>
      <c r="B1501" s="4"/>
      <c r="C1501" s="3">
        <v>0</v>
      </c>
      <c r="D1501" s="3">
        <v>1998</v>
      </c>
      <c r="E1501" s="3">
        <v>260</v>
      </c>
      <c r="F1501" s="3">
        <v>0</v>
      </c>
      <c r="G1501" s="3">
        <v>19191</v>
      </c>
      <c r="H1501" s="2">
        <f t="shared" si="46"/>
        <v>21449</v>
      </c>
      <c r="I1501" t="str">
        <f t="shared" si="47"/>
        <v>Csk_21449</v>
      </c>
      <c r="J1501" s="3">
        <v>0</v>
      </c>
      <c r="K1501" s="3">
        <v>1998</v>
      </c>
      <c r="L1501" s="3">
        <v>260</v>
      </c>
      <c r="M1501" s="3">
        <v>0</v>
      </c>
      <c r="N1501" s="3">
        <v>19191</v>
      </c>
    </row>
    <row r="1502" spans="1:14" x14ac:dyDescent="0.2">
      <c r="A1502" s="5" t="str">
        <f>HYPERLINK("http://www.ncbi.nlm.nih.gov/protein/269973935","Csl")</f>
        <v>Csl</v>
      </c>
      <c r="B1502" s="4"/>
      <c r="C1502" s="3">
        <v>147858</v>
      </c>
      <c r="D1502" s="3">
        <v>31837</v>
      </c>
      <c r="E1502" s="3">
        <v>2319</v>
      </c>
      <c r="F1502" s="3">
        <v>4928</v>
      </c>
      <c r="G1502" s="3">
        <v>4798</v>
      </c>
      <c r="H1502" s="2">
        <f t="shared" si="46"/>
        <v>191740</v>
      </c>
      <c r="I1502" t="str">
        <f t="shared" si="47"/>
        <v>Csl_191740</v>
      </c>
      <c r="J1502" s="3">
        <v>147858</v>
      </c>
      <c r="K1502" s="3">
        <v>31837</v>
      </c>
      <c r="L1502" s="3">
        <v>2319</v>
      </c>
      <c r="M1502" s="3">
        <v>4928</v>
      </c>
      <c r="N1502" s="3">
        <v>4798</v>
      </c>
    </row>
    <row r="1503" spans="1:14" x14ac:dyDescent="0.2">
      <c r="A1503" s="5" t="str">
        <f>HYPERLINK("http://www.ncbi.nlm.nih.gov/protein/75677412","Csn3")</f>
        <v>Csn3</v>
      </c>
      <c r="B1503" s="4"/>
      <c r="C1503" s="3">
        <v>3661</v>
      </c>
      <c r="D1503" s="3">
        <v>0</v>
      </c>
      <c r="E1503" s="3">
        <v>2919</v>
      </c>
      <c r="F1503" s="3">
        <v>5984</v>
      </c>
      <c r="G1503" s="3">
        <v>0</v>
      </c>
      <c r="H1503" s="2">
        <f t="shared" si="46"/>
        <v>12564</v>
      </c>
      <c r="I1503" t="str">
        <f t="shared" si="47"/>
        <v>Csn3_12564</v>
      </c>
      <c r="J1503" s="3">
        <v>3661</v>
      </c>
      <c r="K1503" s="3">
        <v>0</v>
      </c>
      <c r="L1503" s="3">
        <v>2919</v>
      </c>
      <c r="M1503" s="3">
        <v>5984</v>
      </c>
      <c r="N1503" s="3">
        <v>0</v>
      </c>
    </row>
    <row r="1504" spans="1:14" x14ac:dyDescent="0.2">
      <c r="A1504" s="5" t="str">
        <f>HYPERLINK("http://www.ncbi.nlm.nih.gov/protein/22165382","Csnk1a1")</f>
        <v>Csnk1a1</v>
      </c>
      <c r="B1504" s="4"/>
      <c r="C1504" s="3">
        <v>0</v>
      </c>
      <c r="D1504" s="3">
        <v>3789</v>
      </c>
      <c r="E1504" s="3">
        <v>1329</v>
      </c>
      <c r="F1504" s="3">
        <v>22093</v>
      </c>
      <c r="G1504" s="3">
        <v>568</v>
      </c>
      <c r="H1504" s="2">
        <f t="shared" si="46"/>
        <v>27779</v>
      </c>
      <c r="I1504" t="str">
        <f t="shared" si="47"/>
        <v>Csnk1a1_27779</v>
      </c>
      <c r="J1504" s="3">
        <v>0</v>
      </c>
      <c r="K1504" s="3">
        <v>3789</v>
      </c>
      <c r="L1504" s="3">
        <v>1329</v>
      </c>
      <c r="M1504" s="3">
        <v>22093</v>
      </c>
      <c r="N1504" s="3">
        <v>568</v>
      </c>
    </row>
    <row r="1505" spans="1:14" x14ac:dyDescent="0.2">
      <c r="A1505" s="5" t="str">
        <f>HYPERLINK("http://www.ncbi.nlm.nih.gov/protein/20544147","Csnk1d")</f>
        <v>Csnk1d</v>
      </c>
      <c r="B1505" s="4"/>
      <c r="C1505" s="3">
        <v>0</v>
      </c>
      <c r="D1505" s="3">
        <v>2127</v>
      </c>
      <c r="E1505" s="3">
        <v>3398</v>
      </c>
      <c r="F1505" s="3">
        <v>1023</v>
      </c>
      <c r="G1505" s="3">
        <v>0</v>
      </c>
      <c r="H1505" s="2">
        <f t="shared" si="46"/>
        <v>6548</v>
      </c>
      <c r="I1505" t="str">
        <f t="shared" si="47"/>
        <v>Csnk1d_6548</v>
      </c>
      <c r="J1505" s="3">
        <v>0</v>
      </c>
      <c r="K1505" s="3">
        <v>2127</v>
      </c>
      <c r="L1505" s="3">
        <v>3398</v>
      </c>
      <c r="M1505" s="3">
        <v>1023</v>
      </c>
      <c r="N1505" s="3">
        <v>0</v>
      </c>
    </row>
    <row r="1506" spans="1:14" x14ac:dyDescent="0.2">
      <c r="A1506" s="5" t="str">
        <f>HYPERLINK("http://www.ncbi.nlm.nih.gov/protein/20544149","Csnk1d")</f>
        <v>Csnk1d</v>
      </c>
      <c r="B1506" s="4"/>
      <c r="C1506" s="3">
        <v>0</v>
      </c>
      <c r="D1506" s="3">
        <v>2127</v>
      </c>
      <c r="E1506" s="3">
        <v>3398</v>
      </c>
      <c r="F1506" s="3">
        <v>1023</v>
      </c>
      <c r="G1506" s="3">
        <v>0</v>
      </c>
      <c r="H1506" s="2">
        <f t="shared" si="46"/>
        <v>6548</v>
      </c>
      <c r="I1506" t="str">
        <f t="shared" si="47"/>
        <v>Csnk1d_6548</v>
      </c>
      <c r="J1506" s="3">
        <v>0</v>
      </c>
      <c r="K1506" s="3">
        <v>2127</v>
      </c>
      <c r="L1506" s="3">
        <v>3398</v>
      </c>
      <c r="M1506" s="3">
        <v>1023</v>
      </c>
      <c r="N1506" s="3">
        <v>0</v>
      </c>
    </row>
    <row r="1507" spans="1:14" x14ac:dyDescent="0.2">
      <c r="A1507" s="5" t="str">
        <f>HYPERLINK("http://www.ncbi.nlm.nih.gov/protein/31542425","Csnk1e")</f>
        <v>Csnk1e</v>
      </c>
      <c r="B1507" s="4"/>
      <c r="C1507" s="3">
        <v>0</v>
      </c>
      <c r="D1507" s="3">
        <v>645</v>
      </c>
      <c r="E1507" s="3">
        <v>2624</v>
      </c>
      <c r="F1507" s="3">
        <v>1023</v>
      </c>
      <c r="G1507" s="3">
        <v>0</v>
      </c>
      <c r="H1507" s="2">
        <f t="shared" si="46"/>
        <v>4292</v>
      </c>
      <c r="I1507" t="str">
        <f t="shared" si="47"/>
        <v>Csnk1e_4292</v>
      </c>
      <c r="J1507" s="3">
        <v>0</v>
      </c>
      <c r="K1507" s="3">
        <v>645</v>
      </c>
      <c r="L1507" s="3">
        <v>2624</v>
      </c>
      <c r="M1507" s="3">
        <v>1023</v>
      </c>
      <c r="N1507" s="3">
        <v>0</v>
      </c>
    </row>
    <row r="1508" spans="1:14" x14ac:dyDescent="0.2">
      <c r="A1508" s="5" t="str">
        <f>HYPERLINK("http://www.ncbi.nlm.nih.gov/protein/31542427","Csnk2a1")</f>
        <v>Csnk2a1</v>
      </c>
      <c r="B1508" s="4"/>
      <c r="C1508" s="3">
        <v>332895</v>
      </c>
      <c r="D1508" s="3">
        <v>3545</v>
      </c>
      <c r="E1508" s="3">
        <v>5485</v>
      </c>
      <c r="F1508" s="3">
        <v>94224</v>
      </c>
      <c r="G1508" s="3">
        <v>32782</v>
      </c>
      <c r="H1508" s="2">
        <f t="shared" si="46"/>
        <v>468931</v>
      </c>
      <c r="I1508" t="str">
        <f t="shared" si="47"/>
        <v>Csnk2a1_468931</v>
      </c>
      <c r="J1508" s="3">
        <v>332895</v>
      </c>
      <c r="K1508" s="3">
        <v>3545</v>
      </c>
      <c r="L1508" s="3">
        <v>5485</v>
      </c>
      <c r="M1508" s="3">
        <v>94224</v>
      </c>
      <c r="N1508" s="3">
        <v>32782</v>
      </c>
    </row>
    <row r="1509" spans="1:14" x14ac:dyDescent="0.2">
      <c r="A1509" s="5" t="str">
        <f>HYPERLINK("http://www.ncbi.nlm.nih.gov/protein/6753540","Csnk2a2")</f>
        <v>Csnk2a2</v>
      </c>
      <c r="B1509" s="4"/>
      <c r="C1509" s="3">
        <v>328996</v>
      </c>
      <c r="D1509" s="3">
        <v>146</v>
      </c>
      <c r="E1509" s="3">
        <v>2840</v>
      </c>
      <c r="F1509" s="3">
        <v>41051</v>
      </c>
      <c r="G1509" s="3">
        <v>10892</v>
      </c>
      <c r="H1509" s="2">
        <f t="shared" si="46"/>
        <v>383925</v>
      </c>
      <c r="I1509" t="str">
        <f t="shared" si="47"/>
        <v>Csnk2a2_383925</v>
      </c>
      <c r="J1509" s="3">
        <v>328996</v>
      </c>
      <c r="K1509" s="3">
        <v>146</v>
      </c>
      <c r="L1509" s="3">
        <v>2840</v>
      </c>
      <c r="M1509" s="3">
        <v>41051</v>
      </c>
      <c r="N1509" s="3">
        <v>10892</v>
      </c>
    </row>
    <row r="1510" spans="1:14" x14ac:dyDescent="0.2">
      <c r="A1510" s="5" t="str">
        <f>HYPERLINK("http://www.ncbi.nlm.nih.gov/protein/7106277","Csnk2b")</f>
        <v>Csnk2b</v>
      </c>
      <c r="B1510" s="4"/>
      <c r="C1510" s="3">
        <v>3899</v>
      </c>
      <c r="D1510" s="3">
        <v>3152</v>
      </c>
      <c r="E1510" s="3">
        <v>7388</v>
      </c>
      <c r="F1510" s="3">
        <v>25613</v>
      </c>
      <c r="G1510" s="3">
        <v>23893</v>
      </c>
      <c r="H1510" s="2">
        <f t="shared" si="46"/>
        <v>63945</v>
      </c>
      <c r="I1510" t="str">
        <f t="shared" si="47"/>
        <v>Csnk2b_63945</v>
      </c>
      <c r="J1510" s="3">
        <v>3899</v>
      </c>
      <c r="K1510" s="3">
        <v>3152</v>
      </c>
      <c r="L1510" s="3">
        <v>7388</v>
      </c>
      <c r="M1510" s="3">
        <v>25613</v>
      </c>
      <c r="N1510" s="3">
        <v>23893</v>
      </c>
    </row>
    <row r="1511" spans="1:14" x14ac:dyDescent="0.2">
      <c r="A1511" s="5" t="str">
        <f>HYPERLINK("http://www.ncbi.nlm.nih.gov/protein/6681069","Csrp1")</f>
        <v>Csrp1</v>
      </c>
      <c r="B1511" s="4"/>
      <c r="C1511" s="3">
        <v>1336</v>
      </c>
      <c r="D1511" s="3">
        <v>5198</v>
      </c>
      <c r="E1511" s="3">
        <v>5250</v>
      </c>
      <c r="F1511" s="3">
        <v>638</v>
      </c>
      <c r="G1511" s="3">
        <v>136643</v>
      </c>
      <c r="H1511" s="2">
        <f t="shared" si="46"/>
        <v>149065</v>
      </c>
      <c r="I1511" t="str">
        <f t="shared" si="47"/>
        <v>Csrp1_149065</v>
      </c>
      <c r="J1511" s="3">
        <v>1336</v>
      </c>
      <c r="K1511" s="3">
        <v>5198</v>
      </c>
      <c r="L1511" s="3">
        <v>5250</v>
      </c>
      <c r="M1511" s="3">
        <v>638</v>
      </c>
      <c r="N1511" s="3">
        <v>136643</v>
      </c>
    </row>
    <row r="1512" spans="1:14" x14ac:dyDescent="0.2">
      <c r="A1512" s="5" t="str">
        <f>HYPERLINK("http://www.ncbi.nlm.nih.gov/protein/160707987","Csrp2")</f>
        <v>Csrp2</v>
      </c>
      <c r="B1512" s="4"/>
      <c r="C1512" s="3">
        <v>0</v>
      </c>
      <c r="D1512" s="3">
        <v>0</v>
      </c>
      <c r="E1512" s="3">
        <v>4</v>
      </c>
      <c r="F1512" s="3">
        <v>131</v>
      </c>
      <c r="G1512" s="3">
        <v>4477</v>
      </c>
      <c r="H1512" s="2">
        <f t="shared" si="46"/>
        <v>4612</v>
      </c>
      <c r="I1512" t="str">
        <f t="shared" si="47"/>
        <v>Csrp2_4612</v>
      </c>
      <c r="J1512" s="3">
        <v>0</v>
      </c>
      <c r="K1512" s="3">
        <v>0</v>
      </c>
      <c r="L1512" s="3">
        <v>4</v>
      </c>
      <c r="M1512" s="3">
        <v>131</v>
      </c>
      <c r="N1512" s="3">
        <v>4477</v>
      </c>
    </row>
    <row r="1513" spans="1:14" x14ac:dyDescent="0.2">
      <c r="A1513" s="5" t="str">
        <f>HYPERLINK("http://www.ncbi.nlm.nih.gov/protein/31981822","Cst3")</f>
        <v>Cst3</v>
      </c>
      <c r="B1513" s="4"/>
      <c r="C1513" s="3">
        <v>0</v>
      </c>
      <c r="D1513" s="3">
        <v>1115</v>
      </c>
      <c r="E1513" s="3">
        <v>402</v>
      </c>
      <c r="F1513" s="3">
        <v>0</v>
      </c>
      <c r="G1513" s="3">
        <v>0</v>
      </c>
      <c r="H1513" s="2">
        <f t="shared" si="46"/>
        <v>1517</v>
      </c>
      <c r="I1513" t="str">
        <f t="shared" si="47"/>
        <v>Cst3_1517</v>
      </c>
      <c r="J1513" s="3">
        <v>0</v>
      </c>
      <c r="K1513" s="3">
        <v>1115</v>
      </c>
      <c r="L1513" s="3">
        <v>402</v>
      </c>
      <c r="M1513" s="3">
        <v>0</v>
      </c>
      <c r="N1513" s="3">
        <v>0</v>
      </c>
    </row>
    <row r="1514" spans="1:14" x14ac:dyDescent="0.2">
      <c r="A1514" s="5" t="str">
        <f>HYPERLINK("http://www.ncbi.nlm.nih.gov/protein/33469017","Cstad")</f>
        <v>Cstad</v>
      </c>
      <c r="B1514" s="4"/>
      <c r="C1514" s="3">
        <v>0</v>
      </c>
      <c r="D1514" s="3">
        <v>0</v>
      </c>
      <c r="E1514" s="3">
        <v>0</v>
      </c>
      <c r="F1514" s="3">
        <v>16011</v>
      </c>
      <c r="G1514" s="3">
        <v>324166</v>
      </c>
      <c r="H1514" s="2">
        <f t="shared" si="46"/>
        <v>340177</v>
      </c>
      <c r="I1514" t="str">
        <f t="shared" si="47"/>
        <v>Cstad_340177</v>
      </c>
      <c r="J1514" s="3">
        <v>0</v>
      </c>
      <c r="K1514" s="3">
        <v>0</v>
      </c>
      <c r="L1514" s="3">
        <v>0</v>
      </c>
      <c r="M1514" s="3">
        <v>16011</v>
      </c>
      <c r="N1514" s="3">
        <v>324166</v>
      </c>
    </row>
    <row r="1515" spans="1:14" x14ac:dyDescent="0.2">
      <c r="A1515" s="5" t="str">
        <f>HYPERLINK("http://www.ncbi.nlm.nih.gov/protein/6681071","Cstb")</f>
        <v>Cstb</v>
      </c>
      <c r="B1515" s="4"/>
      <c r="C1515" s="3">
        <v>3149</v>
      </c>
      <c r="D1515" s="3">
        <v>4868</v>
      </c>
      <c r="E1515" s="3">
        <v>1547</v>
      </c>
      <c r="F1515" s="3">
        <v>3536</v>
      </c>
      <c r="G1515" s="3">
        <v>15700</v>
      </c>
      <c r="H1515" s="2">
        <f t="shared" si="46"/>
        <v>28800</v>
      </c>
      <c r="I1515" t="str">
        <f t="shared" si="47"/>
        <v>Cstb_28800</v>
      </c>
      <c r="J1515" s="3">
        <v>3149</v>
      </c>
      <c r="K1515" s="3">
        <v>4868</v>
      </c>
      <c r="L1515" s="3">
        <v>1547</v>
      </c>
      <c r="M1515" s="3">
        <v>3536</v>
      </c>
      <c r="N1515" s="3">
        <v>15700</v>
      </c>
    </row>
    <row r="1516" spans="1:14" x14ac:dyDescent="0.2">
      <c r="A1516" s="5" t="str">
        <f>HYPERLINK("http://www.ncbi.nlm.nih.gov/protein/13195628","Cstf1")</f>
        <v>Cstf1</v>
      </c>
      <c r="B1516" s="4"/>
      <c r="C1516" s="3">
        <v>0</v>
      </c>
      <c r="D1516" s="3">
        <v>0</v>
      </c>
      <c r="E1516" s="3">
        <v>0</v>
      </c>
      <c r="F1516" s="3">
        <v>278</v>
      </c>
      <c r="G1516" s="3">
        <v>568</v>
      </c>
      <c r="H1516" s="2">
        <f t="shared" si="46"/>
        <v>846</v>
      </c>
      <c r="I1516" t="str">
        <f t="shared" si="47"/>
        <v>Cstf1_846</v>
      </c>
      <c r="J1516" s="3">
        <v>0</v>
      </c>
      <c r="K1516" s="3">
        <v>0</v>
      </c>
      <c r="L1516" s="3">
        <v>0</v>
      </c>
      <c r="M1516" s="3">
        <v>278</v>
      </c>
      <c r="N1516" s="3">
        <v>568</v>
      </c>
    </row>
    <row r="1517" spans="1:14" x14ac:dyDescent="0.2">
      <c r="A1517" s="5" t="str">
        <f>HYPERLINK("http://www.ncbi.nlm.nih.gov/protein/18875338","Cstf2")</f>
        <v>Cstf2</v>
      </c>
      <c r="B1517" s="4"/>
      <c r="C1517" s="3">
        <v>2050</v>
      </c>
      <c r="D1517" s="3">
        <v>0</v>
      </c>
      <c r="E1517" s="3">
        <v>98</v>
      </c>
      <c r="F1517" s="3">
        <v>0</v>
      </c>
      <c r="G1517" s="3">
        <v>0</v>
      </c>
      <c r="H1517" s="2">
        <f t="shared" si="46"/>
        <v>2148</v>
      </c>
      <c r="I1517" t="str">
        <f t="shared" si="47"/>
        <v>Cstf2_2148</v>
      </c>
      <c r="J1517" s="3">
        <v>2050</v>
      </c>
      <c r="K1517" s="3">
        <v>0</v>
      </c>
      <c r="L1517" s="3">
        <v>98</v>
      </c>
      <c r="M1517" s="3">
        <v>0</v>
      </c>
      <c r="N1517" s="3">
        <v>0</v>
      </c>
    </row>
    <row r="1518" spans="1:14" x14ac:dyDescent="0.2">
      <c r="A1518" s="5" t="str">
        <f>HYPERLINK("http://www.ncbi.nlm.nih.gov/protein/21704042","Cstf3")</f>
        <v>Cstf3</v>
      </c>
      <c r="B1518" s="4"/>
      <c r="C1518" s="3">
        <v>10068</v>
      </c>
      <c r="D1518" s="3">
        <v>190</v>
      </c>
      <c r="E1518" s="3">
        <v>0</v>
      </c>
      <c r="F1518" s="3">
        <v>2898</v>
      </c>
      <c r="G1518" s="3">
        <v>0</v>
      </c>
      <c r="H1518" s="2">
        <f t="shared" si="46"/>
        <v>13156</v>
      </c>
      <c r="I1518" t="str">
        <f t="shared" si="47"/>
        <v>Cstf3_13156</v>
      </c>
      <c r="J1518" s="3">
        <v>10068</v>
      </c>
      <c r="K1518" s="3">
        <v>190</v>
      </c>
      <c r="L1518" s="3">
        <v>0</v>
      </c>
      <c r="M1518" s="3">
        <v>2898</v>
      </c>
      <c r="N1518" s="3">
        <v>0</v>
      </c>
    </row>
    <row r="1519" spans="1:14" x14ac:dyDescent="0.2">
      <c r="A1519" s="5" t="str">
        <f>HYPERLINK("http://www.ncbi.nlm.nih.gov/protein/259155334","Ctage5")</f>
        <v>Ctage5</v>
      </c>
      <c r="B1519" s="4"/>
      <c r="C1519" s="3">
        <v>0</v>
      </c>
      <c r="D1519" s="3">
        <v>159</v>
      </c>
      <c r="E1519" s="3">
        <v>41</v>
      </c>
      <c r="F1519" s="3">
        <v>0</v>
      </c>
      <c r="G1519" s="3">
        <v>0</v>
      </c>
      <c r="H1519" s="2">
        <f t="shared" si="46"/>
        <v>200</v>
      </c>
      <c r="I1519" t="str">
        <f t="shared" si="47"/>
        <v>Ctage5_200</v>
      </c>
      <c r="J1519" s="3">
        <v>0</v>
      </c>
      <c r="K1519" s="3">
        <v>159</v>
      </c>
      <c r="L1519" s="3">
        <v>41</v>
      </c>
      <c r="M1519" s="3">
        <v>0</v>
      </c>
      <c r="N1519" s="3">
        <v>0</v>
      </c>
    </row>
    <row r="1520" spans="1:14" x14ac:dyDescent="0.2">
      <c r="A1520" s="5" t="str">
        <f>HYPERLINK("http://www.ncbi.nlm.nih.gov/protein/259155336","Ctage5")</f>
        <v>Ctage5</v>
      </c>
      <c r="B1520" s="4"/>
      <c r="C1520" s="3">
        <v>0</v>
      </c>
      <c r="D1520" s="3">
        <v>159</v>
      </c>
      <c r="E1520" s="3">
        <v>41</v>
      </c>
      <c r="F1520" s="3">
        <v>0</v>
      </c>
      <c r="G1520" s="3">
        <v>0</v>
      </c>
      <c r="H1520" s="2">
        <f t="shared" si="46"/>
        <v>200</v>
      </c>
      <c r="I1520" t="str">
        <f t="shared" si="47"/>
        <v>Ctage5_200</v>
      </c>
      <c r="J1520" s="3">
        <v>0</v>
      </c>
      <c r="K1520" s="3">
        <v>159</v>
      </c>
      <c r="L1520" s="3">
        <v>41</v>
      </c>
      <c r="M1520" s="3">
        <v>0</v>
      </c>
      <c r="N1520" s="3">
        <v>0</v>
      </c>
    </row>
    <row r="1521" spans="1:14" x14ac:dyDescent="0.2">
      <c r="A1521" s="5" t="str">
        <f>HYPERLINK("http://www.ncbi.nlm.nih.gov/protein/259155338","Ctage5")</f>
        <v>Ctage5</v>
      </c>
      <c r="B1521" s="4"/>
      <c r="C1521" s="3">
        <v>0</v>
      </c>
      <c r="D1521" s="3">
        <v>159</v>
      </c>
      <c r="E1521" s="3">
        <v>41</v>
      </c>
      <c r="F1521" s="3">
        <v>0</v>
      </c>
      <c r="G1521" s="3">
        <v>0</v>
      </c>
      <c r="H1521" s="2">
        <f t="shared" si="46"/>
        <v>200</v>
      </c>
      <c r="I1521" t="str">
        <f t="shared" si="47"/>
        <v>Ctage5_200</v>
      </c>
      <c r="J1521" s="3">
        <v>0</v>
      </c>
      <c r="K1521" s="3">
        <v>159</v>
      </c>
      <c r="L1521" s="3">
        <v>41</v>
      </c>
      <c r="M1521" s="3">
        <v>0</v>
      </c>
      <c r="N1521" s="3">
        <v>0</v>
      </c>
    </row>
    <row r="1522" spans="1:14" x14ac:dyDescent="0.2">
      <c r="A1522" s="5" t="str">
        <f>HYPERLINK("http://www.ncbi.nlm.nih.gov/protein/311893324","Ctbp1")</f>
        <v>Ctbp1</v>
      </c>
      <c r="B1522" s="4"/>
      <c r="C1522" s="3">
        <v>4082</v>
      </c>
      <c r="D1522" s="3">
        <v>1595</v>
      </c>
      <c r="E1522" s="3">
        <v>1026</v>
      </c>
      <c r="F1522" s="3">
        <v>0</v>
      </c>
      <c r="G1522" s="3">
        <v>30865</v>
      </c>
      <c r="H1522" s="2">
        <f t="shared" si="46"/>
        <v>37568</v>
      </c>
      <c r="I1522" t="str">
        <f t="shared" si="47"/>
        <v>Ctbp1_37568</v>
      </c>
      <c r="J1522" s="3">
        <v>4082</v>
      </c>
      <c r="K1522" s="3">
        <v>1595</v>
      </c>
      <c r="L1522" s="3">
        <v>1026</v>
      </c>
      <c r="M1522" s="3">
        <v>0</v>
      </c>
      <c r="N1522" s="3">
        <v>30865</v>
      </c>
    </row>
    <row r="1523" spans="1:14" x14ac:dyDescent="0.2">
      <c r="A1523" s="5" t="str">
        <f>HYPERLINK("http://www.ncbi.nlm.nih.gov/protein/311893326","Ctbp1")</f>
        <v>Ctbp1</v>
      </c>
      <c r="B1523" s="4"/>
      <c r="C1523" s="3">
        <v>4082</v>
      </c>
      <c r="D1523" s="3">
        <v>1595</v>
      </c>
      <c r="E1523" s="3">
        <v>1026</v>
      </c>
      <c r="F1523" s="3">
        <v>0</v>
      </c>
      <c r="G1523" s="3">
        <v>30865</v>
      </c>
      <c r="H1523" s="2">
        <f t="shared" si="46"/>
        <v>37568</v>
      </c>
      <c r="I1523" t="str">
        <f t="shared" si="47"/>
        <v>Ctbp1_37568</v>
      </c>
      <c r="J1523" s="3">
        <v>4082</v>
      </c>
      <c r="K1523" s="3">
        <v>1595</v>
      </c>
      <c r="L1523" s="3">
        <v>1026</v>
      </c>
      <c r="M1523" s="3">
        <v>0</v>
      </c>
      <c r="N1523" s="3">
        <v>30865</v>
      </c>
    </row>
    <row r="1524" spans="1:14" x14ac:dyDescent="0.2">
      <c r="A1524" s="5" t="str">
        <f>HYPERLINK("http://www.ncbi.nlm.nih.gov/protein/311893328","Ctbp1")</f>
        <v>Ctbp1</v>
      </c>
      <c r="B1524" s="4"/>
      <c r="C1524" s="3">
        <v>4082</v>
      </c>
      <c r="D1524" s="3">
        <v>1595</v>
      </c>
      <c r="E1524" s="3">
        <v>1026</v>
      </c>
      <c r="F1524" s="3">
        <v>0</v>
      </c>
      <c r="G1524" s="3">
        <v>30865</v>
      </c>
      <c r="H1524" s="2">
        <f t="shared" si="46"/>
        <v>37568</v>
      </c>
      <c r="I1524" t="str">
        <f t="shared" si="47"/>
        <v>Ctbp1_37568</v>
      </c>
      <c r="J1524" s="3">
        <v>4082</v>
      </c>
      <c r="K1524" s="3">
        <v>1595</v>
      </c>
      <c r="L1524" s="3">
        <v>1026</v>
      </c>
      <c r="M1524" s="3">
        <v>0</v>
      </c>
      <c r="N1524" s="3">
        <v>30865</v>
      </c>
    </row>
    <row r="1525" spans="1:14" x14ac:dyDescent="0.2">
      <c r="A1525" s="5" t="str">
        <f>HYPERLINK("http://www.ncbi.nlm.nih.gov/protein/7304989","Ctbp1")</f>
        <v>Ctbp1</v>
      </c>
      <c r="B1525" s="4"/>
      <c r="C1525" s="3">
        <v>4082</v>
      </c>
      <c r="D1525" s="3">
        <v>1595</v>
      </c>
      <c r="E1525" s="3">
        <v>1026</v>
      </c>
      <c r="F1525" s="3">
        <v>0</v>
      </c>
      <c r="G1525" s="3">
        <v>30865</v>
      </c>
      <c r="H1525" s="2">
        <f t="shared" si="46"/>
        <v>37568</v>
      </c>
      <c r="I1525" t="str">
        <f t="shared" si="47"/>
        <v>Ctbp1_37568</v>
      </c>
      <c r="J1525" s="3">
        <v>4082</v>
      </c>
      <c r="K1525" s="3">
        <v>1595</v>
      </c>
      <c r="L1525" s="3">
        <v>1026</v>
      </c>
      <c r="M1525" s="3">
        <v>0</v>
      </c>
      <c r="N1525" s="3">
        <v>30865</v>
      </c>
    </row>
    <row r="1526" spans="1:14" x14ac:dyDescent="0.2">
      <c r="A1526" s="5" t="str">
        <f>HYPERLINK("http://www.ncbi.nlm.nih.gov/protein/282721029","Ctbp2")</f>
        <v>Ctbp2</v>
      </c>
      <c r="B1526" s="4"/>
      <c r="C1526" s="3">
        <v>4082</v>
      </c>
      <c r="D1526" s="3">
        <v>1313</v>
      </c>
      <c r="E1526" s="3">
        <v>493</v>
      </c>
      <c r="F1526" s="3">
        <v>0</v>
      </c>
      <c r="G1526" s="3">
        <v>55529</v>
      </c>
      <c r="H1526" s="2">
        <f t="shared" si="46"/>
        <v>61417</v>
      </c>
      <c r="I1526" t="str">
        <f t="shared" si="47"/>
        <v>Ctbp2_61417</v>
      </c>
      <c r="J1526" s="3">
        <v>4082</v>
      </c>
      <c r="K1526" s="3">
        <v>1313</v>
      </c>
      <c r="L1526" s="3">
        <v>493</v>
      </c>
      <c r="M1526" s="3">
        <v>0</v>
      </c>
      <c r="N1526" s="3">
        <v>55529</v>
      </c>
    </row>
    <row r="1527" spans="1:14" x14ac:dyDescent="0.2">
      <c r="A1527" s="5" t="str">
        <f>HYPERLINK("http://www.ncbi.nlm.nih.gov/protein/6753548","Ctbp2")</f>
        <v>Ctbp2</v>
      </c>
      <c r="B1527" s="4"/>
      <c r="C1527" s="3">
        <v>4082</v>
      </c>
      <c r="D1527" s="3">
        <v>1313</v>
      </c>
      <c r="E1527" s="3">
        <v>493</v>
      </c>
      <c r="F1527" s="3">
        <v>0</v>
      </c>
      <c r="G1527" s="3">
        <v>55529</v>
      </c>
      <c r="H1527" s="2">
        <f t="shared" si="46"/>
        <v>61417</v>
      </c>
      <c r="I1527" t="str">
        <f t="shared" si="47"/>
        <v>Ctbp2_61417</v>
      </c>
      <c r="J1527" s="3">
        <v>4082</v>
      </c>
      <c r="K1527" s="3">
        <v>1313</v>
      </c>
      <c r="L1527" s="3">
        <v>493</v>
      </c>
      <c r="M1527" s="3">
        <v>0</v>
      </c>
      <c r="N1527" s="3">
        <v>55529</v>
      </c>
    </row>
    <row r="1528" spans="1:14" x14ac:dyDescent="0.2">
      <c r="A1528" s="5" t="str">
        <f>HYPERLINK("http://www.ncbi.nlm.nih.gov/protein/27229204","Ctbs")</f>
        <v>Ctbs</v>
      </c>
      <c r="B1528" s="4"/>
      <c r="C1528" s="3">
        <v>0</v>
      </c>
      <c r="D1528" s="3">
        <v>180</v>
      </c>
      <c r="E1528" s="3">
        <v>0</v>
      </c>
      <c r="F1528" s="3">
        <v>0</v>
      </c>
      <c r="G1528" s="3">
        <v>0</v>
      </c>
      <c r="H1528" s="2">
        <f t="shared" si="46"/>
        <v>180</v>
      </c>
      <c r="I1528" t="str">
        <f t="shared" si="47"/>
        <v>Ctbs_180</v>
      </c>
      <c r="J1528" s="3">
        <v>0</v>
      </c>
      <c r="K1528" s="3">
        <v>180</v>
      </c>
      <c r="L1528" s="3">
        <v>0</v>
      </c>
      <c r="M1528" s="3">
        <v>0</v>
      </c>
      <c r="N1528" s="3">
        <v>0</v>
      </c>
    </row>
    <row r="1529" spans="1:14" x14ac:dyDescent="0.2">
      <c r="A1529" s="5" t="str">
        <f>HYPERLINK("http://www.ncbi.nlm.nih.gov/protein/219689064","Ctc1")</f>
        <v>Ctc1</v>
      </c>
      <c r="B1529" s="4"/>
      <c r="C1529" s="3">
        <v>0</v>
      </c>
      <c r="D1529" s="3">
        <v>165</v>
      </c>
      <c r="E1529" s="3">
        <v>200</v>
      </c>
      <c r="F1529" s="3">
        <v>1490</v>
      </c>
      <c r="G1529" s="3">
        <v>7143</v>
      </c>
      <c r="H1529" s="2">
        <f t="shared" si="46"/>
        <v>8998</v>
      </c>
      <c r="I1529" t="str">
        <f t="shared" si="47"/>
        <v>Ctc1_8998</v>
      </c>
      <c r="J1529" s="3">
        <v>0</v>
      </c>
      <c r="K1529" s="3">
        <v>165</v>
      </c>
      <c r="L1529" s="3">
        <v>200</v>
      </c>
      <c r="M1529" s="3">
        <v>1490</v>
      </c>
      <c r="N1529" s="3">
        <v>7143</v>
      </c>
    </row>
    <row r="1530" spans="1:14" x14ac:dyDescent="0.2">
      <c r="A1530" s="5" t="str">
        <f>HYPERLINK("http://www.ncbi.nlm.nih.gov/protein/219689066","Ctc1")</f>
        <v>Ctc1</v>
      </c>
      <c r="B1530" s="4"/>
      <c r="C1530" s="3">
        <v>0</v>
      </c>
      <c r="D1530" s="3">
        <v>165</v>
      </c>
      <c r="E1530" s="3">
        <v>200</v>
      </c>
      <c r="F1530" s="3">
        <v>1490</v>
      </c>
      <c r="G1530" s="3">
        <v>7143</v>
      </c>
      <c r="H1530" s="2">
        <f t="shared" si="46"/>
        <v>8998</v>
      </c>
      <c r="I1530" t="str">
        <f t="shared" si="47"/>
        <v>Ctc1_8998</v>
      </c>
      <c r="J1530" s="3">
        <v>0</v>
      </c>
      <c r="K1530" s="3">
        <v>165</v>
      </c>
      <c r="L1530" s="3">
        <v>200</v>
      </c>
      <c r="M1530" s="3">
        <v>1490</v>
      </c>
      <c r="N1530" s="3">
        <v>7143</v>
      </c>
    </row>
    <row r="1531" spans="1:14" x14ac:dyDescent="0.2">
      <c r="A1531" s="5" t="str">
        <f>HYPERLINK("http://www.ncbi.nlm.nih.gov/protein/31044459","Ctcf")</f>
        <v>Ctcf</v>
      </c>
      <c r="B1531" s="4"/>
      <c r="C1531" s="3">
        <v>1446</v>
      </c>
      <c r="D1531" s="3">
        <v>0</v>
      </c>
      <c r="E1531" s="3">
        <v>0</v>
      </c>
      <c r="F1531" s="3">
        <v>0</v>
      </c>
      <c r="G1531" s="3">
        <v>0</v>
      </c>
      <c r="H1531" s="2">
        <f t="shared" si="46"/>
        <v>1446</v>
      </c>
      <c r="I1531" t="str">
        <f t="shared" si="47"/>
        <v>Ctcf_1446</v>
      </c>
      <c r="J1531" s="3">
        <v>1446</v>
      </c>
      <c r="K1531" s="3">
        <v>0</v>
      </c>
      <c r="L1531" s="3">
        <v>0</v>
      </c>
      <c r="M1531" s="3">
        <v>0</v>
      </c>
      <c r="N1531" s="3">
        <v>0</v>
      </c>
    </row>
    <row r="1532" spans="1:14" x14ac:dyDescent="0.2">
      <c r="A1532" s="5" t="str">
        <f>HYPERLINK("http://www.ncbi.nlm.nih.gov/protein/34328280","Ctdp1")</f>
        <v>Ctdp1</v>
      </c>
      <c r="B1532" s="4"/>
      <c r="C1532" s="3">
        <v>0</v>
      </c>
      <c r="D1532" s="3">
        <v>0</v>
      </c>
      <c r="E1532" s="3">
        <v>0</v>
      </c>
      <c r="F1532" s="3">
        <v>246</v>
      </c>
      <c r="G1532" s="3">
        <v>3748</v>
      </c>
      <c r="H1532" s="2">
        <f t="shared" si="46"/>
        <v>3994</v>
      </c>
      <c r="I1532" t="str">
        <f t="shared" si="47"/>
        <v>Ctdp1_3994</v>
      </c>
      <c r="J1532" s="3">
        <v>0</v>
      </c>
      <c r="K1532" s="3">
        <v>0</v>
      </c>
      <c r="L1532" s="3">
        <v>0</v>
      </c>
      <c r="M1532" s="3">
        <v>246</v>
      </c>
      <c r="N1532" s="3">
        <v>3748</v>
      </c>
    </row>
    <row r="1533" spans="1:14" x14ac:dyDescent="0.2">
      <c r="A1533" s="5" t="str">
        <f>HYPERLINK("http://www.ncbi.nlm.nih.gov/protein/23346509","Ctdsp1")</f>
        <v>Ctdsp1</v>
      </c>
      <c r="B1533" s="4"/>
      <c r="C1533" s="3">
        <v>0</v>
      </c>
      <c r="D1533" s="3">
        <v>0</v>
      </c>
      <c r="E1533" s="3">
        <v>322</v>
      </c>
      <c r="F1533" s="3">
        <v>0</v>
      </c>
      <c r="G1533" s="3">
        <v>0</v>
      </c>
      <c r="H1533" s="2">
        <f t="shared" si="46"/>
        <v>322</v>
      </c>
      <c r="I1533" t="str">
        <f t="shared" si="47"/>
        <v>Ctdsp1_322</v>
      </c>
      <c r="J1533" s="3">
        <v>0</v>
      </c>
      <c r="K1533" s="3">
        <v>0</v>
      </c>
      <c r="L1533" s="3">
        <v>322</v>
      </c>
      <c r="M1533" s="3">
        <v>0</v>
      </c>
      <c r="N1533" s="3">
        <v>0</v>
      </c>
    </row>
    <row r="1534" spans="1:14" x14ac:dyDescent="0.2">
      <c r="A1534" s="5" t="str">
        <f>HYPERLINK("http://www.ncbi.nlm.nih.gov/protein/164698411","Ctdsp2")</f>
        <v>Ctdsp2</v>
      </c>
      <c r="B1534" s="4"/>
      <c r="C1534" s="3">
        <v>0</v>
      </c>
      <c r="D1534" s="3">
        <v>0</v>
      </c>
      <c r="E1534" s="3">
        <v>29</v>
      </c>
      <c r="F1534" s="3">
        <v>0</v>
      </c>
      <c r="G1534" s="3">
        <v>0</v>
      </c>
      <c r="H1534" s="2">
        <f t="shared" si="46"/>
        <v>29</v>
      </c>
      <c r="I1534" t="str">
        <f t="shared" si="47"/>
        <v>Ctdsp2_29</v>
      </c>
      <c r="J1534" s="3">
        <v>0</v>
      </c>
      <c r="K1534" s="3">
        <v>0</v>
      </c>
      <c r="L1534" s="3">
        <v>29</v>
      </c>
      <c r="M1534" s="3">
        <v>0</v>
      </c>
      <c r="N1534" s="3">
        <v>0</v>
      </c>
    </row>
    <row r="1535" spans="1:14" x14ac:dyDescent="0.2">
      <c r="A1535" s="5" t="str">
        <f>HYPERLINK("http://www.ncbi.nlm.nih.gov/protein/22122479","Ctdsp2")</f>
        <v>Ctdsp2</v>
      </c>
      <c r="B1535" s="4"/>
      <c r="C1535" s="3">
        <v>0</v>
      </c>
      <c r="D1535" s="3">
        <v>0</v>
      </c>
      <c r="E1535" s="3">
        <v>29</v>
      </c>
      <c r="F1535" s="3">
        <v>0</v>
      </c>
      <c r="G1535" s="3">
        <v>0</v>
      </c>
      <c r="H1535" s="2">
        <f t="shared" si="46"/>
        <v>29</v>
      </c>
      <c r="I1535" t="str">
        <f t="shared" si="47"/>
        <v>Ctdsp2_29</v>
      </c>
      <c r="J1535" s="3">
        <v>0</v>
      </c>
      <c r="K1535" s="3">
        <v>0</v>
      </c>
      <c r="L1535" s="3">
        <v>29</v>
      </c>
      <c r="M1535" s="3">
        <v>0</v>
      </c>
      <c r="N1535" s="3">
        <v>0</v>
      </c>
    </row>
    <row r="1536" spans="1:14" x14ac:dyDescent="0.2">
      <c r="A1536" s="5" t="str">
        <f>HYPERLINK("http://www.ncbi.nlm.nih.gov/protein/171460950","Ctdspl")</f>
        <v>Ctdspl</v>
      </c>
      <c r="B1536" s="4"/>
      <c r="C1536" s="3">
        <v>0</v>
      </c>
      <c r="D1536" s="3">
        <v>75</v>
      </c>
      <c r="E1536" s="3">
        <v>187</v>
      </c>
      <c r="F1536" s="3">
        <v>0</v>
      </c>
      <c r="G1536" s="3">
        <v>0</v>
      </c>
      <c r="H1536" s="2">
        <f t="shared" si="46"/>
        <v>262</v>
      </c>
      <c r="I1536" t="str">
        <f t="shared" si="47"/>
        <v>Ctdspl_262</v>
      </c>
      <c r="J1536" s="3">
        <v>0</v>
      </c>
      <c r="K1536" s="3">
        <v>75</v>
      </c>
      <c r="L1536" s="3">
        <v>187</v>
      </c>
      <c r="M1536" s="3">
        <v>0</v>
      </c>
      <c r="N1536" s="3">
        <v>0</v>
      </c>
    </row>
    <row r="1537" spans="1:14" x14ac:dyDescent="0.2">
      <c r="A1537" s="5" t="str">
        <f>HYPERLINK("http://www.ncbi.nlm.nih.gov/protein/6681075","Ctf1")</f>
        <v>Ctf1</v>
      </c>
      <c r="B1537" s="4"/>
      <c r="C1537" s="3">
        <v>0</v>
      </c>
      <c r="D1537" s="3">
        <v>125</v>
      </c>
      <c r="E1537" s="3">
        <v>0</v>
      </c>
      <c r="F1537" s="3">
        <v>147</v>
      </c>
      <c r="G1537" s="3">
        <v>0</v>
      </c>
      <c r="H1537" s="2">
        <f t="shared" si="46"/>
        <v>272</v>
      </c>
      <c r="I1537" t="str">
        <f t="shared" si="47"/>
        <v>Ctf1_272</v>
      </c>
      <c r="J1537" s="3">
        <v>0</v>
      </c>
      <c r="K1537" s="3">
        <v>125</v>
      </c>
      <c r="L1537" s="3">
        <v>0</v>
      </c>
      <c r="M1537" s="3">
        <v>147</v>
      </c>
      <c r="N1537" s="3">
        <v>0</v>
      </c>
    </row>
    <row r="1538" spans="1:14" x14ac:dyDescent="0.2">
      <c r="A1538" s="5" t="str">
        <f>HYPERLINK("http://www.ncbi.nlm.nih.gov/protein/38524598","Ctf2")</f>
        <v>Ctf2</v>
      </c>
      <c r="B1538" s="4"/>
      <c r="C1538" s="3">
        <v>0</v>
      </c>
      <c r="D1538" s="3">
        <v>0</v>
      </c>
      <c r="E1538" s="3">
        <v>0</v>
      </c>
      <c r="F1538" s="3">
        <v>974</v>
      </c>
      <c r="G1538" s="3">
        <v>0</v>
      </c>
      <c r="H1538" s="2">
        <f t="shared" ref="H1538:H1601" si="48">SUM(C1538:G1538)</f>
        <v>974</v>
      </c>
      <c r="I1538" t="str">
        <f t="shared" ref="I1538:I1601" si="49">A1538&amp;"_"&amp;H1538</f>
        <v>Ctf2_974</v>
      </c>
      <c r="J1538" s="3">
        <v>0</v>
      </c>
      <c r="K1538" s="3">
        <v>0</v>
      </c>
      <c r="L1538" s="3">
        <v>0</v>
      </c>
      <c r="M1538" s="3">
        <v>974</v>
      </c>
      <c r="N1538" s="3">
        <v>0</v>
      </c>
    </row>
    <row r="1539" spans="1:14" x14ac:dyDescent="0.2">
      <c r="A1539" s="5" t="str">
        <f>HYPERLINK("http://www.ncbi.nlm.nih.gov/protein/22122387","Cth")</f>
        <v>Cth</v>
      </c>
      <c r="B1539" s="4"/>
      <c r="C1539" s="3">
        <v>0</v>
      </c>
      <c r="D1539" s="3">
        <v>996</v>
      </c>
      <c r="E1539" s="3">
        <v>925</v>
      </c>
      <c r="F1539" s="3">
        <v>7523</v>
      </c>
      <c r="G1539" s="3">
        <v>34442</v>
      </c>
      <c r="H1539" s="2">
        <f t="shared" si="48"/>
        <v>43886</v>
      </c>
      <c r="I1539" t="str">
        <f t="shared" si="49"/>
        <v>Cth_43886</v>
      </c>
      <c r="J1539" s="3">
        <v>0</v>
      </c>
      <c r="K1539" s="3">
        <v>996</v>
      </c>
      <c r="L1539" s="3">
        <v>925</v>
      </c>
      <c r="M1539" s="3">
        <v>7523</v>
      </c>
      <c r="N1539" s="3">
        <v>34442</v>
      </c>
    </row>
    <row r="1540" spans="1:14" x14ac:dyDescent="0.2">
      <c r="A1540" s="5" t="str">
        <f>HYPERLINK("http://www.ncbi.nlm.nih.gov/protein/6753294","Ctnna1")</f>
        <v>Ctnna1</v>
      </c>
      <c r="B1540" s="4"/>
      <c r="C1540" s="3">
        <v>402092</v>
      </c>
      <c r="D1540" s="3">
        <v>77384</v>
      </c>
      <c r="E1540" s="3">
        <v>297606</v>
      </c>
      <c r="F1540" s="3">
        <v>46183</v>
      </c>
      <c r="G1540" s="3">
        <v>37301</v>
      </c>
      <c r="H1540" s="2">
        <f t="shared" si="48"/>
        <v>860566</v>
      </c>
      <c r="I1540" t="str">
        <f t="shared" si="49"/>
        <v>Ctnna1_860566</v>
      </c>
      <c r="J1540" s="3">
        <v>402092</v>
      </c>
      <c r="K1540" s="3">
        <v>77384</v>
      </c>
      <c r="L1540" s="3">
        <v>297606</v>
      </c>
      <c r="M1540" s="3">
        <v>46183</v>
      </c>
      <c r="N1540" s="3">
        <v>37301</v>
      </c>
    </row>
    <row r="1541" spans="1:14" x14ac:dyDescent="0.2">
      <c r="A1541" s="5" t="str">
        <f>HYPERLINK("http://www.ncbi.nlm.nih.gov/protein/157951725","Ctnna2")</f>
        <v>Ctnna2</v>
      </c>
      <c r="B1541" s="4"/>
      <c r="C1541" s="3">
        <v>118623</v>
      </c>
      <c r="D1541" s="3">
        <v>16452</v>
      </c>
      <c r="E1541" s="3">
        <v>55422</v>
      </c>
      <c r="F1541" s="3">
        <v>4780</v>
      </c>
      <c r="G1541" s="3">
        <v>6179</v>
      </c>
      <c r="H1541" s="2">
        <f t="shared" si="48"/>
        <v>201456</v>
      </c>
      <c r="I1541" t="str">
        <f t="shared" si="49"/>
        <v>Ctnna2_201456</v>
      </c>
      <c r="J1541" s="3">
        <v>118623</v>
      </c>
      <c r="K1541" s="3">
        <v>16452</v>
      </c>
      <c r="L1541" s="3">
        <v>55422</v>
      </c>
      <c r="M1541" s="3">
        <v>4780</v>
      </c>
      <c r="N1541" s="3">
        <v>6179</v>
      </c>
    </row>
    <row r="1542" spans="1:14" x14ac:dyDescent="0.2">
      <c r="A1542" s="5" t="str">
        <f>HYPERLINK("http://www.ncbi.nlm.nih.gov/protein/157951727","Ctnna2")</f>
        <v>Ctnna2</v>
      </c>
      <c r="B1542" s="4"/>
      <c r="C1542" s="3">
        <v>118623</v>
      </c>
      <c r="D1542" s="3">
        <v>16452</v>
      </c>
      <c r="E1542" s="3">
        <v>55422</v>
      </c>
      <c r="F1542" s="3">
        <v>4780</v>
      </c>
      <c r="G1542" s="3">
        <v>6179</v>
      </c>
      <c r="H1542" s="2">
        <f t="shared" si="48"/>
        <v>201456</v>
      </c>
      <c r="I1542" t="str">
        <f t="shared" si="49"/>
        <v>Ctnna2_201456</v>
      </c>
      <c r="J1542" s="3">
        <v>118623</v>
      </c>
      <c r="K1542" s="3">
        <v>16452</v>
      </c>
      <c r="L1542" s="3">
        <v>55422</v>
      </c>
      <c r="M1542" s="3">
        <v>4780</v>
      </c>
      <c r="N1542" s="3">
        <v>6179</v>
      </c>
    </row>
    <row r="1543" spans="1:14" x14ac:dyDescent="0.2">
      <c r="A1543" s="5" t="str">
        <f>HYPERLINK("http://www.ncbi.nlm.nih.gov/protein/256985121","Ctnna3")</f>
        <v>Ctnna3</v>
      </c>
      <c r="B1543" s="4"/>
      <c r="C1543" s="3">
        <v>18141</v>
      </c>
      <c r="D1543" s="3">
        <v>0</v>
      </c>
      <c r="E1543" s="3">
        <v>0</v>
      </c>
      <c r="F1543" s="3">
        <v>0</v>
      </c>
      <c r="G1543" s="3">
        <v>0</v>
      </c>
      <c r="H1543" s="2">
        <f t="shared" si="48"/>
        <v>18141</v>
      </c>
      <c r="I1543" t="str">
        <f t="shared" si="49"/>
        <v>Ctnna3_18141</v>
      </c>
      <c r="J1543" s="3">
        <v>18141</v>
      </c>
      <c r="K1543" s="3">
        <v>0</v>
      </c>
      <c r="L1543" s="3">
        <v>0</v>
      </c>
      <c r="M1543" s="3">
        <v>0</v>
      </c>
      <c r="N1543" s="3">
        <v>0</v>
      </c>
    </row>
    <row r="1544" spans="1:14" x14ac:dyDescent="0.2">
      <c r="A1544" s="5" t="str">
        <f>HYPERLINK("http://www.ncbi.nlm.nih.gov/protein/256985121;256985119","Ctnna3")</f>
        <v>Ctnna3</v>
      </c>
      <c r="B1544" s="4"/>
      <c r="C1544" s="3">
        <v>0</v>
      </c>
      <c r="D1544" s="3">
        <v>0</v>
      </c>
      <c r="E1544" s="3">
        <v>20690</v>
      </c>
      <c r="F1544" s="3">
        <v>0</v>
      </c>
      <c r="G1544" s="3">
        <v>0</v>
      </c>
      <c r="H1544" s="2">
        <f t="shared" si="48"/>
        <v>20690</v>
      </c>
      <c r="I1544" t="str">
        <f t="shared" si="49"/>
        <v>Ctnna3_20690</v>
      </c>
      <c r="J1544" s="3">
        <v>0</v>
      </c>
      <c r="K1544" s="3">
        <v>0</v>
      </c>
      <c r="L1544" s="3">
        <v>20690</v>
      </c>
      <c r="M1544" s="3">
        <v>0</v>
      </c>
      <c r="N1544" s="3">
        <v>0</v>
      </c>
    </row>
    <row r="1545" spans="1:14" x14ac:dyDescent="0.2">
      <c r="A1545" s="5" t="str">
        <f>HYPERLINK("http://www.ncbi.nlm.nih.gov/protein/256985119;256985121","Ctnna3")</f>
        <v>Ctnna3</v>
      </c>
      <c r="B1545" s="4"/>
      <c r="C1545" s="3">
        <v>0</v>
      </c>
      <c r="D1545" s="3">
        <v>7805</v>
      </c>
      <c r="E1545" s="3">
        <v>0</v>
      </c>
      <c r="F1545" s="3">
        <v>3634</v>
      </c>
      <c r="G1545" s="3">
        <v>1050</v>
      </c>
      <c r="H1545" s="2">
        <f t="shared" si="48"/>
        <v>12489</v>
      </c>
      <c r="I1545" t="str">
        <f t="shared" si="49"/>
        <v>Ctnna3_12489</v>
      </c>
      <c r="J1545" s="3">
        <v>0</v>
      </c>
      <c r="K1545" s="3">
        <v>7805</v>
      </c>
      <c r="L1545" s="3">
        <v>0</v>
      </c>
      <c r="M1545" s="3">
        <v>3634</v>
      </c>
      <c r="N1545" s="3">
        <v>1050</v>
      </c>
    </row>
    <row r="1546" spans="1:14" x14ac:dyDescent="0.2">
      <c r="A1546" s="5" t="str">
        <f>HYPERLINK("http://www.ncbi.nlm.nih.gov/protein/256985152","Ctnna3")</f>
        <v>Ctnna3</v>
      </c>
      <c r="B1546" s="4"/>
      <c r="C1546" s="3">
        <v>18141</v>
      </c>
      <c r="D1546" s="3">
        <v>7805</v>
      </c>
      <c r="E1546" s="3">
        <v>20690</v>
      </c>
      <c r="F1546" s="3">
        <v>3634</v>
      </c>
      <c r="G1546" s="3">
        <v>1050</v>
      </c>
      <c r="H1546" s="2">
        <f t="shared" si="48"/>
        <v>51320</v>
      </c>
      <c r="I1546" t="str">
        <f t="shared" si="49"/>
        <v>Ctnna3_51320</v>
      </c>
      <c r="J1546" s="3">
        <v>18141</v>
      </c>
      <c r="K1546" s="3">
        <v>7805</v>
      </c>
      <c r="L1546" s="3">
        <v>20690</v>
      </c>
      <c r="M1546" s="3">
        <v>3634</v>
      </c>
      <c r="N1546" s="3">
        <v>1050</v>
      </c>
    </row>
    <row r="1547" spans="1:14" x14ac:dyDescent="0.2">
      <c r="A1547" s="5" t="str">
        <f>HYPERLINK("http://www.ncbi.nlm.nih.gov/protein/227330565","Ctnnal1")</f>
        <v>Ctnnal1</v>
      </c>
      <c r="B1547" s="4"/>
      <c r="C1547" s="3">
        <v>0</v>
      </c>
      <c r="D1547" s="3">
        <v>0</v>
      </c>
      <c r="E1547" s="3">
        <v>5429</v>
      </c>
      <c r="F1547" s="3">
        <v>0</v>
      </c>
      <c r="G1547" s="3">
        <v>0</v>
      </c>
      <c r="H1547" s="2">
        <f t="shared" si="48"/>
        <v>5429</v>
      </c>
      <c r="I1547" t="str">
        <f t="shared" si="49"/>
        <v>Ctnnal1_5429</v>
      </c>
      <c r="J1547" s="3">
        <v>0</v>
      </c>
      <c r="K1547" s="3">
        <v>0</v>
      </c>
      <c r="L1547" s="3">
        <v>5429</v>
      </c>
      <c r="M1547" s="3">
        <v>0</v>
      </c>
      <c r="N1547" s="3">
        <v>0</v>
      </c>
    </row>
    <row r="1548" spans="1:14" x14ac:dyDescent="0.2">
      <c r="A1548" s="5" t="str">
        <f>HYPERLINK("http://www.ncbi.nlm.nih.gov/protein/260166642","Ctnnb1")</f>
        <v>Ctnnb1</v>
      </c>
      <c r="B1548" s="4"/>
      <c r="C1548" s="3">
        <v>216853</v>
      </c>
      <c r="D1548" s="3">
        <v>54058</v>
      </c>
      <c r="E1548" s="3">
        <v>144952</v>
      </c>
      <c r="F1548" s="3">
        <v>9127</v>
      </c>
      <c r="G1548" s="3">
        <v>6212</v>
      </c>
      <c r="H1548" s="2">
        <f t="shared" si="48"/>
        <v>431202</v>
      </c>
      <c r="I1548" t="str">
        <f t="shared" si="49"/>
        <v>Ctnnb1_431202</v>
      </c>
      <c r="J1548" s="3">
        <v>216853</v>
      </c>
      <c r="K1548" s="3">
        <v>54058</v>
      </c>
      <c r="L1548" s="3">
        <v>144952</v>
      </c>
      <c r="M1548" s="3">
        <v>9127</v>
      </c>
      <c r="N1548" s="3">
        <v>6212</v>
      </c>
    </row>
    <row r="1549" spans="1:14" x14ac:dyDescent="0.2">
      <c r="A1549" s="5" t="str">
        <f>HYPERLINK("http://www.ncbi.nlm.nih.gov/protein/254540032","Ctnnbl1")</f>
        <v>Ctnnbl1</v>
      </c>
      <c r="B1549" s="4"/>
      <c r="C1549" s="3">
        <v>6151</v>
      </c>
      <c r="D1549" s="3">
        <v>854</v>
      </c>
      <c r="E1549" s="3">
        <v>1368</v>
      </c>
      <c r="F1549" s="3">
        <v>4699</v>
      </c>
      <c r="G1549" s="3">
        <v>4402</v>
      </c>
      <c r="H1549" s="2">
        <f t="shared" si="48"/>
        <v>17474</v>
      </c>
      <c r="I1549" t="str">
        <f t="shared" si="49"/>
        <v>Ctnnbl1_17474</v>
      </c>
      <c r="J1549" s="3">
        <v>6151</v>
      </c>
      <c r="K1549" s="3">
        <v>854</v>
      </c>
      <c r="L1549" s="3">
        <v>1368</v>
      </c>
      <c r="M1549" s="3">
        <v>4699</v>
      </c>
      <c r="N1549" s="3">
        <v>4402</v>
      </c>
    </row>
    <row r="1550" spans="1:14" x14ac:dyDescent="0.2">
      <c r="A1550" s="5" t="str">
        <f>HYPERLINK("http://www.ncbi.nlm.nih.gov/protein/146219835","Ctnnd1")</f>
        <v>Ctnnd1</v>
      </c>
      <c r="B1550" s="4"/>
      <c r="C1550" s="3">
        <v>163454</v>
      </c>
      <c r="D1550" s="3">
        <v>44182</v>
      </c>
      <c r="E1550" s="3">
        <v>107735</v>
      </c>
      <c r="F1550" s="3">
        <v>0</v>
      </c>
      <c r="G1550" s="3">
        <v>0</v>
      </c>
      <c r="H1550" s="2">
        <f t="shared" si="48"/>
        <v>315371</v>
      </c>
      <c r="I1550" t="str">
        <f t="shared" si="49"/>
        <v>Ctnnd1_315371</v>
      </c>
      <c r="J1550" s="3">
        <v>163454</v>
      </c>
      <c r="K1550" s="3">
        <v>44182</v>
      </c>
      <c r="L1550" s="3">
        <v>107735</v>
      </c>
      <c r="M1550" s="3">
        <v>0</v>
      </c>
      <c r="N1550" s="3">
        <v>0</v>
      </c>
    </row>
    <row r="1551" spans="1:14" x14ac:dyDescent="0.2">
      <c r="A1551" s="5" t="str">
        <f>HYPERLINK("http://www.ncbi.nlm.nih.gov/protein/146219849","Ctnnd1")</f>
        <v>Ctnnd1</v>
      </c>
      <c r="B1551" s="4"/>
      <c r="C1551" s="3">
        <v>167024</v>
      </c>
      <c r="D1551" s="3">
        <v>45005</v>
      </c>
      <c r="E1551" s="3">
        <v>111509</v>
      </c>
      <c r="F1551" s="3">
        <v>0</v>
      </c>
      <c r="G1551" s="3">
        <v>0</v>
      </c>
      <c r="H1551" s="2">
        <f t="shared" si="48"/>
        <v>323538</v>
      </c>
      <c r="I1551" t="str">
        <f t="shared" si="49"/>
        <v>Ctnnd1_323538</v>
      </c>
      <c r="J1551" s="3">
        <v>167024</v>
      </c>
      <c r="K1551" s="3">
        <v>45005</v>
      </c>
      <c r="L1551" s="3">
        <v>111509</v>
      </c>
      <c r="M1551" s="3">
        <v>0</v>
      </c>
      <c r="N1551" s="3">
        <v>0</v>
      </c>
    </row>
    <row r="1552" spans="1:14" x14ac:dyDescent="0.2">
      <c r="A1552" s="5" t="str">
        <f>HYPERLINK("http://www.ncbi.nlm.nih.gov/protein/146231979","Ctnnd1")</f>
        <v>Ctnnd1</v>
      </c>
      <c r="B1552" s="4"/>
      <c r="C1552" s="3">
        <v>163454</v>
      </c>
      <c r="D1552" s="3">
        <v>44182</v>
      </c>
      <c r="E1552" s="3">
        <v>107735</v>
      </c>
      <c r="F1552" s="3">
        <v>0</v>
      </c>
      <c r="G1552" s="3">
        <v>0</v>
      </c>
      <c r="H1552" s="2">
        <f t="shared" si="48"/>
        <v>315371</v>
      </c>
      <c r="I1552" t="str">
        <f t="shared" si="49"/>
        <v>Ctnnd1_315371</v>
      </c>
      <c r="J1552" s="3">
        <v>163454</v>
      </c>
      <c r="K1552" s="3">
        <v>44182</v>
      </c>
      <c r="L1552" s="3">
        <v>107735</v>
      </c>
      <c r="M1552" s="3">
        <v>0</v>
      </c>
      <c r="N1552" s="3">
        <v>0</v>
      </c>
    </row>
    <row r="1553" spans="1:14" x14ac:dyDescent="0.2">
      <c r="A1553" s="5" t="str">
        <f>HYPERLINK("http://www.ncbi.nlm.nih.gov/protein/83745122","Ctnnd1")</f>
        <v>Ctnnd1</v>
      </c>
      <c r="B1553" s="4"/>
      <c r="C1553" s="3">
        <v>167024</v>
      </c>
      <c r="D1553" s="3">
        <v>45833</v>
      </c>
      <c r="E1553" s="3">
        <v>114146</v>
      </c>
      <c r="F1553" s="3">
        <v>0</v>
      </c>
      <c r="G1553" s="3">
        <v>0</v>
      </c>
      <c r="H1553" s="2">
        <f t="shared" si="48"/>
        <v>327003</v>
      </c>
      <c r="I1553" t="str">
        <f t="shared" si="49"/>
        <v>Ctnnd1_327003</v>
      </c>
      <c r="J1553" s="3">
        <v>167024</v>
      </c>
      <c r="K1553" s="3">
        <v>45833</v>
      </c>
      <c r="L1553" s="3">
        <v>114146</v>
      </c>
      <c r="M1553" s="3">
        <v>0</v>
      </c>
      <c r="N1553" s="3">
        <v>0</v>
      </c>
    </row>
    <row r="1554" spans="1:14" x14ac:dyDescent="0.2">
      <c r="A1554" s="5" t="str">
        <f>HYPERLINK("http://www.ncbi.nlm.nih.gov/protein/172072613","Ctps")</f>
        <v>Ctps</v>
      </c>
      <c r="B1554" s="4"/>
      <c r="C1554" s="3">
        <v>0</v>
      </c>
      <c r="D1554" s="3">
        <v>2008</v>
      </c>
      <c r="E1554" s="3">
        <v>9756</v>
      </c>
      <c r="F1554" s="3">
        <v>29501</v>
      </c>
      <c r="G1554" s="3">
        <v>17949</v>
      </c>
      <c r="H1554" s="2">
        <f t="shared" si="48"/>
        <v>59214</v>
      </c>
      <c r="I1554" t="str">
        <f t="shared" si="49"/>
        <v>Ctps_59214</v>
      </c>
      <c r="J1554" s="3">
        <v>0</v>
      </c>
      <c r="K1554" s="3">
        <v>2008</v>
      </c>
      <c r="L1554" s="3">
        <v>9756</v>
      </c>
      <c r="M1554" s="3">
        <v>29501</v>
      </c>
      <c r="N1554" s="3">
        <v>17949</v>
      </c>
    </row>
    <row r="1555" spans="1:14" x14ac:dyDescent="0.2">
      <c r="A1555" s="5" t="str">
        <f>HYPERLINK("http://www.ncbi.nlm.nih.gov/protein/270483773;270483771","Ctps2")</f>
        <v>Ctps2</v>
      </c>
      <c r="B1555" s="4"/>
      <c r="C1555" s="3">
        <v>0</v>
      </c>
      <c r="D1555" s="3">
        <v>1768</v>
      </c>
      <c r="E1555" s="3">
        <v>1596</v>
      </c>
      <c r="F1555" s="3">
        <v>12606</v>
      </c>
      <c r="G1555" s="3">
        <v>1274</v>
      </c>
      <c r="H1555" s="2">
        <f t="shared" si="48"/>
        <v>17244</v>
      </c>
      <c r="I1555" t="str">
        <f t="shared" si="49"/>
        <v>Ctps2_17244</v>
      </c>
      <c r="J1555" s="3">
        <v>0</v>
      </c>
      <c r="K1555" s="3">
        <v>1768</v>
      </c>
      <c r="L1555" s="3">
        <v>1596</v>
      </c>
      <c r="M1555" s="3">
        <v>12606</v>
      </c>
      <c r="N1555" s="3">
        <v>1274</v>
      </c>
    </row>
    <row r="1556" spans="1:14" x14ac:dyDescent="0.2">
      <c r="A1556" s="5" t="str">
        <f>HYPERLINK("http://www.ncbi.nlm.nih.gov/protein/270483776","Ctps2")</f>
        <v>Ctps2</v>
      </c>
      <c r="B1556" s="4"/>
      <c r="C1556" s="3">
        <v>0</v>
      </c>
      <c r="D1556" s="3">
        <v>1768</v>
      </c>
      <c r="E1556" s="3">
        <v>1596</v>
      </c>
      <c r="F1556" s="3">
        <v>12606</v>
      </c>
      <c r="G1556" s="3">
        <v>1274</v>
      </c>
      <c r="H1556" s="2">
        <f t="shared" si="48"/>
        <v>17244</v>
      </c>
      <c r="I1556" t="str">
        <f t="shared" si="49"/>
        <v>Ctps2_17244</v>
      </c>
      <c r="J1556" s="3">
        <v>0</v>
      </c>
      <c r="K1556" s="3">
        <v>1768</v>
      </c>
      <c r="L1556" s="3">
        <v>1596</v>
      </c>
      <c r="M1556" s="3">
        <v>12606</v>
      </c>
      <c r="N1556" s="3">
        <v>1274</v>
      </c>
    </row>
    <row r="1557" spans="1:14" x14ac:dyDescent="0.2">
      <c r="A1557" s="5" t="str">
        <f>HYPERLINK("http://www.ncbi.nlm.nih.gov/protein/84042523","Ctsa")</f>
        <v>Ctsa</v>
      </c>
      <c r="B1557" s="4"/>
      <c r="C1557" s="3">
        <v>31102</v>
      </c>
      <c r="D1557" s="3">
        <v>21205</v>
      </c>
      <c r="E1557" s="3">
        <v>8468</v>
      </c>
      <c r="F1557" s="3">
        <v>15929</v>
      </c>
      <c r="G1557" s="3">
        <v>17831</v>
      </c>
      <c r="H1557" s="2">
        <f t="shared" si="48"/>
        <v>94535</v>
      </c>
      <c r="I1557" t="str">
        <f t="shared" si="49"/>
        <v>Ctsa_94535</v>
      </c>
      <c r="J1557" s="3">
        <v>31102</v>
      </c>
      <c r="K1557" s="3">
        <v>21205</v>
      </c>
      <c r="L1557" s="3">
        <v>8468</v>
      </c>
      <c r="M1557" s="3">
        <v>15929</v>
      </c>
      <c r="N1557" s="3">
        <v>17831</v>
      </c>
    </row>
    <row r="1558" spans="1:14" x14ac:dyDescent="0.2">
      <c r="A1558" s="5" t="str">
        <f>HYPERLINK("http://www.ncbi.nlm.nih.gov/protein/84042525","Ctsa")</f>
        <v>Ctsa</v>
      </c>
      <c r="B1558" s="4"/>
      <c r="C1558" s="3">
        <v>31102</v>
      </c>
      <c r="D1558" s="3">
        <v>21205</v>
      </c>
      <c r="E1558" s="3">
        <v>8468</v>
      </c>
      <c r="F1558" s="3">
        <v>15929</v>
      </c>
      <c r="G1558" s="3">
        <v>17831</v>
      </c>
      <c r="H1558" s="2">
        <f t="shared" si="48"/>
        <v>94535</v>
      </c>
      <c r="I1558" t="str">
        <f t="shared" si="49"/>
        <v>Ctsa_94535</v>
      </c>
      <c r="J1558" s="3">
        <v>31102</v>
      </c>
      <c r="K1558" s="3">
        <v>21205</v>
      </c>
      <c r="L1558" s="3">
        <v>8468</v>
      </c>
      <c r="M1558" s="3">
        <v>15929</v>
      </c>
      <c r="N1558" s="3">
        <v>17831</v>
      </c>
    </row>
    <row r="1559" spans="1:14" x14ac:dyDescent="0.2">
      <c r="A1559" s="5" t="str">
        <f>HYPERLINK("http://www.ncbi.nlm.nih.gov/protein/6681079","Ctsb")</f>
        <v>Ctsb</v>
      </c>
      <c r="B1559" s="4"/>
      <c r="C1559" s="3">
        <v>111575</v>
      </c>
      <c r="D1559" s="3">
        <v>18998</v>
      </c>
      <c r="E1559" s="3">
        <v>10564</v>
      </c>
      <c r="F1559" s="3">
        <v>270</v>
      </c>
      <c r="G1559" s="3">
        <v>27202</v>
      </c>
      <c r="H1559" s="2">
        <f t="shared" si="48"/>
        <v>168609</v>
      </c>
      <c r="I1559" t="str">
        <f t="shared" si="49"/>
        <v>Ctsb_168609</v>
      </c>
      <c r="J1559" s="3">
        <v>111575</v>
      </c>
      <c r="K1559" s="3">
        <v>18998</v>
      </c>
      <c r="L1559" s="3">
        <v>10564</v>
      </c>
      <c r="M1559" s="3">
        <v>270</v>
      </c>
      <c r="N1559" s="3">
        <v>27202</v>
      </c>
    </row>
    <row r="1560" spans="1:14" x14ac:dyDescent="0.2">
      <c r="A1560" s="5" t="str">
        <f>HYPERLINK("http://www.ncbi.nlm.nih.gov/protein/160707990","Ctsc")</f>
        <v>Ctsc</v>
      </c>
      <c r="B1560" s="4"/>
      <c r="C1560" s="3">
        <v>14041</v>
      </c>
      <c r="D1560" s="3">
        <v>2474</v>
      </c>
      <c r="E1560" s="3">
        <v>2463</v>
      </c>
      <c r="F1560" s="3">
        <v>3053</v>
      </c>
      <c r="G1560" s="3">
        <v>17328</v>
      </c>
      <c r="H1560" s="2">
        <f t="shared" si="48"/>
        <v>39359</v>
      </c>
      <c r="I1560" t="str">
        <f t="shared" si="49"/>
        <v>Ctsc_39359</v>
      </c>
      <c r="J1560" s="3">
        <v>14041</v>
      </c>
      <c r="K1560" s="3">
        <v>2474</v>
      </c>
      <c r="L1560" s="3">
        <v>2463</v>
      </c>
      <c r="M1560" s="3">
        <v>3053</v>
      </c>
      <c r="N1560" s="3">
        <v>17328</v>
      </c>
    </row>
    <row r="1561" spans="1:14" x14ac:dyDescent="0.2">
      <c r="A1561" s="5" t="str">
        <f>HYPERLINK("http://www.ncbi.nlm.nih.gov/protein/6753556","Ctsd")</f>
        <v>Ctsd</v>
      </c>
      <c r="B1561" s="4"/>
      <c r="C1561" s="3">
        <v>139345</v>
      </c>
      <c r="D1561" s="3">
        <v>102249</v>
      </c>
      <c r="E1561" s="3">
        <v>16980</v>
      </c>
      <c r="F1561" s="3">
        <v>8832</v>
      </c>
      <c r="G1561" s="3">
        <v>147427</v>
      </c>
      <c r="H1561" s="2">
        <f t="shared" si="48"/>
        <v>414833</v>
      </c>
      <c r="I1561" t="str">
        <f t="shared" si="49"/>
        <v>Ctsd_414833</v>
      </c>
      <c r="J1561" s="3">
        <v>139345</v>
      </c>
      <c r="K1561" s="3">
        <v>102249</v>
      </c>
      <c r="L1561" s="3">
        <v>16980</v>
      </c>
      <c r="M1561" s="3">
        <v>8832</v>
      </c>
      <c r="N1561" s="3">
        <v>147427</v>
      </c>
    </row>
    <row r="1562" spans="1:14" x14ac:dyDescent="0.2">
      <c r="A1562" s="5" t="str">
        <f>HYPERLINK("http://www.ncbi.nlm.nih.gov/protein/166235890","Ctsh")</f>
        <v>Ctsh</v>
      </c>
      <c r="B1562" s="4"/>
      <c r="C1562" s="3">
        <v>14919</v>
      </c>
      <c r="D1562" s="3">
        <v>6329</v>
      </c>
      <c r="E1562" s="3">
        <v>2284</v>
      </c>
      <c r="F1562" s="3">
        <v>0</v>
      </c>
      <c r="G1562" s="3">
        <v>40289</v>
      </c>
      <c r="H1562" s="2">
        <f t="shared" si="48"/>
        <v>63821</v>
      </c>
      <c r="I1562" t="str">
        <f t="shared" si="49"/>
        <v>Ctsh_63821</v>
      </c>
      <c r="J1562" s="3">
        <v>14919</v>
      </c>
      <c r="K1562" s="3">
        <v>6329</v>
      </c>
      <c r="L1562" s="3">
        <v>2284</v>
      </c>
      <c r="M1562" s="3">
        <v>0</v>
      </c>
      <c r="N1562" s="3">
        <v>40289</v>
      </c>
    </row>
    <row r="1563" spans="1:14" x14ac:dyDescent="0.2">
      <c r="A1563" s="5" t="str">
        <f>HYPERLINK("http://www.ncbi.nlm.nih.gov/protein/6753558","Ctsl")</f>
        <v>Ctsl</v>
      </c>
      <c r="B1563" s="4"/>
      <c r="C1563" s="3">
        <v>0</v>
      </c>
      <c r="D1563" s="3">
        <v>35</v>
      </c>
      <c r="E1563" s="3">
        <v>0</v>
      </c>
      <c r="F1563" s="3">
        <v>0</v>
      </c>
      <c r="G1563" s="3">
        <v>578</v>
      </c>
      <c r="H1563" s="2">
        <f t="shared" si="48"/>
        <v>613</v>
      </c>
      <c r="I1563" t="str">
        <f t="shared" si="49"/>
        <v>Ctsl_613</v>
      </c>
      <c r="J1563" s="3">
        <v>0</v>
      </c>
      <c r="K1563" s="3">
        <v>35</v>
      </c>
      <c r="L1563" s="3">
        <v>0</v>
      </c>
      <c r="M1563" s="3">
        <v>0</v>
      </c>
      <c r="N1563" s="3">
        <v>578</v>
      </c>
    </row>
    <row r="1564" spans="1:14" x14ac:dyDescent="0.2">
      <c r="A1564" s="5" t="str">
        <f>HYPERLINK("http://www.ncbi.nlm.nih.gov/protein/11968166","Ctsz")</f>
        <v>Ctsz</v>
      </c>
      <c r="B1564" s="4"/>
      <c r="C1564" s="3">
        <v>0</v>
      </c>
      <c r="D1564" s="3">
        <v>3096</v>
      </c>
      <c r="E1564" s="3">
        <v>1258</v>
      </c>
      <c r="F1564" s="3">
        <v>131</v>
      </c>
      <c r="G1564" s="3">
        <v>34431</v>
      </c>
      <c r="H1564" s="2">
        <f t="shared" si="48"/>
        <v>38916</v>
      </c>
      <c r="I1564" t="str">
        <f t="shared" si="49"/>
        <v>Ctsz_38916</v>
      </c>
      <c r="J1564" s="3">
        <v>0</v>
      </c>
      <c r="K1564" s="3">
        <v>3096</v>
      </c>
      <c r="L1564" s="3">
        <v>1258</v>
      </c>
      <c r="M1564" s="3">
        <v>131</v>
      </c>
      <c r="N1564" s="3">
        <v>34431</v>
      </c>
    </row>
    <row r="1565" spans="1:14" x14ac:dyDescent="0.2">
      <c r="A1565" s="5" t="str">
        <f>HYPERLINK("http://www.ncbi.nlm.nih.gov/protein/357588432","Cttn")</f>
        <v>Cttn</v>
      </c>
      <c r="B1565" s="4"/>
      <c r="C1565" s="3">
        <v>12119</v>
      </c>
      <c r="D1565" s="3">
        <v>5757</v>
      </c>
      <c r="E1565" s="3">
        <v>8568</v>
      </c>
      <c r="F1565" s="3">
        <v>1776</v>
      </c>
      <c r="G1565" s="3">
        <v>35802</v>
      </c>
      <c r="H1565" s="2">
        <f t="shared" si="48"/>
        <v>64022</v>
      </c>
      <c r="I1565" t="str">
        <f t="shared" si="49"/>
        <v>Cttn_64022</v>
      </c>
      <c r="J1565" s="3">
        <v>12119</v>
      </c>
      <c r="K1565" s="3">
        <v>5757</v>
      </c>
      <c r="L1565" s="3">
        <v>8568</v>
      </c>
      <c r="M1565" s="3">
        <v>1776</v>
      </c>
      <c r="N1565" s="3">
        <v>35802</v>
      </c>
    </row>
    <row r="1566" spans="1:14" x14ac:dyDescent="0.2">
      <c r="A1566" s="5" t="str">
        <f>HYPERLINK("http://www.ncbi.nlm.nih.gov/protein/75677414","Cttn")</f>
        <v>Cttn</v>
      </c>
      <c r="B1566" s="4"/>
      <c r="C1566" s="3">
        <v>12119</v>
      </c>
      <c r="D1566" s="3">
        <v>5757</v>
      </c>
      <c r="E1566" s="3">
        <v>9315</v>
      </c>
      <c r="F1566" s="3">
        <v>1776</v>
      </c>
      <c r="G1566" s="3">
        <v>44659</v>
      </c>
      <c r="H1566" s="2">
        <f t="shared" si="48"/>
        <v>73626</v>
      </c>
      <c r="I1566" t="str">
        <f t="shared" si="49"/>
        <v>Cttn_73626</v>
      </c>
      <c r="J1566" s="3">
        <v>12119</v>
      </c>
      <c r="K1566" s="3">
        <v>5757</v>
      </c>
      <c r="L1566" s="3">
        <v>9315</v>
      </c>
      <c r="M1566" s="3">
        <v>1776</v>
      </c>
      <c r="N1566" s="3">
        <v>44659</v>
      </c>
    </row>
    <row r="1567" spans="1:14" x14ac:dyDescent="0.2">
      <c r="A1567" s="5" t="str">
        <f>HYPERLINK("http://www.ncbi.nlm.nih.gov/protein/254039644","Cttnbp2nl")</f>
        <v>Cttnbp2nl</v>
      </c>
      <c r="B1567" s="4"/>
      <c r="C1567" s="3">
        <v>0</v>
      </c>
      <c r="D1567" s="3">
        <v>0</v>
      </c>
      <c r="E1567" s="3">
        <v>372</v>
      </c>
      <c r="F1567" s="3">
        <v>4068</v>
      </c>
      <c r="G1567" s="3">
        <v>2378</v>
      </c>
      <c r="H1567" s="2">
        <f t="shared" si="48"/>
        <v>6818</v>
      </c>
      <c r="I1567" t="str">
        <f t="shared" si="49"/>
        <v>Cttnbp2nl_6818</v>
      </c>
      <c r="J1567" s="3">
        <v>0</v>
      </c>
      <c r="K1567" s="3">
        <v>0</v>
      </c>
      <c r="L1567" s="3">
        <v>372</v>
      </c>
      <c r="M1567" s="3">
        <v>4068</v>
      </c>
      <c r="N1567" s="3">
        <v>2378</v>
      </c>
    </row>
    <row r="1568" spans="1:14" x14ac:dyDescent="0.2">
      <c r="A1568" s="5" t="str">
        <f>HYPERLINK("http://www.ncbi.nlm.nih.gov/protein/21704170","Ctu1")</f>
        <v>Ctu1</v>
      </c>
      <c r="B1568" s="4"/>
      <c r="C1568" s="3">
        <v>0</v>
      </c>
      <c r="D1568" s="3">
        <v>0</v>
      </c>
      <c r="E1568" s="3">
        <v>0</v>
      </c>
      <c r="F1568" s="3">
        <v>0</v>
      </c>
      <c r="G1568" s="3">
        <v>5537</v>
      </c>
      <c r="H1568" s="2">
        <f t="shared" si="48"/>
        <v>5537</v>
      </c>
      <c r="I1568" t="str">
        <f t="shared" si="49"/>
        <v>Ctu1_5537</v>
      </c>
      <c r="J1568" s="3">
        <v>0</v>
      </c>
      <c r="K1568" s="3">
        <v>0</v>
      </c>
      <c r="L1568" s="3">
        <v>0</v>
      </c>
      <c r="M1568" s="3">
        <v>0</v>
      </c>
      <c r="N1568" s="3">
        <v>5537</v>
      </c>
    </row>
    <row r="1569" spans="1:14" x14ac:dyDescent="0.2">
      <c r="A1569" s="5" t="str">
        <f>HYPERLINK("http://www.ncbi.nlm.nih.gov/protein/225735586","Ctu2")</f>
        <v>Ctu2</v>
      </c>
      <c r="B1569" s="4"/>
      <c r="C1569" s="3">
        <v>0</v>
      </c>
      <c r="D1569" s="3">
        <v>0</v>
      </c>
      <c r="E1569" s="3">
        <v>61</v>
      </c>
      <c r="F1569" s="3">
        <v>1261</v>
      </c>
      <c r="G1569" s="3">
        <v>2452</v>
      </c>
      <c r="H1569" s="2">
        <f t="shared" si="48"/>
        <v>3774</v>
      </c>
      <c r="I1569" t="str">
        <f t="shared" si="49"/>
        <v>Ctu2_3774</v>
      </c>
      <c r="J1569" s="3">
        <v>0</v>
      </c>
      <c r="K1569" s="3">
        <v>0</v>
      </c>
      <c r="L1569" s="3">
        <v>61</v>
      </c>
      <c r="M1569" s="3">
        <v>1261</v>
      </c>
      <c r="N1569" s="3">
        <v>2452</v>
      </c>
    </row>
    <row r="1570" spans="1:14" x14ac:dyDescent="0.2">
      <c r="A1570" s="5" t="str">
        <f>HYPERLINK("http://www.ncbi.nlm.nih.gov/protein/124487348","Cubn")</f>
        <v>Cubn</v>
      </c>
      <c r="B1570" s="4"/>
      <c r="C1570" s="3">
        <v>3661</v>
      </c>
      <c r="D1570" s="3">
        <v>0</v>
      </c>
      <c r="E1570" s="3">
        <v>2919</v>
      </c>
      <c r="F1570" s="3">
        <v>5984</v>
      </c>
      <c r="G1570" s="3">
        <v>0</v>
      </c>
      <c r="H1570" s="2">
        <f t="shared" si="48"/>
        <v>12564</v>
      </c>
      <c r="I1570" t="str">
        <f t="shared" si="49"/>
        <v>Cubn_12564</v>
      </c>
      <c r="J1570" s="3">
        <v>3661</v>
      </c>
      <c r="K1570" s="3">
        <v>0</v>
      </c>
      <c r="L1570" s="3">
        <v>2919</v>
      </c>
      <c r="M1570" s="3">
        <v>5984</v>
      </c>
      <c r="N1570" s="3">
        <v>0</v>
      </c>
    </row>
    <row r="1571" spans="1:14" x14ac:dyDescent="0.2">
      <c r="A1571" s="5" t="str">
        <f>HYPERLINK("http://www.ncbi.nlm.nih.gov/protein/256773254","Cuedc2")</f>
        <v>Cuedc2</v>
      </c>
      <c r="B1571" s="4"/>
      <c r="C1571" s="3">
        <v>0</v>
      </c>
      <c r="D1571" s="3">
        <v>0</v>
      </c>
      <c r="E1571" s="3">
        <v>342</v>
      </c>
      <c r="F1571" s="3">
        <v>0</v>
      </c>
      <c r="G1571" s="3">
        <v>996</v>
      </c>
      <c r="H1571" s="2">
        <f t="shared" si="48"/>
        <v>1338</v>
      </c>
      <c r="I1571" t="str">
        <f t="shared" si="49"/>
        <v>Cuedc2_1338</v>
      </c>
      <c r="J1571" s="3">
        <v>0</v>
      </c>
      <c r="K1571" s="3">
        <v>0</v>
      </c>
      <c r="L1571" s="3">
        <v>342</v>
      </c>
      <c r="M1571" s="3">
        <v>0</v>
      </c>
      <c r="N1571" s="3">
        <v>996</v>
      </c>
    </row>
    <row r="1572" spans="1:14" x14ac:dyDescent="0.2">
      <c r="A1572" s="5" t="str">
        <f>HYPERLINK("http://www.ncbi.nlm.nih.gov/protein/256773258","Cuedc2")</f>
        <v>Cuedc2</v>
      </c>
      <c r="B1572" s="4"/>
      <c r="C1572" s="3">
        <v>0</v>
      </c>
      <c r="D1572" s="3">
        <v>0</v>
      </c>
      <c r="E1572" s="3">
        <v>342</v>
      </c>
      <c r="F1572" s="3">
        <v>0</v>
      </c>
      <c r="G1572" s="3">
        <v>996</v>
      </c>
      <c r="H1572" s="2">
        <f t="shared" si="48"/>
        <v>1338</v>
      </c>
      <c r="I1572" t="str">
        <f t="shared" si="49"/>
        <v>Cuedc2_1338</v>
      </c>
      <c r="J1572" s="3">
        <v>0</v>
      </c>
      <c r="K1572" s="3">
        <v>0</v>
      </c>
      <c r="L1572" s="3">
        <v>342</v>
      </c>
      <c r="M1572" s="3">
        <v>0</v>
      </c>
      <c r="N1572" s="3">
        <v>996</v>
      </c>
    </row>
    <row r="1573" spans="1:14" x14ac:dyDescent="0.2">
      <c r="A1573" s="5" t="str">
        <f>HYPERLINK("http://www.ncbi.nlm.nih.gov/protein/256773262","Cuedc2")</f>
        <v>Cuedc2</v>
      </c>
      <c r="B1573" s="4"/>
      <c r="C1573" s="3">
        <v>0</v>
      </c>
      <c r="D1573" s="3">
        <v>0</v>
      </c>
      <c r="E1573" s="3">
        <v>342</v>
      </c>
      <c r="F1573" s="3">
        <v>0</v>
      </c>
      <c r="G1573" s="3">
        <v>996</v>
      </c>
      <c r="H1573" s="2">
        <f t="shared" si="48"/>
        <v>1338</v>
      </c>
      <c r="I1573" t="str">
        <f t="shared" si="49"/>
        <v>Cuedc2_1338</v>
      </c>
      <c r="J1573" s="3">
        <v>0</v>
      </c>
      <c r="K1573" s="3">
        <v>0</v>
      </c>
      <c r="L1573" s="3">
        <v>342</v>
      </c>
      <c r="M1573" s="3">
        <v>0</v>
      </c>
      <c r="N1573" s="3">
        <v>996</v>
      </c>
    </row>
    <row r="1574" spans="1:14" x14ac:dyDescent="0.2">
      <c r="A1574" s="5" t="str">
        <f>HYPERLINK("http://www.ncbi.nlm.nih.gov/protein/7549752","Cul1")</f>
        <v>Cul1</v>
      </c>
      <c r="B1574" s="4"/>
      <c r="C1574" s="3">
        <v>0</v>
      </c>
      <c r="D1574" s="3">
        <v>2085</v>
      </c>
      <c r="E1574" s="3">
        <v>7795</v>
      </c>
      <c r="F1574" s="3">
        <v>68415</v>
      </c>
      <c r="G1574" s="3">
        <v>1189</v>
      </c>
      <c r="H1574" s="2">
        <f t="shared" si="48"/>
        <v>79484</v>
      </c>
      <c r="I1574" t="str">
        <f t="shared" si="49"/>
        <v>Cul1_79484</v>
      </c>
      <c r="J1574" s="3">
        <v>0</v>
      </c>
      <c r="K1574" s="3">
        <v>2085</v>
      </c>
      <c r="L1574" s="3">
        <v>7795</v>
      </c>
      <c r="M1574" s="3">
        <v>68415</v>
      </c>
      <c r="N1574" s="3">
        <v>1189</v>
      </c>
    </row>
    <row r="1575" spans="1:14" x14ac:dyDescent="0.2">
      <c r="A1575" s="5" t="str">
        <f>HYPERLINK("http://www.ncbi.nlm.nih.gov/protein/170014698","Cul2")</f>
        <v>Cul2</v>
      </c>
      <c r="B1575" s="4"/>
      <c r="C1575" s="3">
        <v>0</v>
      </c>
      <c r="D1575" s="3">
        <v>25</v>
      </c>
      <c r="E1575" s="3">
        <v>1930</v>
      </c>
      <c r="F1575" s="3">
        <v>24639</v>
      </c>
      <c r="G1575" s="3">
        <v>1703</v>
      </c>
      <c r="H1575" s="2">
        <f t="shared" si="48"/>
        <v>28297</v>
      </c>
      <c r="I1575" t="str">
        <f t="shared" si="49"/>
        <v>Cul2_28297</v>
      </c>
      <c r="J1575" s="3">
        <v>0</v>
      </c>
      <c r="K1575" s="3">
        <v>25</v>
      </c>
      <c r="L1575" s="3">
        <v>1930</v>
      </c>
      <c r="M1575" s="3">
        <v>24639</v>
      </c>
      <c r="N1575" s="3">
        <v>1703</v>
      </c>
    </row>
    <row r="1576" spans="1:14" x14ac:dyDescent="0.2">
      <c r="A1576" s="5" t="str">
        <f>HYPERLINK("http://www.ncbi.nlm.nih.gov/protein/7710014","Cul3")</f>
        <v>Cul3</v>
      </c>
      <c r="B1576" s="4"/>
      <c r="C1576" s="3">
        <v>0</v>
      </c>
      <c r="D1576" s="3">
        <v>470</v>
      </c>
      <c r="E1576" s="3">
        <v>4661</v>
      </c>
      <c r="F1576" s="3">
        <v>35362</v>
      </c>
      <c r="G1576" s="3">
        <v>8643</v>
      </c>
      <c r="H1576" s="2">
        <f t="shared" si="48"/>
        <v>49136</v>
      </c>
      <c r="I1576" t="str">
        <f t="shared" si="49"/>
        <v>Cul3_49136</v>
      </c>
      <c r="J1576" s="3">
        <v>0</v>
      </c>
      <c r="K1576" s="3">
        <v>470</v>
      </c>
      <c r="L1576" s="3">
        <v>4661</v>
      </c>
      <c r="M1576" s="3">
        <v>35362</v>
      </c>
      <c r="N1576" s="3">
        <v>8643</v>
      </c>
    </row>
    <row r="1577" spans="1:14" x14ac:dyDescent="0.2">
      <c r="A1577" s="5" t="str">
        <f>HYPERLINK("http://www.ncbi.nlm.nih.gov/protein/167466258","Cul4a")</f>
        <v>Cul4a</v>
      </c>
      <c r="B1577" s="4"/>
      <c r="C1577" s="3">
        <v>0</v>
      </c>
      <c r="D1577" s="3">
        <v>0</v>
      </c>
      <c r="E1577" s="3">
        <v>427</v>
      </c>
      <c r="F1577" s="3">
        <v>23820</v>
      </c>
      <c r="G1577" s="3">
        <v>3459</v>
      </c>
      <c r="H1577" s="2">
        <f t="shared" si="48"/>
        <v>27706</v>
      </c>
      <c r="I1577" t="str">
        <f t="shared" si="49"/>
        <v>Cul4a_27706</v>
      </c>
      <c r="J1577" s="3">
        <v>0</v>
      </c>
      <c r="K1577" s="3">
        <v>0</v>
      </c>
      <c r="L1577" s="3">
        <v>427</v>
      </c>
      <c r="M1577" s="3">
        <v>23820</v>
      </c>
      <c r="N1577" s="3">
        <v>3459</v>
      </c>
    </row>
    <row r="1578" spans="1:14" x14ac:dyDescent="0.2">
      <c r="A1578" s="5" t="str">
        <f>HYPERLINK("http://www.ncbi.nlm.nih.gov/protein/158711665","Cul4b")</f>
        <v>Cul4b</v>
      </c>
      <c r="B1578" s="4"/>
      <c r="C1578" s="3">
        <v>0</v>
      </c>
      <c r="D1578" s="3">
        <v>0</v>
      </c>
      <c r="E1578" s="3">
        <v>155</v>
      </c>
      <c r="F1578" s="3">
        <v>29550</v>
      </c>
      <c r="G1578" s="3">
        <v>4894</v>
      </c>
      <c r="H1578" s="2">
        <f t="shared" si="48"/>
        <v>34599</v>
      </c>
      <c r="I1578" t="str">
        <f t="shared" si="49"/>
        <v>Cul4b_34599</v>
      </c>
      <c r="J1578" s="3">
        <v>0</v>
      </c>
      <c r="K1578" s="3">
        <v>0</v>
      </c>
      <c r="L1578" s="3">
        <v>155</v>
      </c>
      <c r="M1578" s="3">
        <v>29550</v>
      </c>
      <c r="N1578" s="3">
        <v>4894</v>
      </c>
    </row>
    <row r="1579" spans="1:14" x14ac:dyDescent="0.2">
      <c r="A1579" s="5" t="str">
        <f>HYPERLINK("http://www.ncbi.nlm.nih.gov/protein/239051067","Cul5")</f>
        <v>Cul5</v>
      </c>
      <c r="B1579" s="4"/>
      <c r="C1579" s="3">
        <v>0</v>
      </c>
      <c r="D1579" s="3">
        <v>152</v>
      </c>
      <c r="E1579" s="3">
        <v>541</v>
      </c>
      <c r="F1579" s="3">
        <v>15422</v>
      </c>
      <c r="G1579" s="3">
        <v>9906</v>
      </c>
      <c r="H1579" s="2">
        <f t="shared" si="48"/>
        <v>26021</v>
      </c>
      <c r="I1579" t="str">
        <f t="shared" si="49"/>
        <v>Cul5_26021</v>
      </c>
      <c r="J1579" s="3">
        <v>0</v>
      </c>
      <c r="K1579" s="3">
        <v>152</v>
      </c>
      <c r="L1579" s="3">
        <v>541</v>
      </c>
      <c r="M1579" s="3">
        <v>15422</v>
      </c>
      <c r="N1579" s="3">
        <v>9906</v>
      </c>
    </row>
    <row r="1580" spans="1:14" x14ac:dyDescent="0.2">
      <c r="A1580" s="5" t="str">
        <f>HYPERLINK("http://www.ncbi.nlm.nih.gov/protein/239051082","Cul5")</f>
        <v>Cul5</v>
      </c>
      <c r="B1580" s="4"/>
      <c r="C1580" s="3">
        <v>0</v>
      </c>
      <c r="D1580" s="3">
        <v>152</v>
      </c>
      <c r="E1580" s="3">
        <v>541</v>
      </c>
      <c r="F1580" s="3">
        <v>15422</v>
      </c>
      <c r="G1580" s="3">
        <v>9906</v>
      </c>
      <c r="H1580" s="2">
        <f t="shared" si="48"/>
        <v>26021</v>
      </c>
      <c r="I1580" t="str">
        <f t="shared" si="49"/>
        <v>Cul5_26021</v>
      </c>
      <c r="J1580" s="3">
        <v>0</v>
      </c>
      <c r="K1580" s="3">
        <v>152</v>
      </c>
      <c r="L1580" s="3">
        <v>541</v>
      </c>
      <c r="M1580" s="3">
        <v>15422</v>
      </c>
      <c r="N1580" s="3">
        <v>9906</v>
      </c>
    </row>
    <row r="1581" spans="1:14" x14ac:dyDescent="0.2">
      <c r="A1581" s="5" t="str">
        <f>HYPERLINK("http://www.ncbi.nlm.nih.gov/protein/57013279","Cul7")</f>
        <v>Cul7</v>
      </c>
      <c r="B1581" s="4"/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2">
        <f t="shared" si="48"/>
        <v>0</v>
      </c>
      <c r="I1581" t="str">
        <f t="shared" si="49"/>
        <v>Cul7_0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</row>
    <row r="1582" spans="1:14" x14ac:dyDescent="0.2">
      <c r="A1582" s="5" t="str">
        <f>HYPERLINK("http://www.ncbi.nlm.nih.gov/protein/62198210","Cuta")</f>
        <v>Cuta</v>
      </c>
      <c r="B1582" s="4"/>
      <c r="C1582" s="3">
        <v>641</v>
      </c>
      <c r="D1582" s="3">
        <v>46</v>
      </c>
      <c r="E1582" s="3">
        <v>88</v>
      </c>
      <c r="F1582" s="3">
        <v>1277</v>
      </c>
      <c r="G1582" s="3">
        <v>1253</v>
      </c>
      <c r="H1582" s="2">
        <f t="shared" si="48"/>
        <v>3305</v>
      </c>
      <c r="I1582" t="str">
        <f t="shared" si="49"/>
        <v>Cuta_3305</v>
      </c>
      <c r="J1582" s="3">
        <v>641</v>
      </c>
      <c r="K1582" s="3">
        <v>46</v>
      </c>
      <c r="L1582" s="3">
        <v>88</v>
      </c>
      <c r="M1582" s="3">
        <v>1277</v>
      </c>
      <c r="N1582" s="3">
        <v>1253</v>
      </c>
    </row>
    <row r="1583" spans="1:14" x14ac:dyDescent="0.2">
      <c r="A1583" s="5" t="str">
        <f>HYPERLINK("http://www.ncbi.nlm.nih.gov/protein/62198239","Cuta")</f>
        <v>Cuta</v>
      </c>
      <c r="B1583" s="4"/>
      <c r="C1583" s="3">
        <v>641</v>
      </c>
      <c r="D1583" s="3">
        <v>46</v>
      </c>
      <c r="E1583" s="3">
        <v>88</v>
      </c>
      <c r="F1583" s="3">
        <v>1277</v>
      </c>
      <c r="G1583" s="3">
        <v>1253</v>
      </c>
      <c r="H1583" s="2">
        <f t="shared" si="48"/>
        <v>3305</v>
      </c>
      <c r="I1583" t="str">
        <f t="shared" si="49"/>
        <v>Cuta_3305</v>
      </c>
      <c r="J1583" s="3">
        <v>641</v>
      </c>
      <c r="K1583" s="3">
        <v>46</v>
      </c>
      <c r="L1583" s="3">
        <v>88</v>
      </c>
      <c r="M1583" s="3">
        <v>1277</v>
      </c>
      <c r="N1583" s="3">
        <v>1253</v>
      </c>
    </row>
    <row r="1584" spans="1:14" x14ac:dyDescent="0.2">
      <c r="A1584" s="5" t="str">
        <f>HYPERLINK("http://www.ncbi.nlm.nih.gov/protein/165932339","Cutc")</f>
        <v>Cutc</v>
      </c>
      <c r="B1584" s="4"/>
      <c r="C1584" s="3">
        <v>0</v>
      </c>
      <c r="D1584" s="3">
        <v>0</v>
      </c>
      <c r="E1584" s="3">
        <v>0</v>
      </c>
      <c r="F1584" s="3">
        <v>57</v>
      </c>
      <c r="G1584" s="3">
        <v>0</v>
      </c>
      <c r="H1584" s="2">
        <f t="shared" si="48"/>
        <v>57</v>
      </c>
      <c r="I1584" t="str">
        <f t="shared" si="49"/>
        <v>Cutc_57</v>
      </c>
      <c r="J1584" s="3">
        <v>0</v>
      </c>
      <c r="K1584" s="3">
        <v>0</v>
      </c>
      <c r="L1584" s="3">
        <v>0</v>
      </c>
      <c r="M1584" s="3">
        <v>57</v>
      </c>
      <c r="N1584" s="3">
        <v>0</v>
      </c>
    </row>
    <row r="1585" spans="1:14" x14ac:dyDescent="0.2">
      <c r="A1585" s="5" t="str">
        <f>HYPERLINK("http://www.ncbi.nlm.nih.gov/protein/165932350","Cutc")</f>
        <v>Cutc</v>
      </c>
      <c r="B1585" s="4"/>
      <c r="C1585" s="3">
        <v>0</v>
      </c>
      <c r="D1585" s="3">
        <v>0</v>
      </c>
      <c r="E1585" s="3">
        <v>0</v>
      </c>
      <c r="F1585" s="3">
        <v>57</v>
      </c>
      <c r="G1585" s="3">
        <v>0</v>
      </c>
      <c r="H1585" s="2">
        <f t="shared" si="48"/>
        <v>57</v>
      </c>
      <c r="I1585" t="str">
        <f t="shared" si="49"/>
        <v>Cutc_57</v>
      </c>
      <c r="J1585" s="3">
        <v>0</v>
      </c>
      <c r="K1585" s="3">
        <v>0</v>
      </c>
      <c r="L1585" s="3">
        <v>0</v>
      </c>
      <c r="M1585" s="3">
        <v>57</v>
      </c>
      <c r="N1585" s="3">
        <v>0</v>
      </c>
    </row>
    <row r="1586" spans="1:14" x14ac:dyDescent="0.2">
      <c r="A1586" s="5" t="str">
        <f>HYPERLINK("http://www.ncbi.nlm.nih.gov/protein/110835729","Cux1")</f>
        <v>Cux1</v>
      </c>
      <c r="B1586" s="4"/>
      <c r="C1586" s="3">
        <v>0</v>
      </c>
      <c r="D1586" s="3">
        <v>0</v>
      </c>
      <c r="E1586" s="3">
        <v>9</v>
      </c>
      <c r="F1586" s="3">
        <v>0</v>
      </c>
      <c r="G1586" s="3">
        <v>0</v>
      </c>
      <c r="H1586" s="2">
        <f t="shared" si="48"/>
        <v>9</v>
      </c>
      <c r="I1586" t="str">
        <f t="shared" si="49"/>
        <v>Cux1_9</v>
      </c>
      <c r="J1586" s="3">
        <v>0</v>
      </c>
      <c r="K1586" s="3">
        <v>0</v>
      </c>
      <c r="L1586" s="3">
        <v>9</v>
      </c>
      <c r="M1586" s="3">
        <v>0</v>
      </c>
      <c r="N1586" s="3">
        <v>0</v>
      </c>
    </row>
    <row r="1587" spans="1:14" x14ac:dyDescent="0.2">
      <c r="A1587" s="5" t="str">
        <f>HYPERLINK("http://www.ncbi.nlm.nih.gov/protein/110815859","Cux1")</f>
        <v>Cux1</v>
      </c>
      <c r="B1587" s="4"/>
      <c r="C1587" s="3">
        <v>0</v>
      </c>
      <c r="D1587" s="3">
        <v>136</v>
      </c>
      <c r="E1587" s="3">
        <v>9</v>
      </c>
      <c r="F1587" s="3">
        <v>0</v>
      </c>
      <c r="G1587" s="3">
        <v>0</v>
      </c>
      <c r="H1587" s="2">
        <f t="shared" si="48"/>
        <v>145</v>
      </c>
      <c r="I1587" t="str">
        <f t="shared" si="49"/>
        <v>Cux1_145</v>
      </c>
      <c r="J1587" s="3">
        <v>0</v>
      </c>
      <c r="K1587" s="3">
        <v>136</v>
      </c>
      <c r="L1587" s="3">
        <v>9</v>
      </c>
      <c r="M1587" s="3">
        <v>0</v>
      </c>
      <c r="N1587" s="3">
        <v>0</v>
      </c>
    </row>
    <row r="1588" spans="1:14" x14ac:dyDescent="0.2">
      <c r="A1588" s="5" t="str">
        <f>HYPERLINK("http://www.ncbi.nlm.nih.gov/protein/12963537","Cwc15")</f>
        <v>Cwc15</v>
      </c>
      <c r="B1588" s="4"/>
      <c r="C1588" s="3">
        <v>0</v>
      </c>
      <c r="D1588" s="3">
        <v>0</v>
      </c>
      <c r="E1588" s="3">
        <v>0</v>
      </c>
      <c r="F1588" s="3">
        <v>0</v>
      </c>
      <c r="G1588" s="3">
        <v>1210</v>
      </c>
      <c r="H1588" s="2">
        <f t="shared" si="48"/>
        <v>1210</v>
      </c>
      <c r="I1588" t="str">
        <f t="shared" si="49"/>
        <v>Cwc15_1210</v>
      </c>
      <c r="J1588" s="3">
        <v>0</v>
      </c>
      <c r="K1588" s="3">
        <v>0</v>
      </c>
      <c r="L1588" s="3">
        <v>0</v>
      </c>
      <c r="M1588" s="3">
        <v>0</v>
      </c>
      <c r="N1588" s="3">
        <v>1210</v>
      </c>
    </row>
    <row r="1589" spans="1:14" x14ac:dyDescent="0.2">
      <c r="A1589" s="5" t="str">
        <f>HYPERLINK("http://www.ncbi.nlm.nih.gov/protein/27881425","Cwc22")</f>
        <v>Cwc22</v>
      </c>
      <c r="B1589" s="4"/>
      <c r="C1589" s="3">
        <v>1904</v>
      </c>
      <c r="D1589" s="3">
        <v>724</v>
      </c>
      <c r="E1589" s="3">
        <v>632</v>
      </c>
      <c r="F1589" s="3">
        <v>131</v>
      </c>
      <c r="G1589" s="3">
        <v>0</v>
      </c>
      <c r="H1589" s="2">
        <f t="shared" si="48"/>
        <v>3391</v>
      </c>
      <c r="I1589" t="str">
        <f t="shared" si="49"/>
        <v>Cwc22_3391</v>
      </c>
      <c r="J1589" s="3">
        <v>1904</v>
      </c>
      <c r="K1589" s="3">
        <v>724</v>
      </c>
      <c r="L1589" s="3">
        <v>632</v>
      </c>
      <c r="M1589" s="3">
        <v>131</v>
      </c>
      <c r="N1589" s="3">
        <v>0</v>
      </c>
    </row>
    <row r="1590" spans="1:14" x14ac:dyDescent="0.2">
      <c r="A1590" s="5" t="str">
        <f>HYPERLINK("http://www.ncbi.nlm.nih.gov/protein/323462203","Cwc22")</f>
        <v>Cwc22</v>
      </c>
      <c r="B1590" s="4"/>
      <c r="C1590" s="3">
        <v>1904</v>
      </c>
      <c r="D1590" s="3">
        <v>724</v>
      </c>
      <c r="E1590" s="3">
        <v>632</v>
      </c>
      <c r="F1590" s="3">
        <v>131</v>
      </c>
      <c r="G1590" s="3">
        <v>0</v>
      </c>
      <c r="H1590" s="2">
        <f t="shared" si="48"/>
        <v>3391</v>
      </c>
      <c r="I1590" t="str">
        <f t="shared" si="49"/>
        <v>Cwc22_3391</v>
      </c>
      <c r="J1590" s="3">
        <v>1904</v>
      </c>
      <c r="K1590" s="3">
        <v>724</v>
      </c>
      <c r="L1590" s="3">
        <v>632</v>
      </c>
      <c r="M1590" s="3">
        <v>131</v>
      </c>
      <c r="N1590" s="3">
        <v>0</v>
      </c>
    </row>
    <row r="1591" spans="1:14" x14ac:dyDescent="0.2">
      <c r="A1591" s="5" t="str">
        <f>HYPERLINK("http://www.ncbi.nlm.nih.gov/protein/262072988","Cwc25")</f>
        <v>Cwc25</v>
      </c>
      <c r="B1591" s="4"/>
      <c r="C1591" s="3">
        <v>0</v>
      </c>
      <c r="D1591" s="3">
        <v>635</v>
      </c>
      <c r="E1591" s="3">
        <v>29</v>
      </c>
      <c r="F1591" s="3">
        <v>0</v>
      </c>
      <c r="G1591" s="3">
        <v>0</v>
      </c>
      <c r="H1591" s="2">
        <f t="shared" si="48"/>
        <v>664</v>
      </c>
      <c r="I1591" t="str">
        <f t="shared" si="49"/>
        <v>Cwc25_664</v>
      </c>
      <c r="J1591" s="3">
        <v>0</v>
      </c>
      <c r="K1591" s="3">
        <v>635</v>
      </c>
      <c r="L1591" s="3">
        <v>29</v>
      </c>
      <c r="M1591" s="3">
        <v>0</v>
      </c>
      <c r="N1591" s="3">
        <v>0</v>
      </c>
    </row>
    <row r="1592" spans="1:14" x14ac:dyDescent="0.2">
      <c r="A1592" s="5" t="str">
        <f>HYPERLINK("http://www.ncbi.nlm.nih.gov/protein/110625681","Cwc27")</f>
        <v>Cwc27</v>
      </c>
      <c r="B1592" s="4"/>
      <c r="C1592" s="3">
        <v>0</v>
      </c>
      <c r="D1592" s="3">
        <v>812</v>
      </c>
      <c r="E1592" s="3">
        <v>1080</v>
      </c>
      <c r="F1592" s="3">
        <v>0</v>
      </c>
      <c r="G1592" s="3">
        <v>0</v>
      </c>
      <c r="H1592" s="2">
        <f t="shared" si="48"/>
        <v>1892</v>
      </c>
      <c r="I1592" t="str">
        <f t="shared" si="49"/>
        <v>Cwc27_1892</v>
      </c>
      <c r="J1592" s="3">
        <v>0</v>
      </c>
      <c r="K1592" s="3">
        <v>812</v>
      </c>
      <c r="L1592" s="3">
        <v>1080</v>
      </c>
      <c r="M1592" s="3">
        <v>0</v>
      </c>
      <c r="N1592" s="3">
        <v>0</v>
      </c>
    </row>
    <row r="1593" spans="1:14" x14ac:dyDescent="0.2">
      <c r="A1593" s="5" t="str">
        <f>HYPERLINK("http://www.ncbi.nlm.nih.gov/protein/124487291","Cwf19l1")</f>
        <v>Cwf19l1</v>
      </c>
      <c r="B1593" s="4"/>
      <c r="C1593" s="3">
        <v>0</v>
      </c>
      <c r="D1593" s="3">
        <v>8</v>
      </c>
      <c r="E1593" s="3">
        <v>856</v>
      </c>
      <c r="F1593" s="3">
        <v>4281</v>
      </c>
      <c r="G1593" s="3">
        <v>2838</v>
      </c>
      <c r="H1593" s="2">
        <f t="shared" si="48"/>
        <v>7983</v>
      </c>
      <c r="I1593" t="str">
        <f t="shared" si="49"/>
        <v>Cwf19l1_7983</v>
      </c>
      <c r="J1593" s="3">
        <v>0</v>
      </c>
      <c r="K1593" s="3">
        <v>8</v>
      </c>
      <c r="L1593" s="3">
        <v>856</v>
      </c>
      <c r="M1593" s="3">
        <v>4281</v>
      </c>
      <c r="N1593" s="3">
        <v>2838</v>
      </c>
    </row>
    <row r="1594" spans="1:14" x14ac:dyDescent="0.2">
      <c r="A1594" s="5" t="str">
        <f>HYPERLINK("http://www.ncbi.nlm.nih.gov/protein/30842792","Cwf19l2")</f>
        <v>Cwf19l2</v>
      </c>
      <c r="B1594" s="4"/>
      <c r="C1594" s="3">
        <v>0</v>
      </c>
      <c r="D1594" s="3">
        <v>251</v>
      </c>
      <c r="E1594" s="3">
        <v>3</v>
      </c>
      <c r="F1594" s="3">
        <v>0</v>
      </c>
      <c r="G1594" s="3">
        <v>0</v>
      </c>
      <c r="H1594" s="2">
        <f t="shared" si="48"/>
        <v>254</v>
      </c>
      <c r="I1594" t="str">
        <f t="shared" si="49"/>
        <v>Cwf19l2_254</v>
      </c>
      <c r="J1594" s="3">
        <v>0</v>
      </c>
      <c r="K1594" s="3">
        <v>251</v>
      </c>
      <c r="L1594" s="3">
        <v>3</v>
      </c>
      <c r="M1594" s="3">
        <v>0</v>
      </c>
      <c r="N1594" s="3">
        <v>0</v>
      </c>
    </row>
    <row r="1595" spans="1:14" x14ac:dyDescent="0.2">
      <c r="A1595" s="5" t="str">
        <f>HYPERLINK("http://www.ncbi.nlm.nih.gov/protein/442796434","Cxadr")</f>
        <v>Cxadr</v>
      </c>
      <c r="B1595" s="4"/>
      <c r="C1595" s="3">
        <v>0</v>
      </c>
      <c r="D1595" s="3">
        <v>6795</v>
      </c>
      <c r="E1595" s="3">
        <v>7497</v>
      </c>
      <c r="F1595" s="3">
        <v>0</v>
      </c>
      <c r="G1595" s="3">
        <v>0</v>
      </c>
      <c r="H1595" s="2">
        <f t="shared" si="48"/>
        <v>14292</v>
      </c>
      <c r="I1595" t="str">
        <f t="shared" si="49"/>
        <v>Cxadr_14292</v>
      </c>
      <c r="J1595" s="3">
        <v>0</v>
      </c>
      <c r="K1595" s="3">
        <v>6795</v>
      </c>
      <c r="L1595" s="3">
        <v>7497</v>
      </c>
      <c r="M1595" s="3">
        <v>0</v>
      </c>
      <c r="N1595" s="3">
        <v>0</v>
      </c>
    </row>
    <row r="1596" spans="1:14" x14ac:dyDescent="0.2">
      <c r="A1596" s="5" t="str">
        <f>HYPERLINK("http://www.ncbi.nlm.nih.gov/protein/68510034","Cxadr")</f>
        <v>Cxadr</v>
      </c>
      <c r="B1596" s="4"/>
      <c r="C1596" s="3">
        <v>0</v>
      </c>
      <c r="D1596" s="3">
        <v>15681</v>
      </c>
      <c r="E1596" s="3">
        <v>22790</v>
      </c>
      <c r="F1596" s="3">
        <v>0</v>
      </c>
      <c r="G1596" s="3">
        <v>54</v>
      </c>
      <c r="H1596" s="2">
        <f t="shared" si="48"/>
        <v>38525</v>
      </c>
      <c r="I1596" t="str">
        <f t="shared" si="49"/>
        <v>Cxadr_38525</v>
      </c>
      <c r="J1596" s="3">
        <v>0</v>
      </c>
      <c r="K1596" s="3">
        <v>15681</v>
      </c>
      <c r="L1596" s="3">
        <v>22790</v>
      </c>
      <c r="M1596" s="3">
        <v>0</v>
      </c>
      <c r="N1596" s="3">
        <v>54</v>
      </c>
    </row>
    <row r="1597" spans="1:14" x14ac:dyDescent="0.2">
      <c r="A1597" s="5" t="str">
        <f>HYPERLINK("http://www.ncbi.nlm.nih.gov/protein/6857775","Cxadr")</f>
        <v>Cxadr</v>
      </c>
      <c r="B1597" s="4"/>
      <c r="C1597" s="3">
        <v>0</v>
      </c>
      <c r="D1597" s="3">
        <v>15681</v>
      </c>
      <c r="E1597" s="3">
        <v>20542</v>
      </c>
      <c r="F1597" s="3">
        <v>0</v>
      </c>
      <c r="G1597" s="3">
        <v>54</v>
      </c>
      <c r="H1597" s="2">
        <f t="shared" si="48"/>
        <v>36277</v>
      </c>
      <c r="I1597" t="str">
        <f t="shared" si="49"/>
        <v>Cxadr_36277</v>
      </c>
      <c r="J1597" s="3">
        <v>0</v>
      </c>
      <c r="K1597" s="3">
        <v>15681</v>
      </c>
      <c r="L1597" s="3">
        <v>20542</v>
      </c>
      <c r="M1597" s="3">
        <v>0</v>
      </c>
      <c r="N1597" s="3">
        <v>54</v>
      </c>
    </row>
    <row r="1598" spans="1:14" x14ac:dyDescent="0.2">
      <c r="A1598" s="5" t="str">
        <f>HYPERLINK("http://www.ncbi.nlm.nih.gov/protein/18390325","Cxxc1")</f>
        <v>Cxxc1</v>
      </c>
      <c r="B1598" s="4"/>
      <c r="C1598" s="3">
        <v>37</v>
      </c>
      <c r="D1598" s="3">
        <v>0</v>
      </c>
      <c r="E1598" s="3">
        <v>0</v>
      </c>
      <c r="F1598" s="3">
        <v>0</v>
      </c>
      <c r="G1598" s="3">
        <v>0</v>
      </c>
      <c r="H1598" s="2">
        <f t="shared" si="48"/>
        <v>37</v>
      </c>
      <c r="I1598" t="str">
        <f t="shared" si="49"/>
        <v>Cxxc1_37</v>
      </c>
      <c r="J1598" s="3">
        <v>37</v>
      </c>
      <c r="K1598" s="3">
        <v>0</v>
      </c>
      <c r="L1598" s="3">
        <v>0</v>
      </c>
      <c r="M1598" s="3">
        <v>0</v>
      </c>
      <c r="N1598" s="3">
        <v>0</v>
      </c>
    </row>
    <row r="1599" spans="1:14" x14ac:dyDescent="0.2">
      <c r="A1599" s="5" t="str">
        <f>HYPERLINK("http://www.ncbi.nlm.nih.gov/protein/13385268","Cyb5")</f>
        <v>Cyb5</v>
      </c>
      <c r="B1599" s="4"/>
      <c r="C1599" s="3">
        <v>9354</v>
      </c>
      <c r="D1599" s="3">
        <v>3705</v>
      </c>
      <c r="E1599" s="3">
        <v>3481</v>
      </c>
      <c r="F1599" s="3">
        <v>557</v>
      </c>
      <c r="G1599" s="3">
        <v>0</v>
      </c>
      <c r="H1599" s="2">
        <f t="shared" si="48"/>
        <v>17097</v>
      </c>
      <c r="I1599" t="str">
        <f t="shared" si="49"/>
        <v>Cyb5_17097</v>
      </c>
      <c r="J1599" s="3">
        <v>9354</v>
      </c>
      <c r="K1599" s="3">
        <v>3705</v>
      </c>
      <c r="L1599" s="3">
        <v>3481</v>
      </c>
      <c r="M1599" s="3">
        <v>557</v>
      </c>
      <c r="N1599" s="3">
        <v>0</v>
      </c>
    </row>
    <row r="1600" spans="1:14" x14ac:dyDescent="0.2">
      <c r="A1600" s="5" t="str">
        <f>HYPERLINK("http://www.ncbi.nlm.nih.gov/protein/31542436","Cyb561")</f>
        <v>Cyb561</v>
      </c>
      <c r="B1600" s="4"/>
      <c r="C1600" s="3">
        <v>0</v>
      </c>
      <c r="D1600" s="3">
        <v>0</v>
      </c>
      <c r="E1600" s="3">
        <v>48</v>
      </c>
      <c r="F1600" s="3">
        <v>0</v>
      </c>
      <c r="G1600" s="3">
        <v>0</v>
      </c>
      <c r="H1600" s="2">
        <f t="shared" si="48"/>
        <v>48</v>
      </c>
      <c r="I1600" t="str">
        <f t="shared" si="49"/>
        <v>Cyb561_48</v>
      </c>
      <c r="J1600" s="3">
        <v>0</v>
      </c>
      <c r="K1600" s="3">
        <v>0</v>
      </c>
      <c r="L1600" s="3">
        <v>48</v>
      </c>
      <c r="M1600" s="3">
        <v>0</v>
      </c>
      <c r="N1600" s="3">
        <v>0</v>
      </c>
    </row>
    <row r="1601" spans="1:14" x14ac:dyDescent="0.2">
      <c r="A1601" s="5" t="str">
        <f>HYPERLINK("http://www.ncbi.nlm.nih.gov/protein/9790029","Cyb561d2")</f>
        <v>Cyb561d2</v>
      </c>
      <c r="B1601" s="4"/>
      <c r="C1601" s="3">
        <v>0</v>
      </c>
      <c r="D1601" s="3">
        <v>63</v>
      </c>
      <c r="E1601" s="3">
        <v>0</v>
      </c>
      <c r="F1601" s="3">
        <v>0</v>
      </c>
      <c r="G1601" s="3">
        <v>0</v>
      </c>
      <c r="H1601" s="2">
        <f t="shared" si="48"/>
        <v>63</v>
      </c>
      <c r="I1601" t="str">
        <f t="shared" si="49"/>
        <v>Cyb561d2_63</v>
      </c>
      <c r="J1601" s="3">
        <v>0</v>
      </c>
      <c r="K1601" s="3">
        <v>63</v>
      </c>
      <c r="L1601" s="3">
        <v>0</v>
      </c>
      <c r="M1601" s="3">
        <v>0</v>
      </c>
      <c r="N1601" s="3">
        <v>0</v>
      </c>
    </row>
    <row r="1602" spans="1:14" x14ac:dyDescent="0.2">
      <c r="A1602" s="5" t="str">
        <f>HYPERLINK("http://www.ncbi.nlm.nih.gov/protein/31542438","Cyb5b")</f>
        <v>Cyb5b</v>
      </c>
      <c r="B1602" s="4"/>
      <c r="C1602" s="3">
        <v>153624</v>
      </c>
      <c r="D1602" s="3">
        <v>17838</v>
      </c>
      <c r="E1602" s="3">
        <v>10701</v>
      </c>
      <c r="F1602" s="3">
        <v>11370</v>
      </c>
      <c r="G1602" s="3">
        <v>396</v>
      </c>
      <c r="H1602" s="2">
        <f t="shared" ref="H1602:H1665" si="50">SUM(C1602:G1602)</f>
        <v>193929</v>
      </c>
      <c r="I1602" t="str">
        <f t="shared" ref="I1602:I1665" si="51">A1602&amp;"_"&amp;H1602</f>
        <v>Cyb5b_193929</v>
      </c>
      <c r="J1602" s="3">
        <v>153624</v>
      </c>
      <c r="K1602" s="3">
        <v>17838</v>
      </c>
      <c r="L1602" s="3">
        <v>10701</v>
      </c>
      <c r="M1602" s="3">
        <v>11370</v>
      </c>
      <c r="N1602" s="3">
        <v>396</v>
      </c>
    </row>
    <row r="1603" spans="1:14" x14ac:dyDescent="0.2">
      <c r="A1603" s="5" t="str">
        <f>HYPERLINK("http://www.ncbi.nlm.nih.gov/protein/21312524","Cyb5r1")</f>
        <v>Cyb5r1</v>
      </c>
      <c r="B1603" s="4"/>
      <c r="C1603" s="3">
        <v>27276</v>
      </c>
      <c r="D1603" s="3">
        <v>8920</v>
      </c>
      <c r="E1603" s="3">
        <v>1496</v>
      </c>
      <c r="F1603" s="3">
        <v>0</v>
      </c>
      <c r="G1603" s="3">
        <v>0</v>
      </c>
      <c r="H1603" s="2">
        <f t="shared" si="50"/>
        <v>37692</v>
      </c>
      <c r="I1603" t="str">
        <f t="shared" si="51"/>
        <v>Cyb5r1_37692</v>
      </c>
      <c r="J1603" s="3">
        <v>27276</v>
      </c>
      <c r="K1603" s="3">
        <v>8920</v>
      </c>
      <c r="L1603" s="3">
        <v>1496</v>
      </c>
      <c r="M1603" s="3">
        <v>0</v>
      </c>
      <c r="N1603" s="3">
        <v>0</v>
      </c>
    </row>
    <row r="1604" spans="1:14" x14ac:dyDescent="0.2">
      <c r="A1604" s="5" t="str">
        <f>HYPERLINK("http://www.ncbi.nlm.nih.gov/protein/19745150","Cyb5r3")</f>
        <v>Cyb5r3</v>
      </c>
      <c r="B1604" s="4"/>
      <c r="C1604" s="3">
        <v>1079432</v>
      </c>
      <c r="D1604" s="3">
        <v>74075</v>
      </c>
      <c r="E1604" s="3">
        <v>94329</v>
      </c>
      <c r="F1604" s="3">
        <v>69798</v>
      </c>
      <c r="G1604" s="3">
        <v>25821</v>
      </c>
      <c r="H1604" s="2">
        <f t="shared" si="50"/>
        <v>1343455</v>
      </c>
      <c r="I1604" t="str">
        <f t="shared" si="51"/>
        <v>Cyb5r3_1343455</v>
      </c>
      <c r="J1604" s="3">
        <v>1079432</v>
      </c>
      <c r="K1604" s="3">
        <v>74075</v>
      </c>
      <c r="L1604" s="3">
        <v>94329</v>
      </c>
      <c r="M1604" s="3">
        <v>69798</v>
      </c>
      <c r="N1604" s="3">
        <v>25821</v>
      </c>
    </row>
    <row r="1605" spans="1:14" x14ac:dyDescent="0.2">
      <c r="A1605" s="5" t="str">
        <f>HYPERLINK("http://www.ncbi.nlm.nih.gov/protein/13385006","Cyc1")</f>
        <v>Cyc1</v>
      </c>
      <c r="B1605" s="4"/>
      <c r="C1605" s="3">
        <v>79833</v>
      </c>
      <c r="D1605" s="3">
        <v>17784</v>
      </c>
      <c r="E1605" s="3">
        <v>1766</v>
      </c>
      <c r="F1605" s="3">
        <v>0</v>
      </c>
      <c r="G1605" s="3">
        <v>0</v>
      </c>
      <c r="H1605" s="2">
        <f t="shared" si="50"/>
        <v>99383</v>
      </c>
      <c r="I1605" t="str">
        <f t="shared" si="51"/>
        <v>Cyc1_99383</v>
      </c>
      <c r="J1605" s="3">
        <v>79833</v>
      </c>
      <c r="K1605" s="3">
        <v>17784</v>
      </c>
      <c r="L1605" s="3">
        <v>1766</v>
      </c>
      <c r="M1605" s="3">
        <v>0</v>
      </c>
      <c r="N1605" s="3">
        <v>0</v>
      </c>
    </row>
    <row r="1606" spans="1:14" x14ac:dyDescent="0.2">
      <c r="A1606" s="5" t="str">
        <f>HYPERLINK("http://www.ncbi.nlm.nih.gov/protein/6681095","Cycs")</f>
        <v>Cycs</v>
      </c>
      <c r="B1606" s="4"/>
      <c r="C1606" s="3">
        <v>6718</v>
      </c>
      <c r="D1606" s="3">
        <v>18717</v>
      </c>
      <c r="E1606" s="3">
        <v>988</v>
      </c>
      <c r="F1606" s="3">
        <v>3282</v>
      </c>
      <c r="G1606" s="3">
        <v>9135</v>
      </c>
      <c r="H1606" s="2">
        <f t="shared" si="50"/>
        <v>38840</v>
      </c>
      <c r="I1606" t="str">
        <f t="shared" si="51"/>
        <v>Cycs_38840</v>
      </c>
      <c r="J1606" s="3">
        <v>6718</v>
      </c>
      <c r="K1606" s="3">
        <v>18717</v>
      </c>
      <c r="L1606" s="3">
        <v>988</v>
      </c>
      <c r="M1606" s="3">
        <v>3282</v>
      </c>
      <c r="N1606" s="3">
        <v>9135</v>
      </c>
    </row>
    <row r="1607" spans="1:14" x14ac:dyDescent="0.2">
      <c r="A1607" s="5" t="str">
        <f>HYPERLINK("http://www.ncbi.nlm.nih.gov/protein/164698474","Cyfip1")</f>
        <v>Cyfip1</v>
      </c>
      <c r="B1607" s="4"/>
      <c r="C1607" s="3">
        <v>6133</v>
      </c>
      <c r="D1607" s="3">
        <v>11571</v>
      </c>
      <c r="E1607" s="3">
        <v>27041</v>
      </c>
      <c r="F1607" s="3">
        <v>16461</v>
      </c>
      <c r="G1607" s="3">
        <v>21880</v>
      </c>
      <c r="H1607" s="2">
        <f t="shared" si="50"/>
        <v>83086</v>
      </c>
      <c r="I1607" t="str">
        <f t="shared" si="51"/>
        <v>Cyfip1_83086</v>
      </c>
      <c r="J1607" s="3">
        <v>6133</v>
      </c>
      <c r="K1607" s="3">
        <v>11571</v>
      </c>
      <c r="L1607" s="3">
        <v>27041</v>
      </c>
      <c r="M1607" s="3">
        <v>16461</v>
      </c>
      <c r="N1607" s="3">
        <v>21880</v>
      </c>
    </row>
    <row r="1608" spans="1:14" x14ac:dyDescent="0.2">
      <c r="A1608" s="5" t="str">
        <f>HYPERLINK("http://www.ncbi.nlm.nih.gov/protein/258547119","Cyfip1")</f>
        <v>Cyfip1</v>
      </c>
      <c r="B1608" s="4"/>
      <c r="C1608" s="3">
        <v>6133</v>
      </c>
      <c r="D1608" s="3">
        <v>8039</v>
      </c>
      <c r="E1608" s="3">
        <v>19496</v>
      </c>
      <c r="F1608" s="3">
        <v>13899</v>
      </c>
      <c r="G1608" s="3">
        <v>15025</v>
      </c>
      <c r="H1608" s="2">
        <f t="shared" si="50"/>
        <v>62592</v>
      </c>
      <c r="I1608" t="str">
        <f t="shared" si="51"/>
        <v>Cyfip1_62592</v>
      </c>
      <c r="J1608" s="3">
        <v>6133</v>
      </c>
      <c r="K1608" s="3">
        <v>8039</v>
      </c>
      <c r="L1608" s="3">
        <v>19496</v>
      </c>
      <c r="M1608" s="3">
        <v>13899</v>
      </c>
      <c r="N1608" s="3">
        <v>15025</v>
      </c>
    </row>
    <row r="1609" spans="1:14" x14ac:dyDescent="0.2">
      <c r="A1609" s="5" t="str">
        <f>HYPERLINK("http://www.ncbi.nlm.nih.gov/protein/84370256","Cyfip2")</f>
        <v>Cyfip2</v>
      </c>
      <c r="B1609" s="4"/>
      <c r="C1609" s="3">
        <v>641</v>
      </c>
      <c r="D1609" s="3">
        <v>8941</v>
      </c>
      <c r="E1609" s="3">
        <v>14902</v>
      </c>
      <c r="F1609" s="3">
        <v>8087</v>
      </c>
      <c r="G1609" s="3">
        <v>14661</v>
      </c>
      <c r="H1609" s="2">
        <f t="shared" si="50"/>
        <v>47232</v>
      </c>
      <c r="I1609" t="str">
        <f t="shared" si="51"/>
        <v>Cyfip2_47232</v>
      </c>
      <c r="J1609" s="3">
        <v>641</v>
      </c>
      <c r="K1609" s="3">
        <v>8941</v>
      </c>
      <c r="L1609" s="3">
        <v>14902</v>
      </c>
      <c r="M1609" s="3">
        <v>8087</v>
      </c>
      <c r="N1609" s="3">
        <v>14661</v>
      </c>
    </row>
    <row r="1610" spans="1:14" x14ac:dyDescent="0.2">
      <c r="A1610" s="5" t="str">
        <f>HYPERLINK("http://www.ncbi.nlm.nih.gov/protein/30725867","Cyhr1")</f>
        <v>Cyhr1</v>
      </c>
      <c r="B1610" s="4"/>
      <c r="C1610" s="3">
        <v>0</v>
      </c>
      <c r="D1610" s="3">
        <v>136</v>
      </c>
      <c r="E1610" s="3">
        <v>86</v>
      </c>
      <c r="F1610" s="3">
        <v>0</v>
      </c>
      <c r="G1610" s="3">
        <v>0</v>
      </c>
      <c r="H1610" s="2">
        <f t="shared" si="50"/>
        <v>222</v>
      </c>
      <c r="I1610" t="str">
        <f t="shared" si="51"/>
        <v>Cyhr1_222</v>
      </c>
      <c r="J1610" s="3">
        <v>0</v>
      </c>
      <c r="K1610" s="3">
        <v>136</v>
      </c>
      <c r="L1610" s="3">
        <v>86</v>
      </c>
      <c r="M1610" s="3">
        <v>0</v>
      </c>
      <c r="N1610" s="3">
        <v>0</v>
      </c>
    </row>
    <row r="1611" spans="1:14" x14ac:dyDescent="0.2">
      <c r="A1611" s="5" t="str">
        <f>HYPERLINK("http://www.ncbi.nlm.nih.gov/protein/444741673","Cyhr1")</f>
        <v>Cyhr1</v>
      </c>
      <c r="B1611" s="4"/>
      <c r="C1611" s="3">
        <v>0</v>
      </c>
      <c r="D1611" s="3">
        <v>0</v>
      </c>
      <c r="E1611" s="3">
        <v>0</v>
      </c>
      <c r="F1611" s="3">
        <v>0</v>
      </c>
      <c r="G1611" s="3">
        <v>5355</v>
      </c>
      <c r="H1611" s="2">
        <f t="shared" si="50"/>
        <v>5355</v>
      </c>
      <c r="I1611" t="str">
        <f t="shared" si="51"/>
        <v>Cyhr1_5355</v>
      </c>
      <c r="J1611" s="3">
        <v>0</v>
      </c>
      <c r="K1611" s="3">
        <v>0</v>
      </c>
      <c r="L1611" s="3">
        <v>0</v>
      </c>
      <c r="M1611" s="3">
        <v>0</v>
      </c>
      <c r="N1611" s="3">
        <v>5355</v>
      </c>
    </row>
    <row r="1612" spans="1:14" x14ac:dyDescent="0.2">
      <c r="A1612" s="5" t="str">
        <f>HYPERLINK("http://www.ncbi.nlm.nih.gov/protein/9506491","Cyhr1")</f>
        <v>Cyhr1</v>
      </c>
      <c r="B1612" s="4"/>
      <c r="C1612" s="3">
        <v>0</v>
      </c>
      <c r="D1612" s="3">
        <v>0</v>
      </c>
      <c r="E1612" s="3">
        <v>0</v>
      </c>
      <c r="F1612" s="3">
        <v>0</v>
      </c>
      <c r="G1612" s="3">
        <v>2506</v>
      </c>
      <c r="H1612" s="2">
        <f t="shared" si="50"/>
        <v>2506</v>
      </c>
      <c r="I1612" t="str">
        <f t="shared" si="51"/>
        <v>Cyhr1_2506</v>
      </c>
      <c r="J1612" s="3">
        <v>0</v>
      </c>
      <c r="K1612" s="3">
        <v>0</v>
      </c>
      <c r="L1612" s="3">
        <v>0</v>
      </c>
      <c r="M1612" s="3">
        <v>0</v>
      </c>
      <c r="N1612" s="3">
        <v>2506</v>
      </c>
    </row>
    <row r="1613" spans="1:14" x14ac:dyDescent="0.2">
      <c r="A1613" s="5" t="str">
        <f>HYPERLINK("http://www.ncbi.nlm.nih.gov/protein/74271886","Cyp20a1")</f>
        <v>Cyp20a1</v>
      </c>
      <c r="B1613" s="4"/>
      <c r="C1613" s="3">
        <v>275</v>
      </c>
      <c r="D1613" s="3">
        <v>2797</v>
      </c>
      <c r="E1613" s="3">
        <v>517</v>
      </c>
      <c r="F1613" s="3">
        <v>0</v>
      </c>
      <c r="G1613" s="3">
        <v>0</v>
      </c>
      <c r="H1613" s="2">
        <f t="shared" si="50"/>
        <v>3589</v>
      </c>
      <c r="I1613" t="str">
        <f t="shared" si="51"/>
        <v>Cyp20a1_3589</v>
      </c>
      <c r="J1613" s="3">
        <v>275</v>
      </c>
      <c r="K1613" s="3">
        <v>2797</v>
      </c>
      <c r="L1613" s="3">
        <v>517</v>
      </c>
      <c r="M1613" s="3">
        <v>0</v>
      </c>
      <c r="N1613" s="3">
        <v>0</v>
      </c>
    </row>
    <row r="1614" spans="1:14" x14ac:dyDescent="0.2">
      <c r="A1614" s="5" t="str">
        <f>HYPERLINK("http://www.ncbi.nlm.nih.gov/protein/21311915","Cyp2s1")</f>
        <v>Cyp2s1</v>
      </c>
      <c r="B1614" s="4"/>
      <c r="C1614" s="3">
        <v>0</v>
      </c>
      <c r="D1614" s="3">
        <v>605</v>
      </c>
      <c r="E1614" s="3">
        <v>0</v>
      </c>
      <c r="F1614" s="3">
        <v>0</v>
      </c>
      <c r="G1614" s="3">
        <v>0</v>
      </c>
      <c r="H1614" s="2">
        <f t="shared" si="50"/>
        <v>605</v>
      </c>
      <c r="I1614" t="str">
        <f t="shared" si="51"/>
        <v>Cyp2s1_605</v>
      </c>
      <c r="J1614" s="3">
        <v>0</v>
      </c>
      <c r="K1614" s="3">
        <v>605</v>
      </c>
      <c r="L1614" s="3">
        <v>0</v>
      </c>
      <c r="M1614" s="3">
        <v>0</v>
      </c>
      <c r="N1614" s="3">
        <v>0</v>
      </c>
    </row>
    <row r="1615" spans="1:14" x14ac:dyDescent="0.2">
      <c r="A1615" s="5" t="str">
        <f>HYPERLINK("http://www.ncbi.nlm.nih.gov/protein/9256529","Cyp39a1")</f>
        <v>Cyp39a1</v>
      </c>
      <c r="B1615" s="4"/>
      <c r="C1615" s="3">
        <v>0</v>
      </c>
      <c r="D1615" s="3">
        <v>449</v>
      </c>
      <c r="E1615" s="3">
        <v>117</v>
      </c>
      <c r="F1615" s="3">
        <v>0</v>
      </c>
      <c r="G1615" s="3">
        <v>0</v>
      </c>
      <c r="H1615" s="2">
        <f t="shared" si="50"/>
        <v>566</v>
      </c>
      <c r="I1615" t="str">
        <f t="shared" si="51"/>
        <v>Cyp39a1_566</v>
      </c>
      <c r="J1615" s="3">
        <v>0</v>
      </c>
      <c r="K1615" s="3">
        <v>449</v>
      </c>
      <c r="L1615" s="3">
        <v>117</v>
      </c>
      <c r="M1615" s="3">
        <v>0</v>
      </c>
      <c r="N1615" s="3">
        <v>0</v>
      </c>
    </row>
    <row r="1616" spans="1:14" x14ac:dyDescent="0.2">
      <c r="A1616" s="5" t="str">
        <f>HYPERLINK("http://www.ncbi.nlm.nih.gov/protein/13277362","Cyp4f16")</f>
        <v>Cyp4f16</v>
      </c>
      <c r="B1616" s="4"/>
      <c r="C1616" s="3">
        <v>0</v>
      </c>
      <c r="D1616" s="3">
        <v>132</v>
      </c>
      <c r="E1616" s="3">
        <v>0</v>
      </c>
      <c r="F1616" s="3">
        <v>0</v>
      </c>
      <c r="G1616" s="3">
        <v>0</v>
      </c>
      <c r="H1616" s="2">
        <f t="shared" si="50"/>
        <v>132</v>
      </c>
      <c r="I1616" t="str">
        <f t="shared" si="51"/>
        <v>Cyp4f16_132</v>
      </c>
      <c r="J1616" s="3">
        <v>0</v>
      </c>
      <c r="K1616" s="3">
        <v>132</v>
      </c>
      <c r="L1616" s="3">
        <v>0</v>
      </c>
      <c r="M1616" s="3">
        <v>0</v>
      </c>
      <c r="N1616" s="3">
        <v>0</v>
      </c>
    </row>
    <row r="1617" spans="1:14" x14ac:dyDescent="0.2">
      <c r="A1617" s="5" t="str">
        <f>HYPERLINK("http://www.ncbi.nlm.nih.gov/protein/71061451","Cyp51")</f>
        <v>Cyp51</v>
      </c>
      <c r="B1617" s="4"/>
      <c r="C1617" s="3">
        <v>0</v>
      </c>
      <c r="D1617" s="3">
        <v>9759</v>
      </c>
      <c r="E1617" s="3">
        <v>104</v>
      </c>
      <c r="F1617" s="3">
        <v>0</v>
      </c>
      <c r="G1617" s="3">
        <v>0</v>
      </c>
      <c r="H1617" s="2">
        <f t="shared" si="50"/>
        <v>9863</v>
      </c>
      <c r="I1617" t="str">
        <f t="shared" si="51"/>
        <v>Cyp51_9863</v>
      </c>
      <c r="J1617" s="3">
        <v>0</v>
      </c>
      <c r="K1617" s="3">
        <v>9759</v>
      </c>
      <c r="L1617" s="3">
        <v>104</v>
      </c>
      <c r="M1617" s="3">
        <v>0</v>
      </c>
      <c r="N1617" s="3">
        <v>0</v>
      </c>
    </row>
    <row r="1618" spans="1:14" x14ac:dyDescent="0.2">
      <c r="A1618" s="5" t="str">
        <f>HYPERLINK("http://www.ncbi.nlm.nih.gov/protein/240120154","Cys1")</f>
        <v>Cys1</v>
      </c>
      <c r="B1618" s="4"/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2">
        <f t="shared" si="50"/>
        <v>0</v>
      </c>
      <c r="I1618" t="str">
        <f t="shared" si="51"/>
        <v>Cys1_0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x14ac:dyDescent="0.2">
      <c r="A1619" s="5" t="str">
        <f>HYPERLINK("http://www.ncbi.nlm.nih.gov/protein/167716849","CYTB")</f>
        <v>CYTB</v>
      </c>
      <c r="B1619" s="4"/>
      <c r="C1619" s="3">
        <v>0</v>
      </c>
      <c r="D1619" s="3">
        <v>1119</v>
      </c>
      <c r="E1619" s="3">
        <v>0</v>
      </c>
      <c r="F1619" s="3">
        <v>0</v>
      </c>
      <c r="G1619" s="3">
        <v>0</v>
      </c>
      <c r="H1619" s="2">
        <f t="shared" si="50"/>
        <v>1119</v>
      </c>
      <c r="I1619" t="str">
        <f t="shared" si="51"/>
        <v>CYTB_1119</v>
      </c>
      <c r="J1619" s="3">
        <v>0</v>
      </c>
      <c r="K1619" s="3">
        <v>1119</v>
      </c>
      <c r="L1619" s="3">
        <v>0</v>
      </c>
      <c r="M1619" s="3">
        <v>0</v>
      </c>
      <c r="N1619" s="3">
        <v>0</v>
      </c>
    </row>
    <row r="1620" spans="1:14" x14ac:dyDescent="0.2">
      <c r="A1620" s="5" t="str">
        <f>HYPERLINK("http://www.ncbi.nlm.nih.gov/protein/226453487","CYTB")</f>
        <v>CYTB</v>
      </c>
      <c r="B1620" s="4"/>
      <c r="C1620" s="3">
        <v>0</v>
      </c>
      <c r="D1620" s="3">
        <v>1119</v>
      </c>
      <c r="E1620" s="3">
        <v>0</v>
      </c>
      <c r="F1620" s="3">
        <v>0</v>
      </c>
      <c r="G1620" s="3">
        <v>0</v>
      </c>
      <c r="H1620" s="2">
        <f t="shared" si="50"/>
        <v>1119</v>
      </c>
      <c r="I1620" t="str">
        <f t="shared" si="51"/>
        <v>CYTB_1119</v>
      </c>
      <c r="J1620" s="3">
        <v>0</v>
      </c>
      <c r="K1620" s="3">
        <v>1119</v>
      </c>
      <c r="L1620" s="3">
        <v>0</v>
      </c>
      <c r="M1620" s="3">
        <v>0</v>
      </c>
      <c r="N1620" s="3">
        <v>0</v>
      </c>
    </row>
    <row r="1621" spans="1:14" x14ac:dyDescent="0.2">
      <c r="A1621" s="5" t="str">
        <f>HYPERLINK("http://www.ncbi.nlm.nih.gov/protein/34538610","CYTB")</f>
        <v>CYTB</v>
      </c>
      <c r="B1621" s="4"/>
      <c r="C1621" s="3">
        <v>0</v>
      </c>
      <c r="D1621" s="3">
        <v>1119</v>
      </c>
      <c r="E1621" s="3">
        <v>0</v>
      </c>
      <c r="F1621" s="3">
        <v>0</v>
      </c>
      <c r="G1621" s="3">
        <v>0</v>
      </c>
      <c r="H1621" s="2">
        <f t="shared" si="50"/>
        <v>1119</v>
      </c>
      <c r="I1621" t="str">
        <f t="shared" si="51"/>
        <v>CYTB_1119</v>
      </c>
      <c r="J1621" s="3">
        <v>0</v>
      </c>
      <c r="K1621" s="3">
        <v>1119</v>
      </c>
      <c r="L1621" s="3">
        <v>0</v>
      </c>
      <c r="M1621" s="3">
        <v>0</v>
      </c>
      <c r="N1621" s="3">
        <v>0</v>
      </c>
    </row>
    <row r="1622" spans="1:14" x14ac:dyDescent="0.2">
      <c r="A1622" s="5" t="str">
        <f>HYPERLINK("http://www.ncbi.nlm.nih.gov/protein/162951835","Cyth1")</f>
        <v>Cyth1</v>
      </c>
      <c r="B1622" s="4"/>
      <c r="C1622" s="3">
        <v>0</v>
      </c>
      <c r="D1622" s="3">
        <v>0</v>
      </c>
      <c r="E1622" s="3">
        <v>300</v>
      </c>
      <c r="F1622" s="3">
        <v>0</v>
      </c>
      <c r="G1622" s="3">
        <v>0</v>
      </c>
      <c r="H1622" s="2">
        <f t="shared" si="50"/>
        <v>300</v>
      </c>
      <c r="I1622" t="str">
        <f t="shared" si="51"/>
        <v>Cyth1_300</v>
      </c>
      <c r="J1622" s="3">
        <v>0</v>
      </c>
      <c r="K1622" s="3">
        <v>0</v>
      </c>
      <c r="L1622" s="3">
        <v>300</v>
      </c>
      <c r="M1622" s="3">
        <v>0</v>
      </c>
      <c r="N1622" s="3">
        <v>0</v>
      </c>
    </row>
    <row r="1623" spans="1:14" x14ac:dyDescent="0.2">
      <c r="A1623" s="5" t="str">
        <f>HYPERLINK("http://www.ncbi.nlm.nih.gov/protein/162951837","Cyth1")</f>
        <v>Cyth1</v>
      </c>
      <c r="B1623" s="4"/>
      <c r="C1623" s="3">
        <v>0</v>
      </c>
      <c r="D1623" s="3">
        <v>0</v>
      </c>
      <c r="E1623" s="3">
        <v>300</v>
      </c>
      <c r="F1623" s="3">
        <v>0</v>
      </c>
      <c r="G1623" s="3">
        <v>0</v>
      </c>
      <c r="H1623" s="2">
        <f t="shared" si="50"/>
        <v>300</v>
      </c>
      <c r="I1623" t="str">
        <f t="shared" si="51"/>
        <v>Cyth1_300</v>
      </c>
      <c r="J1623" s="3">
        <v>0</v>
      </c>
      <c r="K1623" s="3">
        <v>0</v>
      </c>
      <c r="L1623" s="3">
        <v>300</v>
      </c>
      <c r="M1623" s="3">
        <v>0</v>
      </c>
      <c r="N1623" s="3">
        <v>0</v>
      </c>
    </row>
    <row r="1624" spans="1:14" x14ac:dyDescent="0.2">
      <c r="A1624" s="5" t="str">
        <f>HYPERLINK("http://www.ncbi.nlm.nih.gov/protein/31543516","Cyth1")</f>
        <v>Cyth1</v>
      </c>
      <c r="B1624" s="4"/>
      <c r="C1624" s="3">
        <v>0</v>
      </c>
      <c r="D1624" s="3">
        <v>0</v>
      </c>
      <c r="E1624" s="3">
        <v>300</v>
      </c>
      <c r="F1624" s="3">
        <v>0</v>
      </c>
      <c r="G1624" s="3">
        <v>0</v>
      </c>
      <c r="H1624" s="2">
        <f t="shared" si="50"/>
        <v>300</v>
      </c>
      <c r="I1624" t="str">
        <f t="shared" si="51"/>
        <v>Cyth1_300</v>
      </c>
      <c r="J1624" s="3">
        <v>0</v>
      </c>
      <c r="K1624" s="3">
        <v>0</v>
      </c>
      <c r="L1624" s="3">
        <v>300</v>
      </c>
      <c r="M1624" s="3">
        <v>0</v>
      </c>
      <c r="N1624" s="3">
        <v>0</v>
      </c>
    </row>
    <row r="1625" spans="1:14" x14ac:dyDescent="0.2">
      <c r="A1625" s="5" t="str">
        <f>HYPERLINK("http://www.ncbi.nlm.nih.gov/protein/162951840","Cyth2")</f>
        <v>Cyth2</v>
      </c>
      <c r="B1625" s="4"/>
      <c r="C1625" s="3">
        <v>0</v>
      </c>
      <c r="D1625" s="3">
        <v>0</v>
      </c>
      <c r="E1625" s="3">
        <v>0</v>
      </c>
      <c r="F1625" s="3">
        <v>0</v>
      </c>
      <c r="G1625" s="3">
        <v>910</v>
      </c>
      <c r="H1625" s="2">
        <f t="shared" si="50"/>
        <v>910</v>
      </c>
      <c r="I1625" t="str">
        <f t="shared" si="51"/>
        <v>Cyth2_910</v>
      </c>
      <c r="J1625" s="3">
        <v>0</v>
      </c>
      <c r="K1625" s="3">
        <v>0</v>
      </c>
      <c r="L1625" s="3">
        <v>0</v>
      </c>
      <c r="M1625" s="3">
        <v>0</v>
      </c>
      <c r="N1625" s="3">
        <v>910</v>
      </c>
    </row>
    <row r="1626" spans="1:14" x14ac:dyDescent="0.2">
      <c r="A1626" s="5" t="str">
        <f>HYPERLINK("http://www.ncbi.nlm.nih.gov/protein/6755186","Cyth2")</f>
        <v>Cyth2</v>
      </c>
      <c r="B1626" s="4"/>
      <c r="C1626" s="3">
        <v>0</v>
      </c>
      <c r="D1626" s="3">
        <v>0</v>
      </c>
      <c r="E1626" s="3">
        <v>0</v>
      </c>
      <c r="F1626" s="3">
        <v>0</v>
      </c>
      <c r="G1626" s="3">
        <v>910</v>
      </c>
      <c r="H1626" s="2">
        <f t="shared" si="50"/>
        <v>910</v>
      </c>
      <c r="I1626" t="str">
        <f t="shared" si="51"/>
        <v>Cyth2_910</v>
      </c>
      <c r="J1626" s="3">
        <v>0</v>
      </c>
      <c r="K1626" s="3">
        <v>0</v>
      </c>
      <c r="L1626" s="3">
        <v>0</v>
      </c>
      <c r="M1626" s="3">
        <v>0</v>
      </c>
      <c r="N1626" s="3">
        <v>910</v>
      </c>
    </row>
    <row r="1627" spans="1:14" x14ac:dyDescent="0.2">
      <c r="A1627" s="5" t="str">
        <f>HYPERLINK("http://www.ncbi.nlm.nih.gov/protein/29244042","D030056L22Rik")</f>
        <v>D030056L22Rik</v>
      </c>
      <c r="B1627" s="4"/>
      <c r="C1627" s="3">
        <v>0</v>
      </c>
      <c r="D1627" s="3">
        <v>0</v>
      </c>
      <c r="E1627" s="3">
        <v>0</v>
      </c>
      <c r="F1627" s="3">
        <v>98</v>
      </c>
      <c r="G1627" s="3">
        <v>2046</v>
      </c>
      <c r="H1627" s="2">
        <f t="shared" si="50"/>
        <v>2144</v>
      </c>
      <c r="I1627" t="str">
        <f t="shared" si="51"/>
        <v>D030056L22Rik_2144</v>
      </c>
      <c r="J1627" s="3">
        <v>0</v>
      </c>
      <c r="K1627" s="3">
        <v>0</v>
      </c>
      <c r="L1627" s="3">
        <v>0</v>
      </c>
      <c r="M1627" s="3">
        <v>98</v>
      </c>
      <c r="N1627" s="3">
        <v>2046</v>
      </c>
    </row>
    <row r="1628" spans="1:14" x14ac:dyDescent="0.2">
      <c r="A1628" s="5" t="str">
        <f>HYPERLINK("http://www.ncbi.nlm.nih.gov/protein/85701756","D10Bwg1379e")</f>
        <v>D10Bwg1379e</v>
      </c>
      <c r="B1628" s="4"/>
      <c r="C1628" s="3">
        <v>0</v>
      </c>
      <c r="D1628" s="3">
        <v>0</v>
      </c>
      <c r="E1628" s="3">
        <v>0</v>
      </c>
      <c r="F1628" s="3">
        <v>835</v>
      </c>
      <c r="G1628" s="3">
        <v>0</v>
      </c>
      <c r="H1628" s="2">
        <f t="shared" si="50"/>
        <v>835</v>
      </c>
      <c r="I1628" t="str">
        <f t="shared" si="51"/>
        <v>D10Bwg1379e_835</v>
      </c>
      <c r="J1628" s="3">
        <v>0</v>
      </c>
      <c r="K1628" s="3">
        <v>0</v>
      </c>
      <c r="L1628" s="3">
        <v>0</v>
      </c>
      <c r="M1628" s="3">
        <v>835</v>
      </c>
      <c r="N1628" s="3">
        <v>0</v>
      </c>
    </row>
    <row r="1629" spans="1:14" x14ac:dyDescent="0.2">
      <c r="A1629" s="5" t="str">
        <f>HYPERLINK("http://www.ncbi.nlm.nih.gov/protein/163838637","D14Abb1e")</f>
        <v>D14Abb1e</v>
      </c>
      <c r="B1629" s="4"/>
      <c r="C1629" s="3">
        <v>0</v>
      </c>
      <c r="D1629" s="3">
        <v>0</v>
      </c>
      <c r="E1629" s="3">
        <v>3</v>
      </c>
      <c r="F1629" s="3">
        <v>0</v>
      </c>
      <c r="G1629" s="3">
        <v>0</v>
      </c>
      <c r="H1629" s="2">
        <f t="shared" si="50"/>
        <v>3</v>
      </c>
      <c r="I1629" t="str">
        <f t="shared" si="51"/>
        <v>D14Abb1e_3</v>
      </c>
      <c r="J1629" s="3">
        <v>0</v>
      </c>
      <c r="K1629" s="3">
        <v>0</v>
      </c>
      <c r="L1629" s="3">
        <v>3</v>
      </c>
      <c r="M1629" s="3">
        <v>0</v>
      </c>
      <c r="N1629" s="3">
        <v>0</v>
      </c>
    </row>
    <row r="1630" spans="1:14" x14ac:dyDescent="0.2">
      <c r="A1630" s="5" t="str">
        <f>HYPERLINK("http://www.ncbi.nlm.nih.gov/protein/168823452","D14Abb1e")</f>
        <v>D14Abb1e</v>
      </c>
      <c r="B1630" s="4"/>
      <c r="C1630" s="3">
        <v>0</v>
      </c>
      <c r="D1630" s="3">
        <v>0</v>
      </c>
      <c r="E1630" s="3">
        <v>3</v>
      </c>
      <c r="F1630" s="3">
        <v>0</v>
      </c>
      <c r="G1630" s="3">
        <v>0</v>
      </c>
      <c r="H1630" s="2">
        <f t="shared" si="50"/>
        <v>3</v>
      </c>
      <c r="I1630" t="str">
        <f t="shared" si="51"/>
        <v>D14Abb1e_3</v>
      </c>
      <c r="J1630" s="3">
        <v>0</v>
      </c>
      <c r="K1630" s="3">
        <v>0</v>
      </c>
      <c r="L1630" s="3">
        <v>3</v>
      </c>
      <c r="M1630" s="3">
        <v>0</v>
      </c>
      <c r="N1630" s="3">
        <v>0</v>
      </c>
    </row>
    <row r="1631" spans="1:14" x14ac:dyDescent="0.2">
      <c r="A1631" s="5" t="str">
        <f>HYPERLINK("http://www.ncbi.nlm.nih.gov/protein/112817622","D15Ertd621e")</f>
        <v>D15Ertd621e</v>
      </c>
      <c r="B1631" s="4"/>
      <c r="C1631" s="3">
        <v>0</v>
      </c>
      <c r="D1631" s="3">
        <v>1812</v>
      </c>
      <c r="E1631" s="3">
        <v>3110</v>
      </c>
      <c r="F1631" s="3">
        <v>10551</v>
      </c>
      <c r="G1631" s="3">
        <v>0</v>
      </c>
      <c r="H1631" s="2">
        <f t="shared" si="50"/>
        <v>15473</v>
      </c>
      <c r="I1631" t="str">
        <f t="shared" si="51"/>
        <v>D15Ertd621e_15473</v>
      </c>
      <c r="J1631" s="3">
        <v>0</v>
      </c>
      <c r="K1631" s="3">
        <v>1812</v>
      </c>
      <c r="L1631" s="3">
        <v>3110</v>
      </c>
      <c r="M1631" s="3">
        <v>10551</v>
      </c>
      <c r="N1631" s="3">
        <v>0</v>
      </c>
    </row>
    <row r="1632" spans="1:14" x14ac:dyDescent="0.2">
      <c r="A1632" s="5" t="str">
        <f>HYPERLINK("http://www.ncbi.nlm.nih.gov/protein/51591905","D17H6S53E")</f>
        <v>D17H6S53E</v>
      </c>
      <c r="B1632" s="4"/>
      <c r="C1632" s="3">
        <v>0</v>
      </c>
      <c r="D1632" s="3">
        <v>0</v>
      </c>
      <c r="E1632" s="3">
        <v>18</v>
      </c>
      <c r="F1632" s="3">
        <v>0</v>
      </c>
      <c r="G1632" s="3">
        <v>0</v>
      </c>
      <c r="H1632" s="2">
        <f t="shared" si="50"/>
        <v>18</v>
      </c>
      <c r="I1632" t="str">
        <f t="shared" si="51"/>
        <v>D17H6S53E_18</v>
      </c>
      <c r="J1632" s="3">
        <v>0</v>
      </c>
      <c r="K1632" s="3">
        <v>0</v>
      </c>
      <c r="L1632" s="3">
        <v>18</v>
      </c>
      <c r="M1632" s="3">
        <v>0</v>
      </c>
      <c r="N1632" s="3">
        <v>0</v>
      </c>
    </row>
    <row r="1633" spans="1:14" x14ac:dyDescent="0.2">
      <c r="A1633" s="5" t="str">
        <f>HYPERLINK("http://www.ncbi.nlm.nih.gov/protein/18250288","D17Wsu104e")</f>
        <v>D17Wsu104e</v>
      </c>
      <c r="B1633" s="4"/>
      <c r="C1633" s="3">
        <v>1959</v>
      </c>
      <c r="D1633" s="3">
        <v>2528</v>
      </c>
      <c r="E1633" s="3">
        <v>2256</v>
      </c>
      <c r="F1633" s="3">
        <v>0</v>
      </c>
      <c r="G1633" s="3">
        <v>4187</v>
      </c>
      <c r="H1633" s="2">
        <f t="shared" si="50"/>
        <v>10930</v>
      </c>
      <c r="I1633" t="str">
        <f t="shared" si="51"/>
        <v>D17Wsu104e_10930</v>
      </c>
      <c r="J1633" s="3">
        <v>1959</v>
      </c>
      <c r="K1633" s="3">
        <v>2528</v>
      </c>
      <c r="L1633" s="3">
        <v>2256</v>
      </c>
      <c r="M1633" s="3">
        <v>0</v>
      </c>
      <c r="N1633" s="3">
        <v>4187</v>
      </c>
    </row>
    <row r="1634" spans="1:14" x14ac:dyDescent="0.2">
      <c r="A1634" s="5" t="str">
        <f>HYPERLINK("http://www.ncbi.nlm.nih.gov/protein/19527042","D1Ertd622e")</f>
        <v>D1Ertd622e</v>
      </c>
      <c r="B1634" s="4"/>
      <c r="C1634" s="3">
        <v>0</v>
      </c>
      <c r="D1634" s="3">
        <v>0</v>
      </c>
      <c r="E1634" s="3">
        <v>0</v>
      </c>
      <c r="F1634" s="3">
        <v>65</v>
      </c>
      <c r="G1634" s="3">
        <v>0</v>
      </c>
      <c r="H1634" s="2">
        <f t="shared" si="50"/>
        <v>65</v>
      </c>
      <c r="I1634" t="str">
        <f t="shared" si="51"/>
        <v>D1Ertd622e_65</v>
      </c>
      <c r="J1634" s="3">
        <v>0</v>
      </c>
      <c r="K1634" s="3">
        <v>0</v>
      </c>
      <c r="L1634" s="3">
        <v>0</v>
      </c>
      <c r="M1634" s="3">
        <v>65</v>
      </c>
      <c r="N1634" s="3">
        <v>0</v>
      </c>
    </row>
    <row r="1635" spans="1:14" x14ac:dyDescent="0.2">
      <c r="A1635" s="5" t="str">
        <f>HYPERLINK("http://www.ncbi.nlm.nih.gov/protein/14861844","D1Pas1")</f>
        <v>D1Pas1</v>
      </c>
      <c r="B1635" s="4"/>
      <c r="C1635" s="3">
        <v>120673</v>
      </c>
      <c r="D1635" s="3">
        <v>17921</v>
      </c>
      <c r="E1635" s="3">
        <v>99642</v>
      </c>
      <c r="F1635" s="3">
        <v>109056</v>
      </c>
      <c r="G1635" s="3">
        <v>364</v>
      </c>
      <c r="H1635" s="2">
        <f t="shared" si="50"/>
        <v>347656</v>
      </c>
      <c r="I1635" t="str">
        <f t="shared" si="51"/>
        <v>D1Pas1_347656</v>
      </c>
      <c r="J1635" s="3">
        <v>120673</v>
      </c>
      <c r="K1635" s="3">
        <v>17921</v>
      </c>
      <c r="L1635" s="3">
        <v>99642</v>
      </c>
      <c r="M1635" s="3">
        <v>109056</v>
      </c>
      <c r="N1635" s="3">
        <v>364</v>
      </c>
    </row>
    <row r="1636" spans="1:14" x14ac:dyDescent="0.2">
      <c r="A1636" s="5" t="str">
        <f>HYPERLINK("http://www.ncbi.nlm.nih.gov/protein/170014723","D2hgdh")</f>
        <v>D2hgdh</v>
      </c>
      <c r="B1636" s="4"/>
      <c r="C1636" s="3">
        <v>0</v>
      </c>
      <c r="D1636" s="3">
        <v>1255</v>
      </c>
      <c r="E1636" s="3">
        <v>0</v>
      </c>
      <c r="F1636" s="3">
        <v>0</v>
      </c>
      <c r="G1636" s="3">
        <v>0</v>
      </c>
      <c r="H1636" s="2">
        <f t="shared" si="50"/>
        <v>1255</v>
      </c>
      <c r="I1636" t="str">
        <f t="shared" si="51"/>
        <v>D2hgdh_1255</v>
      </c>
      <c r="J1636" s="3">
        <v>0</v>
      </c>
      <c r="K1636" s="3">
        <v>1255</v>
      </c>
      <c r="L1636" s="3">
        <v>0</v>
      </c>
      <c r="M1636" s="3">
        <v>0</v>
      </c>
      <c r="N1636" s="3">
        <v>0</v>
      </c>
    </row>
    <row r="1637" spans="1:14" x14ac:dyDescent="0.2">
      <c r="A1637" s="5" t="str">
        <f>HYPERLINK("http://www.ncbi.nlm.nih.gov/protein/305682577","D2Wsu81e")</f>
        <v>D2Wsu81e</v>
      </c>
      <c r="B1637" s="4"/>
      <c r="C1637" s="3">
        <v>0</v>
      </c>
      <c r="D1637" s="3">
        <v>0</v>
      </c>
      <c r="E1637" s="3">
        <v>143</v>
      </c>
      <c r="F1637" s="3">
        <v>0</v>
      </c>
      <c r="G1637" s="3">
        <v>0</v>
      </c>
      <c r="H1637" s="2">
        <f t="shared" si="50"/>
        <v>143</v>
      </c>
      <c r="I1637" t="str">
        <f t="shared" si="51"/>
        <v>D2Wsu81e_143</v>
      </c>
      <c r="J1637" s="3">
        <v>0</v>
      </c>
      <c r="K1637" s="3">
        <v>0</v>
      </c>
      <c r="L1637" s="3">
        <v>143</v>
      </c>
      <c r="M1637" s="3">
        <v>0</v>
      </c>
      <c r="N1637" s="3">
        <v>0</v>
      </c>
    </row>
    <row r="1638" spans="1:14" x14ac:dyDescent="0.2">
      <c r="A1638" s="5" t="str">
        <f>HYPERLINK("http://www.ncbi.nlm.nih.gov/protein/30425010","D330045A20Rik")</f>
        <v>D330045A20Rik</v>
      </c>
      <c r="B1638" s="4"/>
      <c r="C1638" s="3">
        <v>0</v>
      </c>
      <c r="D1638" s="3">
        <v>0</v>
      </c>
      <c r="E1638" s="3">
        <v>13</v>
      </c>
      <c r="F1638" s="3">
        <v>0</v>
      </c>
      <c r="G1638" s="3">
        <v>0</v>
      </c>
      <c r="H1638" s="2">
        <f t="shared" si="50"/>
        <v>13</v>
      </c>
      <c r="I1638" t="str">
        <f t="shared" si="51"/>
        <v>D330045A20Rik_13</v>
      </c>
      <c r="J1638" s="3">
        <v>0</v>
      </c>
      <c r="K1638" s="3">
        <v>0</v>
      </c>
      <c r="L1638" s="3">
        <v>13</v>
      </c>
      <c r="M1638" s="3">
        <v>0</v>
      </c>
      <c r="N1638" s="3">
        <v>0</v>
      </c>
    </row>
    <row r="1639" spans="1:14" x14ac:dyDescent="0.2">
      <c r="A1639" s="5" t="str">
        <f>HYPERLINK("http://www.ncbi.nlm.nih.gov/protein/153281116","D3Ertd751e")</f>
        <v>D3Ertd751e</v>
      </c>
      <c r="B1639" s="4"/>
      <c r="C1639" s="3">
        <v>0</v>
      </c>
      <c r="D1639" s="3">
        <v>50</v>
      </c>
      <c r="E1639" s="3">
        <v>0</v>
      </c>
      <c r="F1639" s="3">
        <v>0</v>
      </c>
      <c r="G1639" s="3">
        <v>2967</v>
      </c>
      <c r="H1639" s="2">
        <f t="shared" si="50"/>
        <v>3017</v>
      </c>
      <c r="I1639" t="str">
        <f t="shared" si="51"/>
        <v>D3Ertd751e_3017</v>
      </c>
      <c r="J1639" s="3">
        <v>0</v>
      </c>
      <c r="K1639" s="3">
        <v>50</v>
      </c>
      <c r="L1639" s="3">
        <v>0</v>
      </c>
      <c r="M1639" s="3">
        <v>0</v>
      </c>
      <c r="N1639" s="3">
        <v>2967</v>
      </c>
    </row>
    <row r="1640" spans="1:14" x14ac:dyDescent="0.2">
      <c r="A1640" s="5" t="str">
        <f>HYPERLINK("http://www.ncbi.nlm.nih.gov/protein/153281135","D3Ertd751e")</f>
        <v>D3Ertd751e</v>
      </c>
      <c r="B1640" s="4"/>
      <c r="C1640" s="3">
        <v>0</v>
      </c>
      <c r="D1640" s="3">
        <v>50</v>
      </c>
      <c r="E1640" s="3">
        <v>0</v>
      </c>
      <c r="F1640" s="3">
        <v>0</v>
      </c>
      <c r="G1640" s="3">
        <v>2967</v>
      </c>
      <c r="H1640" s="2">
        <f t="shared" si="50"/>
        <v>3017</v>
      </c>
      <c r="I1640" t="str">
        <f t="shared" si="51"/>
        <v>D3Ertd751e_3017</v>
      </c>
      <c r="J1640" s="3">
        <v>0</v>
      </c>
      <c r="K1640" s="3">
        <v>50</v>
      </c>
      <c r="L1640" s="3">
        <v>0</v>
      </c>
      <c r="M1640" s="3">
        <v>0</v>
      </c>
      <c r="N1640" s="3">
        <v>2967</v>
      </c>
    </row>
    <row r="1641" spans="1:14" x14ac:dyDescent="0.2">
      <c r="A1641" s="5" t="str">
        <f>HYPERLINK("http://www.ncbi.nlm.nih.gov/protein/20070406","D6Wsu163e")</f>
        <v>D6Wsu163e</v>
      </c>
      <c r="B1641" s="4"/>
      <c r="C1641" s="3">
        <v>0</v>
      </c>
      <c r="D1641" s="3">
        <v>61</v>
      </c>
      <c r="E1641" s="3">
        <v>0</v>
      </c>
      <c r="F1641" s="3">
        <v>0</v>
      </c>
      <c r="G1641" s="3">
        <v>750</v>
      </c>
      <c r="H1641" s="2">
        <f t="shared" si="50"/>
        <v>811</v>
      </c>
      <c r="I1641" t="str">
        <f t="shared" si="51"/>
        <v>D6Wsu163e_811</v>
      </c>
      <c r="J1641" s="3">
        <v>0</v>
      </c>
      <c r="K1641" s="3">
        <v>61</v>
      </c>
      <c r="L1641" s="3">
        <v>0</v>
      </c>
      <c r="M1641" s="3">
        <v>0</v>
      </c>
      <c r="N1641" s="3">
        <v>750</v>
      </c>
    </row>
    <row r="1642" spans="1:14" x14ac:dyDescent="0.2">
      <c r="A1642" s="5" t="str">
        <f>HYPERLINK("http://www.ncbi.nlm.nih.gov/protein/56090602","D8Ertd738e")</f>
        <v>D8Ertd738e</v>
      </c>
      <c r="B1642" s="4"/>
      <c r="C1642" s="3">
        <v>0</v>
      </c>
      <c r="D1642" s="3">
        <v>0</v>
      </c>
      <c r="E1642" s="3">
        <v>335</v>
      </c>
      <c r="F1642" s="3">
        <v>2014</v>
      </c>
      <c r="G1642" s="3">
        <v>0</v>
      </c>
      <c r="H1642" s="2">
        <f t="shared" si="50"/>
        <v>2349</v>
      </c>
      <c r="I1642" t="str">
        <f t="shared" si="51"/>
        <v>D8Ertd738e_2349</v>
      </c>
      <c r="J1642" s="3">
        <v>0</v>
      </c>
      <c r="K1642" s="3">
        <v>0</v>
      </c>
      <c r="L1642" s="3">
        <v>335</v>
      </c>
      <c r="M1642" s="3">
        <v>2014</v>
      </c>
      <c r="N1642" s="3">
        <v>0</v>
      </c>
    </row>
    <row r="1643" spans="1:14" x14ac:dyDescent="0.2">
      <c r="A1643" s="5" t="str">
        <f>HYPERLINK("http://www.ncbi.nlm.nih.gov/protein/161333828","D8Ertd82e")</f>
        <v>D8Ertd82e</v>
      </c>
      <c r="B1643" s="4"/>
      <c r="C1643" s="3">
        <v>19661</v>
      </c>
      <c r="D1643" s="3">
        <v>0</v>
      </c>
      <c r="E1643" s="3">
        <v>0</v>
      </c>
      <c r="F1643" s="3">
        <v>0</v>
      </c>
      <c r="G1643" s="3">
        <v>0</v>
      </c>
      <c r="H1643" s="2">
        <f t="shared" si="50"/>
        <v>19661</v>
      </c>
      <c r="I1643" t="str">
        <f t="shared" si="51"/>
        <v>D8Ertd82e_19661</v>
      </c>
      <c r="J1643" s="3">
        <v>19661</v>
      </c>
      <c r="K1643" s="3">
        <v>0</v>
      </c>
      <c r="L1643" s="3">
        <v>0</v>
      </c>
      <c r="M1643" s="3">
        <v>0</v>
      </c>
      <c r="N1643" s="3">
        <v>0</v>
      </c>
    </row>
    <row r="1644" spans="1:14" x14ac:dyDescent="0.2">
      <c r="A1644" s="5" t="str">
        <f>HYPERLINK("http://www.ncbi.nlm.nih.gov/protein/78191777","Daam1")</f>
        <v>Daam1</v>
      </c>
      <c r="B1644" s="4"/>
      <c r="C1644" s="3">
        <v>0</v>
      </c>
      <c r="D1644" s="3">
        <v>0</v>
      </c>
      <c r="E1644" s="3">
        <v>219</v>
      </c>
      <c r="F1644" s="3">
        <v>0</v>
      </c>
      <c r="G1644" s="3">
        <v>0</v>
      </c>
      <c r="H1644" s="2">
        <f t="shared" si="50"/>
        <v>219</v>
      </c>
      <c r="I1644" t="str">
        <f t="shared" si="51"/>
        <v>Daam1_219</v>
      </c>
      <c r="J1644" s="3">
        <v>0</v>
      </c>
      <c r="K1644" s="3">
        <v>0</v>
      </c>
      <c r="L1644" s="3">
        <v>219</v>
      </c>
      <c r="M1644" s="3">
        <v>0</v>
      </c>
      <c r="N1644" s="3">
        <v>0</v>
      </c>
    </row>
    <row r="1645" spans="1:14" x14ac:dyDescent="0.2">
      <c r="A1645" s="5" t="str">
        <f>HYPERLINK("http://www.ncbi.nlm.nih.gov/protein/6753598","Dad1")</f>
        <v>Dad1</v>
      </c>
      <c r="B1645" s="4"/>
      <c r="C1645" s="3">
        <v>47962</v>
      </c>
      <c r="D1645" s="3">
        <v>9273</v>
      </c>
      <c r="E1645" s="3">
        <v>6215</v>
      </c>
      <c r="F1645" s="3">
        <v>336</v>
      </c>
      <c r="G1645" s="3">
        <v>0</v>
      </c>
      <c r="H1645" s="2">
        <f t="shared" si="50"/>
        <v>63786</v>
      </c>
      <c r="I1645" t="str">
        <f t="shared" si="51"/>
        <v>Dad1_63786</v>
      </c>
      <c r="J1645" s="3">
        <v>47962</v>
      </c>
      <c r="K1645" s="3">
        <v>9273</v>
      </c>
      <c r="L1645" s="3">
        <v>6215</v>
      </c>
      <c r="M1645" s="3">
        <v>336</v>
      </c>
      <c r="N1645" s="3">
        <v>0</v>
      </c>
    </row>
    <row r="1646" spans="1:14" x14ac:dyDescent="0.2">
      <c r="A1646" s="5" t="str">
        <f>HYPERLINK("http://www.ncbi.nlm.nih.gov/protein/451898099;33859532","Dag1")</f>
        <v>Dag1</v>
      </c>
      <c r="B1646" s="4"/>
      <c r="C1646" s="3">
        <v>18</v>
      </c>
      <c r="D1646" s="3">
        <v>0</v>
      </c>
      <c r="E1646" s="3">
        <v>2341</v>
      </c>
      <c r="F1646" s="3">
        <v>0</v>
      </c>
      <c r="G1646" s="3">
        <v>0</v>
      </c>
      <c r="H1646" s="2">
        <f t="shared" si="50"/>
        <v>2359</v>
      </c>
      <c r="I1646" t="str">
        <f t="shared" si="51"/>
        <v>Dag1_2359</v>
      </c>
      <c r="J1646" s="3">
        <v>18</v>
      </c>
      <c r="K1646" s="3">
        <v>0</v>
      </c>
      <c r="L1646" s="3">
        <v>2341</v>
      </c>
      <c r="M1646" s="3">
        <v>0</v>
      </c>
      <c r="N1646" s="3">
        <v>0</v>
      </c>
    </row>
    <row r="1647" spans="1:14" x14ac:dyDescent="0.2">
      <c r="A1647" s="5" t="str">
        <f>HYPERLINK("http://www.ncbi.nlm.nih.gov/protein/33859532","Dag1")</f>
        <v>Dag1</v>
      </c>
      <c r="B1647" s="4"/>
      <c r="C1647" s="3">
        <v>0</v>
      </c>
      <c r="D1647" s="3">
        <v>3135</v>
      </c>
      <c r="E1647" s="3">
        <v>0</v>
      </c>
      <c r="F1647" s="3">
        <v>426</v>
      </c>
      <c r="G1647" s="3">
        <v>20541</v>
      </c>
      <c r="H1647" s="2">
        <f t="shared" si="50"/>
        <v>24102</v>
      </c>
      <c r="I1647" t="str">
        <f t="shared" si="51"/>
        <v>Dag1_24102</v>
      </c>
      <c r="J1647" s="3">
        <v>0</v>
      </c>
      <c r="K1647" s="3">
        <v>3135</v>
      </c>
      <c r="L1647" s="3">
        <v>0</v>
      </c>
      <c r="M1647" s="3">
        <v>426</v>
      </c>
      <c r="N1647" s="3">
        <v>20541</v>
      </c>
    </row>
    <row r="1648" spans="1:14" x14ac:dyDescent="0.2">
      <c r="A1648" s="5" t="str">
        <f>HYPERLINK("http://www.ncbi.nlm.nih.gov/protein/21703976","Dak")</f>
        <v>Dak</v>
      </c>
      <c r="B1648" s="4"/>
      <c r="C1648" s="3">
        <v>0</v>
      </c>
      <c r="D1648" s="3">
        <v>921</v>
      </c>
      <c r="E1648" s="3">
        <v>1674</v>
      </c>
      <c r="F1648" s="3">
        <v>2840</v>
      </c>
      <c r="G1648" s="3">
        <v>1317</v>
      </c>
      <c r="H1648" s="2">
        <f t="shared" si="50"/>
        <v>6752</v>
      </c>
      <c r="I1648" t="str">
        <f t="shared" si="51"/>
        <v>Dak_6752</v>
      </c>
      <c r="J1648" s="3">
        <v>0</v>
      </c>
      <c r="K1648" s="3">
        <v>921</v>
      </c>
      <c r="L1648" s="3">
        <v>1674</v>
      </c>
      <c r="M1648" s="3">
        <v>2840</v>
      </c>
      <c r="N1648" s="3">
        <v>1317</v>
      </c>
    </row>
    <row r="1649" spans="1:14" x14ac:dyDescent="0.2">
      <c r="A1649" s="5" t="str">
        <f>HYPERLINK("http://www.ncbi.nlm.nih.gov/protein/110815857","Dao")</f>
        <v>Dao</v>
      </c>
      <c r="B1649" s="4"/>
      <c r="C1649" s="3">
        <v>0</v>
      </c>
      <c r="D1649" s="3">
        <v>409</v>
      </c>
      <c r="E1649" s="3">
        <v>0</v>
      </c>
      <c r="F1649" s="3">
        <v>0</v>
      </c>
      <c r="G1649" s="3">
        <v>0</v>
      </c>
      <c r="H1649" s="2">
        <f t="shared" si="50"/>
        <v>409</v>
      </c>
      <c r="I1649" t="str">
        <f t="shared" si="51"/>
        <v>Dao_409</v>
      </c>
      <c r="J1649" s="3">
        <v>0</v>
      </c>
      <c r="K1649" s="3">
        <v>409</v>
      </c>
      <c r="L1649" s="3">
        <v>0</v>
      </c>
      <c r="M1649" s="3">
        <v>0</v>
      </c>
      <c r="N1649" s="3">
        <v>0</v>
      </c>
    </row>
    <row r="1650" spans="1:14" x14ac:dyDescent="0.2">
      <c r="A1650" s="5" t="str">
        <f>HYPERLINK("http://www.ncbi.nlm.nih.gov/protein/256985203","Dap3")</f>
        <v>Dap3</v>
      </c>
      <c r="B1650" s="4"/>
      <c r="C1650" s="3">
        <v>2050</v>
      </c>
      <c r="D1650" s="3">
        <v>144</v>
      </c>
      <c r="E1650" s="3">
        <v>0</v>
      </c>
      <c r="F1650" s="3">
        <v>1171</v>
      </c>
      <c r="G1650" s="3">
        <v>0</v>
      </c>
      <c r="H1650" s="2">
        <f t="shared" si="50"/>
        <v>3365</v>
      </c>
      <c r="I1650" t="str">
        <f t="shared" si="51"/>
        <v>Dap3_3365</v>
      </c>
      <c r="J1650" s="3">
        <v>2050</v>
      </c>
      <c r="K1650" s="3">
        <v>144</v>
      </c>
      <c r="L1650" s="3">
        <v>0</v>
      </c>
      <c r="M1650" s="3">
        <v>1171</v>
      </c>
      <c r="N1650" s="3">
        <v>0</v>
      </c>
    </row>
    <row r="1651" spans="1:14" x14ac:dyDescent="0.2">
      <c r="A1651" s="5" t="str">
        <f>HYPERLINK("http://www.ncbi.nlm.nih.gov/protein/256985205","Dap3")</f>
        <v>Dap3</v>
      </c>
      <c r="B1651" s="4"/>
      <c r="C1651" s="3">
        <v>2050</v>
      </c>
      <c r="D1651" s="3">
        <v>144</v>
      </c>
      <c r="E1651" s="3">
        <v>0</v>
      </c>
      <c r="F1651" s="3">
        <v>1162</v>
      </c>
      <c r="G1651" s="3">
        <v>0</v>
      </c>
      <c r="H1651" s="2">
        <f t="shared" si="50"/>
        <v>3356</v>
      </c>
      <c r="I1651" t="str">
        <f t="shared" si="51"/>
        <v>Dap3_3356</v>
      </c>
      <c r="J1651" s="3">
        <v>2050</v>
      </c>
      <c r="K1651" s="3">
        <v>144</v>
      </c>
      <c r="L1651" s="3">
        <v>0</v>
      </c>
      <c r="M1651" s="3">
        <v>1162</v>
      </c>
      <c r="N1651" s="3">
        <v>0</v>
      </c>
    </row>
    <row r="1652" spans="1:14" x14ac:dyDescent="0.2">
      <c r="A1652" s="5" t="str">
        <f>HYPERLINK("http://www.ncbi.nlm.nih.gov/protein/410812207","Dapk3")</f>
        <v>Dapk3</v>
      </c>
      <c r="B1652" s="4"/>
      <c r="C1652" s="3">
        <v>0</v>
      </c>
      <c r="D1652" s="3">
        <v>0</v>
      </c>
      <c r="E1652" s="3">
        <v>127</v>
      </c>
      <c r="F1652" s="3">
        <v>508</v>
      </c>
      <c r="G1652" s="3">
        <v>0</v>
      </c>
      <c r="H1652" s="2">
        <f t="shared" si="50"/>
        <v>635</v>
      </c>
      <c r="I1652" t="str">
        <f t="shared" si="51"/>
        <v>Dapk3_635</v>
      </c>
      <c r="J1652" s="3">
        <v>0</v>
      </c>
      <c r="K1652" s="3">
        <v>0</v>
      </c>
      <c r="L1652" s="3">
        <v>127</v>
      </c>
      <c r="M1652" s="3">
        <v>508</v>
      </c>
      <c r="N1652" s="3">
        <v>0</v>
      </c>
    </row>
    <row r="1653" spans="1:14" x14ac:dyDescent="0.2">
      <c r="A1653" s="5" t="str">
        <f>HYPERLINK("http://www.ncbi.nlm.nih.gov/protein/6681133","Dapk3")</f>
        <v>Dapk3</v>
      </c>
      <c r="B1653" s="4"/>
      <c r="C1653" s="3">
        <v>0</v>
      </c>
      <c r="D1653" s="3">
        <v>0</v>
      </c>
      <c r="E1653" s="3">
        <v>127</v>
      </c>
      <c r="F1653" s="3">
        <v>508</v>
      </c>
      <c r="G1653" s="3">
        <v>0</v>
      </c>
      <c r="H1653" s="2">
        <f t="shared" si="50"/>
        <v>635</v>
      </c>
      <c r="I1653" t="str">
        <f t="shared" si="51"/>
        <v>Dapk3_635</v>
      </c>
      <c r="J1653" s="3">
        <v>0</v>
      </c>
      <c r="K1653" s="3">
        <v>0</v>
      </c>
      <c r="L1653" s="3">
        <v>127</v>
      </c>
      <c r="M1653" s="3">
        <v>508</v>
      </c>
      <c r="N1653" s="3">
        <v>0</v>
      </c>
    </row>
    <row r="1654" spans="1:14" x14ac:dyDescent="0.2">
      <c r="A1654" s="5" t="str">
        <f>HYPERLINK("http://www.ncbi.nlm.nih.gov/protein/210147402","Dars")</f>
        <v>Dars</v>
      </c>
      <c r="B1654" s="4"/>
      <c r="C1654" s="3">
        <v>0</v>
      </c>
      <c r="D1654" s="3">
        <v>6365</v>
      </c>
      <c r="E1654" s="3">
        <v>9040</v>
      </c>
      <c r="F1654" s="3">
        <v>90450</v>
      </c>
      <c r="G1654" s="3">
        <v>26592</v>
      </c>
      <c r="H1654" s="2">
        <f t="shared" si="50"/>
        <v>132447</v>
      </c>
      <c r="I1654" t="str">
        <f t="shared" si="51"/>
        <v>Dars_132447</v>
      </c>
      <c r="J1654" s="3">
        <v>0</v>
      </c>
      <c r="K1654" s="3">
        <v>6365</v>
      </c>
      <c r="L1654" s="3">
        <v>9040</v>
      </c>
      <c r="M1654" s="3">
        <v>90450</v>
      </c>
      <c r="N1654" s="3">
        <v>26592</v>
      </c>
    </row>
    <row r="1655" spans="1:14" x14ac:dyDescent="0.2">
      <c r="A1655" s="5" t="str">
        <f>HYPERLINK("http://www.ncbi.nlm.nih.gov/protein/211065507","Dars")</f>
        <v>Dars</v>
      </c>
      <c r="B1655" s="4"/>
      <c r="C1655" s="3">
        <v>13510</v>
      </c>
      <c r="D1655" s="3">
        <v>53603</v>
      </c>
      <c r="E1655" s="3">
        <v>86340</v>
      </c>
      <c r="F1655" s="3">
        <v>781689</v>
      </c>
      <c r="G1655" s="3">
        <v>347491</v>
      </c>
      <c r="H1655" s="2">
        <f t="shared" si="50"/>
        <v>1282633</v>
      </c>
      <c r="I1655" t="str">
        <f t="shared" si="51"/>
        <v>Dars_1282633</v>
      </c>
      <c r="J1655" s="3">
        <v>13510</v>
      </c>
      <c r="K1655" s="3">
        <v>53603</v>
      </c>
      <c r="L1655" s="3">
        <v>86340</v>
      </c>
      <c r="M1655" s="3">
        <v>781689</v>
      </c>
      <c r="N1655" s="3">
        <v>347491</v>
      </c>
    </row>
    <row r="1656" spans="1:14" x14ac:dyDescent="0.2">
      <c r="A1656" s="5" t="str">
        <f>HYPERLINK("http://www.ncbi.nlm.nih.gov/protein/27369928","Dars2")</f>
        <v>Dars2</v>
      </c>
      <c r="B1656" s="4"/>
      <c r="C1656" s="3">
        <v>0</v>
      </c>
      <c r="D1656" s="3">
        <v>607</v>
      </c>
      <c r="E1656" s="3">
        <v>0</v>
      </c>
      <c r="F1656" s="3">
        <v>0</v>
      </c>
      <c r="G1656" s="3">
        <v>0</v>
      </c>
      <c r="H1656" s="2">
        <f t="shared" si="50"/>
        <v>607</v>
      </c>
      <c r="I1656" t="str">
        <f t="shared" si="51"/>
        <v>Dars2_607</v>
      </c>
      <c r="J1656" s="3">
        <v>0</v>
      </c>
      <c r="K1656" s="3">
        <v>607</v>
      </c>
      <c r="L1656" s="3">
        <v>0</v>
      </c>
      <c r="M1656" s="3">
        <v>0</v>
      </c>
      <c r="N1656" s="3">
        <v>0</v>
      </c>
    </row>
    <row r="1657" spans="1:14" x14ac:dyDescent="0.2">
      <c r="A1657" s="5" t="str">
        <f>HYPERLINK("http://www.ncbi.nlm.nih.gov/protein/169790818","Dazap1")</f>
        <v>Dazap1</v>
      </c>
      <c r="B1657" s="4"/>
      <c r="C1657" s="3">
        <v>18233</v>
      </c>
      <c r="D1657" s="3">
        <v>499</v>
      </c>
      <c r="E1657" s="3">
        <v>694</v>
      </c>
      <c r="F1657" s="3">
        <v>0</v>
      </c>
      <c r="G1657" s="3">
        <v>13569</v>
      </c>
      <c r="H1657" s="2">
        <f t="shared" si="50"/>
        <v>32995</v>
      </c>
      <c r="I1657" t="str">
        <f t="shared" si="51"/>
        <v>Dazap1_32995</v>
      </c>
      <c r="J1657" s="3">
        <v>18233</v>
      </c>
      <c r="K1657" s="3">
        <v>499</v>
      </c>
      <c r="L1657" s="3">
        <v>694</v>
      </c>
      <c r="M1657" s="3">
        <v>0</v>
      </c>
      <c r="N1657" s="3">
        <v>13569</v>
      </c>
    </row>
    <row r="1658" spans="1:14" x14ac:dyDescent="0.2">
      <c r="A1658" s="5" t="str">
        <f>HYPERLINK("http://www.ncbi.nlm.nih.gov/protein/169790820","Dazap1")</f>
        <v>Dazap1</v>
      </c>
      <c r="B1658" s="4"/>
      <c r="C1658" s="3">
        <v>18233</v>
      </c>
      <c r="D1658" s="3">
        <v>499</v>
      </c>
      <c r="E1658" s="3">
        <v>694</v>
      </c>
      <c r="F1658" s="3">
        <v>0</v>
      </c>
      <c r="G1658" s="3">
        <v>13569</v>
      </c>
      <c r="H1658" s="2">
        <f t="shared" si="50"/>
        <v>32995</v>
      </c>
      <c r="I1658" t="str">
        <f t="shared" si="51"/>
        <v>Dazap1_32995</v>
      </c>
      <c r="J1658" s="3">
        <v>18233</v>
      </c>
      <c r="K1658" s="3">
        <v>499</v>
      </c>
      <c r="L1658" s="3">
        <v>694</v>
      </c>
      <c r="M1658" s="3">
        <v>0</v>
      </c>
      <c r="N1658" s="3">
        <v>13569</v>
      </c>
    </row>
    <row r="1659" spans="1:14" x14ac:dyDescent="0.2">
      <c r="A1659" s="5" t="str">
        <f>HYPERLINK("http://www.ncbi.nlm.nih.gov/protein/169790823","Dazap1")</f>
        <v>Dazap1</v>
      </c>
      <c r="B1659" s="4"/>
      <c r="C1659" s="3">
        <v>18233</v>
      </c>
      <c r="D1659" s="3">
        <v>499</v>
      </c>
      <c r="E1659" s="3">
        <v>694</v>
      </c>
      <c r="F1659" s="3">
        <v>0</v>
      </c>
      <c r="G1659" s="3">
        <v>13569</v>
      </c>
      <c r="H1659" s="2">
        <f t="shared" si="50"/>
        <v>32995</v>
      </c>
      <c r="I1659" t="str">
        <f t="shared" si="51"/>
        <v>Dazap1_32995</v>
      </c>
      <c r="J1659" s="3">
        <v>18233</v>
      </c>
      <c r="K1659" s="3">
        <v>499</v>
      </c>
      <c r="L1659" s="3">
        <v>694</v>
      </c>
      <c r="M1659" s="3">
        <v>0</v>
      </c>
      <c r="N1659" s="3">
        <v>13569</v>
      </c>
    </row>
    <row r="1660" spans="1:14" x14ac:dyDescent="0.2">
      <c r="A1660" s="5" t="str">
        <f>HYPERLINK("http://www.ncbi.nlm.nih.gov/protein/110815861","Dbh")</f>
        <v>Dbh</v>
      </c>
      <c r="B1660" s="4"/>
      <c r="C1660" s="3">
        <v>0</v>
      </c>
      <c r="D1660" s="3">
        <v>708</v>
      </c>
      <c r="E1660" s="3">
        <v>3521</v>
      </c>
      <c r="F1660" s="3">
        <v>0</v>
      </c>
      <c r="G1660" s="3">
        <v>0</v>
      </c>
      <c r="H1660" s="2">
        <f t="shared" si="50"/>
        <v>4229</v>
      </c>
      <c r="I1660" t="str">
        <f t="shared" si="51"/>
        <v>Dbh_4229</v>
      </c>
      <c r="J1660" s="3">
        <v>0</v>
      </c>
      <c r="K1660" s="3">
        <v>708</v>
      </c>
      <c r="L1660" s="3">
        <v>3521</v>
      </c>
      <c r="M1660" s="3">
        <v>0</v>
      </c>
      <c r="N1660" s="3">
        <v>0</v>
      </c>
    </row>
    <row r="1661" spans="1:14" x14ac:dyDescent="0.2">
      <c r="A1661" s="5" t="str">
        <f>HYPERLINK("http://www.ncbi.nlm.nih.gov/protein/6681137","Dbi")</f>
        <v>Dbi</v>
      </c>
      <c r="B1661" s="4"/>
      <c r="C1661" s="3">
        <v>0</v>
      </c>
      <c r="D1661" s="3">
        <v>132</v>
      </c>
      <c r="E1661" s="3">
        <v>1029</v>
      </c>
      <c r="F1661" s="3">
        <v>0</v>
      </c>
      <c r="G1661" s="3">
        <v>1296</v>
      </c>
      <c r="H1661" s="2">
        <f t="shared" si="50"/>
        <v>2457</v>
      </c>
      <c r="I1661" t="str">
        <f t="shared" si="51"/>
        <v>Dbi_2457</v>
      </c>
      <c r="J1661" s="3">
        <v>0</v>
      </c>
      <c r="K1661" s="3">
        <v>132</v>
      </c>
      <c r="L1661" s="3">
        <v>1029</v>
      </c>
      <c r="M1661" s="3">
        <v>0</v>
      </c>
      <c r="N1661" s="3">
        <v>1296</v>
      </c>
    </row>
    <row r="1662" spans="1:14" x14ac:dyDescent="0.2">
      <c r="A1662" s="5" t="str">
        <f>HYPERLINK("http://www.ncbi.nlm.nih.gov/protein/83921595","Dbi")</f>
        <v>Dbi</v>
      </c>
      <c r="B1662" s="4"/>
      <c r="C1662" s="3">
        <v>0</v>
      </c>
      <c r="D1662" s="3">
        <v>132</v>
      </c>
      <c r="E1662" s="3">
        <v>1029</v>
      </c>
      <c r="F1662" s="3">
        <v>0</v>
      </c>
      <c r="G1662" s="3">
        <v>1296</v>
      </c>
      <c r="H1662" s="2">
        <f t="shared" si="50"/>
        <v>2457</v>
      </c>
      <c r="I1662" t="str">
        <f t="shared" si="51"/>
        <v>Dbi_2457</v>
      </c>
      <c r="J1662" s="3">
        <v>0</v>
      </c>
      <c r="K1662" s="3">
        <v>132</v>
      </c>
      <c r="L1662" s="3">
        <v>1029</v>
      </c>
      <c r="M1662" s="3">
        <v>0</v>
      </c>
      <c r="N1662" s="3">
        <v>1296</v>
      </c>
    </row>
    <row r="1663" spans="1:14" x14ac:dyDescent="0.2">
      <c r="A1663" s="5" t="str">
        <f>HYPERLINK("http://www.ncbi.nlm.nih.gov/protein/30794440","Dbndd2")</f>
        <v>Dbndd2</v>
      </c>
      <c r="B1663" s="4"/>
      <c r="C1663" s="3">
        <v>0</v>
      </c>
      <c r="D1663" s="3">
        <v>0</v>
      </c>
      <c r="E1663" s="3">
        <v>0</v>
      </c>
      <c r="F1663" s="3">
        <v>0</v>
      </c>
      <c r="G1663" s="3">
        <v>2999</v>
      </c>
      <c r="H1663" s="2">
        <f t="shared" si="50"/>
        <v>2999</v>
      </c>
      <c r="I1663" t="str">
        <f t="shared" si="51"/>
        <v>Dbndd2_2999</v>
      </c>
      <c r="J1663" s="3">
        <v>0</v>
      </c>
      <c r="K1663" s="3">
        <v>0</v>
      </c>
      <c r="L1663" s="3">
        <v>0</v>
      </c>
      <c r="M1663" s="3">
        <v>0</v>
      </c>
      <c r="N1663" s="3">
        <v>2999</v>
      </c>
    </row>
    <row r="1664" spans="1:14" x14ac:dyDescent="0.2">
      <c r="A1664" s="5" t="str">
        <f>HYPERLINK("http://www.ncbi.nlm.nih.gov/protein/226423871","Dbnl")</f>
        <v>Dbnl</v>
      </c>
      <c r="B1664" s="4"/>
      <c r="C1664" s="3">
        <v>989</v>
      </c>
      <c r="D1664" s="3">
        <v>380</v>
      </c>
      <c r="E1664" s="3">
        <v>9611</v>
      </c>
      <c r="F1664" s="3">
        <v>0</v>
      </c>
      <c r="G1664" s="3">
        <v>62436</v>
      </c>
      <c r="H1664" s="2">
        <f t="shared" si="50"/>
        <v>73416</v>
      </c>
      <c r="I1664" t="str">
        <f t="shared" si="51"/>
        <v>Dbnl_73416</v>
      </c>
      <c r="J1664" s="3">
        <v>989</v>
      </c>
      <c r="K1664" s="3">
        <v>380</v>
      </c>
      <c r="L1664" s="3">
        <v>9611</v>
      </c>
      <c r="M1664" s="3">
        <v>0</v>
      </c>
      <c r="N1664" s="3">
        <v>62436</v>
      </c>
    </row>
    <row r="1665" spans="1:14" x14ac:dyDescent="0.2">
      <c r="A1665" s="5" t="str">
        <f>HYPERLINK("http://www.ncbi.nlm.nih.gov/protein/226423873","Dbnl")</f>
        <v>Dbnl</v>
      </c>
      <c r="B1665" s="4"/>
      <c r="C1665" s="3">
        <v>989</v>
      </c>
      <c r="D1665" s="3">
        <v>380</v>
      </c>
      <c r="E1665" s="3">
        <v>9611</v>
      </c>
      <c r="F1665" s="3">
        <v>0</v>
      </c>
      <c r="G1665" s="3">
        <v>62436</v>
      </c>
      <c r="H1665" s="2">
        <f t="shared" si="50"/>
        <v>73416</v>
      </c>
      <c r="I1665" t="str">
        <f t="shared" si="51"/>
        <v>Dbnl_73416</v>
      </c>
      <c r="J1665" s="3">
        <v>989</v>
      </c>
      <c r="K1665" s="3">
        <v>380</v>
      </c>
      <c r="L1665" s="3">
        <v>9611</v>
      </c>
      <c r="M1665" s="3">
        <v>0</v>
      </c>
      <c r="N1665" s="3">
        <v>62436</v>
      </c>
    </row>
    <row r="1666" spans="1:14" x14ac:dyDescent="0.2">
      <c r="A1666" s="5" t="str">
        <f>HYPERLINK("http://www.ncbi.nlm.nih.gov/protein/7304993","Dbnl")</f>
        <v>Dbnl</v>
      </c>
      <c r="B1666" s="4"/>
      <c r="C1666" s="3">
        <v>989</v>
      </c>
      <c r="D1666" s="3">
        <v>380</v>
      </c>
      <c r="E1666" s="3">
        <v>9611</v>
      </c>
      <c r="F1666" s="3">
        <v>0</v>
      </c>
      <c r="G1666" s="3">
        <v>62436</v>
      </c>
      <c r="H1666" s="2">
        <f t="shared" ref="H1666:H1729" si="52">SUM(C1666:G1666)</f>
        <v>73416</v>
      </c>
      <c r="I1666" t="str">
        <f t="shared" ref="I1666:I1729" si="53">A1666&amp;"_"&amp;H1666</f>
        <v>Dbnl_73416</v>
      </c>
      <c r="J1666" s="3">
        <v>989</v>
      </c>
      <c r="K1666" s="3">
        <v>380</v>
      </c>
      <c r="L1666" s="3">
        <v>9611</v>
      </c>
      <c r="M1666" s="3">
        <v>0</v>
      </c>
      <c r="N1666" s="3">
        <v>62436</v>
      </c>
    </row>
    <row r="1667" spans="1:14" x14ac:dyDescent="0.2">
      <c r="A1667" s="5" t="str">
        <f>HYPERLINK("http://www.ncbi.nlm.nih.gov/protein/50399860","Dbr1")</f>
        <v>Dbr1</v>
      </c>
      <c r="B1667" s="4"/>
      <c r="C1667" s="3">
        <v>0</v>
      </c>
      <c r="D1667" s="3">
        <v>0</v>
      </c>
      <c r="E1667" s="3">
        <v>555</v>
      </c>
      <c r="F1667" s="3">
        <v>5804</v>
      </c>
      <c r="G1667" s="3">
        <v>1606</v>
      </c>
      <c r="H1667" s="2">
        <f t="shared" si="52"/>
        <v>7965</v>
      </c>
      <c r="I1667" t="str">
        <f t="shared" si="53"/>
        <v>Dbr1_7965</v>
      </c>
      <c r="J1667" s="3">
        <v>0</v>
      </c>
      <c r="K1667" s="3">
        <v>0</v>
      </c>
      <c r="L1667" s="3">
        <v>555</v>
      </c>
      <c r="M1667" s="3">
        <v>5804</v>
      </c>
      <c r="N1667" s="3">
        <v>1606</v>
      </c>
    </row>
    <row r="1668" spans="1:14" x14ac:dyDescent="0.2">
      <c r="A1668" s="5" t="str">
        <f>HYPERLINK("http://www.ncbi.nlm.nih.gov/protein/170172520","Dbt")</f>
        <v>Dbt</v>
      </c>
      <c r="B1668" s="4"/>
      <c r="C1668" s="3">
        <v>7798</v>
      </c>
      <c r="D1668" s="3">
        <v>4154</v>
      </c>
      <c r="E1668" s="3">
        <v>0</v>
      </c>
      <c r="F1668" s="3">
        <v>131</v>
      </c>
      <c r="G1668" s="3">
        <v>0</v>
      </c>
      <c r="H1668" s="2">
        <f t="shared" si="52"/>
        <v>12083</v>
      </c>
      <c r="I1668" t="str">
        <f t="shared" si="53"/>
        <v>Dbt_12083</v>
      </c>
      <c r="J1668" s="3">
        <v>7798</v>
      </c>
      <c r="K1668" s="3">
        <v>4154</v>
      </c>
      <c r="L1668" s="3">
        <v>0</v>
      </c>
      <c r="M1668" s="3">
        <v>131</v>
      </c>
      <c r="N1668" s="3">
        <v>0</v>
      </c>
    </row>
    <row r="1669" spans="1:14" x14ac:dyDescent="0.2">
      <c r="A1669" s="5" t="str">
        <f>HYPERLINK("http://www.ncbi.nlm.nih.gov/protein/19526930","Dcaf11")</f>
        <v>Dcaf11</v>
      </c>
      <c r="B1669" s="4"/>
      <c r="C1669" s="3">
        <v>0</v>
      </c>
      <c r="D1669" s="3">
        <v>0</v>
      </c>
      <c r="E1669" s="3">
        <v>0</v>
      </c>
      <c r="F1669" s="3">
        <v>14799</v>
      </c>
      <c r="G1669" s="3">
        <v>1553</v>
      </c>
      <c r="H1669" s="2">
        <f t="shared" si="52"/>
        <v>16352</v>
      </c>
      <c r="I1669" t="str">
        <f t="shared" si="53"/>
        <v>Dcaf11_16352</v>
      </c>
      <c r="J1669" s="3">
        <v>0</v>
      </c>
      <c r="K1669" s="3">
        <v>0</v>
      </c>
      <c r="L1669" s="3">
        <v>0</v>
      </c>
      <c r="M1669" s="3">
        <v>14799</v>
      </c>
      <c r="N1669" s="3">
        <v>1553</v>
      </c>
    </row>
    <row r="1670" spans="1:14" x14ac:dyDescent="0.2">
      <c r="A1670" s="5" t="str">
        <f>HYPERLINK("http://www.ncbi.nlm.nih.gov/protein/21313612","Dcaf4")</f>
        <v>Dcaf4</v>
      </c>
      <c r="B1670" s="4"/>
      <c r="C1670" s="3">
        <v>0</v>
      </c>
      <c r="D1670" s="3">
        <v>0</v>
      </c>
      <c r="E1670" s="3">
        <v>31</v>
      </c>
      <c r="F1670" s="3">
        <v>0</v>
      </c>
      <c r="G1670" s="3">
        <v>0</v>
      </c>
      <c r="H1670" s="2">
        <f t="shared" si="52"/>
        <v>31</v>
      </c>
      <c r="I1670" t="str">
        <f t="shared" si="53"/>
        <v>Dcaf4_31</v>
      </c>
      <c r="J1670" s="3">
        <v>0</v>
      </c>
      <c r="K1670" s="3">
        <v>0</v>
      </c>
      <c r="L1670" s="3">
        <v>31</v>
      </c>
      <c r="M1670" s="3">
        <v>0</v>
      </c>
      <c r="N1670" s="3">
        <v>0</v>
      </c>
    </row>
    <row r="1671" spans="1:14" x14ac:dyDescent="0.2">
      <c r="A1671" s="5" t="str">
        <f>HYPERLINK("http://www.ncbi.nlm.nih.gov/protein/259155342","Dcaf4")</f>
        <v>Dcaf4</v>
      </c>
      <c r="B1671" s="4"/>
      <c r="C1671" s="3">
        <v>0</v>
      </c>
      <c r="D1671" s="3">
        <v>0</v>
      </c>
      <c r="E1671" s="3">
        <v>31</v>
      </c>
      <c r="F1671" s="3">
        <v>0</v>
      </c>
      <c r="G1671" s="3">
        <v>0</v>
      </c>
      <c r="H1671" s="2">
        <f t="shared" si="52"/>
        <v>31</v>
      </c>
      <c r="I1671" t="str">
        <f t="shared" si="53"/>
        <v>Dcaf4_31</v>
      </c>
      <c r="J1671" s="3">
        <v>0</v>
      </c>
      <c r="K1671" s="3">
        <v>0</v>
      </c>
      <c r="L1671" s="3">
        <v>31</v>
      </c>
      <c r="M1671" s="3">
        <v>0</v>
      </c>
      <c r="N1671" s="3">
        <v>0</v>
      </c>
    </row>
    <row r="1672" spans="1:14" x14ac:dyDescent="0.2">
      <c r="A1672" s="5" t="str">
        <f>HYPERLINK("http://www.ncbi.nlm.nih.gov/protein/56090231","Dcaf5")</f>
        <v>Dcaf5</v>
      </c>
      <c r="B1672" s="4"/>
      <c r="C1672" s="3">
        <v>0</v>
      </c>
      <c r="D1672" s="3">
        <v>0</v>
      </c>
      <c r="E1672" s="3">
        <v>38</v>
      </c>
      <c r="F1672" s="3">
        <v>859</v>
      </c>
      <c r="G1672" s="3">
        <v>2560</v>
      </c>
      <c r="H1672" s="2">
        <f t="shared" si="52"/>
        <v>3457</v>
      </c>
      <c r="I1672" t="str">
        <f t="shared" si="53"/>
        <v>Dcaf5_3457</v>
      </c>
      <c r="J1672" s="3">
        <v>0</v>
      </c>
      <c r="K1672" s="3">
        <v>0</v>
      </c>
      <c r="L1672" s="3">
        <v>38</v>
      </c>
      <c r="M1672" s="3">
        <v>859</v>
      </c>
      <c r="N1672" s="3">
        <v>2560</v>
      </c>
    </row>
    <row r="1673" spans="1:14" x14ac:dyDescent="0.2">
      <c r="A1673" s="5" t="str">
        <f>HYPERLINK("http://www.ncbi.nlm.nih.gov/protein/58037257","Dcaf7")</f>
        <v>Dcaf7</v>
      </c>
      <c r="B1673" s="4"/>
      <c r="C1673" s="3">
        <v>0</v>
      </c>
      <c r="D1673" s="3">
        <v>0</v>
      </c>
      <c r="E1673" s="3">
        <v>989</v>
      </c>
      <c r="F1673" s="3">
        <v>6851</v>
      </c>
      <c r="G1673" s="3">
        <v>3459</v>
      </c>
      <c r="H1673" s="2">
        <f t="shared" si="52"/>
        <v>11299</v>
      </c>
      <c r="I1673" t="str">
        <f t="shared" si="53"/>
        <v>Dcaf7_11299</v>
      </c>
      <c r="J1673" s="3">
        <v>0</v>
      </c>
      <c r="K1673" s="3">
        <v>0</v>
      </c>
      <c r="L1673" s="3">
        <v>989</v>
      </c>
      <c r="M1673" s="3">
        <v>6851</v>
      </c>
      <c r="N1673" s="3">
        <v>3459</v>
      </c>
    </row>
    <row r="1674" spans="1:14" x14ac:dyDescent="0.2">
      <c r="A1674" s="5" t="str">
        <f>HYPERLINK("http://www.ncbi.nlm.nih.gov/protein/23956326","Dcaf8")</f>
        <v>Dcaf8</v>
      </c>
      <c r="B1674" s="4"/>
      <c r="C1674" s="3">
        <v>0</v>
      </c>
      <c r="D1674" s="3">
        <v>0</v>
      </c>
      <c r="E1674" s="3">
        <v>304</v>
      </c>
      <c r="F1674" s="3">
        <v>4166</v>
      </c>
      <c r="G1674" s="3">
        <v>4841</v>
      </c>
      <c r="H1674" s="2">
        <f t="shared" si="52"/>
        <v>9311</v>
      </c>
      <c r="I1674" t="str">
        <f t="shared" si="53"/>
        <v>Dcaf8_9311</v>
      </c>
      <c r="J1674" s="3">
        <v>0</v>
      </c>
      <c r="K1674" s="3">
        <v>0</v>
      </c>
      <c r="L1674" s="3">
        <v>304</v>
      </c>
      <c r="M1674" s="3">
        <v>4166</v>
      </c>
      <c r="N1674" s="3">
        <v>4841</v>
      </c>
    </row>
    <row r="1675" spans="1:14" x14ac:dyDescent="0.2">
      <c r="A1675" s="5" t="str">
        <f>HYPERLINK("http://www.ncbi.nlm.nih.gov/protein/27754054","Dcakd")</f>
        <v>Dcakd</v>
      </c>
      <c r="B1675" s="4"/>
      <c r="C1675" s="3">
        <v>17519</v>
      </c>
      <c r="D1675" s="3">
        <v>7753</v>
      </c>
      <c r="E1675" s="3">
        <v>1579</v>
      </c>
      <c r="F1675" s="3">
        <v>368</v>
      </c>
      <c r="G1675" s="3">
        <v>0</v>
      </c>
      <c r="H1675" s="2">
        <f t="shared" si="52"/>
        <v>27219</v>
      </c>
      <c r="I1675" t="str">
        <f t="shared" si="53"/>
        <v>Dcakd_27219</v>
      </c>
      <c r="J1675" s="3">
        <v>17519</v>
      </c>
      <c r="K1675" s="3">
        <v>7753</v>
      </c>
      <c r="L1675" s="3">
        <v>1579</v>
      </c>
      <c r="M1675" s="3">
        <v>368</v>
      </c>
      <c r="N1675" s="3">
        <v>0</v>
      </c>
    </row>
    <row r="1676" spans="1:14" x14ac:dyDescent="0.2">
      <c r="A1676" s="5" t="str">
        <f>HYPERLINK("http://www.ncbi.nlm.nih.gov/protein/94369682","Dchs2")</f>
        <v>Dchs2</v>
      </c>
      <c r="B1676" s="4"/>
      <c r="C1676" s="3">
        <v>0</v>
      </c>
      <c r="D1676" s="3">
        <v>0</v>
      </c>
      <c r="E1676" s="3">
        <v>0</v>
      </c>
      <c r="F1676" s="3">
        <v>0</v>
      </c>
      <c r="G1676" s="3">
        <v>10313</v>
      </c>
      <c r="H1676" s="2">
        <f t="shared" si="52"/>
        <v>10313</v>
      </c>
      <c r="I1676" t="str">
        <f t="shared" si="53"/>
        <v>Dchs2_10313</v>
      </c>
      <c r="J1676" s="3">
        <v>0</v>
      </c>
      <c r="K1676" s="3">
        <v>0</v>
      </c>
      <c r="L1676" s="3">
        <v>0</v>
      </c>
      <c r="M1676" s="3">
        <v>0</v>
      </c>
      <c r="N1676" s="3">
        <v>10313</v>
      </c>
    </row>
    <row r="1677" spans="1:14" x14ac:dyDescent="0.2">
      <c r="A1677" s="5" t="str">
        <f>HYPERLINK("http://www.ncbi.nlm.nih.gov/protein/6681141","Dck")</f>
        <v>Dck</v>
      </c>
      <c r="B1677" s="4"/>
      <c r="C1677" s="3">
        <v>0</v>
      </c>
      <c r="D1677" s="3">
        <v>0</v>
      </c>
      <c r="E1677" s="3">
        <v>31</v>
      </c>
      <c r="F1677" s="3">
        <v>0</v>
      </c>
      <c r="G1677" s="3">
        <v>7133</v>
      </c>
      <c r="H1677" s="2">
        <f t="shared" si="52"/>
        <v>7164</v>
      </c>
      <c r="I1677" t="str">
        <f t="shared" si="53"/>
        <v>Dck_7164</v>
      </c>
      <c r="J1677" s="3">
        <v>0</v>
      </c>
      <c r="K1677" s="3">
        <v>0</v>
      </c>
      <c r="L1677" s="3">
        <v>31</v>
      </c>
      <c r="M1677" s="3">
        <v>0</v>
      </c>
      <c r="N1677" s="3">
        <v>7133</v>
      </c>
    </row>
    <row r="1678" spans="1:14" x14ac:dyDescent="0.2">
      <c r="A1678" s="5" t="str">
        <f>HYPERLINK("http://www.ncbi.nlm.nih.gov/protein/133778958","Dcp1a")</f>
        <v>Dcp1a</v>
      </c>
      <c r="B1678" s="4"/>
      <c r="C1678" s="3">
        <v>0</v>
      </c>
      <c r="D1678" s="3">
        <v>0</v>
      </c>
      <c r="E1678" s="3">
        <v>285</v>
      </c>
      <c r="F1678" s="3">
        <v>0</v>
      </c>
      <c r="G1678" s="3">
        <v>0</v>
      </c>
      <c r="H1678" s="2">
        <f t="shared" si="52"/>
        <v>285</v>
      </c>
      <c r="I1678" t="str">
        <f t="shared" si="53"/>
        <v>Dcp1a_285</v>
      </c>
      <c r="J1678" s="3">
        <v>0</v>
      </c>
      <c r="K1678" s="3">
        <v>0</v>
      </c>
      <c r="L1678" s="3">
        <v>285</v>
      </c>
      <c r="M1678" s="3">
        <v>0</v>
      </c>
      <c r="N1678" s="3">
        <v>0</v>
      </c>
    </row>
    <row r="1679" spans="1:14" x14ac:dyDescent="0.2">
      <c r="A1679" s="5" t="str">
        <f>HYPERLINK("http://www.ncbi.nlm.nih.gov/protein/21312256","Dcps")</f>
        <v>Dcps</v>
      </c>
      <c r="B1679" s="4"/>
      <c r="C1679" s="3">
        <v>6297</v>
      </c>
      <c r="D1679" s="3">
        <v>2872</v>
      </c>
      <c r="E1679" s="3">
        <v>1510</v>
      </c>
      <c r="F1679" s="3">
        <v>4969</v>
      </c>
      <c r="G1679" s="3">
        <v>50335</v>
      </c>
      <c r="H1679" s="2">
        <f t="shared" si="52"/>
        <v>65983</v>
      </c>
      <c r="I1679" t="str">
        <f t="shared" si="53"/>
        <v>Dcps_65983</v>
      </c>
      <c r="J1679" s="3">
        <v>6297</v>
      </c>
      <c r="K1679" s="3">
        <v>2872</v>
      </c>
      <c r="L1679" s="3">
        <v>1510</v>
      </c>
      <c r="M1679" s="3">
        <v>4969</v>
      </c>
      <c r="N1679" s="3">
        <v>50335</v>
      </c>
    </row>
    <row r="1680" spans="1:14" x14ac:dyDescent="0.2">
      <c r="A1680" s="5" t="str">
        <f>HYPERLINK("http://www.ncbi.nlm.nih.gov/protein/238859570;238859573","Dctd")</f>
        <v>Dctd</v>
      </c>
      <c r="B1680" s="4"/>
      <c r="C1680" s="3">
        <v>0</v>
      </c>
      <c r="D1680" s="3">
        <v>31</v>
      </c>
      <c r="E1680" s="3">
        <v>0</v>
      </c>
      <c r="F1680" s="3">
        <v>0</v>
      </c>
      <c r="G1680" s="3">
        <v>2281</v>
      </c>
      <c r="H1680" s="2">
        <f t="shared" si="52"/>
        <v>2312</v>
      </c>
      <c r="I1680" t="str">
        <f t="shared" si="53"/>
        <v>Dctd_2312</v>
      </c>
      <c r="J1680" s="3">
        <v>0</v>
      </c>
      <c r="K1680" s="3">
        <v>31</v>
      </c>
      <c r="L1680" s="3">
        <v>0</v>
      </c>
      <c r="M1680" s="3">
        <v>0</v>
      </c>
      <c r="N1680" s="3">
        <v>2281</v>
      </c>
    </row>
    <row r="1681" spans="1:14" x14ac:dyDescent="0.2">
      <c r="A1681" s="5" t="str">
        <f>HYPERLINK("http://www.ncbi.nlm.nih.gov/protein/118601017","Dctn1")</f>
        <v>Dctn1</v>
      </c>
      <c r="B1681" s="4"/>
      <c r="C1681" s="3">
        <v>2947</v>
      </c>
      <c r="D1681" s="3">
        <v>850</v>
      </c>
      <c r="E1681" s="3">
        <v>26594</v>
      </c>
      <c r="F1681" s="3">
        <v>231324</v>
      </c>
      <c r="G1681" s="3">
        <v>19309</v>
      </c>
      <c r="H1681" s="2">
        <f t="shared" si="52"/>
        <v>281024</v>
      </c>
      <c r="I1681" t="str">
        <f t="shared" si="53"/>
        <v>Dctn1_281024</v>
      </c>
      <c r="J1681" s="3">
        <v>2947</v>
      </c>
      <c r="K1681" s="3">
        <v>850</v>
      </c>
      <c r="L1681" s="3">
        <v>26594</v>
      </c>
      <c r="M1681" s="3">
        <v>231324</v>
      </c>
      <c r="N1681" s="3">
        <v>19309</v>
      </c>
    </row>
    <row r="1682" spans="1:14" x14ac:dyDescent="0.2">
      <c r="A1682" s="5" t="str">
        <f>HYPERLINK("http://www.ncbi.nlm.nih.gov/protein/311893358","Dctn1")</f>
        <v>Dctn1</v>
      </c>
      <c r="B1682" s="4"/>
      <c r="C1682" s="3">
        <v>2947</v>
      </c>
      <c r="D1682" s="3">
        <v>850</v>
      </c>
      <c r="E1682" s="3">
        <v>26594</v>
      </c>
      <c r="F1682" s="3">
        <v>234508</v>
      </c>
      <c r="G1682" s="3">
        <v>19309</v>
      </c>
      <c r="H1682" s="2">
        <f t="shared" si="52"/>
        <v>284208</v>
      </c>
      <c r="I1682" t="str">
        <f t="shared" si="53"/>
        <v>Dctn1_284208</v>
      </c>
      <c r="J1682" s="3">
        <v>2947</v>
      </c>
      <c r="K1682" s="3">
        <v>850</v>
      </c>
      <c r="L1682" s="3">
        <v>26594</v>
      </c>
      <c r="M1682" s="3">
        <v>234508</v>
      </c>
      <c r="N1682" s="3">
        <v>19309</v>
      </c>
    </row>
    <row r="1683" spans="1:14" x14ac:dyDescent="0.2">
      <c r="A1683" s="5" t="str">
        <f>HYPERLINK("http://www.ncbi.nlm.nih.gov/protein/311893360","Dctn1")</f>
        <v>Dctn1</v>
      </c>
      <c r="B1683" s="4"/>
      <c r="C1683" s="3">
        <v>2947</v>
      </c>
      <c r="D1683" s="3">
        <v>850</v>
      </c>
      <c r="E1683" s="3">
        <v>26594</v>
      </c>
      <c r="F1683" s="3">
        <v>236113</v>
      </c>
      <c r="G1683" s="3">
        <v>19309</v>
      </c>
      <c r="H1683" s="2">
        <f t="shared" si="52"/>
        <v>285813</v>
      </c>
      <c r="I1683" t="str">
        <f t="shared" si="53"/>
        <v>Dctn1_285813</v>
      </c>
      <c r="J1683" s="3">
        <v>2947</v>
      </c>
      <c r="K1683" s="3">
        <v>850</v>
      </c>
      <c r="L1683" s="3">
        <v>26594</v>
      </c>
      <c r="M1683" s="3">
        <v>236113</v>
      </c>
      <c r="N1683" s="3">
        <v>19309</v>
      </c>
    </row>
    <row r="1684" spans="1:14" x14ac:dyDescent="0.2">
      <c r="A1684" s="5" t="str">
        <f>HYPERLINK("http://www.ncbi.nlm.nih.gov/protein/28076935","Dctn2")</f>
        <v>Dctn2</v>
      </c>
      <c r="B1684" s="4"/>
      <c r="C1684" s="3">
        <v>0</v>
      </c>
      <c r="D1684" s="3">
        <v>3956</v>
      </c>
      <c r="E1684" s="3">
        <v>6504</v>
      </c>
      <c r="F1684" s="3">
        <v>220110</v>
      </c>
      <c r="G1684" s="3">
        <v>21880</v>
      </c>
      <c r="H1684" s="2">
        <f t="shared" si="52"/>
        <v>252450</v>
      </c>
      <c r="I1684" t="str">
        <f t="shared" si="53"/>
        <v>Dctn2_252450</v>
      </c>
      <c r="J1684" s="3">
        <v>0</v>
      </c>
      <c r="K1684" s="3">
        <v>3956</v>
      </c>
      <c r="L1684" s="3">
        <v>6504</v>
      </c>
      <c r="M1684" s="3">
        <v>220110</v>
      </c>
      <c r="N1684" s="3">
        <v>21880</v>
      </c>
    </row>
    <row r="1685" spans="1:14" x14ac:dyDescent="0.2">
      <c r="A1685" s="5" t="str">
        <f>HYPERLINK("http://www.ncbi.nlm.nih.gov/protein/299522838","Dctn2")</f>
        <v>Dctn2</v>
      </c>
      <c r="B1685" s="4"/>
      <c r="C1685" s="3">
        <v>0</v>
      </c>
      <c r="D1685" s="3">
        <v>3956</v>
      </c>
      <c r="E1685" s="3">
        <v>6504</v>
      </c>
      <c r="F1685" s="3">
        <v>233591</v>
      </c>
      <c r="G1685" s="3">
        <v>21880</v>
      </c>
      <c r="H1685" s="2">
        <f t="shared" si="52"/>
        <v>265931</v>
      </c>
      <c r="I1685" t="str">
        <f t="shared" si="53"/>
        <v>Dctn2_265931</v>
      </c>
      <c r="J1685" s="3">
        <v>0</v>
      </c>
      <c r="K1685" s="3">
        <v>3956</v>
      </c>
      <c r="L1685" s="3">
        <v>6504</v>
      </c>
      <c r="M1685" s="3">
        <v>233591</v>
      </c>
      <c r="N1685" s="3">
        <v>21880</v>
      </c>
    </row>
    <row r="1686" spans="1:14" x14ac:dyDescent="0.2">
      <c r="A1686" s="5" t="str">
        <f>HYPERLINK("http://www.ncbi.nlm.nih.gov/protein/299522842","Dctn2")</f>
        <v>Dctn2</v>
      </c>
      <c r="B1686" s="4"/>
      <c r="C1686" s="3">
        <v>0</v>
      </c>
      <c r="D1686" s="3">
        <v>3956</v>
      </c>
      <c r="E1686" s="3">
        <v>6504</v>
      </c>
      <c r="F1686" s="3">
        <v>219750</v>
      </c>
      <c r="G1686" s="3">
        <v>21880</v>
      </c>
      <c r="H1686" s="2">
        <f t="shared" si="52"/>
        <v>252090</v>
      </c>
      <c r="I1686" t="str">
        <f t="shared" si="53"/>
        <v>Dctn2_252090</v>
      </c>
      <c r="J1686" s="3">
        <v>0</v>
      </c>
      <c r="K1686" s="3">
        <v>3956</v>
      </c>
      <c r="L1686" s="3">
        <v>6504</v>
      </c>
      <c r="M1686" s="3">
        <v>219750</v>
      </c>
      <c r="N1686" s="3">
        <v>21880</v>
      </c>
    </row>
    <row r="1687" spans="1:14" x14ac:dyDescent="0.2">
      <c r="A1687" s="5" t="str">
        <f>HYPERLINK("http://www.ncbi.nlm.nih.gov/protein/227116273","Dctn3")</f>
        <v>Dctn3</v>
      </c>
      <c r="B1687" s="4"/>
      <c r="C1687" s="3">
        <v>696</v>
      </c>
      <c r="D1687" s="3">
        <v>664</v>
      </c>
      <c r="E1687" s="3">
        <v>3698</v>
      </c>
      <c r="F1687" s="3">
        <v>39553</v>
      </c>
      <c r="G1687" s="3">
        <v>3384</v>
      </c>
      <c r="H1687" s="2">
        <f t="shared" si="52"/>
        <v>47995</v>
      </c>
      <c r="I1687" t="str">
        <f t="shared" si="53"/>
        <v>Dctn3_47995</v>
      </c>
      <c r="J1687" s="3">
        <v>696</v>
      </c>
      <c r="K1687" s="3">
        <v>664</v>
      </c>
      <c r="L1687" s="3">
        <v>3698</v>
      </c>
      <c r="M1687" s="3">
        <v>39553</v>
      </c>
      <c r="N1687" s="3">
        <v>3384</v>
      </c>
    </row>
    <row r="1688" spans="1:14" x14ac:dyDescent="0.2">
      <c r="A1688" s="5" t="str">
        <f>HYPERLINK("http://www.ncbi.nlm.nih.gov/protein/227116275","Dctn3")</f>
        <v>Dctn3</v>
      </c>
      <c r="B1688" s="4"/>
      <c r="C1688" s="3">
        <v>696</v>
      </c>
      <c r="D1688" s="3">
        <v>664</v>
      </c>
      <c r="E1688" s="3">
        <v>3676</v>
      </c>
      <c r="F1688" s="3">
        <v>37498</v>
      </c>
      <c r="G1688" s="3">
        <v>3384</v>
      </c>
      <c r="H1688" s="2">
        <f t="shared" si="52"/>
        <v>45918</v>
      </c>
      <c r="I1688" t="str">
        <f t="shared" si="53"/>
        <v>Dctn3_45918</v>
      </c>
      <c r="J1688" s="3">
        <v>696</v>
      </c>
      <c r="K1688" s="3">
        <v>664</v>
      </c>
      <c r="L1688" s="3">
        <v>3676</v>
      </c>
      <c r="M1688" s="3">
        <v>37498</v>
      </c>
      <c r="N1688" s="3">
        <v>3384</v>
      </c>
    </row>
    <row r="1689" spans="1:14" x14ac:dyDescent="0.2">
      <c r="A1689" s="5" t="str">
        <f>HYPERLINK("http://www.ncbi.nlm.nih.gov/protein/13385798","Dctn4")</f>
        <v>Dctn4</v>
      </c>
      <c r="B1689" s="4"/>
      <c r="C1689" s="3">
        <v>0</v>
      </c>
      <c r="D1689" s="3">
        <v>192</v>
      </c>
      <c r="E1689" s="3">
        <v>7565</v>
      </c>
      <c r="F1689" s="3">
        <v>86219</v>
      </c>
      <c r="G1689" s="3">
        <v>257</v>
      </c>
      <c r="H1689" s="2">
        <f t="shared" si="52"/>
        <v>94233</v>
      </c>
      <c r="I1689" t="str">
        <f t="shared" si="53"/>
        <v>Dctn4_94233</v>
      </c>
      <c r="J1689" s="3">
        <v>0</v>
      </c>
      <c r="K1689" s="3">
        <v>192</v>
      </c>
      <c r="L1689" s="3">
        <v>7565</v>
      </c>
      <c r="M1689" s="3">
        <v>86219</v>
      </c>
      <c r="N1689" s="3">
        <v>257</v>
      </c>
    </row>
    <row r="1690" spans="1:14" x14ac:dyDescent="0.2">
      <c r="A1690" s="5" t="str">
        <f>HYPERLINK("http://www.ncbi.nlm.nih.gov/protein/188219518","Dctn5")</f>
        <v>Dctn5</v>
      </c>
      <c r="B1690" s="4"/>
      <c r="C1690" s="3">
        <v>0</v>
      </c>
      <c r="D1690" s="3">
        <v>138</v>
      </c>
      <c r="E1690" s="3">
        <v>1119</v>
      </c>
      <c r="F1690" s="3">
        <v>5795</v>
      </c>
      <c r="G1690" s="3">
        <v>4316</v>
      </c>
      <c r="H1690" s="2">
        <f t="shared" si="52"/>
        <v>11368</v>
      </c>
      <c r="I1690" t="str">
        <f t="shared" si="53"/>
        <v>Dctn5_11368</v>
      </c>
      <c r="J1690" s="3">
        <v>0</v>
      </c>
      <c r="K1690" s="3">
        <v>138</v>
      </c>
      <c r="L1690" s="3">
        <v>1119</v>
      </c>
      <c r="M1690" s="3">
        <v>5795</v>
      </c>
      <c r="N1690" s="3">
        <v>4316</v>
      </c>
    </row>
    <row r="1691" spans="1:14" x14ac:dyDescent="0.2">
      <c r="A1691" s="5" t="str">
        <f>HYPERLINK("http://www.ncbi.nlm.nih.gov/protein/6756009","Dctn6")</f>
        <v>Dctn6</v>
      </c>
      <c r="B1691" s="4"/>
      <c r="C1691" s="3">
        <v>0</v>
      </c>
      <c r="D1691" s="3">
        <v>0</v>
      </c>
      <c r="E1691" s="3">
        <v>556</v>
      </c>
      <c r="F1691" s="3">
        <v>1162</v>
      </c>
      <c r="G1691" s="3">
        <v>0</v>
      </c>
      <c r="H1691" s="2">
        <f t="shared" si="52"/>
        <v>1718</v>
      </c>
      <c r="I1691" t="str">
        <f t="shared" si="53"/>
        <v>Dctn6_1718</v>
      </c>
      <c r="J1691" s="3">
        <v>0</v>
      </c>
      <c r="K1691" s="3">
        <v>0</v>
      </c>
      <c r="L1691" s="3">
        <v>556</v>
      </c>
      <c r="M1691" s="3">
        <v>1162</v>
      </c>
      <c r="N1691" s="3">
        <v>0</v>
      </c>
    </row>
    <row r="1692" spans="1:14" x14ac:dyDescent="0.2">
      <c r="A1692" s="5" t="str">
        <f>HYPERLINK("http://www.ncbi.nlm.nih.gov/protein/12963573","Dctpp1")</f>
        <v>Dctpp1</v>
      </c>
      <c r="B1692" s="4"/>
      <c r="C1692" s="3">
        <v>0</v>
      </c>
      <c r="D1692" s="3">
        <v>0</v>
      </c>
      <c r="E1692" s="3">
        <v>0</v>
      </c>
      <c r="F1692" s="3">
        <v>0</v>
      </c>
      <c r="G1692" s="3">
        <v>3427</v>
      </c>
      <c r="H1692" s="2">
        <f t="shared" si="52"/>
        <v>3427</v>
      </c>
      <c r="I1692" t="str">
        <f t="shared" si="53"/>
        <v>Dctpp1_3427</v>
      </c>
      <c r="J1692" s="3">
        <v>0</v>
      </c>
      <c r="K1692" s="3">
        <v>0</v>
      </c>
      <c r="L1692" s="3">
        <v>0</v>
      </c>
      <c r="M1692" s="3">
        <v>0</v>
      </c>
      <c r="N1692" s="3">
        <v>3427</v>
      </c>
    </row>
    <row r="1693" spans="1:14" x14ac:dyDescent="0.2">
      <c r="A1693" s="5" t="str">
        <f>HYPERLINK("http://www.ncbi.nlm.nih.gov/protein/329299048","Dcun1d1")</f>
        <v>Dcun1d1</v>
      </c>
      <c r="B1693" s="4"/>
      <c r="C1693" s="3">
        <v>0</v>
      </c>
      <c r="D1693" s="3">
        <v>610</v>
      </c>
      <c r="E1693" s="3">
        <v>1193</v>
      </c>
      <c r="F1693" s="3">
        <v>4445</v>
      </c>
      <c r="G1693" s="3">
        <v>15165</v>
      </c>
      <c r="H1693" s="2">
        <f t="shared" si="52"/>
        <v>21413</v>
      </c>
      <c r="I1693" t="str">
        <f t="shared" si="53"/>
        <v>Dcun1d1_21413</v>
      </c>
      <c r="J1693" s="3">
        <v>0</v>
      </c>
      <c r="K1693" s="3">
        <v>610</v>
      </c>
      <c r="L1693" s="3">
        <v>1193</v>
      </c>
      <c r="M1693" s="3">
        <v>4445</v>
      </c>
      <c r="N1693" s="3">
        <v>15165</v>
      </c>
    </row>
    <row r="1694" spans="1:14" x14ac:dyDescent="0.2">
      <c r="A1694" s="5" t="str">
        <f>HYPERLINK("http://www.ncbi.nlm.nih.gov/protein/329299050","Dcun1d1")</f>
        <v>Dcun1d1</v>
      </c>
      <c r="B1694" s="4"/>
      <c r="C1694" s="3">
        <v>0</v>
      </c>
      <c r="D1694" s="3">
        <v>610</v>
      </c>
      <c r="E1694" s="3">
        <v>975</v>
      </c>
      <c r="F1694" s="3">
        <v>4445</v>
      </c>
      <c r="G1694" s="3">
        <v>15165</v>
      </c>
      <c r="H1694" s="2">
        <f t="shared" si="52"/>
        <v>21195</v>
      </c>
      <c r="I1694" t="str">
        <f t="shared" si="53"/>
        <v>Dcun1d1_21195</v>
      </c>
      <c r="J1694" s="3">
        <v>0</v>
      </c>
      <c r="K1694" s="3">
        <v>610</v>
      </c>
      <c r="L1694" s="3">
        <v>975</v>
      </c>
      <c r="M1694" s="3">
        <v>4445</v>
      </c>
      <c r="N1694" s="3">
        <v>15165</v>
      </c>
    </row>
    <row r="1695" spans="1:14" x14ac:dyDescent="0.2">
      <c r="A1695" s="5" t="str">
        <f>HYPERLINK("http://www.ncbi.nlm.nih.gov/protein/111162655","Dcun1d2")</f>
        <v>Dcun1d2</v>
      </c>
      <c r="B1695" s="4"/>
      <c r="C1695" s="3">
        <v>0</v>
      </c>
      <c r="D1695" s="3">
        <v>0</v>
      </c>
      <c r="E1695" s="3">
        <v>13</v>
      </c>
      <c r="F1695" s="3">
        <v>0</v>
      </c>
      <c r="G1695" s="3">
        <v>964</v>
      </c>
      <c r="H1695" s="2">
        <f t="shared" si="52"/>
        <v>977</v>
      </c>
      <c r="I1695" t="str">
        <f t="shared" si="53"/>
        <v>Dcun1d2_977</v>
      </c>
      <c r="J1695" s="3">
        <v>0</v>
      </c>
      <c r="K1695" s="3">
        <v>0</v>
      </c>
      <c r="L1695" s="3">
        <v>13</v>
      </c>
      <c r="M1695" s="3">
        <v>0</v>
      </c>
      <c r="N1695" s="3">
        <v>964</v>
      </c>
    </row>
    <row r="1696" spans="1:14" x14ac:dyDescent="0.2">
      <c r="A1696" s="5" t="str">
        <f>HYPERLINK("http://www.ncbi.nlm.nih.gov/protein/111162657","Dcun1d2")</f>
        <v>Dcun1d2</v>
      </c>
      <c r="B1696" s="4"/>
      <c r="C1696" s="3">
        <v>0</v>
      </c>
      <c r="D1696" s="3">
        <v>0</v>
      </c>
      <c r="E1696" s="3">
        <v>13</v>
      </c>
      <c r="F1696" s="3">
        <v>0</v>
      </c>
      <c r="G1696" s="3">
        <v>964</v>
      </c>
      <c r="H1696" s="2">
        <f t="shared" si="52"/>
        <v>977</v>
      </c>
      <c r="I1696" t="str">
        <f t="shared" si="53"/>
        <v>Dcun1d2_977</v>
      </c>
      <c r="J1696" s="3">
        <v>0</v>
      </c>
      <c r="K1696" s="3">
        <v>0</v>
      </c>
      <c r="L1696" s="3">
        <v>13</v>
      </c>
      <c r="M1696" s="3">
        <v>0</v>
      </c>
      <c r="N1696" s="3">
        <v>964</v>
      </c>
    </row>
    <row r="1697" spans="1:14" x14ac:dyDescent="0.2">
      <c r="A1697" s="5" t="str">
        <f>HYPERLINK("http://www.ncbi.nlm.nih.gov/protein/111162659","Dcun1d2")</f>
        <v>Dcun1d2</v>
      </c>
      <c r="B1697" s="4"/>
      <c r="C1697" s="3">
        <v>0</v>
      </c>
      <c r="D1697" s="3">
        <v>0</v>
      </c>
      <c r="E1697" s="3">
        <v>13</v>
      </c>
      <c r="F1697" s="3">
        <v>0</v>
      </c>
      <c r="G1697" s="3">
        <v>964</v>
      </c>
      <c r="H1697" s="2">
        <f t="shared" si="52"/>
        <v>977</v>
      </c>
      <c r="I1697" t="str">
        <f t="shared" si="53"/>
        <v>Dcun1d2_977</v>
      </c>
      <c r="J1697" s="3">
        <v>0</v>
      </c>
      <c r="K1697" s="3">
        <v>0</v>
      </c>
      <c r="L1697" s="3">
        <v>13</v>
      </c>
      <c r="M1697" s="3">
        <v>0</v>
      </c>
      <c r="N1697" s="3">
        <v>964</v>
      </c>
    </row>
    <row r="1698" spans="1:14" x14ac:dyDescent="0.2">
      <c r="A1698" s="5" t="str">
        <f>HYPERLINK("http://www.ncbi.nlm.nih.gov/protein/111162661","Dcun1d2")</f>
        <v>Dcun1d2</v>
      </c>
      <c r="B1698" s="4"/>
      <c r="C1698" s="3">
        <v>0</v>
      </c>
      <c r="D1698" s="3">
        <v>0</v>
      </c>
      <c r="E1698" s="3">
        <v>13</v>
      </c>
      <c r="F1698" s="3">
        <v>0</v>
      </c>
      <c r="G1698" s="3">
        <v>964</v>
      </c>
      <c r="H1698" s="2">
        <f t="shared" si="52"/>
        <v>977</v>
      </c>
      <c r="I1698" t="str">
        <f t="shared" si="53"/>
        <v>Dcun1d2_977</v>
      </c>
      <c r="J1698" s="3">
        <v>0</v>
      </c>
      <c r="K1698" s="3">
        <v>0</v>
      </c>
      <c r="L1698" s="3">
        <v>13</v>
      </c>
      <c r="M1698" s="3">
        <v>0</v>
      </c>
      <c r="N1698" s="3">
        <v>964</v>
      </c>
    </row>
    <row r="1699" spans="1:14" x14ac:dyDescent="0.2">
      <c r="A1699" s="5" t="str">
        <f>HYPERLINK("http://www.ncbi.nlm.nih.gov/protein/23956220","Dcun1d5")</f>
        <v>Dcun1d5</v>
      </c>
      <c r="B1699" s="4"/>
      <c r="C1699" s="3">
        <v>256</v>
      </c>
      <c r="D1699" s="3">
        <v>94</v>
      </c>
      <c r="E1699" s="3">
        <v>35</v>
      </c>
      <c r="F1699" s="3">
        <v>65</v>
      </c>
      <c r="G1699" s="3">
        <v>2420</v>
      </c>
      <c r="H1699" s="2">
        <f t="shared" si="52"/>
        <v>2870</v>
      </c>
      <c r="I1699" t="str">
        <f t="shared" si="53"/>
        <v>Dcun1d5_2870</v>
      </c>
      <c r="J1699" s="3">
        <v>256</v>
      </c>
      <c r="K1699" s="3">
        <v>94</v>
      </c>
      <c r="L1699" s="3">
        <v>35</v>
      </c>
      <c r="M1699" s="3">
        <v>65</v>
      </c>
      <c r="N1699" s="3">
        <v>2420</v>
      </c>
    </row>
    <row r="1700" spans="1:14" x14ac:dyDescent="0.2">
      <c r="A1700" s="5" t="str">
        <f>HYPERLINK("http://www.ncbi.nlm.nih.gov/protein/146134409","Dcxr")</f>
        <v>Dcxr</v>
      </c>
      <c r="B1700" s="4"/>
      <c r="C1700" s="3">
        <v>0</v>
      </c>
      <c r="D1700" s="3">
        <v>468</v>
      </c>
      <c r="E1700" s="3">
        <v>1575</v>
      </c>
      <c r="F1700" s="3">
        <v>1220</v>
      </c>
      <c r="G1700" s="3">
        <v>27534</v>
      </c>
      <c r="H1700" s="2">
        <f t="shared" si="52"/>
        <v>30797</v>
      </c>
      <c r="I1700" t="str">
        <f t="shared" si="53"/>
        <v>Dcxr_30797</v>
      </c>
      <c r="J1700" s="3">
        <v>0</v>
      </c>
      <c r="K1700" s="3">
        <v>468</v>
      </c>
      <c r="L1700" s="3">
        <v>1575</v>
      </c>
      <c r="M1700" s="3">
        <v>1220</v>
      </c>
      <c r="N1700" s="3">
        <v>27534</v>
      </c>
    </row>
    <row r="1701" spans="1:14" x14ac:dyDescent="0.2">
      <c r="A1701" s="5" t="str">
        <f>HYPERLINK("http://www.ncbi.nlm.nih.gov/protein/189491666","Dda1")</f>
        <v>Dda1</v>
      </c>
      <c r="B1701" s="4"/>
      <c r="C1701" s="3">
        <v>0</v>
      </c>
      <c r="D1701" s="3">
        <v>0</v>
      </c>
      <c r="E1701" s="3">
        <v>0</v>
      </c>
      <c r="F1701" s="3">
        <v>3012</v>
      </c>
      <c r="G1701" s="3">
        <v>4262</v>
      </c>
      <c r="H1701" s="2">
        <f t="shared" si="52"/>
        <v>7274</v>
      </c>
      <c r="I1701" t="str">
        <f t="shared" si="53"/>
        <v>Dda1_7274</v>
      </c>
      <c r="J1701" s="3">
        <v>0</v>
      </c>
      <c r="K1701" s="3">
        <v>0</v>
      </c>
      <c r="L1701" s="3">
        <v>0</v>
      </c>
      <c r="M1701" s="3">
        <v>3012</v>
      </c>
      <c r="N1701" s="3">
        <v>4262</v>
      </c>
    </row>
    <row r="1702" spans="1:14" x14ac:dyDescent="0.2">
      <c r="A1702" s="5" t="str">
        <f>HYPERLINK("http://www.ncbi.nlm.nih.gov/protein/38371755","Ddah1")</f>
        <v>Ddah1</v>
      </c>
      <c r="B1702" s="4"/>
      <c r="C1702" s="3">
        <v>0</v>
      </c>
      <c r="D1702" s="3">
        <v>171</v>
      </c>
      <c r="E1702" s="3">
        <v>989</v>
      </c>
      <c r="F1702" s="3">
        <v>0</v>
      </c>
      <c r="G1702" s="3">
        <v>35695</v>
      </c>
      <c r="H1702" s="2">
        <f t="shared" si="52"/>
        <v>36855</v>
      </c>
      <c r="I1702" t="str">
        <f t="shared" si="53"/>
        <v>Ddah1_36855</v>
      </c>
      <c r="J1702" s="3">
        <v>0</v>
      </c>
      <c r="K1702" s="3">
        <v>171</v>
      </c>
      <c r="L1702" s="3">
        <v>989</v>
      </c>
      <c r="M1702" s="3">
        <v>0</v>
      </c>
      <c r="N1702" s="3">
        <v>35695</v>
      </c>
    </row>
    <row r="1703" spans="1:14" x14ac:dyDescent="0.2">
      <c r="A1703" s="5" t="str">
        <f>HYPERLINK("http://www.ncbi.nlm.nih.gov/protein/299522791","Ddah2")</f>
        <v>Ddah2</v>
      </c>
      <c r="B1703" s="4"/>
      <c r="C1703" s="3">
        <v>494</v>
      </c>
      <c r="D1703" s="3">
        <v>4204</v>
      </c>
      <c r="E1703" s="3">
        <v>10511</v>
      </c>
      <c r="F1703" s="3">
        <v>1408</v>
      </c>
      <c r="G1703" s="3">
        <v>58035</v>
      </c>
      <c r="H1703" s="2">
        <f t="shared" si="52"/>
        <v>74652</v>
      </c>
      <c r="I1703" t="str">
        <f t="shared" si="53"/>
        <v>Ddah2_74652</v>
      </c>
      <c r="J1703" s="3">
        <v>494</v>
      </c>
      <c r="K1703" s="3">
        <v>4204</v>
      </c>
      <c r="L1703" s="3">
        <v>10511</v>
      </c>
      <c r="M1703" s="3">
        <v>1408</v>
      </c>
      <c r="N1703" s="3">
        <v>58035</v>
      </c>
    </row>
    <row r="1704" spans="1:14" x14ac:dyDescent="0.2">
      <c r="A1704" s="5" t="str">
        <f>HYPERLINK("http://www.ncbi.nlm.nih.gov/protein/7949035","Ddah2")</f>
        <v>Ddah2</v>
      </c>
      <c r="B1704" s="4"/>
      <c r="C1704" s="3">
        <v>494</v>
      </c>
      <c r="D1704" s="3">
        <v>1599</v>
      </c>
      <c r="E1704" s="3">
        <v>4409</v>
      </c>
      <c r="F1704" s="3">
        <v>90</v>
      </c>
      <c r="G1704" s="3">
        <v>27631</v>
      </c>
      <c r="H1704" s="2">
        <f t="shared" si="52"/>
        <v>34223</v>
      </c>
      <c r="I1704" t="str">
        <f t="shared" si="53"/>
        <v>Ddah2_34223</v>
      </c>
      <c r="J1704" s="3">
        <v>494</v>
      </c>
      <c r="K1704" s="3">
        <v>1599</v>
      </c>
      <c r="L1704" s="3">
        <v>4409</v>
      </c>
      <c r="M1704" s="3">
        <v>90</v>
      </c>
      <c r="N1704" s="3">
        <v>27631</v>
      </c>
    </row>
    <row r="1705" spans="1:14" x14ac:dyDescent="0.2">
      <c r="A1705" s="5" t="str">
        <f>HYPERLINK("http://www.ncbi.nlm.nih.gov/protein/7657011","Ddb1")</f>
        <v>Ddb1</v>
      </c>
      <c r="B1705" s="4"/>
      <c r="C1705" s="3">
        <v>8860</v>
      </c>
      <c r="D1705" s="3">
        <v>3334</v>
      </c>
      <c r="E1705" s="3">
        <v>24216</v>
      </c>
      <c r="F1705" s="3">
        <v>194587</v>
      </c>
      <c r="G1705" s="3">
        <v>298624</v>
      </c>
      <c r="H1705" s="2">
        <f t="shared" si="52"/>
        <v>529621</v>
      </c>
      <c r="I1705" t="str">
        <f t="shared" si="53"/>
        <v>Ddb1_529621</v>
      </c>
      <c r="J1705" s="3">
        <v>8860</v>
      </c>
      <c r="K1705" s="3">
        <v>3334</v>
      </c>
      <c r="L1705" s="3">
        <v>24216</v>
      </c>
      <c r="M1705" s="3">
        <v>194587</v>
      </c>
      <c r="N1705" s="3">
        <v>298624</v>
      </c>
    </row>
    <row r="1706" spans="1:14" x14ac:dyDescent="0.2">
      <c r="A1706" s="5" t="str">
        <f>HYPERLINK("http://www.ncbi.nlm.nih.gov/protein/63003917","Ddi2")</f>
        <v>Ddi2</v>
      </c>
      <c r="B1706" s="4"/>
      <c r="C1706" s="3">
        <v>0</v>
      </c>
      <c r="D1706" s="3">
        <v>365</v>
      </c>
      <c r="E1706" s="3">
        <v>34</v>
      </c>
      <c r="F1706" s="3">
        <v>0</v>
      </c>
      <c r="G1706" s="3">
        <v>11491</v>
      </c>
      <c r="H1706" s="2">
        <f t="shared" si="52"/>
        <v>11890</v>
      </c>
      <c r="I1706" t="str">
        <f t="shared" si="53"/>
        <v>Ddi2_11890</v>
      </c>
      <c r="J1706" s="3">
        <v>0</v>
      </c>
      <c r="K1706" s="3">
        <v>365</v>
      </c>
      <c r="L1706" s="3">
        <v>34</v>
      </c>
      <c r="M1706" s="3">
        <v>0</v>
      </c>
      <c r="N1706" s="3">
        <v>11491</v>
      </c>
    </row>
    <row r="1707" spans="1:14" x14ac:dyDescent="0.2">
      <c r="A1707" s="5" t="str">
        <f>HYPERLINK("http://www.ncbi.nlm.nih.gov/protein/46195798","Ddost")</f>
        <v>Ddost</v>
      </c>
      <c r="B1707" s="4"/>
      <c r="C1707" s="3">
        <v>82011</v>
      </c>
      <c r="D1707" s="3">
        <v>32421</v>
      </c>
      <c r="E1707" s="3">
        <v>20760</v>
      </c>
      <c r="F1707" s="3">
        <v>0</v>
      </c>
      <c r="G1707" s="3">
        <v>0</v>
      </c>
      <c r="H1707" s="2">
        <f t="shared" si="52"/>
        <v>135192</v>
      </c>
      <c r="I1707" t="str">
        <f t="shared" si="53"/>
        <v>Ddost_135192</v>
      </c>
      <c r="J1707" s="3">
        <v>82011</v>
      </c>
      <c r="K1707" s="3">
        <v>32421</v>
      </c>
      <c r="L1707" s="3">
        <v>20760</v>
      </c>
      <c r="M1707" s="3">
        <v>0</v>
      </c>
      <c r="N1707" s="3">
        <v>0</v>
      </c>
    </row>
    <row r="1708" spans="1:14" x14ac:dyDescent="0.2">
      <c r="A1708" s="5" t="str">
        <f>HYPERLINK("http://www.ncbi.nlm.nih.gov/protein/110350660","Ddrgk1")</f>
        <v>Ddrgk1</v>
      </c>
      <c r="B1708" s="4"/>
      <c r="C1708" s="3">
        <v>0</v>
      </c>
      <c r="D1708" s="3">
        <v>58</v>
      </c>
      <c r="E1708" s="3">
        <v>0</v>
      </c>
      <c r="F1708" s="3">
        <v>0</v>
      </c>
      <c r="G1708" s="3">
        <v>0</v>
      </c>
      <c r="H1708" s="2">
        <f t="shared" si="52"/>
        <v>58</v>
      </c>
      <c r="I1708" t="str">
        <f t="shared" si="53"/>
        <v>Ddrgk1_58</v>
      </c>
      <c r="J1708" s="3">
        <v>0</v>
      </c>
      <c r="K1708" s="3">
        <v>58</v>
      </c>
      <c r="L1708" s="3">
        <v>0</v>
      </c>
      <c r="M1708" s="3">
        <v>0</v>
      </c>
      <c r="N1708" s="3">
        <v>0</v>
      </c>
    </row>
    <row r="1709" spans="1:14" x14ac:dyDescent="0.2">
      <c r="A1709" s="5" t="str">
        <f>HYPERLINK("http://www.ncbi.nlm.nih.gov/protein/6753618","Ddt")</f>
        <v>Ddt</v>
      </c>
      <c r="B1709" s="4"/>
      <c r="C1709" s="3">
        <v>2581</v>
      </c>
      <c r="D1709" s="3">
        <v>5743</v>
      </c>
      <c r="E1709" s="3">
        <v>3190</v>
      </c>
      <c r="F1709" s="3">
        <v>3520</v>
      </c>
      <c r="G1709" s="3">
        <v>53697</v>
      </c>
      <c r="H1709" s="2">
        <f t="shared" si="52"/>
        <v>68731</v>
      </c>
      <c r="I1709" t="str">
        <f t="shared" si="53"/>
        <v>Ddt_68731</v>
      </c>
      <c r="J1709" s="3">
        <v>2581</v>
      </c>
      <c r="K1709" s="3">
        <v>5743</v>
      </c>
      <c r="L1709" s="3">
        <v>3190</v>
      </c>
      <c r="M1709" s="3">
        <v>3520</v>
      </c>
      <c r="N1709" s="3">
        <v>53697</v>
      </c>
    </row>
    <row r="1710" spans="1:14" x14ac:dyDescent="0.2">
      <c r="A1710" s="5" t="str">
        <f>HYPERLINK("http://www.ncbi.nlm.nih.gov/protein/19527256","Ddx1")</f>
        <v>Ddx1</v>
      </c>
      <c r="B1710" s="4"/>
      <c r="C1710" s="3">
        <v>5327</v>
      </c>
      <c r="D1710" s="3">
        <v>5697</v>
      </c>
      <c r="E1710" s="3">
        <v>97636</v>
      </c>
      <c r="F1710" s="3">
        <v>92849</v>
      </c>
      <c r="G1710" s="3">
        <v>50024</v>
      </c>
      <c r="H1710" s="2">
        <f t="shared" si="52"/>
        <v>251533</v>
      </c>
      <c r="I1710" t="str">
        <f t="shared" si="53"/>
        <v>Ddx1_251533</v>
      </c>
      <c r="J1710" s="3">
        <v>5327</v>
      </c>
      <c r="K1710" s="3">
        <v>5697</v>
      </c>
      <c r="L1710" s="3">
        <v>97636</v>
      </c>
      <c r="M1710" s="3">
        <v>92849</v>
      </c>
      <c r="N1710" s="3">
        <v>50024</v>
      </c>
    </row>
    <row r="1711" spans="1:14" x14ac:dyDescent="0.2">
      <c r="A1711" s="5" t="str">
        <f>HYPERLINK("http://www.ncbi.nlm.nih.gov/protein/40068489","Ddx17")</f>
        <v>Ddx17</v>
      </c>
      <c r="B1711" s="4"/>
      <c r="C1711" s="3">
        <v>147199</v>
      </c>
      <c r="D1711" s="3">
        <v>3935</v>
      </c>
      <c r="E1711" s="3">
        <v>23235</v>
      </c>
      <c r="F1711" s="3">
        <v>23591</v>
      </c>
      <c r="G1711" s="3">
        <v>0</v>
      </c>
      <c r="H1711" s="2">
        <f t="shared" si="52"/>
        <v>197960</v>
      </c>
      <c r="I1711" t="str">
        <f t="shared" si="53"/>
        <v>Ddx17_197960</v>
      </c>
      <c r="J1711" s="3">
        <v>147199</v>
      </c>
      <c r="K1711" s="3">
        <v>3935</v>
      </c>
      <c r="L1711" s="3">
        <v>23235</v>
      </c>
      <c r="M1711" s="3">
        <v>23591</v>
      </c>
      <c r="N1711" s="3">
        <v>0</v>
      </c>
    </row>
    <row r="1712" spans="1:14" x14ac:dyDescent="0.2">
      <c r="A1712" s="5" t="str">
        <f>HYPERLINK("http://www.ncbi.nlm.nih.gov/protein/40068491","Ddx17")</f>
        <v>Ddx17</v>
      </c>
      <c r="B1712" s="4"/>
      <c r="C1712" s="3">
        <v>976351</v>
      </c>
      <c r="D1712" s="3">
        <v>21153</v>
      </c>
      <c r="E1712" s="3">
        <v>109909</v>
      </c>
      <c r="F1712" s="3">
        <v>154404</v>
      </c>
      <c r="G1712" s="3">
        <v>289</v>
      </c>
      <c r="H1712" s="2">
        <f t="shared" si="52"/>
        <v>1262106</v>
      </c>
      <c r="I1712" t="str">
        <f t="shared" si="53"/>
        <v>Ddx17_1262106</v>
      </c>
      <c r="J1712" s="3">
        <v>976351</v>
      </c>
      <c r="K1712" s="3">
        <v>21153</v>
      </c>
      <c r="L1712" s="3">
        <v>109909</v>
      </c>
      <c r="M1712" s="3">
        <v>154404</v>
      </c>
      <c r="N1712" s="3">
        <v>289</v>
      </c>
    </row>
    <row r="1713" spans="1:14" x14ac:dyDescent="0.2">
      <c r="A1713" s="5" t="str">
        <f>HYPERLINK("http://www.ncbi.nlm.nih.gov/protein/40068493","Ddx17")</f>
        <v>Ddx17</v>
      </c>
      <c r="B1713" s="4"/>
      <c r="C1713" s="3">
        <v>1123550</v>
      </c>
      <c r="D1713" s="3">
        <v>25739</v>
      </c>
      <c r="E1713" s="3">
        <v>136888</v>
      </c>
      <c r="F1713" s="3">
        <v>177995</v>
      </c>
      <c r="G1713" s="3">
        <v>289</v>
      </c>
      <c r="H1713" s="2">
        <f t="shared" si="52"/>
        <v>1464461</v>
      </c>
      <c r="I1713" t="str">
        <f t="shared" si="53"/>
        <v>Ddx17_1464461</v>
      </c>
      <c r="J1713" s="3">
        <v>1123550</v>
      </c>
      <c r="K1713" s="3">
        <v>25739</v>
      </c>
      <c r="L1713" s="3">
        <v>136888</v>
      </c>
      <c r="M1713" s="3">
        <v>177995</v>
      </c>
      <c r="N1713" s="3">
        <v>289</v>
      </c>
    </row>
    <row r="1714" spans="1:14" x14ac:dyDescent="0.2">
      <c r="A1714" s="5" t="str">
        <f>HYPERLINK("http://www.ncbi.nlm.nih.gov/protein/93587673","Ddx17")</f>
        <v>Ddx17</v>
      </c>
      <c r="B1714" s="4"/>
      <c r="C1714" s="3">
        <v>1123550</v>
      </c>
      <c r="D1714" s="3">
        <v>25739</v>
      </c>
      <c r="E1714" s="3">
        <v>136888</v>
      </c>
      <c r="F1714" s="3">
        <v>177831</v>
      </c>
      <c r="G1714" s="3">
        <v>289</v>
      </c>
      <c r="H1714" s="2">
        <f t="shared" si="52"/>
        <v>1464297</v>
      </c>
      <c r="I1714" t="str">
        <f t="shared" si="53"/>
        <v>Ddx17_1464297</v>
      </c>
      <c r="J1714" s="3">
        <v>1123550</v>
      </c>
      <c r="K1714" s="3">
        <v>25739</v>
      </c>
      <c r="L1714" s="3">
        <v>136888</v>
      </c>
      <c r="M1714" s="3">
        <v>177831</v>
      </c>
      <c r="N1714" s="3">
        <v>289</v>
      </c>
    </row>
    <row r="1715" spans="1:14" x14ac:dyDescent="0.2">
      <c r="A1715" s="5" t="str">
        <f>HYPERLINK("http://www.ncbi.nlm.nih.gov/protein/31981163","Ddx18")</f>
        <v>Ddx18</v>
      </c>
      <c r="B1715" s="4"/>
      <c r="C1715" s="3">
        <v>2856</v>
      </c>
      <c r="D1715" s="3">
        <v>0</v>
      </c>
      <c r="E1715" s="3">
        <v>284</v>
      </c>
      <c r="F1715" s="3">
        <v>1629</v>
      </c>
      <c r="G1715" s="3">
        <v>0</v>
      </c>
      <c r="H1715" s="2">
        <f t="shared" si="52"/>
        <v>4769</v>
      </c>
      <c r="I1715" t="str">
        <f t="shared" si="53"/>
        <v>Ddx18_4769</v>
      </c>
      <c r="J1715" s="3">
        <v>2856</v>
      </c>
      <c r="K1715" s="3">
        <v>0</v>
      </c>
      <c r="L1715" s="3">
        <v>284</v>
      </c>
      <c r="M1715" s="3">
        <v>1629</v>
      </c>
      <c r="N1715" s="3">
        <v>0</v>
      </c>
    </row>
    <row r="1716" spans="1:14" x14ac:dyDescent="0.2">
      <c r="A1716" s="5" t="str">
        <f>HYPERLINK("http://www.ncbi.nlm.nih.gov/protein/170932536","Ddx19a")</f>
        <v>Ddx19a</v>
      </c>
      <c r="B1716" s="4"/>
      <c r="C1716" s="3">
        <v>1410</v>
      </c>
      <c r="D1716" s="3">
        <v>3851</v>
      </c>
      <c r="E1716" s="3">
        <v>8625</v>
      </c>
      <c r="F1716" s="3">
        <v>13703</v>
      </c>
      <c r="G1716" s="3">
        <v>88203</v>
      </c>
      <c r="H1716" s="2">
        <f t="shared" si="52"/>
        <v>115792</v>
      </c>
      <c r="I1716" t="str">
        <f t="shared" si="53"/>
        <v>Ddx19a_115792</v>
      </c>
      <c r="J1716" s="3">
        <v>1410</v>
      </c>
      <c r="K1716" s="3">
        <v>3851</v>
      </c>
      <c r="L1716" s="3">
        <v>8625</v>
      </c>
      <c r="M1716" s="3">
        <v>13703</v>
      </c>
      <c r="N1716" s="3">
        <v>88203</v>
      </c>
    </row>
    <row r="1717" spans="1:14" x14ac:dyDescent="0.2">
      <c r="A1717" s="5" t="str">
        <f>HYPERLINK("http://www.ncbi.nlm.nih.gov/protein/26986593","Ddx19b")</f>
        <v>Ddx19b</v>
      </c>
      <c r="B1717" s="4"/>
      <c r="C1717" s="3">
        <v>0</v>
      </c>
      <c r="D1717" s="3">
        <v>3106</v>
      </c>
      <c r="E1717" s="3">
        <v>8022</v>
      </c>
      <c r="F1717" s="3">
        <v>12655</v>
      </c>
      <c r="G1717" s="3">
        <v>87368</v>
      </c>
      <c r="H1717" s="2">
        <f t="shared" si="52"/>
        <v>111151</v>
      </c>
      <c r="I1717" t="str">
        <f t="shared" si="53"/>
        <v>Ddx19b_111151</v>
      </c>
      <c r="J1717" s="3">
        <v>0</v>
      </c>
      <c r="K1717" s="3">
        <v>3106</v>
      </c>
      <c r="L1717" s="3">
        <v>8022</v>
      </c>
      <c r="M1717" s="3">
        <v>12655</v>
      </c>
      <c r="N1717" s="3">
        <v>87368</v>
      </c>
    </row>
    <row r="1718" spans="1:14" x14ac:dyDescent="0.2">
      <c r="A1718" s="5" t="str">
        <f>HYPERLINK("http://www.ncbi.nlm.nih.gov/protein/299890779","Ddx19b")</f>
        <v>Ddx19b</v>
      </c>
      <c r="B1718" s="4"/>
      <c r="C1718" s="3">
        <v>0</v>
      </c>
      <c r="D1718" s="3">
        <v>1275</v>
      </c>
      <c r="E1718" s="3">
        <v>6384</v>
      </c>
      <c r="F1718" s="3">
        <v>8456</v>
      </c>
      <c r="G1718" s="3">
        <v>79743</v>
      </c>
      <c r="H1718" s="2">
        <f t="shared" si="52"/>
        <v>95858</v>
      </c>
      <c r="I1718" t="str">
        <f t="shared" si="53"/>
        <v>Ddx19b_95858</v>
      </c>
      <c r="J1718" s="3">
        <v>0</v>
      </c>
      <c r="K1718" s="3">
        <v>1275</v>
      </c>
      <c r="L1718" s="3">
        <v>6384</v>
      </c>
      <c r="M1718" s="3">
        <v>8456</v>
      </c>
      <c r="N1718" s="3">
        <v>79743</v>
      </c>
    </row>
    <row r="1719" spans="1:14" x14ac:dyDescent="0.2">
      <c r="A1719" s="5" t="str">
        <f>HYPERLINK("http://www.ncbi.nlm.nih.gov/protein/299890868","Ddx19b")</f>
        <v>Ddx19b</v>
      </c>
      <c r="B1719" s="4"/>
      <c r="C1719" s="3">
        <v>0</v>
      </c>
      <c r="D1719" s="3">
        <v>3106</v>
      </c>
      <c r="E1719" s="3">
        <v>8022</v>
      </c>
      <c r="F1719" s="3">
        <v>12655</v>
      </c>
      <c r="G1719" s="3">
        <v>87368</v>
      </c>
      <c r="H1719" s="2">
        <f t="shared" si="52"/>
        <v>111151</v>
      </c>
      <c r="I1719" t="str">
        <f t="shared" si="53"/>
        <v>Ddx19b_111151</v>
      </c>
      <c r="J1719" s="3">
        <v>0</v>
      </c>
      <c r="K1719" s="3">
        <v>3106</v>
      </c>
      <c r="L1719" s="3">
        <v>8022</v>
      </c>
      <c r="M1719" s="3">
        <v>12655</v>
      </c>
      <c r="N1719" s="3">
        <v>87368</v>
      </c>
    </row>
    <row r="1720" spans="1:14" x14ac:dyDescent="0.2">
      <c r="A1720" s="5" t="str">
        <f>HYPERLINK("http://www.ncbi.nlm.nih.gov/protein/72384374","Ddx21")</f>
        <v>Ddx21</v>
      </c>
      <c r="B1720" s="4"/>
      <c r="C1720" s="3">
        <v>94441</v>
      </c>
      <c r="D1720" s="3">
        <v>238</v>
      </c>
      <c r="E1720" s="3">
        <v>9348</v>
      </c>
      <c r="F1720" s="3">
        <v>1727</v>
      </c>
      <c r="G1720" s="3">
        <v>118</v>
      </c>
      <c r="H1720" s="2">
        <f t="shared" si="52"/>
        <v>105872</v>
      </c>
      <c r="I1720" t="str">
        <f t="shared" si="53"/>
        <v>Ddx21_105872</v>
      </c>
      <c r="J1720" s="3">
        <v>94441</v>
      </c>
      <c r="K1720" s="3">
        <v>238</v>
      </c>
      <c r="L1720" s="3">
        <v>9348</v>
      </c>
      <c r="M1720" s="3">
        <v>1727</v>
      </c>
      <c r="N1720" s="3">
        <v>118</v>
      </c>
    </row>
    <row r="1721" spans="1:14" x14ac:dyDescent="0.2">
      <c r="A1721" s="5" t="str">
        <f>HYPERLINK("http://www.ncbi.nlm.nih.gov/protein/124430514","Ddx23")</f>
        <v>Ddx23</v>
      </c>
      <c r="B1721" s="4"/>
      <c r="C1721" s="3">
        <v>1208</v>
      </c>
      <c r="D1721" s="3">
        <v>2668</v>
      </c>
      <c r="E1721" s="3">
        <v>1057</v>
      </c>
      <c r="F1721" s="3">
        <v>11443</v>
      </c>
      <c r="G1721" s="3">
        <v>0</v>
      </c>
      <c r="H1721" s="2">
        <f t="shared" si="52"/>
        <v>16376</v>
      </c>
      <c r="I1721" t="str">
        <f t="shared" si="53"/>
        <v>Ddx23_16376</v>
      </c>
      <c r="J1721" s="3">
        <v>1208</v>
      </c>
      <c r="K1721" s="3">
        <v>2668</v>
      </c>
      <c r="L1721" s="3">
        <v>1057</v>
      </c>
      <c r="M1721" s="3">
        <v>11443</v>
      </c>
      <c r="N1721" s="3">
        <v>0</v>
      </c>
    </row>
    <row r="1722" spans="1:14" x14ac:dyDescent="0.2">
      <c r="A1722" s="5" t="str">
        <f>HYPERLINK("http://www.ncbi.nlm.nih.gov/protein/226958385","Ddx24")</f>
        <v>Ddx24</v>
      </c>
      <c r="B1722" s="4"/>
      <c r="C1722" s="3">
        <v>0</v>
      </c>
      <c r="D1722" s="3">
        <v>0</v>
      </c>
      <c r="E1722" s="3">
        <v>127</v>
      </c>
      <c r="F1722" s="3">
        <v>467</v>
      </c>
      <c r="G1722" s="3">
        <v>21</v>
      </c>
      <c r="H1722" s="2">
        <f t="shared" si="52"/>
        <v>615</v>
      </c>
      <c r="I1722" t="str">
        <f t="shared" si="53"/>
        <v>Ddx24_615</v>
      </c>
      <c r="J1722" s="3">
        <v>0</v>
      </c>
      <c r="K1722" s="3">
        <v>0</v>
      </c>
      <c r="L1722" s="3">
        <v>127</v>
      </c>
      <c r="M1722" s="3">
        <v>467</v>
      </c>
      <c r="N1722" s="3">
        <v>21</v>
      </c>
    </row>
    <row r="1723" spans="1:14" x14ac:dyDescent="0.2">
      <c r="A1723" s="5" t="str">
        <f>HYPERLINK("http://www.ncbi.nlm.nih.gov/protein/34328253","Ddx24")</f>
        <v>Ddx24</v>
      </c>
      <c r="B1723" s="4"/>
      <c r="C1723" s="3">
        <v>0</v>
      </c>
      <c r="D1723" s="3">
        <v>0</v>
      </c>
      <c r="E1723" s="3">
        <v>127</v>
      </c>
      <c r="F1723" s="3">
        <v>467</v>
      </c>
      <c r="G1723" s="3">
        <v>21</v>
      </c>
      <c r="H1723" s="2">
        <f t="shared" si="52"/>
        <v>615</v>
      </c>
      <c r="I1723" t="str">
        <f t="shared" si="53"/>
        <v>Ddx24_615</v>
      </c>
      <c r="J1723" s="3">
        <v>0</v>
      </c>
      <c r="K1723" s="3">
        <v>0</v>
      </c>
      <c r="L1723" s="3">
        <v>127</v>
      </c>
      <c r="M1723" s="3">
        <v>467</v>
      </c>
      <c r="N1723" s="3">
        <v>21</v>
      </c>
    </row>
    <row r="1724" spans="1:14" x14ac:dyDescent="0.2">
      <c r="A1724" s="5" t="str">
        <f>HYPERLINK("http://www.ncbi.nlm.nih.gov/protein/163914388","Ddx25")</f>
        <v>Ddx25</v>
      </c>
      <c r="B1724" s="4"/>
      <c r="C1724" s="3">
        <v>0</v>
      </c>
      <c r="D1724" s="3">
        <v>745</v>
      </c>
      <c r="E1724" s="3">
        <v>1086</v>
      </c>
      <c r="F1724" s="3">
        <v>1048</v>
      </c>
      <c r="G1724" s="3">
        <v>31282</v>
      </c>
      <c r="H1724" s="2">
        <f t="shared" si="52"/>
        <v>34161</v>
      </c>
      <c r="I1724" t="str">
        <f t="shared" si="53"/>
        <v>Ddx25_34161</v>
      </c>
      <c r="J1724" s="3">
        <v>0</v>
      </c>
      <c r="K1724" s="3">
        <v>745</v>
      </c>
      <c r="L1724" s="3">
        <v>1086</v>
      </c>
      <c r="M1724" s="3">
        <v>1048</v>
      </c>
      <c r="N1724" s="3">
        <v>31282</v>
      </c>
    </row>
    <row r="1725" spans="1:14" x14ac:dyDescent="0.2">
      <c r="A1725" s="5" t="str">
        <f>HYPERLINK("http://www.ncbi.nlm.nih.gov/protein/124249330","Ddx27")</f>
        <v>Ddx27</v>
      </c>
      <c r="B1725" s="4"/>
      <c r="C1725" s="3">
        <v>0</v>
      </c>
      <c r="D1725" s="3">
        <v>0</v>
      </c>
      <c r="E1725" s="3">
        <v>2409</v>
      </c>
      <c r="F1725" s="3">
        <v>1400</v>
      </c>
      <c r="G1725" s="3">
        <v>0</v>
      </c>
      <c r="H1725" s="2">
        <f t="shared" si="52"/>
        <v>3809</v>
      </c>
      <c r="I1725" t="str">
        <f t="shared" si="53"/>
        <v>Ddx27_3809</v>
      </c>
      <c r="J1725" s="3">
        <v>0</v>
      </c>
      <c r="K1725" s="3">
        <v>0</v>
      </c>
      <c r="L1725" s="3">
        <v>2409</v>
      </c>
      <c r="M1725" s="3">
        <v>1400</v>
      </c>
      <c r="N1725" s="3">
        <v>0</v>
      </c>
    </row>
    <row r="1726" spans="1:14" x14ac:dyDescent="0.2">
      <c r="A1726" s="5" t="str">
        <f>HYPERLINK("http://www.ncbi.nlm.nih.gov/protein/255069809","Ddx28")</f>
        <v>Ddx28</v>
      </c>
      <c r="B1726" s="4"/>
      <c r="C1726" s="3">
        <v>0</v>
      </c>
      <c r="D1726" s="3">
        <v>165</v>
      </c>
      <c r="E1726" s="3">
        <v>0</v>
      </c>
      <c r="F1726" s="3">
        <v>0</v>
      </c>
      <c r="G1726" s="3">
        <v>0</v>
      </c>
      <c r="H1726" s="2">
        <f t="shared" si="52"/>
        <v>165</v>
      </c>
      <c r="I1726" t="str">
        <f t="shared" si="53"/>
        <v>Ddx28_165</v>
      </c>
      <c r="J1726" s="3">
        <v>0</v>
      </c>
      <c r="K1726" s="3">
        <v>165</v>
      </c>
      <c r="L1726" s="3">
        <v>0</v>
      </c>
      <c r="M1726" s="3">
        <v>0</v>
      </c>
      <c r="N1726" s="3">
        <v>0</v>
      </c>
    </row>
    <row r="1727" spans="1:14" x14ac:dyDescent="0.2">
      <c r="A1727" s="5" t="str">
        <f>HYPERLINK("http://www.ncbi.nlm.nih.gov/protein/254675193","Ddx31")</f>
        <v>Ddx31</v>
      </c>
      <c r="B1727" s="4"/>
      <c r="C1727" s="3">
        <v>0</v>
      </c>
      <c r="D1727" s="3">
        <v>0</v>
      </c>
      <c r="E1727" s="3">
        <v>265</v>
      </c>
      <c r="F1727" s="3">
        <v>0</v>
      </c>
      <c r="G1727" s="3">
        <v>0</v>
      </c>
      <c r="H1727" s="2">
        <f t="shared" si="52"/>
        <v>265</v>
      </c>
      <c r="I1727" t="str">
        <f t="shared" si="53"/>
        <v>Ddx31_265</v>
      </c>
      <c r="J1727" s="3">
        <v>0</v>
      </c>
      <c r="K1727" s="3">
        <v>0</v>
      </c>
      <c r="L1727" s="3">
        <v>265</v>
      </c>
      <c r="M1727" s="3">
        <v>0</v>
      </c>
      <c r="N1727" s="3">
        <v>0</v>
      </c>
    </row>
    <row r="1728" spans="1:14" x14ac:dyDescent="0.2">
      <c r="A1728" s="5" t="str">
        <f>HYPERLINK("http://www.ncbi.nlm.nih.gov/protein/38372907","Ddx39")</f>
        <v>Ddx39</v>
      </c>
      <c r="B1728" s="4"/>
      <c r="C1728" s="3">
        <v>720140</v>
      </c>
      <c r="D1728" s="3">
        <v>20253</v>
      </c>
      <c r="E1728" s="3">
        <v>49931</v>
      </c>
      <c r="F1728" s="3">
        <v>71935</v>
      </c>
      <c r="G1728" s="3">
        <v>111047</v>
      </c>
      <c r="H1728" s="2">
        <f t="shared" si="52"/>
        <v>973306</v>
      </c>
      <c r="I1728" t="str">
        <f t="shared" si="53"/>
        <v>Ddx39_973306</v>
      </c>
      <c r="J1728" s="3">
        <v>720140</v>
      </c>
      <c r="K1728" s="3">
        <v>20253</v>
      </c>
      <c r="L1728" s="3">
        <v>49931</v>
      </c>
      <c r="M1728" s="3">
        <v>71935</v>
      </c>
      <c r="N1728" s="3">
        <v>111047</v>
      </c>
    </row>
    <row r="1729" spans="1:14" x14ac:dyDescent="0.2">
      <c r="A1729" s="5" t="str">
        <f>HYPERLINK("http://www.ncbi.nlm.nih.gov/protein/356995868","Ddx39b")</f>
        <v>Ddx39b</v>
      </c>
      <c r="B1729" s="4"/>
      <c r="C1729" s="3">
        <v>740753</v>
      </c>
      <c r="D1729" s="3">
        <v>16377</v>
      </c>
      <c r="E1729" s="3">
        <v>48832</v>
      </c>
      <c r="F1729" s="3">
        <v>93496</v>
      </c>
      <c r="G1729" s="3">
        <v>116851</v>
      </c>
      <c r="H1729" s="2">
        <f t="shared" si="52"/>
        <v>1016309</v>
      </c>
      <c r="I1729" t="str">
        <f t="shared" si="53"/>
        <v>Ddx39b_1016309</v>
      </c>
      <c r="J1729" s="3">
        <v>740753</v>
      </c>
      <c r="K1729" s="3">
        <v>16377</v>
      </c>
      <c r="L1729" s="3">
        <v>48832</v>
      </c>
      <c r="M1729" s="3">
        <v>93496</v>
      </c>
      <c r="N1729" s="3">
        <v>116851</v>
      </c>
    </row>
    <row r="1730" spans="1:14" x14ac:dyDescent="0.2">
      <c r="A1730" s="5" t="str">
        <f>HYPERLINK("http://www.ncbi.nlm.nih.gov/protein/6753620","Ddx3x")</f>
        <v>Ddx3x</v>
      </c>
      <c r="B1730" s="4"/>
      <c r="C1730" s="3">
        <v>134696</v>
      </c>
      <c r="D1730" s="3">
        <v>20184</v>
      </c>
      <c r="E1730" s="3">
        <v>119844</v>
      </c>
      <c r="F1730" s="3">
        <v>118609</v>
      </c>
      <c r="G1730" s="3">
        <v>375</v>
      </c>
      <c r="H1730" s="2">
        <f t="shared" ref="H1730:H1793" si="54">SUM(C1730:G1730)</f>
        <v>393708</v>
      </c>
      <c r="I1730" t="str">
        <f t="shared" ref="I1730:I1793" si="55">A1730&amp;"_"&amp;H1730</f>
        <v>Ddx3x_393708</v>
      </c>
      <c r="J1730" s="3">
        <v>134696</v>
      </c>
      <c r="K1730" s="3">
        <v>20184</v>
      </c>
      <c r="L1730" s="3">
        <v>119844</v>
      </c>
      <c r="M1730" s="3">
        <v>118609</v>
      </c>
      <c r="N1730" s="3">
        <v>375</v>
      </c>
    </row>
    <row r="1731" spans="1:14" x14ac:dyDescent="0.2">
      <c r="A1731" s="5" t="str">
        <f>HYPERLINK("http://www.ncbi.nlm.nih.gov/protein/25141235","Ddx3y")</f>
        <v>Ddx3y</v>
      </c>
      <c r="B1731" s="4"/>
      <c r="C1731" s="3">
        <v>105992</v>
      </c>
      <c r="D1731" s="3">
        <v>15128</v>
      </c>
      <c r="E1731" s="3">
        <v>95079</v>
      </c>
      <c r="F1731" s="3">
        <v>93586</v>
      </c>
      <c r="G1731" s="3">
        <v>0</v>
      </c>
      <c r="H1731" s="2">
        <f t="shared" si="54"/>
        <v>309785</v>
      </c>
      <c r="I1731" t="str">
        <f t="shared" si="55"/>
        <v>Ddx3y_309785</v>
      </c>
      <c r="J1731" s="3">
        <v>105992</v>
      </c>
      <c r="K1731" s="3">
        <v>15128</v>
      </c>
      <c r="L1731" s="3">
        <v>95079</v>
      </c>
      <c r="M1731" s="3">
        <v>93586</v>
      </c>
      <c r="N1731" s="3">
        <v>0</v>
      </c>
    </row>
    <row r="1732" spans="1:14" x14ac:dyDescent="0.2">
      <c r="A1732" s="5" t="str">
        <f>HYPERLINK("http://www.ncbi.nlm.nih.gov/protein/225007636","Ddx4")</f>
        <v>Ddx4</v>
      </c>
      <c r="B1732" s="4"/>
      <c r="C1732" s="3">
        <v>0</v>
      </c>
      <c r="D1732" s="3">
        <v>1958</v>
      </c>
      <c r="E1732" s="3">
        <v>13199</v>
      </c>
      <c r="F1732" s="3">
        <v>7498</v>
      </c>
      <c r="G1732" s="3">
        <v>0</v>
      </c>
      <c r="H1732" s="2">
        <f t="shared" si="54"/>
        <v>22655</v>
      </c>
      <c r="I1732" t="str">
        <f t="shared" si="55"/>
        <v>Ddx4_22655</v>
      </c>
      <c r="J1732" s="3">
        <v>0</v>
      </c>
      <c r="K1732" s="3">
        <v>1958</v>
      </c>
      <c r="L1732" s="3">
        <v>13199</v>
      </c>
      <c r="M1732" s="3">
        <v>7498</v>
      </c>
      <c r="N1732" s="3">
        <v>0</v>
      </c>
    </row>
    <row r="1733" spans="1:14" x14ac:dyDescent="0.2">
      <c r="A1733" s="5" t="str">
        <f>HYPERLINK("http://www.ncbi.nlm.nih.gov/protein/33859536","Ddx4")</f>
        <v>Ddx4</v>
      </c>
      <c r="B1733" s="4"/>
      <c r="C1733" s="3">
        <v>0</v>
      </c>
      <c r="D1733" s="3">
        <v>1958</v>
      </c>
      <c r="E1733" s="3">
        <v>13199</v>
      </c>
      <c r="F1733" s="3">
        <v>7498</v>
      </c>
      <c r="G1733" s="3">
        <v>0</v>
      </c>
      <c r="H1733" s="2">
        <f t="shared" si="54"/>
        <v>22655</v>
      </c>
      <c r="I1733" t="str">
        <f t="shared" si="55"/>
        <v>Ddx4_22655</v>
      </c>
      <c r="J1733" s="3">
        <v>0</v>
      </c>
      <c r="K1733" s="3">
        <v>1958</v>
      </c>
      <c r="L1733" s="3">
        <v>13199</v>
      </c>
      <c r="M1733" s="3">
        <v>7498</v>
      </c>
      <c r="N1733" s="3">
        <v>0</v>
      </c>
    </row>
    <row r="1734" spans="1:14" x14ac:dyDescent="0.2">
      <c r="A1734" s="5" t="str">
        <f>HYPERLINK("http://www.ncbi.nlm.nih.gov/protein/270047502","Ddx41")</f>
        <v>Ddx41</v>
      </c>
      <c r="B1734" s="4"/>
      <c r="C1734" s="3">
        <v>0</v>
      </c>
      <c r="D1734" s="3">
        <v>0</v>
      </c>
      <c r="E1734" s="3">
        <v>7337</v>
      </c>
      <c r="F1734" s="3">
        <v>1907</v>
      </c>
      <c r="G1734" s="3">
        <v>0</v>
      </c>
      <c r="H1734" s="2">
        <f t="shared" si="54"/>
        <v>9244</v>
      </c>
      <c r="I1734" t="str">
        <f t="shared" si="55"/>
        <v>Ddx41_9244</v>
      </c>
      <c r="J1734" s="3">
        <v>0</v>
      </c>
      <c r="K1734" s="3">
        <v>0</v>
      </c>
      <c r="L1734" s="3">
        <v>7337</v>
      </c>
      <c r="M1734" s="3">
        <v>1907</v>
      </c>
      <c r="N1734" s="3">
        <v>0</v>
      </c>
    </row>
    <row r="1735" spans="1:14" x14ac:dyDescent="0.2">
      <c r="A1735" s="5" t="str">
        <f>HYPERLINK("http://www.ncbi.nlm.nih.gov/protein/157838001","Ddx42")</f>
        <v>Ddx42</v>
      </c>
      <c r="B1735" s="4"/>
      <c r="C1735" s="3">
        <v>3240</v>
      </c>
      <c r="D1735" s="3">
        <v>1163</v>
      </c>
      <c r="E1735" s="3">
        <v>0</v>
      </c>
      <c r="F1735" s="3">
        <v>115</v>
      </c>
      <c r="G1735" s="3">
        <v>2013</v>
      </c>
      <c r="H1735" s="2">
        <f t="shared" si="54"/>
        <v>6531</v>
      </c>
      <c r="I1735" t="str">
        <f t="shared" si="55"/>
        <v>Ddx42_6531</v>
      </c>
      <c r="J1735" s="3">
        <v>3240</v>
      </c>
      <c r="K1735" s="3">
        <v>1163</v>
      </c>
      <c r="L1735" s="3">
        <v>0</v>
      </c>
      <c r="M1735" s="3">
        <v>115</v>
      </c>
      <c r="N1735" s="3">
        <v>2013</v>
      </c>
    </row>
    <row r="1736" spans="1:14" x14ac:dyDescent="0.2">
      <c r="A1736" s="5" t="str">
        <f>HYPERLINK("http://www.ncbi.nlm.nih.gov/protein/160420299","Ddx46")</f>
        <v>Ddx46</v>
      </c>
      <c r="B1736" s="4"/>
      <c r="C1736" s="3">
        <v>37</v>
      </c>
      <c r="D1736" s="3">
        <v>8505</v>
      </c>
      <c r="E1736" s="3">
        <v>2385</v>
      </c>
      <c r="F1736" s="3">
        <v>1432</v>
      </c>
      <c r="G1736" s="3">
        <v>0</v>
      </c>
      <c r="H1736" s="2">
        <f t="shared" si="54"/>
        <v>12359</v>
      </c>
      <c r="I1736" t="str">
        <f t="shared" si="55"/>
        <v>Ddx46_12359</v>
      </c>
      <c r="J1736" s="3">
        <v>37</v>
      </c>
      <c r="K1736" s="3">
        <v>8505</v>
      </c>
      <c r="L1736" s="3">
        <v>2385</v>
      </c>
      <c r="M1736" s="3">
        <v>1432</v>
      </c>
      <c r="N1736" s="3">
        <v>0</v>
      </c>
    </row>
    <row r="1737" spans="1:14" x14ac:dyDescent="0.2">
      <c r="A1737" s="5" t="str">
        <f>HYPERLINK("http://www.ncbi.nlm.nih.gov/protein/27229058","Ddx47")</f>
        <v>Ddx47</v>
      </c>
      <c r="B1737" s="4"/>
      <c r="C1737" s="3">
        <v>0</v>
      </c>
      <c r="D1737" s="3">
        <v>950</v>
      </c>
      <c r="E1737" s="3">
        <v>858</v>
      </c>
      <c r="F1737" s="3">
        <v>1981</v>
      </c>
      <c r="G1737" s="3">
        <v>0</v>
      </c>
      <c r="H1737" s="2">
        <f t="shared" si="54"/>
        <v>3789</v>
      </c>
      <c r="I1737" t="str">
        <f t="shared" si="55"/>
        <v>Ddx47_3789</v>
      </c>
      <c r="J1737" s="3">
        <v>0</v>
      </c>
      <c r="K1737" s="3">
        <v>950</v>
      </c>
      <c r="L1737" s="3">
        <v>858</v>
      </c>
      <c r="M1737" s="3">
        <v>1981</v>
      </c>
      <c r="N1737" s="3">
        <v>0</v>
      </c>
    </row>
    <row r="1738" spans="1:14" x14ac:dyDescent="0.2">
      <c r="A1738" s="5" t="str">
        <f>HYPERLINK("http://www.ncbi.nlm.nih.gov/protein/67972435","Ddx49")</f>
        <v>Ddx49</v>
      </c>
      <c r="B1738" s="4"/>
      <c r="C1738" s="3">
        <v>0</v>
      </c>
      <c r="D1738" s="3">
        <v>0</v>
      </c>
      <c r="E1738" s="3">
        <v>26</v>
      </c>
      <c r="F1738" s="3">
        <v>458</v>
      </c>
      <c r="G1738" s="3">
        <v>0</v>
      </c>
      <c r="H1738" s="2">
        <f t="shared" si="54"/>
        <v>484</v>
      </c>
      <c r="I1738" t="str">
        <f t="shared" si="55"/>
        <v>Ddx49_484</v>
      </c>
      <c r="J1738" s="3">
        <v>0</v>
      </c>
      <c r="K1738" s="3">
        <v>0</v>
      </c>
      <c r="L1738" s="3">
        <v>26</v>
      </c>
      <c r="M1738" s="3">
        <v>458</v>
      </c>
      <c r="N1738" s="3">
        <v>0</v>
      </c>
    </row>
    <row r="1739" spans="1:14" x14ac:dyDescent="0.2">
      <c r="A1739" s="5" t="str">
        <f>HYPERLINK("http://www.ncbi.nlm.nih.gov/protein/83816893","Ddx5")</f>
        <v>Ddx5</v>
      </c>
      <c r="B1739" s="4"/>
      <c r="C1739" s="3">
        <v>1274245</v>
      </c>
      <c r="D1739" s="3">
        <v>35559</v>
      </c>
      <c r="E1739" s="3">
        <v>160839</v>
      </c>
      <c r="F1739" s="3">
        <v>203256</v>
      </c>
      <c r="G1739" s="3">
        <v>1028</v>
      </c>
      <c r="H1739" s="2">
        <f t="shared" si="54"/>
        <v>1674927</v>
      </c>
      <c r="I1739" t="str">
        <f t="shared" si="55"/>
        <v>Ddx5_1674927</v>
      </c>
      <c r="J1739" s="3">
        <v>1274245</v>
      </c>
      <c r="K1739" s="3">
        <v>35559</v>
      </c>
      <c r="L1739" s="3">
        <v>160839</v>
      </c>
      <c r="M1739" s="3">
        <v>203256</v>
      </c>
      <c r="N1739" s="3">
        <v>1028</v>
      </c>
    </row>
    <row r="1740" spans="1:14" x14ac:dyDescent="0.2">
      <c r="A1740" s="5" t="str">
        <f>HYPERLINK("http://www.ncbi.nlm.nih.gov/protein/16716475","Ddx50")</f>
        <v>Ddx50</v>
      </c>
      <c r="B1740" s="4"/>
      <c r="C1740" s="3">
        <v>0</v>
      </c>
      <c r="D1740" s="3">
        <v>0</v>
      </c>
      <c r="E1740" s="3">
        <v>130</v>
      </c>
      <c r="F1740" s="3">
        <v>0</v>
      </c>
      <c r="G1740" s="3">
        <v>0</v>
      </c>
      <c r="H1740" s="2">
        <f t="shared" si="54"/>
        <v>130</v>
      </c>
      <c r="I1740" t="str">
        <f t="shared" si="55"/>
        <v>Ddx50_130</v>
      </c>
      <c r="J1740" s="3">
        <v>0</v>
      </c>
      <c r="K1740" s="3">
        <v>0</v>
      </c>
      <c r="L1740" s="3">
        <v>130</v>
      </c>
      <c r="M1740" s="3">
        <v>0</v>
      </c>
      <c r="N1740" s="3">
        <v>0</v>
      </c>
    </row>
    <row r="1741" spans="1:14" x14ac:dyDescent="0.2">
      <c r="A1741" s="5" t="str">
        <f>HYPERLINK("http://www.ncbi.nlm.nih.gov/protein/40538825","Ddx51")</f>
        <v>Ddx51</v>
      </c>
      <c r="B1741" s="4"/>
      <c r="C1741" s="3">
        <v>0</v>
      </c>
      <c r="D1741" s="3">
        <v>0</v>
      </c>
      <c r="E1741" s="3">
        <v>0</v>
      </c>
      <c r="F1741" s="3">
        <v>246</v>
      </c>
      <c r="G1741" s="3">
        <v>0</v>
      </c>
      <c r="H1741" s="2">
        <f t="shared" si="54"/>
        <v>246</v>
      </c>
      <c r="I1741" t="str">
        <f t="shared" si="55"/>
        <v>Ddx51_246</v>
      </c>
      <c r="J1741" s="3">
        <v>0</v>
      </c>
      <c r="K1741" s="3">
        <v>0</v>
      </c>
      <c r="L1741" s="3">
        <v>0</v>
      </c>
      <c r="M1741" s="3">
        <v>246</v>
      </c>
      <c r="N1741" s="3">
        <v>0</v>
      </c>
    </row>
    <row r="1742" spans="1:14" x14ac:dyDescent="0.2">
      <c r="A1742" s="5" t="str">
        <f>HYPERLINK("http://www.ncbi.nlm.nih.gov/protein/117647283","Ddx55")</f>
        <v>Ddx55</v>
      </c>
      <c r="B1742" s="4"/>
      <c r="C1742" s="3">
        <v>0</v>
      </c>
      <c r="D1742" s="3">
        <v>0</v>
      </c>
      <c r="E1742" s="3">
        <v>174</v>
      </c>
      <c r="F1742" s="3">
        <v>0</v>
      </c>
      <c r="G1742" s="3">
        <v>0</v>
      </c>
      <c r="H1742" s="2">
        <f t="shared" si="54"/>
        <v>174</v>
      </c>
      <c r="I1742" t="str">
        <f t="shared" si="55"/>
        <v>Ddx55_174</v>
      </c>
      <c r="J1742" s="3">
        <v>0</v>
      </c>
      <c r="K1742" s="3">
        <v>0</v>
      </c>
      <c r="L1742" s="3">
        <v>174</v>
      </c>
      <c r="M1742" s="3">
        <v>0</v>
      </c>
      <c r="N1742" s="3">
        <v>0</v>
      </c>
    </row>
    <row r="1743" spans="1:14" x14ac:dyDescent="0.2">
      <c r="A1743" s="5" t="str">
        <f>HYPERLINK("http://www.ncbi.nlm.nih.gov/protein/299890889","Ddx55")</f>
        <v>Ddx55</v>
      </c>
      <c r="B1743" s="4"/>
      <c r="C1743" s="3">
        <v>0</v>
      </c>
      <c r="D1743" s="3">
        <v>0</v>
      </c>
      <c r="E1743" s="3">
        <v>174</v>
      </c>
      <c r="F1743" s="3">
        <v>0</v>
      </c>
      <c r="G1743" s="3">
        <v>0</v>
      </c>
      <c r="H1743" s="2">
        <f t="shared" si="54"/>
        <v>174</v>
      </c>
      <c r="I1743" t="str">
        <f t="shared" si="55"/>
        <v>Ddx55_174</v>
      </c>
      <c r="J1743" s="3">
        <v>0</v>
      </c>
      <c r="K1743" s="3">
        <v>0</v>
      </c>
      <c r="L1743" s="3">
        <v>174</v>
      </c>
      <c r="M1743" s="3">
        <v>0</v>
      </c>
      <c r="N1743" s="3">
        <v>0</v>
      </c>
    </row>
    <row r="1744" spans="1:14" x14ac:dyDescent="0.2">
      <c r="A1744" s="5" t="str">
        <f>HYPERLINK("http://www.ncbi.nlm.nih.gov/protein/21312650","Ddx56")</f>
        <v>Ddx56</v>
      </c>
      <c r="B1744" s="4"/>
      <c r="C1744" s="3">
        <v>989</v>
      </c>
      <c r="D1744" s="3">
        <v>132</v>
      </c>
      <c r="E1744" s="3">
        <v>2925</v>
      </c>
      <c r="F1744" s="3">
        <v>2546</v>
      </c>
      <c r="G1744" s="3">
        <v>0</v>
      </c>
      <c r="H1744" s="2">
        <f t="shared" si="54"/>
        <v>6592</v>
      </c>
      <c r="I1744" t="str">
        <f t="shared" si="55"/>
        <v>Ddx56_6592</v>
      </c>
      <c r="J1744" s="3">
        <v>989</v>
      </c>
      <c r="K1744" s="3">
        <v>132</v>
      </c>
      <c r="L1744" s="3">
        <v>2925</v>
      </c>
      <c r="M1744" s="3">
        <v>2546</v>
      </c>
      <c r="N1744" s="3">
        <v>0</v>
      </c>
    </row>
    <row r="1745" spans="1:14" x14ac:dyDescent="0.2">
      <c r="A1745" s="5" t="str">
        <f>HYPERLINK("http://www.ncbi.nlm.nih.gov/protein/153945886","Ddx58")</f>
        <v>Ddx58</v>
      </c>
      <c r="B1745" s="4"/>
      <c r="C1745" s="3">
        <v>0</v>
      </c>
      <c r="D1745" s="3">
        <v>0</v>
      </c>
      <c r="E1745" s="3">
        <v>20</v>
      </c>
      <c r="F1745" s="3">
        <v>352</v>
      </c>
      <c r="G1745" s="3">
        <v>28991</v>
      </c>
      <c r="H1745" s="2">
        <f t="shared" si="54"/>
        <v>29363</v>
      </c>
      <c r="I1745" t="str">
        <f t="shared" si="55"/>
        <v>Ddx58_29363</v>
      </c>
      <c r="J1745" s="3">
        <v>0</v>
      </c>
      <c r="K1745" s="3">
        <v>0</v>
      </c>
      <c r="L1745" s="3">
        <v>20</v>
      </c>
      <c r="M1745" s="3">
        <v>352</v>
      </c>
      <c r="N1745" s="3">
        <v>28991</v>
      </c>
    </row>
    <row r="1746" spans="1:14" x14ac:dyDescent="0.2">
      <c r="A1746" s="5" t="str">
        <f>HYPERLINK("http://www.ncbi.nlm.nih.gov/protein/6681159","Ddx6")</f>
        <v>Ddx6</v>
      </c>
      <c r="B1746" s="4"/>
      <c r="C1746" s="3">
        <v>0</v>
      </c>
      <c r="D1746" s="3">
        <v>16596</v>
      </c>
      <c r="E1746" s="3">
        <v>93357</v>
      </c>
      <c r="F1746" s="3">
        <v>133638</v>
      </c>
      <c r="G1746" s="3">
        <v>29194</v>
      </c>
      <c r="H1746" s="2">
        <f t="shared" si="54"/>
        <v>272785</v>
      </c>
      <c r="I1746" t="str">
        <f t="shared" si="55"/>
        <v>Ddx6_272785</v>
      </c>
      <c r="J1746" s="3">
        <v>0</v>
      </c>
      <c r="K1746" s="3">
        <v>16596</v>
      </c>
      <c r="L1746" s="3">
        <v>93357</v>
      </c>
      <c r="M1746" s="3">
        <v>133638</v>
      </c>
      <c r="N1746" s="3">
        <v>29194</v>
      </c>
    </row>
    <row r="1747" spans="1:14" x14ac:dyDescent="0.2">
      <c r="A1747" s="5" t="str">
        <f>HYPERLINK("http://www.ncbi.nlm.nih.gov/protein/124487049","Ddx60")</f>
        <v>Ddx60</v>
      </c>
      <c r="B1747" s="4"/>
      <c r="C1747" s="3">
        <v>0</v>
      </c>
      <c r="D1747" s="3">
        <v>0</v>
      </c>
      <c r="E1747" s="3">
        <v>13</v>
      </c>
      <c r="F1747" s="3">
        <v>0</v>
      </c>
      <c r="G1747" s="3">
        <v>0</v>
      </c>
      <c r="H1747" s="2">
        <f t="shared" si="54"/>
        <v>13</v>
      </c>
      <c r="I1747" t="str">
        <f t="shared" si="55"/>
        <v>Ddx60_13</v>
      </c>
      <c r="J1747" s="3">
        <v>0</v>
      </c>
      <c r="K1747" s="3">
        <v>0</v>
      </c>
      <c r="L1747" s="3">
        <v>13</v>
      </c>
      <c r="M1747" s="3">
        <v>0</v>
      </c>
      <c r="N1747" s="3">
        <v>0</v>
      </c>
    </row>
    <row r="1748" spans="1:14" x14ac:dyDescent="0.2">
      <c r="A1748" s="5" t="str">
        <f>HYPERLINK("http://www.ncbi.nlm.nih.gov/protein/21312078","Deb1")</f>
        <v>Deb1</v>
      </c>
      <c r="B1748" s="4"/>
      <c r="C1748" s="3">
        <v>0</v>
      </c>
      <c r="D1748" s="3">
        <v>0</v>
      </c>
      <c r="E1748" s="3">
        <v>4</v>
      </c>
      <c r="F1748" s="3">
        <v>0</v>
      </c>
      <c r="G1748" s="3">
        <v>0</v>
      </c>
      <c r="H1748" s="2">
        <f t="shared" si="54"/>
        <v>4</v>
      </c>
      <c r="I1748" t="str">
        <f t="shared" si="55"/>
        <v>Deb1_4</v>
      </c>
      <c r="J1748" s="3">
        <v>0</v>
      </c>
      <c r="K1748" s="3">
        <v>0</v>
      </c>
      <c r="L1748" s="3">
        <v>4</v>
      </c>
      <c r="M1748" s="3">
        <v>0</v>
      </c>
      <c r="N1748" s="3">
        <v>0</v>
      </c>
    </row>
    <row r="1749" spans="1:14" x14ac:dyDescent="0.2">
      <c r="A1749" s="5" t="str">
        <f>HYPERLINK("http://www.ncbi.nlm.nih.gov/protein/6753622","Decr2")</f>
        <v>Decr2</v>
      </c>
      <c r="B1749" s="4"/>
      <c r="C1749" s="3">
        <v>787</v>
      </c>
      <c r="D1749" s="3">
        <v>3501</v>
      </c>
      <c r="E1749" s="3">
        <v>2109</v>
      </c>
      <c r="F1749" s="3">
        <v>0</v>
      </c>
      <c r="G1749" s="3">
        <v>0</v>
      </c>
      <c r="H1749" s="2">
        <f t="shared" si="54"/>
        <v>6397</v>
      </c>
      <c r="I1749" t="str">
        <f t="shared" si="55"/>
        <v>Decr2_6397</v>
      </c>
      <c r="J1749" s="3">
        <v>787</v>
      </c>
      <c r="K1749" s="3">
        <v>3501</v>
      </c>
      <c r="L1749" s="3">
        <v>2109</v>
      </c>
      <c r="M1749" s="3">
        <v>0</v>
      </c>
      <c r="N1749" s="3">
        <v>0</v>
      </c>
    </row>
    <row r="1750" spans="1:14" x14ac:dyDescent="0.2">
      <c r="A1750" s="5" t="str">
        <f>HYPERLINK("http://www.ncbi.nlm.nih.gov/protein/6681175","Degs1")</f>
        <v>Degs1</v>
      </c>
      <c r="B1750" s="4"/>
      <c r="C1750" s="3">
        <v>659</v>
      </c>
      <c r="D1750" s="3">
        <v>219</v>
      </c>
      <c r="E1750" s="3">
        <v>98</v>
      </c>
      <c r="F1750" s="3">
        <v>0</v>
      </c>
      <c r="G1750" s="3">
        <v>0</v>
      </c>
      <c r="H1750" s="2">
        <f t="shared" si="54"/>
        <v>976</v>
      </c>
      <c r="I1750" t="str">
        <f t="shared" si="55"/>
        <v>Degs1_976</v>
      </c>
      <c r="J1750" s="3">
        <v>659</v>
      </c>
      <c r="K1750" s="3">
        <v>219</v>
      </c>
      <c r="L1750" s="3">
        <v>98</v>
      </c>
      <c r="M1750" s="3">
        <v>0</v>
      </c>
      <c r="N1750" s="3">
        <v>0</v>
      </c>
    </row>
    <row r="1751" spans="1:14" x14ac:dyDescent="0.2">
      <c r="A1751" s="5" t="str">
        <f>HYPERLINK("http://www.ncbi.nlm.nih.gov/protein/253795498","Dek")</f>
        <v>Dek</v>
      </c>
      <c r="B1751" s="4"/>
      <c r="C1751" s="3">
        <v>7524</v>
      </c>
      <c r="D1751" s="3">
        <v>20633</v>
      </c>
      <c r="E1751" s="3">
        <v>17479</v>
      </c>
      <c r="F1751" s="3">
        <v>0</v>
      </c>
      <c r="G1751" s="3">
        <v>161</v>
      </c>
      <c r="H1751" s="2">
        <f t="shared" si="54"/>
        <v>45797</v>
      </c>
      <c r="I1751" t="str">
        <f t="shared" si="55"/>
        <v>Dek_45797</v>
      </c>
      <c r="J1751" s="3">
        <v>7524</v>
      </c>
      <c r="K1751" s="3">
        <v>20633</v>
      </c>
      <c r="L1751" s="3">
        <v>17479</v>
      </c>
      <c r="M1751" s="3">
        <v>0</v>
      </c>
      <c r="N1751" s="3">
        <v>161</v>
      </c>
    </row>
    <row r="1752" spans="1:14" x14ac:dyDescent="0.2">
      <c r="A1752" s="5" t="str">
        <f>HYPERLINK("http://www.ncbi.nlm.nih.gov/protein/24025656","Dennd1c")</f>
        <v>Dennd1c</v>
      </c>
      <c r="B1752" s="4"/>
      <c r="C1752" s="3">
        <v>0</v>
      </c>
      <c r="D1752" s="3">
        <v>551</v>
      </c>
      <c r="E1752" s="3">
        <v>0</v>
      </c>
      <c r="F1752" s="3">
        <v>0</v>
      </c>
      <c r="G1752" s="3">
        <v>0</v>
      </c>
      <c r="H1752" s="2">
        <f t="shared" si="54"/>
        <v>551</v>
      </c>
      <c r="I1752" t="str">
        <f t="shared" si="55"/>
        <v>Dennd1c_551</v>
      </c>
      <c r="J1752" s="3">
        <v>0</v>
      </c>
      <c r="K1752" s="3">
        <v>551</v>
      </c>
      <c r="L1752" s="3">
        <v>0</v>
      </c>
      <c r="M1752" s="3">
        <v>0</v>
      </c>
      <c r="N1752" s="3">
        <v>0</v>
      </c>
    </row>
    <row r="1753" spans="1:14" x14ac:dyDescent="0.2">
      <c r="A1753" s="5" t="str">
        <f>HYPERLINK("http://www.ncbi.nlm.nih.gov/protein/27369652","Dennd2a")</f>
        <v>Dennd2a</v>
      </c>
      <c r="B1753" s="4"/>
      <c r="C1753" s="3">
        <v>0</v>
      </c>
      <c r="D1753" s="3">
        <v>0</v>
      </c>
      <c r="E1753" s="3">
        <v>37</v>
      </c>
      <c r="F1753" s="3">
        <v>0</v>
      </c>
      <c r="G1753" s="3">
        <v>0</v>
      </c>
      <c r="H1753" s="2">
        <f t="shared" si="54"/>
        <v>37</v>
      </c>
      <c r="I1753" t="str">
        <f t="shared" si="55"/>
        <v>Dennd2a_37</v>
      </c>
      <c r="J1753" s="3">
        <v>0</v>
      </c>
      <c r="K1753" s="3">
        <v>0</v>
      </c>
      <c r="L1753" s="3">
        <v>37</v>
      </c>
      <c r="M1753" s="3">
        <v>0</v>
      </c>
      <c r="N1753" s="3">
        <v>0</v>
      </c>
    </row>
    <row r="1754" spans="1:14" x14ac:dyDescent="0.2">
      <c r="A1754" s="5" t="str">
        <f>HYPERLINK("http://www.ncbi.nlm.nih.gov/protein/238814338","Dennd2c")</f>
        <v>Dennd2c</v>
      </c>
      <c r="B1754" s="4"/>
      <c r="C1754" s="3">
        <v>0</v>
      </c>
      <c r="D1754" s="3">
        <v>0</v>
      </c>
      <c r="E1754" s="3">
        <v>37</v>
      </c>
      <c r="F1754" s="3">
        <v>0</v>
      </c>
      <c r="G1754" s="3">
        <v>0</v>
      </c>
      <c r="H1754" s="2">
        <f t="shared" si="54"/>
        <v>37</v>
      </c>
      <c r="I1754" t="str">
        <f t="shared" si="55"/>
        <v>Dennd2c_37</v>
      </c>
      <c r="J1754" s="3">
        <v>0</v>
      </c>
      <c r="K1754" s="3">
        <v>0</v>
      </c>
      <c r="L1754" s="3">
        <v>37</v>
      </c>
      <c r="M1754" s="3">
        <v>0</v>
      </c>
      <c r="N1754" s="3">
        <v>0</v>
      </c>
    </row>
    <row r="1755" spans="1:14" x14ac:dyDescent="0.2">
      <c r="A1755" s="5" t="str">
        <f>HYPERLINK("http://www.ncbi.nlm.nih.gov/protein/389616154","Dennd2d")</f>
        <v>Dennd2d</v>
      </c>
      <c r="B1755" s="4"/>
      <c r="C1755" s="3">
        <v>0</v>
      </c>
      <c r="D1755" s="3">
        <v>0</v>
      </c>
      <c r="E1755" s="3">
        <v>1658</v>
      </c>
      <c r="F1755" s="3">
        <v>5255</v>
      </c>
      <c r="G1755" s="3">
        <v>0</v>
      </c>
      <c r="H1755" s="2">
        <f t="shared" si="54"/>
        <v>6913</v>
      </c>
      <c r="I1755" t="str">
        <f t="shared" si="55"/>
        <v>Dennd2d_6913</v>
      </c>
      <c r="J1755" s="3">
        <v>0</v>
      </c>
      <c r="K1755" s="3">
        <v>0</v>
      </c>
      <c r="L1755" s="3">
        <v>1658</v>
      </c>
      <c r="M1755" s="3">
        <v>5255</v>
      </c>
      <c r="N1755" s="3">
        <v>0</v>
      </c>
    </row>
    <row r="1756" spans="1:14" x14ac:dyDescent="0.2">
      <c r="A1756" s="5" t="str">
        <f>HYPERLINK("http://www.ncbi.nlm.nih.gov/protein/147904706","Dennd2d")</f>
        <v>Dennd2d</v>
      </c>
      <c r="B1756" s="4"/>
      <c r="C1756" s="3">
        <v>0</v>
      </c>
      <c r="D1756" s="3">
        <v>198</v>
      </c>
      <c r="E1756" s="3">
        <v>2865</v>
      </c>
      <c r="F1756" s="3">
        <v>6532</v>
      </c>
      <c r="G1756" s="3">
        <v>375</v>
      </c>
      <c r="H1756" s="2">
        <f t="shared" si="54"/>
        <v>9970</v>
      </c>
      <c r="I1756" t="str">
        <f t="shared" si="55"/>
        <v>Dennd2d_9970</v>
      </c>
      <c r="J1756" s="3">
        <v>0</v>
      </c>
      <c r="K1756" s="3">
        <v>198</v>
      </c>
      <c r="L1756" s="3">
        <v>2865</v>
      </c>
      <c r="M1756" s="3">
        <v>6532</v>
      </c>
      <c r="N1756" s="3">
        <v>375</v>
      </c>
    </row>
    <row r="1757" spans="1:14" x14ac:dyDescent="0.2">
      <c r="A1757" s="5" t="str">
        <f>HYPERLINK("http://www.ncbi.nlm.nih.gov/protein/124486710","Dennd3")</f>
        <v>Dennd3</v>
      </c>
      <c r="B1757" s="4"/>
      <c r="C1757" s="3">
        <v>0</v>
      </c>
      <c r="D1757" s="3">
        <v>0</v>
      </c>
      <c r="E1757" s="3">
        <v>59</v>
      </c>
      <c r="F1757" s="3">
        <v>0</v>
      </c>
      <c r="G1757" s="3">
        <v>0</v>
      </c>
      <c r="H1757" s="2">
        <f t="shared" si="54"/>
        <v>59</v>
      </c>
      <c r="I1757" t="str">
        <f t="shared" si="55"/>
        <v>Dennd3_59</v>
      </c>
      <c r="J1757" s="3">
        <v>0</v>
      </c>
      <c r="K1757" s="3">
        <v>0</v>
      </c>
      <c r="L1757" s="3">
        <v>59</v>
      </c>
      <c r="M1757" s="3">
        <v>0</v>
      </c>
      <c r="N1757" s="3">
        <v>0</v>
      </c>
    </row>
    <row r="1758" spans="1:14" x14ac:dyDescent="0.2">
      <c r="A1758" s="5" t="str">
        <f>HYPERLINK("http://www.ncbi.nlm.nih.gov/protein/124486610","Dennd4c")</f>
        <v>Dennd4c</v>
      </c>
      <c r="B1758" s="4"/>
      <c r="C1758" s="3">
        <v>0</v>
      </c>
      <c r="D1758" s="3">
        <v>0</v>
      </c>
      <c r="E1758" s="3">
        <v>42</v>
      </c>
      <c r="F1758" s="3">
        <v>0</v>
      </c>
      <c r="G1758" s="3">
        <v>0</v>
      </c>
      <c r="H1758" s="2">
        <f t="shared" si="54"/>
        <v>42</v>
      </c>
      <c r="I1758" t="str">
        <f t="shared" si="55"/>
        <v>Dennd4c_42</v>
      </c>
      <c r="J1758" s="3">
        <v>0</v>
      </c>
      <c r="K1758" s="3">
        <v>0</v>
      </c>
      <c r="L1758" s="3">
        <v>42</v>
      </c>
      <c r="M1758" s="3">
        <v>0</v>
      </c>
      <c r="N1758" s="3">
        <v>0</v>
      </c>
    </row>
    <row r="1759" spans="1:14" x14ac:dyDescent="0.2">
      <c r="A1759" s="5" t="str">
        <f>HYPERLINK("http://www.ncbi.nlm.nih.gov/protein/300863147","Dennd4c")</f>
        <v>Dennd4c</v>
      </c>
      <c r="B1759" s="4"/>
      <c r="C1759" s="3">
        <v>0</v>
      </c>
      <c r="D1759" s="3">
        <v>0</v>
      </c>
      <c r="E1759" s="3">
        <v>42</v>
      </c>
      <c r="F1759" s="3">
        <v>0</v>
      </c>
      <c r="G1759" s="3">
        <v>0</v>
      </c>
      <c r="H1759" s="2">
        <f t="shared" si="54"/>
        <v>42</v>
      </c>
      <c r="I1759" t="str">
        <f t="shared" si="55"/>
        <v>Dennd4c_42</v>
      </c>
      <c r="J1759" s="3">
        <v>0</v>
      </c>
      <c r="K1759" s="3">
        <v>0</v>
      </c>
      <c r="L1759" s="3">
        <v>42</v>
      </c>
      <c r="M1759" s="3">
        <v>0</v>
      </c>
      <c r="N1759" s="3">
        <v>0</v>
      </c>
    </row>
    <row r="1760" spans="1:14" x14ac:dyDescent="0.2">
      <c r="A1760" s="5" t="str">
        <f>HYPERLINK("http://www.ncbi.nlm.nih.gov/protein/39930409","Dennd5a")</f>
        <v>Dennd5a</v>
      </c>
      <c r="B1760" s="4"/>
      <c r="C1760" s="3">
        <v>0</v>
      </c>
      <c r="D1760" s="3">
        <v>0</v>
      </c>
      <c r="E1760" s="3">
        <v>247</v>
      </c>
      <c r="F1760" s="3">
        <v>0</v>
      </c>
      <c r="G1760" s="3">
        <v>0</v>
      </c>
      <c r="H1760" s="2">
        <f t="shared" si="54"/>
        <v>247</v>
      </c>
      <c r="I1760" t="str">
        <f t="shared" si="55"/>
        <v>Dennd5a_247</v>
      </c>
      <c r="J1760" s="3">
        <v>0</v>
      </c>
      <c r="K1760" s="3">
        <v>0</v>
      </c>
      <c r="L1760" s="3">
        <v>247</v>
      </c>
      <c r="M1760" s="3">
        <v>0</v>
      </c>
      <c r="N1760" s="3">
        <v>0</v>
      </c>
    </row>
    <row r="1761" spans="1:14" x14ac:dyDescent="0.2">
      <c r="A1761" s="5" t="str">
        <f>HYPERLINK("http://www.ncbi.nlm.nih.gov/protein/197333847","Dennd6a")</f>
        <v>Dennd6a</v>
      </c>
      <c r="B1761" s="4"/>
      <c r="C1761" s="3">
        <v>0</v>
      </c>
      <c r="D1761" s="3">
        <v>106</v>
      </c>
      <c r="E1761" s="3">
        <v>16</v>
      </c>
      <c r="F1761" s="3">
        <v>0</v>
      </c>
      <c r="G1761" s="3">
        <v>0</v>
      </c>
      <c r="H1761" s="2">
        <f t="shared" si="54"/>
        <v>122</v>
      </c>
      <c r="I1761" t="str">
        <f t="shared" si="55"/>
        <v>Dennd6a_122</v>
      </c>
      <c r="J1761" s="3">
        <v>0</v>
      </c>
      <c r="K1761" s="3">
        <v>106</v>
      </c>
      <c r="L1761" s="3">
        <v>16</v>
      </c>
      <c r="M1761" s="3">
        <v>0</v>
      </c>
      <c r="N1761" s="3">
        <v>0</v>
      </c>
    </row>
    <row r="1762" spans="1:14" x14ac:dyDescent="0.2">
      <c r="A1762" s="5" t="str">
        <f>HYPERLINK("http://www.ncbi.nlm.nih.gov/protein/22122407","Dennd6a")</f>
        <v>Dennd6a</v>
      </c>
      <c r="B1762" s="4"/>
      <c r="C1762" s="3">
        <v>0</v>
      </c>
      <c r="D1762" s="3">
        <v>106</v>
      </c>
      <c r="E1762" s="3">
        <v>16</v>
      </c>
      <c r="F1762" s="3">
        <v>0</v>
      </c>
      <c r="G1762" s="3">
        <v>0</v>
      </c>
      <c r="H1762" s="2">
        <f t="shared" si="54"/>
        <v>122</v>
      </c>
      <c r="I1762" t="str">
        <f t="shared" si="55"/>
        <v>Dennd6a_122</v>
      </c>
      <c r="J1762" s="3">
        <v>0</v>
      </c>
      <c r="K1762" s="3">
        <v>106</v>
      </c>
      <c r="L1762" s="3">
        <v>16</v>
      </c>
      <c r="M1762" s="3">
        <v>0</v>
      </c>
      <c r="N1762" s="3">
        <v>0</v>
      </c>
    </row>
    <row r="1763" spans="1:14" x14ac:dyDescent="0.2">
      <c r="A1763" s="5" t="str">
        <f>HYPERLINK("http://www.ncbi.nlm.nih.gov/protein/13386092","Denr")</f>
        <v>Denr</v>
      </c>
      <c r="B1763" s="4"/>
      <c r="C1763" s="3">
        <v>0</v>
      </c>
      <c r="D1763" s="3">
        <v>0</v>
      </c>
      <c r="E1763" s="3">
        <v>0</v>
      </c>
      <c r="F1763" s="3">
        <v>13121</v>
      </c>
      <c r="G1763" s="3">
        <v>3877</v>
      </c>
      <c r="H1763" s="2">
        <f t="shared" si="54"/>
        <v>16998</v>
      </c>
      <c r="I1763" t="str">
        <f t="shared" si="55"/>
        <v>Denr_16998</v>
      </c>
      <c r="J1763" s="3">
        <v>0</v>
      </c>
      <c r="K1763" s="3">
        <v>0</v>
      </c>
      <c r="L1763" s="3">
        <v>0</v>
      </c>
      <c r="M1763" s="3">
        <v>13121</v>
      </c>
      <c r="N1763" s="3">
        <v>3877</v>
      </c>
    </row>
    <row r="1764" spans="1:14" x14ac:dyDescent="0.2">
      <c r="A1764" s="5" t="str">
        <f>HYPERLINK("http://www.ncbi.nlm.nih.gov/protein/21450165","Depdc7")</f>
        <v>Depdc7</v>
      </c>
      <c r="B1764" s="4"/>
      <c r="C1764" s="3">
        <v>0</v>
      </c>
      <c r="D1764" s="3">
        <v>0</v>
      </c>
      <c r="E1764" s="3">
        <v>0</v>
      </c>
      <c r="F1764" s="3">
        <v>336</v>
      </c>
      <c r="G1764" s="3">
        <v>0</v>
      </c>
      <c r="H1764" s="2">
        <f t="shared" si="54"/>
        <v>336</v>
      </c>
      <c r="I1764" t="str">
        <f t="shared" si="55"/>
        <v>Depdc7_336</v>
      </c>
      <c r="J1764" s="3">
        <v>0</v>
      </c>
      <c r="K1764" s="3">
        <v>0</v>
      </c>
      <c r="L1764" s="3">
        <v>0</v>
      </c>
      <c r="M1764" s="3">
        <v>336</v>
      </c>
      <c r="N1764" s="3">
        <v>0</v>
      </c>
    </row>
    <row r="1765" spans="1:14" x14ac:dyDescent="0.2">
      <c r="A1765" s="5" t="str">
        <f>HYPERLINK("http://www.ncbi.nlm.nih.gov/protein/27777677","Dera")</f>
        <v>Dera</v>
      </c>
      <c r="B1765" s="4"/>
      <c r="C1765" s="3">
        <v>0</v>
      </c>
      <c r="D1765" s="3">
        <v>313</v>
      </c>
      <c r="E1765" s="3">
        <v>48</v>
      </c>
      <c r="F1765" s="3">
        <v>21413</v>
      </c>
      <c r="G1765" s="3">
        <v>236</v>
      </c>
      <c r="H1765" s="2">
        <f t="shared" si="54"/>
        <v>22010</v>
      </c>
      <c r="I1765" t="str">
        <f t="shared" si="55"/>
        <v>Dera_22010</v>
      </c>
      <c r="J1765" s="3">
        <v>0</v>
      </c>
      <c r="K1765" s="3">
        <v>313</v>
      </c>
      <c r="L1765" s="3">
        <v>48</v>
      </c>
      <c r="M1765" s="3">
        <v>21413</v>
      </c>
      <c r="N1765" s="3">
        <v>236</v>
      </c>
    </row>
    <row r="1766" spans="1:14" x14ac:dyDescent="0.2">
      <c r="A1766" s="5" t="str">
        <f>HYPERLINK("http://www.ncbi.nlm.nih.gov/protein/13195638","Derl1")</f>
        <v>Derl1</v>
      </c>
      <c r="B1766" s="4"/>
      <c r="C1766" s="3">
        <v>3204</v>
      </c>
      <c r="D1766" s="3">
        <v>1893</v>
      </c>
      <c r="E1766" s="3">
        <v>858</v>
      </c>
      <c r="F1766" s="3">
        <v>0</v>
      </c>
      <c r="G1766" s="3">
        <v>0</v>
      </c>
      <c r="H1766" s="2">
        <f t="shared" si="54"/>
        <v>5955</v>
      </c>
      <c r="I1766" t="str">
        <f t="shared" si="55"/>
        <v>Derl1_5955</v>
      </c>
      <c r="J1766" s="3">
        <v>3204</v>
      </c>
      <c r="K1766" s="3">
        <v>1893</v>
      </c>
      <c r="L1766" s="3">
        <v>858</v>
      </c>
      <c r="M1766" s="3">
        <v>0</v>
      </c>
      <c r="N1766" s="3">
        <v>0</v>
      </c>
    </row>
    <row r="1767" spans="1:14" x14ac:dyDescent="0.2">
      <c r="A1767" s="5" t="str">
        <f>HYPERLINK("http://www.ncbi.nlm.nih.gov/protein/15808990","Derl2")</f>
        <v>Derl2</v>
      </c>
      <c r="B1767" s="4"/>
      <c r="C1767" s="3">
        <v>0</v>
      </c>
      <c r="D1767" s="3">
        <v>758</v>
      </c>
      <c r="E1767" s="3">
        <v>133</v>
      </c>
      <c r="F1767" s="3">
        <v>0</v>
      </c>
      <c r="G1767" s="3">
        <v>0</v>
      </c>
      <c r="H1767" s="2">
        <f t="shared" si="54"/>
        <v>891</v>
      </c>
      <c r="I1767" t="str">
        <f t="shared" si="55"/>
        <v>Derl2_891</v>
      </c>
      <c r="J1767" s="3">
        <v>0</v>
      </c>
      <c r="K1767" s="3">
        <v>758</v>
      </c>
      <c r="L1767" s="3">
        <v>133</v>
      </c>
      <c r="M1767" s="3">
        <v>0</v>
      </c>
      <c r="N1767" s="3">
        <v>0</v>
      </c>
    </row>
    <row r="1768" spans="1:14" x14ac:dyDescent="0.2">
      <c r="A1768" s="5" t="str">
        <f>HYPERLINK("http://www.ncbi.nlm.nih.gov/protein/33563250","Des")</f>
        <v>Des</v>
      </c>
      <c r="B1768" s="4"/>
      <c r="C1768" s="3">
        <v>715600</v>
      </c>
      <c r="D1768" s="3">
        <v>0</v>
      </c>
      <c r="E1768" s="3">
        <v>2644</v>
      </c>
      <c r="F1768" s="3">
        <v>0</v>
      </c>
      <c r="G1768" s="3">
        <v>0</v>
      </c>
      <c r="H1768" s="2">
        <f t="shared" si="54"/>
        <v>718244</v>
      </c>
      <c r="I1768" t="str">
        <f t="shared" si="55"/>
        <v>Des_718244</v>
      </c>
      <c r="J1768" s="3">
        <v>715600</v>
      </c>
      <c r="K1768" s="3">
        <v>0</v>
      </c>
      <c r="L1768" s="3">
        <v>2644</v>
      </c>
      <c r="M1768" s="3">
        <v>0</v>
      </c>
      <c r="N1768" s="3">
        <v>0</v>
      </c>
    </row>
    <row r="1769" spans="1:14" x14ac:dyDescent="0.2">
      <c r="A1769" s="5" t="str">
        <f>HYPERLINK("http://www.ncbi.nlm.nih.gov/protein/70608119","Dffa")</f>
        <v>Dffa</v>
      </c>
      <c r="B1769" s="4"/>
      <c r="C1769" s="3">
        <v>0</v>
      </c>
      <c r="D1769" s="3">
        <v>0</v>
      </c>
      <c r="E1769" s="3">
        <v>0</v>
      </c>
      <c r="F1769" s="3">
        <v>0</v>
      </c>
      <c r="G1769" s="3">
        <v>439</v>
      </c>
      <c r="H1769" s="2">
        <f t="shared" si="54"/>
        <v>439</v>
      </c>
      <c r="I1769" t="str">
        <f t="shared" si="55"/>
        <v>Dffa_439</v>
      </c>
      <c r="J1769" s="3">
        <v>0</v>
      </c>
      <c r="K1769" s="3">
        <v>0</v>
      </c>
      <c r="L1769" s="3">
        <v>0</v>
      </c>
      <c r="M1769" s="3">
        <v>0</v>
      </c>
      <c r="N1769" s="3">
        <v>439</v>
      </c>
    </row>
    <row r="1770" spans="1:14" x14ac:dyDescent="0.2">
      <c r="A1770" s="5" t="str">
        <f>HYPERLINK("http://www.ncbi.nlm.nih.gov/protein/70608144","Dffa")</f>
        <v>Dffa</v>
      </c>
      <c r="B1770" s="4"/>
      <c r="C1770" s="3">
        <v>0</v>
      </c>
      <c r="D1770" s="3">
        <v>0</v>
      </c>
      <c r="E1770" s="3">
        <v>0</v>
      </c>
      <c r="F1770" s="3">
        <v>0</v>
      </c>
      <c r="G1770" s="3">
        <v>439</v>
      </c>
      <c r="H1770" s="2">
        <f t="shared" si="54"/>
        <v>439</v>
      </c>
      <c r="I1770" t="str">
        <f t="shared" si="55"/>
        <v>Dffa_439</v>
      </c>
      <c r="J1770" s="3">
        <v>0</v>
      </c>
      <c r="K1770" s="3">
        <v>0</v>
      </c>
      <c r="L1770" s="3">
        <v>0</v>
      </c>
      <c r="M1770" s="3">
        <v>0</v>
      </c>
      <c r="N1770" s="3">
        <v>439</v>
      </c>
    </row>
    <row r="1771" spans="1:14" x14ac:dyDescent="0.2">
      <c r="A1771" s="5" t="str">
        <f>HYPERLINK("http://www.ncbi.nlm.nih.gov/protein/9055204","Dfna5")</f>
        <v>Dfna5</v>
      </c>
      <c r="B1771" s="4"/>
      <c r="C1771" s="3">
        <v>0</v>
      </c>
      <c r="D1771" s="3">
        <v>0</v>
      </c>
      <c r="E1771" s="3">
        <v>13</v>
      </c>
      <c r="F1771" s="3">
        <v>0</v>
      </c>
      <c r="G1771" s="3">
        <v>0</v>
      </c>
      <c r="H1771" s="2">
        <f t="shared" si="54"/>
        <v>13</v>
      </c>
      <c r="I1771" t="str">
        <f t="shared" si="55"/>
        <v>Dfna5_13</v>
      </c>
      <c r="J1771" s="3">
        <v>0</v>
      </c>
      <c r="K1771" s="3">
        <v>0</v>
      </c>
      <c r="L1771" s="3">
        <v>13</v>
      </c>
      <c r="M1771" s="3">
        <v>0</v>
      </c>
      <c r="N1771" s="3">
        <v>0</v>
      </c>
    </row>
    <row r="1772" spans="1:14" x14ac:dyDescent="0.2">
      <c r="A1772" s="5" t="str">
        <f>HYPERLINK("http://www.ncbi.nlm.nih.gov/protein/41152099","Dgcr8")</f>
        <v>Dgcr8</v>
      </c>
      <c r="B1772" s="4"/>
      <c r="C1772" s="3">
        <v>0</v>
      </c>
      <c r="D1772" s="3">
        <v>0</v>
      </c>
      <c r="E1772" s="3">
        <v>152</v>
      </c>
      <c r="F1772" s="3">
        <v>0</v>
      </c>
      <c r="G1772" s="3">
        <v>0</v>
      </c>
      <c r="H1772" s="2">
        <f t="shared" si="54"/>
        <v>152</v>
      </c>
      <c r="I1772" t="str">
        <f t="shared" si="55"/>
        <v>Dgcr8_152</v>
      </c>
      <c r="J1772" s="3">
        <v>0</v>
      </c>
      <c r="K1772" s="3">
        <v>0</v>
      </c>
      <c r="L1772" s="3">
        <v>152</v>
      </c>
      <c r="M1772" s="3">
        <v>0</v>
      </c>
      <c r="N1772" s="3">
        <v>0</v>
      </c>
    </row>
    <row r="1773" spans="1:14" x14ac:dyDescent="0.2">
      <c r="A1773" s="5" t="str">
        <f>HYPERLINK("http://www.ncbi.nlm.nih.gov/protein/31560474","Dgka")</f>
        <v>Dgka</v>
      </c>
      <c r="B1773" s="4"/>
      <c r="C1773" s="3">
        <v>0</v>
      </c>
      <c r="D1773" s="3">
        <v>530</v>
      </c>
      <c r="E1773" s="3">
        <v>0</v>
      </c>
      <c r="F1773" s="3">
        <v>720</v>
      </c>
      <c r="G1773" s="3">
        <v>0</v>
      </c>
      <c r="H1773" s="2">
        <f t="shared" si="54"/>
        <v>1250</v>
      </c>
      <c r="I1773" t="str">
        <f t="shared" si="55"/>
        <v>Dgka_1250</v>
      </c>
      <c r="J1773" s="3">
        <v>0</v>
      </c>
      <c r="K1773" s="3">
        <v>530</v>
      </c>
      <c r="L1773" s="3">
        <v>0</v>
      </c>
      <c r="M1773" s="3">
        <v>720</v>
      </c>
      <c r="N1773" s="3">
        <v>0</v>
      </c>
    </row>
    <row r="1774" spans="1:14" x14ac:dyDescent="0.2">
      <c r="A1774" s="5" t="str">
        <f>HYPERLINK("http://www.ncbi.nlm.nih.gov/protein/9506541","Dgke")</f>
        <v>Dgke</v>
      </c>
      <c r="B1774" s="4"/>
      <c r="C1774" s="3">
        <v>0</v>
      </c>
      <c r="D1774" s="3">
        <v>173</v>
      </c>
      <c r="E1774" s="3">
        <v>117</v>
      </c>
      <c r="F1774" s="3">
        <v>0</v>
      </c>
      <c r="G1774" s="3">
        <v>0</v>
      </c>
      <c r="H1774" s="2">
        <f t="shared" si="54"/>
        <v>290</v>
      </c>
      <c r="I1774" t="str">
        <f t="shared" si="55"/>
        <v>Dgke_290</v>
      </c>
      <c r="J1774" s="3">
        <v>0</v>
      </c>
      <c r="K1774" s="3">
        <v>173</v>
      </c>
      <c r="L1774" s="3">
        <v>117</v>
      </c>
      <c r="M1774" s="3">
        <v>0</v>
      </c>
      <c r="N1774" s="3">
        <v>0</v>
      </c>
    </row>
    <row r="1775" spans="1:14" x14ac:dyDescent="0.2">
      <c r="A1775" s="5" t="str">
        <f>HYPERLINK("http://www.ncbi.nlm.nih.gov/protein/124486741","Dgkh")</f>
        <v>Dgkh</v>
      </c>
      <c r="B1775" s="4"/>
      <c r="C1775" s="3">
        <v>0</v>
      </c>
      <c r="D1775" s="3">
        <v>113</v>
      </c>
      <c r="E1775" s="3">
        <v>0</v>
      </c>
      <c r="F1775" s="3">
        <v>0</v>
      </c>
      <c r="G1775" s="3">
        <v>600</v>
      </c>
      <c r="H1775" s="2">
        <f t="shared" si="54"/>
        <v>713</v>
      </c>
      <c r="I1775" t="str">
        <f t="shared" si="55"/>
        <v>Dgkh_713</v>
      </c>
      <c r="J1775" s="3">
        <v>0</v>
      </c>
      <c r="K1775" s="3">
        <v>113</v>
      </c>
      <c r="L1775" s="3">
        <v>0</v>
      </c>
      <c r="M1775" s="3">
        <v>0</v>
      </c>
      <c r="N1775" s="3">
        <v>600</v>
      </c>
    </row>
    <row r="1776" spans="1:14" x14ac:dyDescent="0.2">
      <c r="A1776" s="5" t="str">
        <f>HYPERLINK("http://www.ncbi.nlm.nih.gov/protein/247269607","Dguok")</f>
        <v>Dguok</v>
      </c>
      <c r="B1776" s="4"/>
      <c r="C1776" s="3">
        <v>1757</v>
      </c>
      <c r="D1776" s="3">
        <v>1015</v>
      </c>
      <c r="E1776" s="3">
        <v>0</v>
      </c>
      <c r="F1776" s="3">
        <v>0</v>
      </c>
      <c r="G1776" s="3">
        <v>0</v>
      </c>
      <c r="H1776" s="2">
        <f t="shared" si="54"/>
        <v>2772</v>
      </c>
      <c r="I1776" t="str">
        <f t="shared" si="55"/>
        <v>Dguok_2772</v>
      </c>
      <c r="J1776" s="3">
        <v>1757</v>
      </c>
      <c r="K1776" s="3">
        <v>1015</v>
      </c>
      <c r="L1776" s="3">
        <v>0</v>
      </c>
      <c r="M1776" s="3">
        <v>0</v>
      </c>
      <c r="N1776" s="3">
        <v>0</v>
      </c>
    </row>
    <row r="1777" spans="1:14" x14ac:dyDescent="0.2">
      <c r="A1777" s="5" t="str">
        <f>HYPERLINK("http://www.ncbi.nlm.nih.gov/protein/247269645","Dguok")</f>
        <v>Dguok</v>
      </c>
      <c r="B1777" s="4"/>
      <c r="C1777" s="3">
        <v>1757</v>
      </c>
      <c r="D1777" s="3">
        <v>1015</v>
      </c>
      <c r="E1777" s="3">
        <v>0</v>
      </c>
      <c r="F1777" s="3">
        <v>0</v>
      </c>
      <c r="G1777" s="3">
        <v>0</v>
      </c>
      <c r="H1777" s="2">
        <f t="shared" si="54"/>
        <v>2772</v>
      </c>
      <c r="I1777" t="str">
        <f t="shared" si="55"/>
        <v>Dguok_2772</v>
      </c>
      <c r="J1777" s="3">
        <v>1757</v>
      </c>
      <c r="K1777" s="3">
        <v>1015</v>
      </c>
      <c r="L1777" s="3">
        <v>0</v>
      </c>
      <c r="M1777" s="3">
        <v>0</v>
      </c>
      <c r="N1777" s="3">
        <v>0</v>
      </c>
    </row>
    <row r="1778" spans="1:14" x14ac:dyDescent="0.2">
      <c r="A1778" s="5" t="str">
        <f>HYPERLINK("http://www.ncbi.nlm.nih.gov/protein/114155129","Dhcr24")</f>
        <v>Dhcr24</v>
      </c>
      <c r="B1778" s="4"/>
      <c r="C1778" s="3">
        <v>0</v>
      </c>
      <c r="D1778" s="3">
        <v>269</v>
      </c>
      <c r="E1778" s="3">
        <v>19</v>
      </c>
      <c r="F1778" s="3">
        <v>0</v>
      </c>
      <c r="G1778" s="3">
        <v>0</v>
      </c>
      <c r="H1778" s="2">
        <f t="shared" si="54"/>
        <v>288</v>
      </c>
      <c r="I1778" t="str">
        <f t="shared" si="55"/>
        <v>Dhcr24_288</v>
      </c>
      <c r="J1778" s="3">
        <v>0</v>
      </c>
      <c r="K1778" s="3">
        <v>269</v>
      </c>
      <c r="L1778" s="3">
        <v>19</v>
      </c>
      <c r="M1778" s="3">
        <v>0</v>
      </c>
      <c r="N1778" s="3">
        <v>0</v>
      </c>
    </row>
    <row r="1779" spans="1:14" x14ac:dyDescent="0.2">
      <c r="A1779" s="5" t="str">
        <f>HYPERLINK("http://www.ncbi.nlm.nih.gov/protein/6681179","Dhcr7")</f>
        <v>Dhcr7</v>
      </c>
      <c r="B1779" s="4"/>
      <c r="C1779" s="3">
        <v>0</v>
      </c>
      <c r="D1779" s="3">
        <v>470</v>
      </c>
      <c r="E1779" s="3">
        <v>457</v>
      </c>
      <c r="F1779" s="3">
        <v>0</v>
      </c>
      <c r="G1779" s="3">
        <v>0</v>
      </c>
      <c r="H1779" s="2">
        <f t="shared" si="54"/>
        <v>927</v>
      </c>
      <c r="I1779" t="str">
        <f t="shared" si="55"/>
        <v>Dhcr7_927</v>
      </c>
      <c r="J1779" s="3">
        <v>0</v>
      </c>
      <c r="K1779" s="3">
        <v>470</v>
      </c>
      <c r="L1779" s="3">
        <v>457</v>
      </c>
      <c r="M1779" s="3">
        <v>0</v>
      </c>
      <c r="N1779" s="3">
        <v>0</v>
      </c>
    </row>
    <row r="1780" spans="1:14" x14ac:dyDescent="0.2">
      <c r="A1780" s="5" t="str">
        <f>HYPERLINK("http://www.ncbi.nlm.nih.gov/protein/7106289","Dhfr")</f>
        <v>Dhfr</v>
      </c>
      <c r="B1780" s="4"/>
      <c r="C1780" s="3">
        <v>1227</v>
      </c>
      <c r="D1780" s="3">
        <v>1173</v>
      </c>
      <c r="E1780" s="3">
        <v>3958</v>
      </c>
      <c r="F1780" s="3">
        <v>2210</v>
      </c>
      <c r="G1780" s="3">
        <v>74752</v>
      </c>
      <c r="H1780" s="2">
        <f t="shared" si="54"/>
        <v>83320</v>
      </c>
      <c r="I1780" t="str">
        <f t="shared" si="55"/>
        <v>Dhfr_83320</v>
      </c>
      <c r="J1780" s="3">
        <v>1227</v>
      </c>
      <c r="K1780" s="3">
        <v>1173</v>
      </c>
      <c r="L1780" s="3">
        <v>3958</v>
      </c>
      <c r="M1780" s="3">
        <v>2210</v>
      </c>
      <c r="N1780" s="3">
        <v>74752</v>
      </c>
    </row>
    <row r="1781" spans="1:14" x14ac:dyDescent="0.2">
      <c r="A1781" s="5" t="str">
        <f>HYPERLINK("http://www.ncbi.nlm.nih.gov/protein/9910194","Dhodh")</f>
        <v>Dhodh</v>
      </c>
      <c r="B1781" s="4"/>
      <c r="C1781" s="3">
        <v>0</v>
      </c>
      <c r="D1781" s="3">
        <v>142</v>
      </c>
      <c r="E1781" s="3">
        <v>603</v>
      </c>
      <c r="F1781" s="3">
        <v>0</v>
      </c>
      <c r="G1781" s="3">
        <v>0</v>
      </c>
      <c r="H1781" s="2">
        <f t="shared" si="54"/>
        <v>745</v>
      </c>
      <c r="I1781" t="str">
        <f t="shared" si="55"/>
        <v>Dhodh_745</v>
      </c>
      <c r="J1781" s="3">
        <v>0</v>
      </c>
      <c r="K1781" s="3">
        <v>142</v>
      </c>
      <c r="L1781" s="3">
        <v>603</v>
      </c>
      <c r="M1781" s="3">
        <v>0</v>
      </c>
      <c r="N1781" s="3">
        <v>0</v>
      </c>
    </row>
    <row r="1782" spans="1:14" x14ac:dyDescent="0.2">
      <c r="A1782" s="5" t="str">
        <f>HYPERLINK("http://www.ncbi.nlm.nih.gov/protein/87252720","Dhps")</f>
        <v>Dhps</v>
      </c>
      <c r="B1782" s="4"/>
      <c r="C1782" s="3">
        <v>0</v>
      </c>
      <c r="D1782" s="3">
        <v>0</v>
      </c>
      <c r="E1782" s="3">
        <v>0</v>
      </c>
      <c r="F1782" s="3">
        <v>0</v>
      </c>
      <c r="G1782" s="3">
        <v>2613</v>
      </c>
      <c r="H1782" s="2">
        <f t="shared" si="54"/>
        <v>2613</v>
      </c>
      <c r="I1782" t="str">
        <f t="shared" si="55"/>
        <v>Dhps_2613</v>
      </c>
      <c r="J1782" s="3">
        <v>0</v>
      </c>
      <c r="K1782" s="3">
        <v>0</v>
      </c>
      <c r="L1782" s="3">
        <v>0</v>
      </c>
      <c r="M1782" s="3">
        <v>0</v>
      </c>
      <c r="N1782" s="3">
        <v>2613</v>
      </c>
    </row>
    <row r="1783" spans="1:14" x14ac:dyDescent="0.2">
      <c r="A1783" s="5" t="str">
        <f>HYPERLINK("http://www.ncbi.nlm.nih.gov/protein/31980844","Dhrs1")</f>
        <v>Dhrs1</v>
      </c>
      <c r="B1783" s="4"/>
      <c r="C1783" s="3">
        <v>52575</v>
      </c>
      <c r="D1783" s="3">
        <v>11260</v>
      </c>
      <c r="E1783" s="3">
        <v>11366</v>
      </c>
      <c r="F1783" s="3">
        <v>237</v>
      </c>
      <c r="G1783" s="3">
        <v>0</v>
      </c>
      <c r="H1783" s="2">
        <f t="shared" si="54"/>
        <v>75438</v>
      </c>
      <c r="I1783" t="str">
        <f t="shared" si="55"/>
        <v>Dhrs1_75438</v>
      </c>
      <c r="J1783" s="3">
        <v>52575</v>
      </c>
      <c r="K1783" s="3">
        <v>11260</v>
      </c>
      <c r="L1783" s="3">
        <v>11366</v>
      </c>
      <c r="M1783" s="3">
        <v>237</v>
      </c>
      <c r="N1783" s="3">
        <v>0</v>
      </c>
    </row>
    <row r="1784" spans="1:14" x14ac:dyDescent="0.2">
      <c r="A1784" s="5" t="str">
        <f>HYPERLINK("http://www.ncbi.nlm.nih.gov/protein/109715818","Dhrs11")</f>
        <v>Dhrs11</v>
      </c>
      <c r="B1784" s="4"/>
      <c r="C1784" s="3">
        <v>0</v>
      </c>
      <c r="D1784" s="3">
        <v>0</v>
      </c>
      <c r="E1784" s="3">
        <v>0</v>
      </c>
      <c r="F1784" s="3">
        <v>0</v>
      </c>
      <c r="G1784" s="3">
        <v>2752</v>
      </c>
      <c r="H1784" s="2">
        <f t="shared" si="54"/>
        <v>2752</v>
      </c>
      <c r="I1784" t="str">
        <f t="shared" si="55"/>
        <v>Dhrs11_2752</v>
      </c>
      <c r="J1784" s="3">
        <v>0</v>
      </c>
      <c r="K1784" s="3">
        <v>0</v>
      </c>
      <c r="L1784" s="3">
        <v>0</v>
      </c>
      <c r="M1784" s="3">
        <v>0</v>
      </c>
      <c r="N1784" s="3">
        <v>2752</v>
      </c>
    </row>
    <row r="1785" spans="1:14" x14ac:dyDescent="0.2">
      <c r="A1785" s="5" t="str">
        <f>HYPERLINK("http://www.ncbi.nlm.nih.gov/protein/117647267","Dhrs13")</f>
        <v>Dhrs13</v>
      </c>
      <c r="B1785" s="4"/>
      <c r="C1785" s="3">
        <v>0</v>
      </c>
      <c r="D1785" s="3">
        <v>40</v>
      </c>
      <c r="E1785" s="3">
        <v>1968</v>
      </c>
      <c r="F1785" s="3">
        <v>0</v>
      </c>
      <c r="G1785" s="3">
        <v>0</v>
      </c>
      <c r="H1785" s="2">
        <f t="shared" si="54"/>
        <v>2008</v>
      </c>
      <c r="I1785" t="str">
        <f t="shared" si="55"/>
        <v>Dhrs13_2008</v>
      </c>
      <c r="J1785" s="3">
        <v>0</v>
      </c>
      <c r="K1785" s="3">
        <v>40</v>
      </c>
      <c r="L1785" s="3">
        <v>1968</v>
      </c>
      <c r="M1785" s="3">
        <v>0</v>
      </c>
      <c r="N1785" s="3">
        <v>0</v>
      </c>
    </row>
    <row r="1786" spans="1:14" x14ac:dyDescent="0.2">
      <c r="A1786" s="5" t="str">
        <f>HYPERLINK("http://www.ncbi.nlm.nih.gov/protein/289063391","Dhrs3")</f>
        <v>Dhrs3</v>
      </c>
      <c r="B1786" s="4"/>
      <c r="C1786" s="3">
        <v>0</v>
      </c>
      <c r="D1786" s="3">
        <v>1712</v>
      </c>
      <c r="E1786" s="3">
        <v>588</v>
      </c>
      <c r="F1786" s="3">
        <v>0</v>
      </c>
      <c r="G1786" s="3">
        <v>0</v>
      </c>
      <c r="H1786" s="2">
        <f t="shared" si="54"/>
        <v>2300</v>
      </c>
      <c r="I1786" t="str">
        <f t="shared" si="55"/>
        <v>Dhrs3_2300</v>
      </c>
      <c r="J1786" s="3">
        <v>0</v>
      </c>
      <c r="K1786" s="3">
        <v>1712</v>
      </c>
      <c r="L1786" s="3">
        <v>588</v>
      </c>
      <c r="M1786" s="3">
        <v>0</v>
      </c>
      <c r="N1786" s="3">
        <v>0</v>
      </c>
    </row>
    <row r="1787" spans="1:14" x14ac:dyDescent="0.2">
      <c r="A1787" s="5" t="str">
        <f>HYPERLINK("http://www.ncbi.nlm.nih.gov/protein/6755380","Dhrs3")</f>
        <v>Dhrs3</v>
      </c>
      <c r="B1787" s="4"/>
      <c r="C1787" s="3">
        <v>0</v>
      </c>
      <c r="D1787" s="3">
        <v>1712</v>
      </c>
      <c r="E1787" s="3">
        <v>588</v>
      </c>
      <c r="F1787" s="3">
        <v>0</v>
      </c>
      <c r="G1787" s="3">
        <v>0</v>
      </c>
      <c r="H1787" s="2">
        <f t="shared" si="54"/>
        <v>2300</v>
      </c>
      <c r="I1787" t="str">
        <f t="shared" si="55"/>
        <v>Dhrs3_2300</v>
      </c>
      <c r="J1787" s="3">
        <v>0</v>
      </c>
      <c r="K1787" s="3">
        <v>1712</v>
      </c>
      <c r="L1787" s="3">
        <v>588</v>
      </c>
      <c r="M1787" s="3">
        <v>0</v>
      </c>
      <c r="N1787" s="3">
        <v>0</v>
      </c>
    </row>
    <row r="1788" spans="1:14" x14ac:dyDescent="0.2">
      <c r="A1788" s="5" t="str">
        <f>HYPERLINK("http://www.ncbi.nlm.nih.gov/protein/13507612","Dhrs4")</f>
        <v>Dhrs4</v>
      </c>
      <c r="B1788" s="4"/>
      <c r="C1788" s="3">
        <v>33335</v>
      </c>
      <c r="D1788" s="3">
        <v>3156</v>
      </c>
      <c r="E1788" s="3">
        <v>5948</v>
      </c>
      <c r="F1788" s="3">
        <v>1866</v>
      </c>
      <c r="G1788" s="3">
        <v>0</v>
      </c>
      <c r="H1788" s="2">
        <f t="shared" si="54"/>
        <v>44305</v>
      </c>
      <c r="I1788" t="str">
        <f t="shared" si="55"/>
        <v>Dhrs4_44305</v>
      </c>
      <c r="J1788" s="3">
        <v>33335</v>
      </c>
      <c r="K1788" s="3">
        <v>3156</v>
      </c>
      <c r="L1788" s="3">
        <v>5948</v>
      </c>
      <c r="M1788" s="3">
        <v>1866</v>
      </c>
      <c r="N1788" s="3">
        <v>0</v>
      </c>
    </row>
    <row r="1789" spans="1:14" x14ac:dyDescent="0.2">
      <c r="A1789" s="5" t="str">
        <f>HYPERLINK("http://www.ncbi.nlm.nih.gov/protein/256220343","Dhrs4")</f>
        <v>Dhrs4</v>
      </c>
      <c r="B1789" s="4"/>
      <c r="C1789" s="3">
        <v>36795</v>
      </c>
      <c r="D1789" s="3">
        <v>12452</v>
      </c>
      <c r="E1789" s="3">
        <v>13847</v>
      </c>
      <c r="F1789" s="3">
        <v>2251</v>
      </c>
      <c r="G1789" s="3">
        <v>0</v>
      </c>
      <c r="H1789" s="2">
        <f t="shared" si="54"/>
        <v>65345</v>
      </c>
      <c r="I1789" t="str">
        <f t="shared" si="55"/>
        <v>Dhrs4_65345</v>
      </c>
      <c r="J1789" s="3">
        <v>36795</v>
      </c>
      <c r="K1789" s="3">
        <v>12452</v>
      </c>
      <c r="L1789" s="3">
        <v>13847</v>
      </c>
      <c r="M1789" s="3">
        <v>2251</v>
      </c>
      <c r="N1789" s="3">
        <v>0</v>
      </c>
    </row>
    <row r="1790" spans="1:14" x14ac:dyDescent="0.2">
      <c r="A1790" s="5" t="str">
        <f>HYPERLINK("http://www.ncbi.nlm.nih.gov/protein/226958616","Dhrs7")</f>
        <v>Dhrs7</v>
      </c>
      <c r="B1790" s="4"/>
      <c r="C1790" s="3">
        <v>0</v>
      </c>
      <c r="D1790" s="3">
        <v>781</v>
      </c>
      <c r="E1790" s="3">
        <v>325</v>
      </c>
      <c r="F1790" s="3">
        <v>0</v>
      </c>
      <c r="G1790" s="3">
        <v>0</v>
      </c>
      <c r="H1790" s="2">
        <f t="shared" si="54"/>
        <v>1106</v>
      </c>
      <c r="I1790" t="str">
        <f t="shared" si="55"/>
        <v>Dhrs7_1106</v>
      </c>
      <c r="J1790" s="3">
        <v>0</v>
      </c>
      <c r="K1790" s="3">
        <v>781</v>
      </c>
      <c r="L1790" s="3">
        <v>325</v>
      </c>
      <c r="M1790" s="3">
        <v>0</v>
      </c>
      <c r="N1790" s="3">
        <v>0</v>
      </c>
    </row>
    <row r="1791" spans="1:14" x14ac:dyDescent="0.2">
      <c r="A1791" s="5" t="str">
        <f>HYPERLINK("http://www.ncbi.nlm.nih.gov/protein/21703854","Dhrs7b")</f>
        <v>Dhrs7b</v>
      </c>
      <c r="B1791" s="4"/>
      <c r="C1791" s="3">
        <v>659</v>
      </c>
      <c r="D1791" s="3">
        <v>4077</v>
      </c>
      <c r="E1791" s="3">
        <v>786</v>
      </c>
      <c r="F1791" s="3">
        <v>0</v>
      </c>
      <c r="G1791" s="3">
        <v>0</v>
      </c>
      <c r="H1791" s="2">
        <f t="shared" si="54"/>
        <v>5522</v>
      </c>
      <c r="I1791" t="str">
        <f t="shared" si="55"/>
        <v>Dhrs7b_5522</v>
      </c>
      <c r="J1791" s="3">
        <v>659</v>
      </c>
      <c r="K1791" s="3">
        <v>4077</v>
      </c>
      <c r="L1791" s="3">
        <v>786</v>
      </c>
      <c r="M1791" s="3">
        <v>0</v>
      </c>
      <c r="N1791" s="3">
        <v>0</v>
      </c>
    </row>
    <row r="1792" spans="1:14" x14ac:dyDescent="0.2">
      <c r="A1792" s="5" t="str">
        <f>HYPERLINK("http://www.ncbi.nlm.nih.gov/protein/285403538","Dhrs7b")</f>
        <v>Dhrs7b</v>
      </c>
      <c r="B1792" s="4"/>
      <c r="C1792" s="3">
        <v>659</v>
      </c>
      <c r="D1792" s="3">
        <v>4077</v>
      </c>
      <c r="E1792" s="3">
        <v>786</v>
      </c>
      <c r="F1792" s="3">
        <v>0</v>
      </c>
      <c r="G1792" s="3">
        <v>0</v>
      </c>
      <c r="H1792" s="2">
        <f t="shared" si="54"/>
        <v>5522</v>
      </c>
      <c r="I1792" t="str">
        <f t="shared" si="55"/>
        <v>Dhrs7b_5522</v>
      </c>
      <c r="J1792" s="3">
        <v>659</v>
      </c>
      <c r="K1792" s="3">
        <v>4077</v>
      </c>
      <c r="L1792" s="3">
        <v>786</v>
      </c>
      <c r="M1792" s="3">
        <v>0</v>
      </c>
      <c r="N1792" s="3">
        <v>0</v>
      </c>
    </row>
    <row r="1793" spans="1:14" x14ac:dyDescent="0.2">
      <c r="A1793" s="5" t="str">
        <f>HYPERLINK("http://www.ncbi.nlm.nih.gov/protein/110835723","Dhx15")</f>
        <v>Dhx15</v>
      </c>
      <c r="B1793" s="4"/>
      <c r="C1793" s="3">
        <v>53325</v>
      </c>
      <c r="D1793" s="3">
        <v>9112</v>
      </c>
      <c r="E1793" s="3">
        <v>12403</v>
      </c>
      <c r="F1793" s="3">
        <v>38865</v>
      </c>
      <c r="G1793" s="3">
        <v>93880</v>
      </c>
      <c r="H1793" s="2">
        <f t="shared" si="54"/>
        <v>207585</v>
      </c>
      <c r="I1793" t="str">
        <f t="shared" si="55"/>
        <v>Dhx15_207585</v>
      </c>
      <c r="J1793" s="3">
        <v>53325</v>
      </c>
      <c r="K1793" s="3">
        <v>9112</v>
      </c>
      <c r="L1793" s="3">
        <v>12403</v>
      </c>
      <c r="M1793" s="3">
        <v>38865</v>
      </c>
      <c r="N1793" s="3">
        <v>93880</v>
      </c>
    </row>
    <row r="1794" spans="1:14" x14ac:dyDescent="0.2">
      <c r="A1794" s="5" t="str">
        <f>HYPERLINK("http://www.ncbi.nlm.nih.gov/protein/110835726","Dhx15")</f>
        <v>Dhx15</v>
      </c>
      <c r="B1794" s="4"/>
      <c r="C1794" s="3">
        <v>48822</v>
      </c>
      <c r="D1794" s="3">
        <v>8809</v>
      </c>
      <c r="E1794" s="3">
        <v>11518</v>
      </c>
      <c r="F1794" s="3">
        <v>37441</v>
      </c>
      <c r="G1794" s="3">
        <v>95657</v>
      </c>
      <c r="H1794" s="2">
        <f t="shared" ref="H1794:H1857" si="56">SUM(C1794:G1794)</f>
        <v>202247</v>
      </c>
      <c r="I1794" t="str">
        <f t="shared" ref="I1794:I1857" si="57">A1794&amp;"_"&amp;H1794</f>
        <v>Dhx15_202247</v>
      </c>
      <c r="J1794" s="3">
        <v>48822</v>
      </c>
      <c r="K1794" s="3">
        <v>8809</v>
      </c>
      <c r="L1794" s="3">
        <v>11518</v>
      </c>
      <c r="M1794" s="3">
        <v>37441</v>
      </c>
      <c r="N1794" s="3">
        <v>95657</v>
      </c>
    </row>
    <row r="1795" spans="1:14" x14ac:dyDescent="0.2">
      <c r="A1795" s="5" t="str">
        <f>HYPERLINK("http://www.ncbi.nlm.nih.gov/protein/226246667","Dhx16")</f>
        <v>Dhx16</v>
      </c>
      <c r="B1795" s="4"/>
      <c r="C1795" s="3">
        <v>0</v>
      </c>
      <c r="D1795" s="3">
        <v>0</v>
      </c>
      <c r="E1795" s="3">
        <v>1788</v>
      </c>
      <c r="F1795" s="3">
        <v>0</v>
      </c>
      <c r="G1795" s="3">
        <v>1542</v>
      </c>
      <c r="H1795" s="2">
        <f t="shared" si="56"/>
        <v>3330</v>
      </c>
      <c r="I1795" t="str">
        <f t="shared" si="57"/>
        <v>Dhx16_3330</v>
      </c>
      <c r="J1795" s="3">
        <v>0</v>
      </c>
      <c r="K1795" s="3">
        <v>0</v>
      </c>
      <c r="L1795" s="3">
        <v>1788</v>
      </c>
      <c r="M1795" s="3">
        <v>0</v>
      </c>
      <c r="N1795" s="3">
        <v>1542</v>
      </c>
    </row>
    <row r="1796" spans="1:14" x14ac:dyDescent="0.2">
      <c r="A1796" s="5" t="str">
        <f>HYPERLINK("http://www.ncbi.nlm.nih.gov/protein/46852276","Dhx29")</f>
        <v>Dhx29</v>
      </c>
      <c r="B1796" s="4"/>
      <c r="C1796" s="3">
        <v>0</v>
      </c>
      <c r="D1796" s="3">
        <v>0</v>
      </c>
      <c r="E1796" s="3">
        <v>6120</v>
      </c>
      <c r="F1796" s="3">
        <v>516</v>
      </c>
      <c r="G1796" s="3">
        <v>0</v>
      </c>
      <c r="H1796" s="2">
        <f t="shared" si="56"/>
        <v>6636</v>
      </c>
      <c r="I1796" t="str">
        <f t="shared" si="57"/>
        <v>Dhx29_6636</v>
      </c>
      <c r="J1796" s="3">
        <v>0</v>
      </c>
      <c r="K1796" s="3">
        <v>0</v>
      </c>
      <c r="L1796" s="3">
        <v>6120</v>
      </c>
      <c r="M1796" s="3">
        <v>516</v>
      </c>
      <c r="N1796" s="3">
        <v>0</v>
      </c>
    </row>
    <row r="1797" spans="1:14" x14ac:dyDescent="0.2">
      <c r="A1797" s="5" t="str">
        <f>HYPERLINK("http://www.ncbi.nlm.nih.gov/protein/19111156","Dhx30")</f>
        <v>Dhx30</v>
      </c>
      <c r="B1797" s="4"/>
      <c r="C1797" s="3">
        <v>348</v>
      </c>
      <c r="D1797" s="3">
        <v>4286</v>
      </c>
      <c r="E1797" s="3">
        <v>18220</v>
      </c>
      <c r="F1797" s="3">
        <v>2873</v>
      </c>
      <c r="G1797" s="3">
        <v>0</v>
      </c>
      <c r="H1797" s="2">
        <f t="shared" si="56"/>
        <v>25727</v>
      </c>
      <c r="I1797" t="str">
        <f t="shared" si="57"/>
        <v>Dhx30_25727</v>
      </c>
      <c r="J1797" s="3">
        <v>348</v>
      </c>
      <c r="K1797" s="3">
        <v>4286</v>
      </c>
      <c r="L1797" s="3">
        <v>18220</v>
      </c>
      <c r="M1797" s="3">
        <v>2873</v>
      </c>
      <c r="N1797" s="3">
        <v>0</v>
      </c>
    </row>
    <row r="1798" spans="1:14" x14ac:dyDescent="0.2">
      <c r="A1798" s="5" t="str">
        <f>HYPERLINK("http://www.ncbi.nlm.nih.gov/protein/358248315","Dhx30")</f>
        <v>Dhx30</v>
      </c>
      <c r="B1798" s="4"/>
      <c r="C1798" s="3">
        <v>348</v>
      </c>
      <c r="D1798" s="3">
        <v>4286</v>
      </c>
      <c r="E1798" s="3">
        <v>18220</v>
      </c>
      <c r="F1798" s="3">
        <v>2873</v>
      </c>
      <c r="G1798" s="3">
        <v>0</v>
      </c>
      <c r="H1798" s="2">
        <f t="shared" si="56"/>
        <v>25727</v>
      </c>
      <c r="I1798" t="str">
        <f t="shared" si="57"/>
        <v>Dhx30_25727</v>
      </c>
      <c r="J1798" s="3">
        <v>348</v>
      </c>
      <c r="K1798" s="3">
        <v>4286</v>
      </c>
      <c r="L1798" s="3">
        <v>18220</v>
      </c>
      <c r="M1798" s="3">
        <v>2873</v>
      </c>
      <c r="N1798" s="3">
        <v>0</v>
      </c>
    </row>
    <row r="1799" spans="1:14" x14ac:dyDescent="0.2">
      <c r="A1799" s="5" t="str">
        <f>HYPERLINK("http://www.ncbi.nlm.nih.gov/protein/358248329","Dhx30")</f>
        <v>Dhx30</v>
      </c>
      <c r="B1799" s="4"/>
      <c r="C1799" s="3">
        <v>348</v>
      </c>
      <c r="D1799" s="3">
        <v>4286</v>
      </c>
      <c r="E1799" s="3">
        <v>18094</v>
      </c>
      <c r="F1799" s="3">
        <v>2873</v>
      </c>
      <c r="G1799" s="3">
        <v>0</v>
      </c>
      <c r="H1799" s="2">
        <f t="shared" si="56"/>
        <v>25601</v>
      </c>
      <c r="I1799" t="str">
        <f t="shared" si="57"/>
        <v>Dhx30_25601</v>
      </c>
      <c r="J1799" s="3">
        <v>348</v>
      </c>
      <c r="K1799" s="3">
        <v>4286</v>
      </c>
      <c r="L1799" s="3">
        <v>18094</v>
      </c>
      <c r="M1799" s="3">
        <v>2873</v>
      </c>
      <c r="N1799" s="3">
        <v>0</v>
      </c>
    </row>
    <row r="1800" spans="1:14" x14ac:dyDescent="0.2">
      <c r="A1800" s="5" t="str">
        <f>HYPERLINK("http://www.ncbi.nlm.nih.gov/protein/21919420","Dhx35")</f>
        <v>Dhx35</v>
      </c>
      <c r="B1800" s="4"/>
      <c r="C1800" s="3">
        <v>0</v>
      </c>
      <c r="D1800" s="3">
        <v>0</v>
      </c>
      <c r="E1800" s="3">
        <v>736</v>
      </c>
      <c r="F1800" s="3">
        <v>0</v>
      </c>
      <c r="G1800" s="3">
        <v>0</v>
      </c>
      <c r="H1800" s="2">
        <f t="shared" si="56"/>
        <v>736</v>
      </c>
      <c r="I1800" t="str">
        <f t="shared" si="57"/>
        <v>Dhx35_736</v>
      </c>
      <c r="J1800" s="3">
        <v>0</v>
      </c>
      <c r="K1800" s="3">
        <v>0</v>
      </c>
      <c r="L1800" s="3">
        <v>736</v>
      </c>
      <c r="M1800" s="3">
        <v>0</v>
      </c>
      <c r="N1800" s="3">
        <v>0</v>
      </c>
    </row>
    <row r="1801" spans="1:14" x14ac:dyDescent="0.2">
      <c r="A1801" s="5" t="str">
        <f>HYPERLINK("http://www.ncbi.nlm.nih.gov/protein/240848573","Dhx36")</f>
        <v>Dhx36</v>
      </c>
      <c r="B1801" s="4"/>
      <c r="C1801" s="3">
        <v>0</v>
      </c>
      <c r="D1801" s="3">
        <v>0</v>
      </c>
      <c r="E1801" s="3">
        <v>11187</v>
      </c>
      <c r="F1801" s="3">
        <v>9266</v>
      </c>
      <c r="G1801" s="3">
        <v>0</v>
      </c>
      <c r="H1801" s="2">
        <f t="shared" si="56"/>
        <v>20453</v>
      </c>
      <c r="I1801" t="str">
        <f t="shared" si="57"/>
        <v>Dhx36_20453</v>
      </c>
      <c r="J1801" s="3">
        <v>0</v>
      </c>
      <c r="K1801" s="3">
        <v>0</v>
      </c>
      <c r="L1801" s="3">
        <v>11187</v>
      </c>
      <c r="M1801" s="3">
        <v>9266</v>
      </c>
      <c r="N1801" s="3">
        <v>0</v>
      </c>
    </row>
    <row r="1802" spans="1:14" x14ac:dyDescent="0.2">
      <c r="A1802" s="5" t="str">
        <f>HYPERLINK("http://www.ncbi.nlm.nih.gov/protein/42600571","Dhx37")</f>
        <v>Dhx37</v>
      </c>
      <c r="B1802" s="4"/>
      <c r="C1802" s="3">
        <v>0</v>
      </c>
      <c r="D1802" s="3">
        <v>0</v>
      </c>
      <c r="E1802" s="3">
        <v>40</v>
      </c>
      <c r="F1802" s="3">
        <v>0</v>
      </c>
      <c r="G1802" s="3">
        <v>0</v>
      </c>
      <c r="H1802" s="2">
        <f t="shared" si="56"/>
        <v>40</v>
      </c>
      <c r="I1802" t="str">
        <f t="shared" si="57"/>
        <v>Dhx37_40</v>
      </c>
      <c r="J1802" s="3">
        <v>0</v>
      </c>
      <c r="K1802" s="3">
        <v>0</v>
      </c>
      <c r="L1802" s="3">
        <v>40</v>
      </c>
      <c r="M1802" s="3">
        <v>0</v>
      </c>
      <c r="N1802" s="3">
        <v>0</v>
      </c>
    </row>
    <row r="1803" spans="1:14" x14ac:dyDescent="0.2">
      <c r="A1803" s="5" t="str">
        <f>HYPERLINK("http://www.ncbi.nlm.nih.gov/protein/30410010","Dhx38")</f>
        <v>Dhx38</v>
      </c>
      <c r="B1803" s="4"/>
      <c r="C1803" s="3">
        <v>0</v>
      </c>
      <c r="D1803" s="3">
        <v>0</v>
      </c>
      <c r="E1803" s="3">
        <v>3</v>
      </c>
      <c r="F1803" s="3">
        <v>1072</v>
      </c>
      <c r="G1803" s="3">
        <v>24771</v>
      </c>
      <c r="H1803" s="2">
        <f t="shared" si="56"/>
        <v>25846</v>
      </c>
      <c r="I1803" t="str">
        <f t="shared" si="57"/>
        <v>Dhx38_25846</v>
      </c>
      <c r="J1803" s="3">
        <v>0</v>
      </c>
      <c r="K1803" s="3">
        <v>0</v>
      </c>
      <c r="L1803" s="3">
        <v>3</v>
      </c>
      <c r="M1803" s="3">
        <v>1072</v>
      </c>
      <c r="N1803" s="3">
        <v>24771</v>
      </c>
    </row>
    <row r="1804" spans="1:14" x14ac:dyDescent="0.2">
      <c r="A1804" s="5" t="str">
        <f>HYPERLINK("http://www.ncbi.nlm.nih.gov/protein/144926009","Dhx40")</f>
        <v>Dhx40</v>
      </c>
      <c r="B1804" s="4"/>
      <c r="C1804" s="3">
        <v>0</v>
      </c>
      <c r="D1804" s="3">
        <v>0</v>
      </c>
      <c r="E1804" s="3">
        <v>0</v>
      </c>
      <c r="F1804" s="3">
        <v>1367</v>
      </c>
      <c r="G1804" s="3">
        <v>0</v>
      </c>
      <c r="H1804" s="2">
        <f t="shared" si="56"/>
        <v>1367</v>
      </c>
      <c r="I1804" t="str">
        <f t="shared" si="57"/>
        <v>Dhx40_1367</v>
      </c>
      <c r="J1804" s="3">
        <v>0</v>
      </c>
      <c r="K1804" s="3">
        <v>0</v>
      </c>
      <c r="L1804" s="3">
        <v>0</v>
      </c>
      <c r="M1804" s="3">
        <v>1367</v>
      </c>
      <c r="N1804" s="3">
        <v>0</v>
      </c>
    </row>
    <row r="1805" spans="1:14" x14ac:dyDescent="0.2">
      <c r="A1805" s="5" t="str">
        <f>HYPERLINK("http://www.ncbi.nlm.nih.gov/protein/254939651","Dhx57")</f>
        <v>Dhx57</v>
      </c>
      <c r="B1805" s="4"/>
      <c r="C1805" s="3">
        <v>0</v>
      </c>
      <c r="D1805" s="3">
        <v>0</v>
      </c>
      <c r="E1805" s="3">
        <v>1182</v>
      </c>
      <c r="F1805" s="3">
        <v>16</v>
      </c>
      <c r="G1805" s="3">
        <v>0</v>
      </c>
      <c r="H1805" s="2">
        <f t="shared" si="56"/>
        <v>1198</v>
      </c>
      <c r="I1805" t="str">
        <f t="shared" si="57"/>
        <v>Dhx57_1198</v>
      </c>
      <c r="J1805" s="3">
        <v>0</v>
      </c>
      <c r="K1805" s="3">
        <v>0</v>
      </c>
      <c r="L1805" s="3">
        <v>1182</v>
      </c>
      <c r="M1805" s="3">
        <v>16</v>
      </c>
      <c r="N1805" s="3">
        <v>0</v>
      </c>
    </row>
    <row r="1806" spans="1:14" x14ac:dyDescent="0.2">
      <c r="A1806" s="5" t="str">
        <f>HYPERLINK("http://www.ncbi.nlm.nih.gov/protein/254939654","Dhx57")</f>
        <v>Dhx57</v>
      </c>
      <c r="B1806" s="4"/>
      <c r="C1806" s="3">
        <v>0</v>
      </c>
      <c r="D1806" s="3">
        <v>0</v>
      </c>
      <c r="E1806" s="3">
        <v>1182</v>
      </c>
      <c r="F1806" s="3">
        <v>16</v>
      </c>
      <c r="G1806" s="3">
        <v>0</v>
      </c>
      <c r="H1806" s="2">
        <f t="shared" si="56"/>
        <v>1198</v>
      </c>
      <c r="I1806" t="str">
        <f t="shared" si="57"/>
        <v>Dhx57_1198</v>
      </c>
      <c r="J1806" s="3">
        <v>0</v>
      </c>
      <c r="K1806" s="3">
        <v>0</v>
      </c>
      <c r="L1806" s="3">
        <v>1182</v>
      </c>
      <c r="M1806" s="3">
        <v>16</v>
      </c>
      <c r="N1806" s="3">
        <v>0</v>
      </c>
    </row>
    <row r="1807" spans="1:14" x14ac:dyDescent="0.2">
      <c r="A1807" s="5" t="str">
        <f>HYPERLINK("http://www.ncbi.nlm.nih.gov/protein/56699440","Dhx8")</f>
        <v>Dhx8</v>
      </c>
      <c r="B1807" s="4"/>
      <c r="C1807" s="3">
        <v>0</v>
      </c>
      <c r="D1807" s="3">
        <v>0</v>
      </c>
      <c r="E1807" s="3">
        <v>1727</v>
      </c>
      <c r="F1807" s="3">
        <v>0</v>
      </c>
      <c r="G1807" s="3">
        <v>1542</v>
      </c>
      <c r="H1807" s="2">
        <f t="shared" si="56"/>
        <v>3269</v>
      </c>
      <c r="I1807" t="str">
        <f t="shared" si="57"/>
        <v>Dhx8_3269</v>
      </c>
      <c r="J1807" s="3">
        <v>0</v>
      </c>
      <c r="K1807" s="3">
        <v>0</v>
      </c>
      <c r="L1807" s="3">
        <v>1727</v>
      </c>
      <c r="M1807" s="3">
        <v>0</v>
      </c>
      <c r="N1807" s="3">
        <v>1542</v>
      </c>
    </row>
    <row r="1808" spans="1:14" x14ac:dyDescent="0.2">
      <c r="A1808" s="5" t="str">
        <f>HYPERLINK("http://www.ncbi.nlm.nih.gov/protein/150456419","Dhx9")</f>
        <v>Dhx9</v>
      </c>
      <c r="B1808" s="4"/>
      <c r="C1808" s="3">
        <v>818352</v>
      </c>
      <c r="D1808" s="3">
        <v>4588</v>
      </c>
      <c r="E1808" s="3">
        <v>52182</v>
      </c>
      <c r="F1808" s="3">
        <v>57315</v>
      </c>
      <c r="G1808" s="3">
        <v>2088</v>
      </c>
      <c r="H1808" s="2">
        <f t="shared" si="56"/>
        <v>934525</v>
      </c>
      <c r="I1808" t="str">
        <f t="shared" si="57"/>
        <v>Dhx9_934525</v>
      </c>
      <c r="J1808" s="3">
        <v>818352</v>
      </c>
      <c r="K1808" s="3">
        <v>4588</v>
      </c>
      <c r="L1808" s="3">
        <v>52182</v>
      </c>
      <c r="M1808" s="3">
        <v>57315</v>
      </c>
      <c r="N1808" s="3">
        <v>2088</v>
      </c>
    </row>
    <row r="1809" spans="1:14" x14ac:dyDescent="0.2">
      <c r="A1809" s="5" t="str">
        <f>HYPERLINK("http://www.ncbi.nlm.nih.gov/protein/85677504","Diablo")</f>
        <v>Diablo</v>
      </c>
      <c r="B1809" s="4"/>
      <c r="C1809" s="3">
        <v>0</v>
      </c>
      <c r="D1809" s="3">
        <v>676</v>
      </c>
      <c r="E1809" s="3">
        <v>51</v>
      </c>
      <c r="F1809" s="3">
        <v>499</v>
      </c>
      <c r="G1809" s="3">
        <v>182</v>
      </c>
      <c r="H1809" s="2">
        <f t="shared" si="56"/>
        <v>1408</v>
      </c>
      <c r="I1809" t="str">
        <f t="shared" si="57"/>
        <v>Diablo_1408</v>
      </c>
      <c r="J1809" s="3">
        <v>0</v>
      </c>
      <c r="K1809" s="3">
        <v>676</v>
      </c>
      <c r="L1809" s="3">
        <v>51</v>
      </c>
      <c r="M1809" s="3">
        <v>499</v>
      </c>
      <c r="N1809" s="3">
        <v>182</v>
      </c>
    </row>
    <row r="1810" spans="1:14" x14ac:dyDescent="0.2">
      <c r="A1810" s="5" t="str">
        <f>HYPERLINK("http://www.ncbi.nlm.nih.gov/protein/6681183","Diap1")</f>
        <v>Diap1</v>
      </c>
      <c r="B1810" s="4"/>
      <c r="C1810" s="3">
        <v>0</v>
      </c>
      <c r="D1810" s="3">
        <v>163</v>
      </c>
      <c r="E1810" s="3">
        <v>1444</v>
      </c>
      <c r="F1810" s="3">
        <v>31285</v>
      </c>
      <c r="G1810" s="3">
        <v>19727</v>
      </c>
      <c r="H1810" s="2">
        <f t="shared" si="56"/>
        <v>52619</v>
      </c>
      <c r="I1810" t="str">
        <f t="shared" si="57"/>
        <v>Diap1_52619</v>
      </c>
      <c r="J1810" s="3">
        <v>0</v>
      </c>
      <c r="K1810" s="3">
        <v>163</v>
      </c>
      <c r="L1810" s="3">
        <v>1444</v>
      </c>
      <c r="M1810" s="3">
        <v>31285</v>
      </c>
      <c r="N1810" s="3">
        <v>19727</v>
      </c>
    </row>
    <row r="1811" spans="1:14" x14ac:dyDescent="0.2">
      <c r="A1811" s="5" t="str">
        <f>HYPERLINK("http://www.ncbi.nlm.nih.gov/protein/189491671","Diap2")</f>
        <v>Diap2</v>
      </c>
      <c r="B1811" s="4"/>
      <c r="C1811" s="3">
        <v>0</v>
      </c>
      <c r="D1811" s="3">
        <v>0</v>
      </c>
      <c r="E1811" s="3">
        <v>217</v>
      </c>
      <c r="F1811" s="3">
        <v>0</v>
      </c>
      <c r="G1811" s="3">
        <v>0</v>
      </c>
      <c r="H1811" s="2">
        <f t="shared" si="56"/>
        <v>217</v>
      </c>
      <c r="I1811" t="str">
        <f t="shared" si="57"/>
        <v>Diap2_217</v>
      </c>
      <c r="J1811" s="3">
        <v>0</v>
      </c>
      <c r="K1811" s="3">
        <v>0</v>
      </c>
      <c r="L1811" s="3">
        <v>217</v>
      </c>
      <c r="M1811" s="3">
        <v>0</v>
      </c>
      <c r="N1811" s="3">
        <v>0</v>
      </c>
    </row>
    <row r="1812" spans="1:14" x14ac:dyDescent="0.2">
      <c r="A1812" s="5" t="str">
        <f>HYPERLINK("http://www.ncbi.nlm.nih.gov/protein/9789931","Diap3")</f>
        <v>Diap3</v>
      </c>
      <c r="B1812" s="4"/>
      <c r="C1812" s="3">
        <v>0</v>
      </c>
      <c r="D1812" s="3">
        <v>0</v>
      </c>
      <c r="E1812" s="3">
        <v>129</v>
      </c>
      <c r="F1812" s="3">
        <v>0</v>
      </c>
      <c r="G1812" s="3">
        <v>0</v>
      </c>
      <c r="H1812" s="2">
        <f t="shared" si="56"/>
        <v>129</v>
      </c>
      <c r="I1812" t="str">
        <f t="shared" si="57"/>
        <v>Diap3_129</v>
      </c>
      <c r="J1812" s="3">
        <v>0</v>
      </c>
      <c r="K1812" s="3">
        <v>0</v>
      </c>
      <c r="L1812" s="3">
        <v>129</v>
      </c>
      <c r="M1812" s="3">
        <v>0</v>
      </c>
      <c r="N1812" s="3">
        <v>0</v>
      </c>
    </row>
    <row r="1813" spans="1:14" x14ac:dyDescent="0.2">
      <c r="A1813" s="5" t="str">
        <f>HYPERLINK("http://www.ncbi.nlm.nih.gov/protein/117168271","Dicer1")</f>
        <v>Dicer1</v>
      </c>
      <c r="B1813" s="4"/>
      <c r="C1813" s="3">
        <v>0</v>
      </c>
      <c r="D1813" s="3">
        <v>0</v>
      </c>
      <c r="E1813" s="3">
        <v>0</v>
      </c>
      <c r="F1813" s="3">
        <v>0</v>
      </c>
      <c r="G1813" s="3">
        <v>10142</v>
      </c>
      <c r="H1813" s="2">
        <f t="shared" si="56"/>
        <v>10142</v>
      </c>
      <c r="I1813" t="str">
        <f t="shared" si="57"/>
        <v>Dicer1_10142</v>
      </c>
      <c r="J1813" s="3">
        <v>0</v>
      </c>
      <c r="K1813" s="3">
        <v>0</v>
      </c>
      <c r="L1813" s="3">
        <v>0</v>
      </c>
      <c r="M1813" s="3">
        <v>0</v>
      </c>
      <c r="N1813" s="3">
        <v>10142</v>
      </c>
    </row>
    <row r="1814" spans="1:14" x14ac:dyDescent="0.2">
      <c r="A1814" s="5" t="str">
        <f>HYPERLINK("http://www.ncbi.nlm.nih.gov/protein/51571541","Dido1")</f>
        <v>Dido1</v>
      </c>
      <c r="B1814" s="4"/>
      <c r="C1814" s="3">
        <v>366</v>
      </c>
      <c r="D1814" s="3">
        <v>0</v>
      </c>
      <c r="E1814" s="3">
        <v>0</v>
      </c>
      <c r="F1814" s="3">
        <v>0</v>
      </c>
      <c r="G1814" s="3">
        <v>0</v>
      </c>
      <c r="H1814" s="2">
        <f t="shared" si="56"/>
        <v>366</v>
      </c>
      <c r="I1814" t="str">
        <f t="shared" si="57"/>
        <v>Dido1_366</v>
      </c>
      <c r="J1814" s="3">
        <v>366</v>
      </c>
      <c r="K1814" s="3">
        <v>0</v>
      </c>
      <c r="L1814" s="3">
        <v>0</v>
      </c>
      <c r="M1814" s="3">
        <v>0</v>
      </c>
      <c r="N1814" s="3">
        <v>0</v>
      </c>
    </row>
    <row r="1815" spans="1:14" x14ac:dyDescent="0.2">
      <c r="A1815" s="5" t="str">
        <f>HYPERLINK("http://www.ncbi.nlm.nih.gov/protein/76096375","Dido1")</f>
        <v>Dido1</v>
      </c>
      <c r="B1815" s="4"/>
      <c r="C1815" s="3">
        <v>366</v>
      </c>
      <c r="D1815" s="3">
        <v>0</v>
      </c>
      <c r="E1815" s="3">
        <v>0</v>
      </c>
      <c r="F1815" s="3">
        <v>0</v>
      </c>
      <c r="G1815" s="3">
        <v>0</v>
      </c>
      <c r="H1815" s="2">
        <f t="shared" si="56"/>
        <v>366</v>
      </c>
      <c r="I1815" t="str">
        <f t="shared" si="57"/>
        <v>Dido1_366</v>
      </c>
      <c r="J1815" s="3">
        <v>366</v>
      </c>
      <c r="K1815" s="3">
        <v>0</v>
      </c>
      <c r="L1815" s="3">
        <v>0</v>
      </c>
      <c r="M1815" s="3">
        <v>0</v>
      </c>
      <c r="N1815" s="3">
        <v>0</v>
      </c>
    </row>
    <row r="1816" spans="1:14" x14ac:dyDescent="0.2">
      <c r="A1816" s="5" t="str">
        <f>HYPERLINK("http://www.ncbi.nlm.nih.gov/protein/21313560","Dimt1")</f>
        <v>Dimt1</v>
      </c>
      <c r="B1816" s="4"/>
      <c r="C1816" s="3">
        <v>0</v>
      </c>
      <c r="D1816" s="3">
        <v>0</v>
      </c>
      <c r="E1816" s="3">
        <v>916</v>
      </c>
      <c r="F1816" s="3">
        <v>2390</v>
      </c>
      <c r="G1816" s="3">
        <v>0</v>
      </c>
      <c r="H1816" s="2">
        <f t="shared" si="56"/>
        <v>3306</v>
      </c>
      <c r="I1816" t="str">
        <f t="shared" si="57"/>
        <v>Dimt1_3306</v>
      </c>
      <c r="J1816" s="3">
        <v>0</v>
      </c>
      <c r="K1816" s="3">
        <v>0</v>
      </c>
      <c r="L1816" s="3">
        <v>916</v>
      </c>
      <c r="M1816" s="3">
        <v>2390</v>
      </c>
      <c r="N1816" s="3">
        <v>0</v>
      </c>
    </row>
    <row r="1817" spans="1:14" x14ac:dyDescent="0.2">
      <c r="A1817" s="5" t="str">
        <f>HYPERLINK("http://www.ncbi.nlm.nih.gov/protein/359807008","Dip2a")</f>
        <v>Dip2a</v>
      </c>
      <c r="B1817" s="4"/>
      <c r="C1817" s="3">
        <v>0</v>
      </c>
      <c r="D1817" s="3">
        <v>0</v>
      </c>
      <c r="E1817" s="3">
        <v>116</v>
      </c>
      <c r="F1817" s="3">
        <v>0</v>
      </c>
      <c r="G1817" s="3">
        <v>0</v>
      </c>
      <c r="H1817" s="2">
        <f t="shared" si="56"/>
        <v>116</v>
      </c>
      <c r="I1817" t="str">
        <f t="shared" si="57"/>
        <v>Dip2a_116</v>
      </c>
      <c r="J1817" s="3">
        <v>0</v>
      </c>
      <c r="K1817" s="3">
        <v>0</v>
      </c>
      <c r="L1817" s="3">
        <v>116</v>
      </c>
      <c r="M1817" s="3">
        <v>0</v>
      </c>
      <c r="N1817" s="3">
        <v>0</v>
      </c>
    </row>
    <row r="1818" spans="1:14" x14ac:dyDescent="0.2">
      <c r="A1818" s="5" t="str">
        <f>HYPERLINK("http://www.ncbi.nlm.nih.gov/protein/226823258","Dip2b")</f>
        <v>Dip2b</v>
      </c>
      <c r="B1818" s="4"/>
      <c r="C1818" s="3">
        <v>0</v>
      </c>
      <c r="D1818" s="3">
        <v>0</v>
      </c>
      <c r="E1818" s="3">
        <v>164</v>
      </c>
      <c r="F1818" s="3">
        <v>0</v>
      </c>
      <c r="G1818" s="3">
        <v>0</v>
      </c>
      <c r="H1818" s="2">
        <f t="shared" si="56"/>
        <v>164</v>
      </c>
      <c r="I1818" t="str">
        <f t="shared" si="57"/>
        <v>Dip2b_164</v>
      </c>
      <c r="J1818" s="3">
        <v>0</v>
      </c>
      <c r="K1818" s="3">
        <v>0</v>
      </c>
      <c r="L1818" s="3">
        <v>164</v>
      </c>
      <c r="M1818" s="3">
        <v>0</v>
      </c>
      <c r="N1818" s="3">
        <v>0</v>
      </c>
    </row>
    <row r="1819" spans="1:14" x14ac:dyDescent="0.2">
      <c r="A1819" s="5" t="str">
        <f>HYPERLINK("http://www.ncbi.nlm.nih.gov/protein/226823266","Dip2b")</f>
        <v>Dip2b</v>
      </c>
      <c r="B1819" s="4"/>
      <c r="C1819" s="3">
        <v>0</v>
      </c>
      <c r="D1819" s="3">
        <v>0</v>
      </c>
      <c r="E1819" s="3">
        <v>116</v>
      </c>
      <c r="F1819" s="3">
        <v>0</v>
      </c>
      <c r="G1819" s="3">
        <v>0</v>
      </c>
      <c r="H1819" s="2">
        <f t="shared" si="56"/>
        <v>116</v>
      </c>
      <c r="I1819" t="str">
        <f t="shared" si="57"/>
        <v>Dip2b_116</v>
      </c>
      <c r="J1819" s="3">
        <v>0</v>
      </c>
      <c r="K1819" s="3">
        <v>0</v>
      </c>
      <c r="L1819" s="3">
        <v>116</v>
      </c>
      <c r="M1819" s="3">
        <v>0</v>
      </c>
      <c r="N1819" s="3">
        <v>0</v>
      </c>
    </row>
    <row r="1820" spans="1:14" x14ac:dyDescent="0.2">
      <c r="A1820" s="5" t="str">
        <f>HYPERLINK("http://www.ncbi.nlm.nih.gov/protein/21644583","Diras1")</f>
        <v>Diras1</v>
      </c>
      <c r="B1820" s="4"/>
      <c r="C1820" s="3">
        <v>0</v>
      </c>
      <c r="D1820" s="3">
        <v>134</v>
      </c>
      <c r="E1820" s="3">
        <v>834</v>
      </c>
      <c r="F1820" s="3">
        <v>0</v>
      </c>
      <c r="G1820" s="3">
        <v>0</v>
      </c>
      <c r="H1820" s="2">
        <f t="shared" si="56"/>
        <v>968</v>
      </c>
      <c r="I1820" t="str">
        <f t="shared" si="57"/>
        <v>Diras1_968</v>
      </c>
      <c r="J1820" s="3">
        <v>0</v>
      </c>
      <c r="K1820" s="3">
        <v>134</v>
      </c>
      <c r="L1820" s="3">
        <v>834</v>
      </c>
      <c r="M1820" s="3">
        <v>0</v>
      </c>
      <c r="N1820" s="3">
        <v>0</v>
      </c>
    </row>
    <row r="1821" spans="1:14" x14ac:dyDescent="0.2">
      <c r="A1821" s="5" t="str">
        <f>HYPERLINK("http://www.ncbi.nlm.nih.gov/protein/71725385","Diras2")</f>
        <v>Diras2</v>
      </c>
      <c r="B1821" s="4"/>
      <c r="C1821" s="3">
        <v>0</v>
      </c>
      <c r="D1821" s="3">
        <v>134</v>
      </c>
      <c r="E1821" s="3">
        <v>834</v>
      </c>
      <c r="F1821" s="3">
        <v>0</v>
      </c>
      <c r="G1821" s="3">
        <v>0</v>
      </c>
      <c r="H1821" s="2">
        <f t="shared" si="56"/>
        <v>968</v>
      </c>
      <c r="I1821" t="str">
        <f t="shared" si="57"/>
        <v>Diras2_968</v>
      </c>
      <c r="J1821" s="3">
        <v>0</v>
      </c>
      <c r="K1821" s="3">
        <v>134</v>
      </c>
      <c r="L1821" s="3">
        <v>834</v>
      </c>
      <c r="M1821" s="3">
        <v>0</v>
      </c>
      <c r="N1821" s="3">
        <v>0</v>
      </c>
    </row>
    <row r="1822" spans="1:14" x14ac:dyDescent="0.2">
      <c r="A1822" s="5" t="str">
        <f>HYPERLINK("http://www.ncbi.nlm.nih.gov/protein/145207992","Dis3")</f>
        <v>Dis3</v>
      </c>
      <c r="B1822" s="4"/>
      <c r="C1822" s="3">
        <v>2215</v>
      </c>
      <c r="D1822" s="3">
        <v>132</v>
      </c>
      <c r="E1822" s="3">
        <v>8642</v>
      </c>
      <c r="F1822" s="3">
        <v>55326</v>
      </c>
      <c r="G1822" s="3">
        <v>8867</v>
      </c>
      <c r="H1822" s="2">
        <f t="shared" si="56"/>
        <v>75182</v>
      </c>
      <c r="I1822" t="str">
        <f t="shared" si="57"/>
        <v>Dis3_75182</v>
      </c>
      <c r="J1822" s="3">
        <v>2215</v>
      </c>
      <c r="K1822" s="3">
        <v>132</v>
      </c>
      <c r="L1822" s="3">
        <v>8642</v>
      </c>
      <c r="M1822" s="3">
        <v>55326</v>
      </c>
      <c r="N1822" s="3">
        <v>8867</v>
      </c>
    </row>
    <row r="1823" spans="1:14" x14ac:dyDescent="0.2">
      <c r="A1823" s="5" t="str">
        <f>HYPERLINK("http://www.ncbi.nlm.nih.gov/protein/27369724","Dis3l")</f>
        <v>Dis3l</v>
      </c>
      <c r="B1823" s="4"/>
      <c r="C1823" s="3">
        <v>0</v>
      </c>
      <c r="D1823" s="3">
        <v>0</v>
      </c>
      <c r="E1823" s="3">
        <v>37</v>
      </c>
      <c r="F1823" s="3">
        <v>0</v>
      </c>
      <c r="G1823" s="3">
        <v>0</v>
      </c>
      <c r="H1823" s="2">
        <f t="shared" si="56"/>
        <v>37</v>
      </c>
      <c r="I1823" t="str">
        <f t="shared" si="57"/>
        <v>Dis3l_37</v>
      </c>
      <c r="J1823" s="3">
        <v>0</v>
      </c>
      <c r="K1823" s="3">
        <v>0</v>
      </c>
      <c r="L1823" s="3">
        <v>37</v>
      </c>
      <c r="M1823" s="3">
        <v>0</v>
      </c>
      <c r="N1823" s="3">
        <v>0</v>
      </c>
    </row>
    <row r="1824" spans="1:14" x14ac:dyDescent="0.2">
      <c r="A1824" s="5" t="str">
        <f>HYPERLINK("http://www.ncbi.nlm.nih.gov/protein/295293138","Dis3l")</f>
        <v>Dis3l</v>
      </c>
      <c r="B1824" s="4"/>
      <c r="C1824" s="3">
        <v>0</v>
      </c>
      <c r="D1824" s="3">
        <v>0</v>
      </c>
      <c r="E1824" s="3">
        <v>37</v>
      </c>
      <c r="F1824" s="3">
        <v>172</v>
      </c>
      <c r="G1824" s="3">
        <v>0</v>
      </c>
      <c r="H1824" s="2">
        <f t="shared" si="56"/>
        <v>209</v>
      </c>
      <c r="I1824" t="str">
        <f t="shared" si="57"/>
        <v>Dis3l_209</v>
      </c>
      <c r="J1824" s="3">
        <v>0</v>
      </c>
      <c r="K1824" s="3">
        <v>0</v>
      </c>
      <c r="L1824" s="3">
        <v>37</v>
      </c>
      <c r="M1824" s="3">
        <v>172</v>
      </c>
      <c r="N1824" s="3">
        <v>0</v>
      </c>
    </row>
    <row r="1825" spans="1:14" x14ac:dyDescent="0.2">
      <c r="A1825" s="5" t="str">
        <f>HYPERLINK("http://www.ncbi.nlm.nih.gov/protein/24233556","Dis3l2")</f>
        <v>Dis3l2</v>
      </c>
      <c r="B1825" s="4"/>
      <c r="C1825" s="3">
        <v>0</v>
      </c>
      <c r="D1825" s="3">
        <v>0</v>
      </c>
      <c r="E1825" s="3">
        <v>0</v>
      </c>
      <c r="F1825" s="3">
        <v>0</v>
      </c>
      <c r="G1825" s="3">
        <v>2003</v>
      </c>
      <c r="H1825" s="2">
        <f t="shared" si="56"/>
        <v>2003</v>
      </c>
      <c r="I1825" t="str">
        <f t="shared" si="57"/>
        <v>Dis3l2_2003</v>
      </c>
      <c r="J1825" s="3">
        <v>0</v>
      </c>
      <c r="K1825" s="3">
        <v>0</v>
      </c>
      <c r="L1825" s="3">
        <v>0</v>
      </c>
      <c r="M1825" s="3">
        <v>0</v>
      </c>
      <c r="N1825" s="3">
        <v>2003</v>
      </c>
    </row>
    <row r="1826" spans="1:14" x14ac:dyDescent="0.2">
      <c r="A1826" s="5" t="str">
        <f>HYPERLINK("http://www.ncbi.nlm.nih.gov/protein/288541376","Dis3l2")</f>
        <v>Dis3l2</v>
      </c>
      <c r="B1826" s="4"/>
      <c r="C1826" s="3">
        <v>0</v>
      </c>
      <c r="D1826" s="3">
        <v>0</v>
      </c>
      <c r="E1826" s="3">
        <v>0</v>
      </c>
      <c r="F1826" s="3">
        <v>0</v>
      </c>
      <c r="G1826" s="3">
        <v>2003</v>
      </c>
      <c r="H1826" s="2">
        <f t="shared" si="56"/>
        <v>2003</v>
      </c>
      <c r="I1826" t="str">
        <f t="shared" si="57"/>
        <v>Dis3l2_2003</v>
      </c>
      <c r="J1826" s="3">
        <v>0</v>
      </c>
      <c r="K1826" s="3">
        <v>0</v>
      </c>
      <c r="L1826" s="3">
        <v>0</v>
      </c>
      <c r="M1826" s="3">
        <v>0</v>
      </c>
      <c r="N1826" s="3">
        <v>2003</v>
      </c>
    </row>
    <row r="1827" spans="1:14" x14ac:dyDescent="0.2">
      <c r="A1827" s="5" t="str">
        <f>HYPERLINK("http://www.ncbi.nlm.nih.gov/protein/91064867","Dkc1")</f>
        <v>Dkc1</v>
      </c>
      <c r="B1827" s="4"/>
      <c r="C1827" s="3">
        <v>6023</v>
      </c>
      <c r="D1827" s="3">
        <v>192</v>
      </c>
      <c r="E1827" s="3">
        <v>78</v>
      </c>
      <c r="F1827" s="3">
        <v>0</v>
      </c>
      <c r="G1827" s="3">
        <v>0</v>
      </c>
      <c r="H1827" s="2">
        <f t="shared" si="56"/>
        <v>6293</v>
      </c>
      <c r="I1827" t="str">
        <f t="shared" si="57"/>
        <v>Dkc1_6293</v>
      </c>
      <c r="J1827" s="3">
        <v>6023</v>
      </c>
      <c r="K1827" s="3">
        <v>192</v>
      </c>
      <c r="L1827" s="3">
        <v>78</v>
      </c>
      <c r="M1827" s="3">
        <v>0</v>
      </c>
      <c r="N1827" s="3">
        <v>0</v>
      </c>
    </row>
    <row r="1828" spans="1:14" x14ac:dyDescent="0.2">
      <c r="A1828" s="5" t="str">
        <f>HYPERLINK("http://www.ncbi.nlm.nih.gov/protein/257796245","Dlat")</f>
        <v>Dlat</v>
      </c>
      <c r="B1828" s="4"/>
      <c r="C1828" s="3">
        <v>126897</v>
      </c>
      <c r="D1828" s="3">
        <v>22407</v>
      </c>
      <c r="E1828" s="3">
        <v>177</v>
      </c>
      <c r="F1828" s="3">
        <v>9061</v>
      </c>
      <c r="G1828" s="3">
        <v>0</v>
      </c>
      <c r="H1828" s="2">
        <f t="shared" si="56"/>
        <v>158542</v>
      </c>
      <c r="I1828" t="str">
        <f t="shared" si="57"/>
        <v>Dlat_158542</v>
      </c>
      <c r="J1828" s="3">
        <v>126897</v>
      </c>
      <c r="K1828" s="3">
        <v>22407</v>
      </c>
      <c r="L1828" s="3">
        <v>177</v>
      </c>
      <c r="M1828" s="3">
        <v>9061</v>
      </c>
      <c r="N1828" s="3">
        <v>0</v>
      </c>
    </row>
    <row r="1829" spans="1:14" x14ac:dyDescent="0.2">
      <c r="A1829" s="5" t="str">
        <f>HYPERLINK("http://www.ncbi.nlm.nih.gov/protein/113195692","Dlc1")</f>
        <v>Dlc1</v>
      </c>
      <c r="B1829" s="4"/>
      <c r="C1829" s="3">
        <v>0</v>
      </c>
      <c r="D1829" s="3">
        <v>0</v>
      </c>
      <c r="E1829" s="3">
        <v>26</v>
      </c>
      <c r="F1829" s="3">
        <v>10518</v>
      </c>
      <c r="G1829" s="3">
        <v>0</v>
      </c>
      <c r="H1829" s="2">
        <f t="shared" si="56"/>
        <v>10544</v>
      </c>
      <c r="I1829" t="str">
        <f t="shared" si="57"/>
        <v>Dlc1_10544</v>
      </c>
      <c r="J1829" s="3">
        <v>0</v>
      </c>
      <c r="K1829" s="3">
        <v>0</v>
      </c>
      <c r="L1829" s="3">
        <v>26</v>
      </c>
      <c r="M1829" s="3">
        <v>10518</v>
      </c>
      <c r="N1829" s="3">
        <v>0</v>
      </c>
    </row>
    <row r="1830" spans="1:14" x14ac:dyDescent="0.2">
      <c r="A1830" s="5" t="str">
        <f>HYPERLINK("http://www.ncbi.nlm.nih.gov/protein/302699221","Dlc1")</f>
        <v>Dlc1</v>
      </c>
      <c r="B1830" s="4"/>
      <c r="C1830" s="3">
        <v>0</v>
      </c>
      <c r="D1830" s="3">
        <v>0</v>
      </c>
      <c r="E1830" s="3">
        <v>26</v>
      </c>
      <c r="F1830" s="3">
        <v>10518</v>
      </c>
      <c r="G1830" s="3">
        <v>0</v>
      </c>
      <c r="H1830" s="2">
        <f t="shared" si="56"/>
        <v>10544</v>
      </c>
      <c r="I1830" t="str">
        <f t="shared" si="57"/>
        <v>Dlc1_10544</v>
      </c>
      <c r="J1830" s="3">
        <v>0</v>
      </c>
      <c r="K1830" s="3">
        <v>0</v>
      </c>
      <c r="L1830" s="3">
        <v>26</v>
      </c>
      <c r="M1830" s="3">
        <v>10518</v>
      </c>
      <c r="N1830" s="3">
        <v>0</v>
      </c>
    </row>
    <row r="1831" spans="1:14" x14ac:dyDescent="0.2">
      <c r="A1831" s="5" t="str">
        <f>HYPERLINK("http://www.ncbi.nlm.nih.gov/protein/302699225","Dlc1")</f>
        <v>Dlc1</v>
      </c>
      <c r="B1831" s="4"/>
      <c r="C1831" s="3">
        <v>0</v>
      </c>
      <c r="D1831" s="3">
        <v>0</v>
      </c>
      <c r="E1831" s="3">
        <v>26</v>
      </c>
      <c r="F1831" s="3">
        <v>10518</v>
      </c>
      <c r="G1831" s="3">
        <v>0</v>
      </c>
      <c r="H1831" s="2">
        <f t="shared" si="56"/>
        <v>10544</v>
      </c>
      <c r="I1831" t="str">
        <f t="shared" si="57"/>
        <v>Dlc1_10544</v>
      </c>
      <c r="J1831" s="3">
        <v>0</v>
      </c>
      <c r="K1831" s="3">
        <v>0</v>
      </c>
      <c r="L1831" s="3">
        <v>26</v>
      </c>
      <c r="M1831" s="3">
        <v>10518</v>
      </c>
      <c r="N1831" s="3">
        <v>0</v>
      </c>
    </row>
    <row r="1832" spans="1:14" x14ac:dyDescent="0.2">
      <c r="A1832" s="5" t="str">
        <f>HYPERLINK("http://www.ncbi.nlm.nih.gov/protein/31982856","Dld")</f>
        <v>Dld</v>
      </c>
      <c r="B1832" s="4"/>
      <c r="C1832" s="3">
        <v>260055</v>
      </c>
      <c r="D1832" s="3">
        <v>72871</v>
      </c>
      <c r="E1832" s="3">
        <v>4607</v>
      </c>
      <c r="F1832" s="3">
        <v>7924</v>
      </c>
      <c r="G1832" s="3">
        <v>19898</v>
      </c>
      <c r="H1832" s="2">
        <f t="shared" si="56"/>
        <v>365355</v>
      </c>
      <c r="I1832" t="str">
        <f t="shared" si="57"/>
        <v>Dld_365355</v>
      </c>
      <c r="J1832" s="3">
        <v>260055</v>
      </c>
      <c r="K1832" s="3">
        <v>72871</v>
      </c>
      <c r="L1832" s="3">
        <v>4607</v>
      </c>
      <c r="M1832" s="3">
        <v>7924</v>
      </c>
      <c r="N1832" s="3">
        <v>19898</v>
      </c>
    </row>
    <row r="1833" spans="1:14" x14ac:dyDescent="0.2">
      <c r="A1833" s="5" t="str">
        <f>HYPERLINK("http://www.ncbi.nlm.nih.gov/protein/356995919","Dlg1")</f>
        <v>Dlg1</v>
      </c>
      <c r="B1833" s="4"/>
      <c r="C1833" s="3">
        <v>53984</v>
      </c>
      <c r="D1833" s="3">
        <v>3701</v>
      </c>
      <c r="E1833" s="3">
        <v>34344</v>
      </c>
      <c r="F1833" s="3">
        <v>0</v>
      </c>
      <c r="G1833" s="3">
        <v>0</v>
      </c>
      <c r="H1833" s="2">
        <f t="shared" si="56"/>
        <v>92029</v>
      </c>
      <c r="I1833" t="str">
        <f t="shared" si="57"/>
        <v>Dlg1_92029</v>
      </c>
      <c r="J1833" s="3">
        <v>53984</v>
      </c>
      <c r="K1833" s="3">
        <v>3701</v>
      </c>
      <c r="L1833" s="3">
        <v>34344</v>
      </c>
      <c r="M1833" s="3">
        <v>0</v>
      </c>
      <c r="N1833" s="3">
        <v>0</v>
      </c>
    </row>
    <row r="1834" spans="1:14" x14ac:dyDescent="0.2">
      <c r="A1834" s="5" t="str">
        <f>HYPERLINK("http://www.ncbi.nlm.nih.gov/protein/356995921","Dlg1")</f>
        <v>Dlg1</v>
      </c>
      <c r="B1834" s="4"/>
      <c r="C1834" s="3">
        <v>53984</v>
      </c>
      <c r="D1834" s="3">
        <v>3701</v>
      </c>
      <c r="E1834" s="3">
        <v>34344</v>
      </c>
      <c r="F1834" s="3">
        <v>0</v>
      </c>
      <c r="G1834" s="3">
        <v>0</v>
      </c>
      <c r="H1834" s="2">
        <f t="shared" si="56"/>
        <v>92029</v>
      </c>
      <c r="I1834" t="str">
        <f t="shared" si="57"/>
        <v>Dlg1_92029</v>
      </c>
      <c r="J1834" s="3">
        <v>53984</v>
      </c>
      <c r="K1834" s="3">
        <v>3701</v>
      </c>
      <c r="L1834" s="3">
        <v>34344</v>
      </c>
      <c r="M1834" s="3">
        <v>0</v>
      </c>
      <c r="N1834" s="3">
        <v>0</v>
      </c>
    </row>
    <row r="1835" spans="1:14" x14ac:dyDescent="0.2">
      <c r="A1835" s="5" t="str">
        <f>HYPERLINK("http://www.ncbi.nlm.nih.gov/protein/356995923","Dlg1")</f>
        <v>Dlg1</v>
      </c>
      <c r="B1835" s="4"/>
      <c r="C1835" s="3">
        <v>53984</v>
      </c>
      <c r="D1835" s="3">
        <v>3701</v>
      </c>
      <c r="E1835" s="3">
        <v>34097</v>
      </c>
      <c r="F1835" s="3">
        <v>0</v>
      </c>
      <c r="G1835" s="3">
        <v>0</v>
      </c>
      <c r="H1835" s="2">
        <f t="shared" si="56"/>
        <v>91782</v>
      </c>
      <c r="I1835" t="str">
        <f t="shared" si="57"/>
        <v>Dlg1_91782</v>
      </c>
      <c r="J1835" s="3">
        <v>53984</v>
      </c>
      <c r="K1835" s="3">
        <v>3701</v>
      </c>
      <c r="L1835" s="3">
        <v>34097</v>
      </c>
      <c r="M1835" s="3">
        <v>0</v>
      </c>
      <c r="N1835" s="3">
        <v>0</v>
      </c>
    </row>
    <row r="1836" spans="1:14" x14ac:dyDescent="0.2">
      <c r="A1836" s="5" t="str">
        <f>HYPERLINK("http://www.ncbi.nlm.nih.gov/protein/356995917","Dlg1")</f>
        <v>Dlg1</v>
      </c>
      <c r="B1836" s="4"/>
      <c r="C1836" s="3">
        <v>53984</v>
      </c>
      <c r="D1836" s="3">
        <v>4092</v>
      </c>
      <c r="E1836" s="3">
        <v>35049</v>
      </c>
      <c r="F1836" s="3">
        <v>385</v>
      </c>
      <c r="G1836" s="3">
        <v>54</v>
      </c>
      <c r="H1836" s="2">
        <f t="shared" si="56"/>
        <v>93564</v>
      </c>
      <c r="I1836" t="str">
        <f t="shared" si="57"/>
        <v>Dlg1_93564</v>
      </c>
      <c r="J1836" s="3">
        <v>53984</v>
      </c>
      <c r="K1836" s="3">
        <v>4092</v>
      </c>
      <c r="L1836" s="3">
        <v>35049</v>
      </c>
      <c r="M1836" s="3">
        <v>385</v>
      </c>
      <c r="N1836" s="3">
        <v>54</v>
      </c>
    </row>
    <row r="1837" spans="1:14" x14ac:dyDescent="0.2">
      <c r="A1837" s="5" t="str">
        <f>HYPERLINK("http://www.ncbi.nlm.nih.gov/protein/40254642","Dlg1")</f>
        <v>Dlg1</v>
      </c>
      <c r="B1837" s="4"/>
      <c r="C1837" s="3">
        <v>53984</v>
      </c>
      <c r="D1837" s="3">
        <v>4092</v>
      </c>
      <c r="E1837" s="3">
        <v>35049</v>
      </c>
      <c r="F1837" s="3">
        <v>385</v>
      </c>
      <c r="G1837" s="3">
        <v>54</v>
      </c>
      <c r="H1837" s="2">
        <f t="shared" si="56"/>
        <v>93564</v>
      </c>
      <c r="I1837" t="str">
        <f t="shared" si="57"/>
        <v>Dlg1_93564</v>
      </c>
      <c r="J1837" s="3">
        <v>53984</v>
      </c>
      <c r="K1837" s="3">
        <v>4092</v>
      </c>
      <c r="L1837" s="3">
        <v>35049</v>
      </c>
      <c r="M1837" s="3">
        <v>385</v>
      </c>
      <c r="N1837" s="3">
        <v>54</v>
      </c>
    </row>
    <row r="1838" spans="1:14" x14ac:dyDescent="0.2">
      <c r="A1838" s="5" t="str">
        <f>HYPERLINK("http://www.ncbi.nlm.nih.gov/protein/118136297","Dlg2")</f>
        <v>Dlg2</v>
      </c>
      <c r="B1838" s="4"/>
      <c r="C1838" s="3">
        <v>2050</v>
      </c>
      <c r="D1838" s="3">
        <v>0</v>
      </c>
      <c r="E1838" s="3">
        <v>4160</v>
      </c>
      <c r="F1838" s="3">
        <v>0</v>
      </c>
      <c r="G1838" s="3">
        <v>0</v>
      </c>
      <c r="H1838" s="2">
        <f t="shared" si="56"/>
        <v>6210</v>
      </c>
      <c r="I1838" t="str">
        <f t="shared" si="57"/>
        <v>Dlg2_6210</v>
      </c>
      <c r="J1838" s="3">
        <v>2050</v>
      </c>
      <c r="K1838" s="3">
        <v>0</v>
      </c>
      <c r="L1838" s="3">
        <v>4160</v>
      </c>
      <c r="M1838" s="3">
        <v>0</v>
      </c>
      <c r="N1838" s="3">
        <v>0</v>
      </c>
    </row>
    <row r="1839" spans="1:14" x14ac:dyDescent="0.2">
      <c r="A1839" s="5" t="str">
        <f>HYPERLINK("http://www.ncbi.nlm.nih.gov/protein/340007425","Dlg2")</f>
        <v>Dlg2</v>
      </c>
      <c r="B1839" s="4"/>
      <c r="C1839" s="3">
        <v>2050</v>
      </c>
      <c r="D1839" s="3">
        <v>0</v>
      </c>
      <c r="E1839" s="3">
        <v>2694</v>
      </c>
      <c r="F1839" s="3">
        <v>0</v>
      </c>
      <c r="G1839" s="3">
        <v>0</v>
      </c>
      <c r="H1839" s="2">
        <f t="shared" si="56"/>
        <v>4744</v>
      </c>
      <c r="I1839" t="str">
        <f t="shared" si="57"/>
        <v>Dlg2_4744</v>
      </c>
      <c r="J1839" s="3">
        <v>2050</v>
      </c>
      <c r="K1839" s="3">
        <v>0</v>
      </c>
      <c r="L1839" s="3">
        <v>2694</v>
      </c>
      <c r="M1839" s="3">
        <v>0</v>
      </c>
      <c r="N1839" s="3">
        <v>0</v>
      </c>
    </row>
    <row r="1840" spans="1:14" x14ac:dyDescent="0.2">
      <c r="A1840" s="5" t="str">
        <f>HYPERLINK("http://www.ncbi.nlm.nih.gov/protein/340007427","Dlg2")</f>
        <v>Dlg2</v>
      </c>
      <c r="B1840" s="4"/>
      <c r="C1840" s="3">
        <v>2050</v>
      </c>
      <c r="D1840" s="3">
        <v>0</v>
      </c>
      <c r="E1840" s="3">
        <v>2694</v>
      </c>
      <c r="F1840" s="3">
        <v>0</v>
      </c>
      <c r="G1840" s="3">
        <v>0</v>
      </c>
      <c r="H1840" s="2">
        <f t="shared" si="56"/>
        <v>4744</v>
      </c>
      <c r="I1840" t="str">
        <f t="shared" si="57"/>
        <v>Dlg2_4744</v>
      </c>
      <c r="J1840" s="3">
        <v>2050</v>
      </c>
      <c r="K1840" s="3">
        <v>0</v>
      </c>
      <c r="L1840" s="3">
        <v>2694</v>
      </c>
      <c r="M1840" s="3">
        <v>0</v>
      </c>
      <c r="N1840" s="3">
        <v>0</v>
      </c>
    </row>
    <row r="1841" spans="1:14" x14ac:dyDescent="0.2">
      <c r="A1841" s="5" t="str">
        <f>HYPERLINK("http://www.ncbi.nlm.nih.gov/protein/295293129","Dlg3")</f>
        <v>Dlg3</v>
      </c>
      <c r="B1841" s="4"/>
      <c r="C1841" s="3">
        <v>2050</v>
      </c>
      <c r="D1841" s="3">
        <v>175</v>
      </c>
      <c r="E1841" s="3">
        <v>2770</v>
      </c>
      <c r="F1841" s="3">
        <v>0</v>
      </c>
      <c r="G1841" s="3">
        <v>0</v>
      </c>
      <c r="H1841" s="2">
        <f t="shared" si="56"/>
        <v>4995</v>
      </c>
      <c r="I1841" t="str">
        <f t="shared" si="57"/>
        <v>Dlg3_4995</v>
      </c>
      <c r="J1841" s="3">
        <v>2050</v>
      </c>
      <c r="K1841" s="3">
        <v>175</v>
      </c>
      <c r="L1841" s="3">
        <v>2770</v>
      </c>
      <c r="M1841" s="3">
        <v>0</v>
      </c>
      <c r="N1841" s="3">
        <v>0</v>
      </c>
    </row>
    <row r="1842" spans="1:14" x14ac:dyDescent="0.2">
      <c r="A1842" s="5" t="str">
        <f>HYPERLINK("http://www.ncbi.nlm.nih.gov/protein/295293124","Dlg3")</f>
        <v>Dlg3</v>
      </c>
      <c r="B1842" s="4"/>
      <c r="C1842" s="3">
        <v>2050</v>
      </c>
      <c r="D1842" s="3">
        <v>175</v>
      </c>
      <c r="E1842" s="3">
        <v>2770</v>
      </c>
      <c r="F1842" s="3">
        <v>25</v>
      </c>
      <c r="G1842" s="3">
        <v>0</v>
      </c>
      <c r="H1842" s="2">
        <f t="shared" si="56"/>
        <v>5020</v>
      </c>
      <c r="I1842" t="str">
        <f t="shared" si="57"/>
        <v>Dlg3_5020</v>
      </c>
      <c r="J1842" s="3">
        <v>2050</v>
      </c>
      <c r="K1842" s="3">
        <v>175</v>
      </c>
      <c r="L1842" s="3">
        <v>2770</v>
      </c>
      <c r="M1842" s="3">
        <v>25</v>
      </c>
      <c r="N1842" s="3">
        <v>0</v>
      </c>
    </row>
    <row r="1843" spans="1:14" x14ac:dyDescent="0.2">
      <c r="A1843" s="5" t="str">
        <f>HYPERLINK("http://www.ncbi.nlm.nih.gov/protein/295293127","Dlg3")</f>
        <v>Dlg3</v>
      </c>
      <c r="B1843" s="4"/>
      <c r="C1843" s="3">
        <v>2050</v>
      </c>
      <c r="D1843" s="3">
        <v>175</v>
      </c>
      <c r="E1843" s="3">
        <v>2770</v>
      </c>
      <c r="F1843" s="3">
        <v>25</v>
      </c>
      <c r="G1843" s="3">
        <v>0</v>
      </c>
      <c r="H1843" s="2">
        <f t="shared" si="56"/>
        <v>5020</v>
      </c>
      <c r="I1843" t="str">
        <f t="shared" si="57"/>
        <v>Dlg3_5020</v>
      </c>
      <c r="J1843" s="3">
        <v>2050</v>
      </c>
      <c r="K1843" s="3">
        <v>175</v>
      </c>
      <c r="L1843" s="3">
        <v>2770</v>
      </c>
      <c r="M1843" s="3">
        <v>25</v>
      </c>
      <c r="N1843" s="3">
        <v>0</v>
      </c>
    </row>
    <row r="1844" spans="1:14" x14ac:dyDescent="0.2">
      <c r="A1844" s="5" t="str">
        <f>HYPERLINK("http://www.ncbi.nlm.nih.gov/protein/7949129","Dlg3")</f>
        <v>Dlg3</v>
      </c>
      <c r="B1844" s="4"/>
      <c r="C1844" s="3">
        <v>2050</v>
      </c>
      <c r="D1844" s="3">
        <v>175</v>
      </c>
      <c r="E1844" s="3">
        <v>2770</v>
      </c>
      <c r="F1844" s="3">
        <v>25</v>
      </c>
      <c r="G1844" s="3">
        <v>0</v>
      </c>
      <c r="H1844" s="2">
        <f t="shared" si="56"/>
        <v>5020</v>
      </c>
      <c r="I1844" t="str">
        <f t="shared" si="57"/>
        <v>Dlg3_5020</v>
      </c>
      <c r="J1844" s="3">
        <v>2050</v>
      </c>
      <c r="K1844" s="3">
        <v>175</v>
      </c>
      <c r="L1844" s="3">
        <v>2770</v>
      </c>
      <c r="M1844" s="3">
        <v>25</v>
      </c>
      <c r="N1844" s="3">
        <v>0</v>
      </c>
    </row>
    <row r="1845" spans="1:14" x14ac:dyDescent="0.2">
      <c r="A1845" s="5" t="str">
        <f>HYPERLINK("http://www.ncbi.nlm.nih.gov/protein/254588083","Dlg5")</f>
        <v>Dlg5</v>
      </c>
      <c r="B1845" s="4"/>
      <c r="C1845" s="3">
        <v>0</v>
      </c>
      <c r="D1845" s="3">
        <v>0</v>
      </c>
      <c r="E1845" s="3">
        <v>34</v>
      </c>
      <c r="F1845" s="3">
        <v>0</v>
      </c>
      <c r="G1845" s="3">
        <v>0</v>
      </c>
      <c r="H1845" s="2">
        <f t="shared" si="56"/>
        <v>34</v>
      </c>
      <c r="I1845" t="str">
        <f t="shared" si="57"/>
        <v>Dlg5_34</v>
      </c>
      <c r="J1845" s="3">
        <v>0</v>
      </c>
      <c r="K1845" s="3">
        <v>0</v>
      </c>
      <c r="L1845" s="3">
        <v>34</v>
      </c>
      <c r="M1845" s="3">
        <v>0</v>
      </c>
      <c r="N1845" s="3">
        <v>0</v>
      </c>
    </row>
    <row r="1846" spans="1:14" x14ac:dyDescent="0.2">
      <c r="A1846" s="5" t="str">
        <f>HYPERLINK("http://www.ncbi.nlm.nih.gov/protein/254588085","Dlg5")</f>
        <v>Dlg5</v>
      </c>
      <c r="B1846" s="4"/>
      <c r="C1846" s="3">
        <v>0</v>
      </c>
      <c r="D1846" s="3">
        <v>0</v>
      </c>
      <c r="E1846" s="3">
        <v>34</v>
      </c>
      <c r="F1846" s="3">
        <v>0</v>
      </c>
      <c r="G1846" s="3">
        <v>0</v>
      </c>
      <c r="H1846" s="2">
        <f t="shared" si="56"/>
        <v>34</v>
      </c>
      <c r="I1846" t="str">
        <f t="shared" si="57"/>
        <v>Dlg5_34</v>
      </c>
      <c r="J1846" s="3">
        <v>0</v>
      </c>
      <c r="K1846" s="3">
        <v>0</v>
      </c>
      <c r="L1846" s="3">
        <v>34</v>
      </c>
      <c r="M1846" s="3">
        <v>0</v>
      </c>
      <c r="N1846" s="3">
        <v>0</v>
      </c>
    </row>
    <row r="1847" spans="1:14" x14ac:dyDescent="0.2">
      <c r="A1847" s="5" t="str">
        <f>HYPERLINK("http://www.ncbi.nlm.nih.gov/protein/464397471","Dlgap4")</f>
        <v>Dlgap4</v>
      </c>
      <c r="B1847" s="4"/>
      <c r="C1847" s="3">
        <v>0</v>
      </c>
      <c r="D1847" s="3">
        <v>0</v>
      </c>
      <c r="E1847" s="3">
        <v>1</v>
      </c>
      <c r="F1847" s="3">
        <v>0</v>
      </c>
      <c r="G1847" s="3">
        <v>0</v>
      </c>
      <c r="H1847" s="2">
        <f t="shared" si="56"/>
        <v>1</v>
      </c>
      <c r="I1847" t="str">
        <f t="shared" si="57"/>
        <v>Dlgap4_1</v>
      </c>
      <c r="J1847" s="3">
        <v>0</v>
      </c>
      <c r="K1847" s="3">
        <v>0</v>
      </c>
      <c r="L1847" s="3">
        <v>1</v>
      </c>
      <c r="M1847" s="3">
        <v>0</v>
      </c>
      <c r="N1847" s="3">
        <v>0</v>
      </c>
    </row>
    <row r="1848" spans="1:14" x14ac:dyDescent="0.2">
      <c r="A1848" s="5" t="str">
        <f>HYPERLINK("http://www.ncbi.nlm.nih.gov/protein/464398772","Dlgap4")</f>
        <v>Dlgap4</v>
      </c>
      <c r="B1848" s="4"/>
      <c r="C1848" s="3">
        <v>0</v>
      </c>
      <c r="D1848" s="3">
        <v>0</v>
      </c>
      <c r="E1848" s="3">
        <v>1</v>
      </c>
      <c r="F1848" s="3">
        <v>0</v>
      </c>
      <c r="G1848" s="3">
        <v>0</v>
      </c>
      <c r="H1848" s="2">
        <f t="shared" si="56"/>
        <v>1</v>
      </c>
      <c r="I1848" t="str">
        <f t="shared" si="57"/>
        <v>Dlgap4_1</v>
      </c>
      <c r="J1848" s="3">
        <v>0</v>
      </c>
      <c r="K1848" s="3">
        <v>0</v>
      </c>
      <c r="L1848" s="3">
        <v>1</v>
      </c>
      <c r="M1848" s="3">
        <v>0</v>
      </c>
      <c r="N1848" s="3">
        <v>0</v>
      </c>
    </row>
    <row r="1849" spans="1:14" x14ac:dyDescent="0.2">
      <c r="A1849" s="5" t="str">
        <f>HYPERLINK("http://www.ncbi.nlm.nih.gov/protein/109891940","Dlgap4")</f>
        <v>Dlgap4</v>
      </c>
      <c r="B1849" s="4"/>
      <c r="C1849" s="3">
        <v>0</v>
      </c>
      <c r="D1849" s="3">
        <v>0</v>
      </c>
      <c r="E1849" s="3">
        <v>1</v>
      </c>
      <c r="F1849" s="3">
        <v>0</v>
      </c>
      <c r="G1849" s="3">
        <v>7871</v>
      </c>
      <c r="H1849" s="2">
        <f t="shared" si="56"/>
        <v>7872</v>
      </c>
      <c r="I1849" t="str">
        <f t="shared" si="57"/>
        <v>Dlgap4_7872</v>
      </c>
      <c r="J1849" s="3">
        <v>0</v>
      </c>
      <c r="K1849" s="3">
        <v>0</v>
      </c>
      <c r="L1849" s="3">
        <v>1</v>
      </c>
      <c r="M1849" s="3">
        <v>0</v>
      </c>
      <c r="N1849" s="3">
        <v>7871</v>
      </c>
    </row>
    <row r="1850" spans="1:14" x14ac:dyDescent="0.2">
      <c r="A1850" s="5" t="str">
        <f>HYPERLINK("http://www.ncbi.nlm.nih.gov/protein/109891942","Dlgap4")</f>
        <v>Dlgap4</v>
      </c>
      <c r="B1850" s="4"/>
      <c r="C1850" s="3">
        <v>0</v>
      </c>
      <c r="D1850" s="3">
        <v>0</v>
      </c>
      <c r="E1850" s="3">
        <v>1</v>
      </c>
      <c r="F1850" s="3">
        <v>0</v>
      </c>
      <c r="G1850" s="3">
        <v>7871</v>
      </c>
      <c r="H1850" s="2">
        <f t="shared" si="56"/>
        <v>7872</v>
      </c>
      <c r="I1850" t="str">
        <f t="shared" si="57"/>
        <v>Dlgap4_7872</v>
      </c>
      <c r="J1850" s="3">
        <v>0</v>
      </c>
      <c r="K1850" s="3">
        <v>0</v>
      </c>
      <c r="L1850" s="3">
        <v>1</v>
      </c>
      <c r="M1850" s="3">
        <v>0</v>
      </c>
      <c r="N1850" s="3">
        <v>7871</v>
      </c>
    </row>
    <row r="1851" spans="1:14" x14ac:dyDescent="0.2">
      <c r="A1851" s="5" t="str">
        <f>HYPERLINK("http://www.ncbi.nlm.nih.gov/protein/62530192","Dlgap4")</f>
        <v>Dlgap4</v>
      </c>
      <c r="B1851" s="4"/>
      <c r="C1851" s="3">
        <v>0</v>
      </c>
      <c r="D1851" s="3">
        <v>0</v>
      </c>
      <c r="E1851" s="3">
        <v>1</v>
      </c>
      <c r="F1851" s="3">
        <v>0</v>
      </c>
      <c r="G1851" s="3">
        <v>7871</v>
      </c>
      <c r="H1851" s="2">
        <f t="shared" si="56"/>
        <v>7872</v>
      </c>
      <c r="I1851" t="str">
        <f t="shared" si="57"/>
        <v>Dlgap4_7872</v>
      </c>
      <c r="J1851" s="3">
        <v>0</v>
      </c>
      <c r="K1851" s="3">
        <v>0</v>
      </c>
      <c r="L1851" s="3">
        <v>1</v>
      </c>
      <c r="M1851" s="3">
        <v>0</v>
      </c>
      <c r="N1851" s="3">
        <v>7871</v>
      </c>
    </row>
    <row r="1852" spans="1:14" x14ac:dyDescent="0.2">
      <c r="A1852" s="5" t="str">
        <f>HYPERLINK("http://www.ncbi.nlm.nih.gov/protein/225543150","Dlgap5")</f>
        <v>Dlgap5</v>
      </c>
      <c r="B1852" s="4"/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2">
        <f t="shared" si="56"/>
        <v>0</v>
      </c>
      <c r="I1852" t="str">
        <f t="shared" si="57"/>
        <v>Dlgap5_0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</row>
    <row r="1853" spans="1:14" x14ac:dyDescent="0.2">
      <c r="A1853" s="5" t="str">
        <f>HYPERLINK("http://www.ncbi.nlm.nih.gov/protein/21313536","Dlst")</f>
        <v>Dlst</v>
      </c>
      <c r="B1853" s="4"/>
      <c r="C1853" s="3">
        <v>9483</v>
      </c>
      <c r="D1853" s="3">
        <v>24374</v>
      </c>
      <c r="E1853" s="3">
        <v>1092</v>
      </c>
      <c r="F1853" s="3">
        <v>7817</v>
      </c>
      <c r="G1853" s="3">
        <v>0</v>
      </c>
      <c r="H1853" s="2">
        <f t="shared" si="56"/>
        <v>42766</v>
      </c>
      <c r="I1853" t="str">
        <f t="shared" si="57"/>
        <v>Dlst_42766</v>
      </c>
      <c r="J1853" s="3">
        <v>9483</v>
      </c>
      <c r="K1853" s="3">
        <v>24374</v>
      </c>
      <c r="L1853" s="3">
        <v>1092</v>
      </c>
      <c r="M1853" s="3">
        <v>7817</v>
      </c>
      <c r="N1853" s="3">
        <v>0</v>
      </c>
    </row>
    <row r="1854" spans="1:14" x14ac:dyDescent="0.2">
      <c r="A1854" s="5" t="str">
        <f>HYPERLINK("http://www.ncbi.nlm.nih.gov/protein/6681203","Dmd")</f>
        <v>Dmd</v>
      </c>
      <c r="B1854" s="4"/>
      <c r="C1854" s="3">
        <v>0</v>
      </c>
      <c r="D1854" s="3">
        <v>215</v>
      </c>
      <c r="E1854" s="3">
        <v>4108</v>
      </c>
      <c r="F1854" s="3">
        <v>0</v>
      </c>
      <c r="G1854" s="3">
        <v>0</v>
      </c>
      <c r="H1854" s="2">
        <f t="shared" si="56"/>
        <v>4323</v>
      </c>
      <c r="I1854" t="str">
        <f t="shared" si="57"/>
        <v>Dmd_4323</v>
      </c>
      <c r="J1854" s="3">
        <v>0</v>
      </c>
      <c r="K1854" s="3">
        <v>215</v>
      </c>
      <c r="L1854" s="3">
        <v>4108</v>
      </c>
      <c r="M1854" s="3">
        <v>0</v>
      </c>
      <c r="N1854" s="3">
        <v>0</v>
      </c>
    </row>
    <row r="1855" spans="1:14" x14ac:dyDescent="0.2">
      <c r="A1855" s="5" t="str">
        <f>HYPERLINK("http://www.ncbi.nlm.nih.gov/protein/283837769","Dna2")</f>
        <v>Dna2</v>
      </c>
      <c r="B1855" s="4"/>
      <c r="C1855" s="3">
        <v>0</v>
      </c>
      <c r="D1855" s="3">
        <v>0</v>
      </c>
      <c r="E1855" s="3">
        <v>1822</v>
      </c>
      <c r="F1855" s="3">
        <v>0</v>
      </c>
      <c r="G1855" s="3">
        <v>0</v>
      </c>
      <c r="H1855" s="2">
        <f t="shared" si="56"/>
        <v>1822</v>
      </c>
      <c r="I1855" t="str">
        <f t="shared" si="57"/>
        <v>Dna2_1822</v>
      </c>
      <c r="J1855" s="3">
        <v>0</v>
      </c>
      <c r="K1855" s="3">
        <v>0</v>
      </c>
      <c r="L1855" s="3">
        <v>1822</v>
      </c>
      <c r="M1855" s="3">
        <v>0</v>
      </c>
      <c r="N1855" s="3">
        <v>0</v>
      </c>
    </row>
    <row r="1856" spans="1:14" x14ac:dyDescent="0.2">
      <c r="A1856" s="5" t="str">
        <f>HYPERLINK("http://www.ncbi.nlm.nih.gov/protein/13386136","Dnaaf1")</f>
        <v>Dnaaf1</v>
      </c>
      <c r="B1856" s="4"/>
      <c r="C1856" s="3">
        <v>0</v>
      </c>
      <c r="D1856" s="3">
        <v>8</v>
      </c>
      <c r="E1856" s="3">
        <v>45</v>
      </c>
      <c r="F1856" s="3">
        <v>0</v>
      </c>
      <c r="G1856" s="3">
        <v>0</v>
      </c>
      <c r="H1856" s="2">
        <f t="shared" si="56"/>
        <v>53</v>
      </c>
      <c r="I1856" t="str">
        <f t="shared" si="57"/>
        <v>Dnaaf1_53</v>
      </c>
      <c r="J1856" s="3">
        <v>0</v>
      </c>
      <c r="K1856" s="3">
        <v>8</v>
      </c>
      <c r="L1856" s="3">
        <v>45</v>
      </c>
      <c r="M1856" s="3">
        <v>0</v>
      </c>
      <c r="N1856" s="3">
        <v>0</v>
      </c>
    </row>
    <row r="1857" spans="1:14" x14ac:dyDescent="0.2">
      <c r="A1857" s="5" t="str">
        <f>HYPERLINK("http://www.ncbi.nlm.nih.gov/protein/66793421","Dnaaf2")</f>
        <v>Dnaaf2</v>
      </c>
      <c r="B1857" s="4"/>
      <c r="C1857" s="3">
        <v>0</v>
      </c>
      <c r="D1857" s="3">
        <v>0</v>
      </c>
      <c r="E1857" s="3">
        <v>0</v>
      </c>
      <c r="F1857" s="3">
        <v>0</v>
      </c>
      <c r="G1857" s="3">
        <v>1071</v>
      </c>
      <c r="H1857" s="2">
        <f t="shared" si="56"/>
        <v>1071</v>
      </c>
      <c r="I1857" t="str">
        <f t="shared" si="57"/>
        <v>Dnaaf2_1071</v>
      </c>
      <c r="J1857" s="3">
        <v>0</v>
      </c>
      <c r="K1857" s="3">
        <v>0</v>
      </c>
      <c r="L1857" s="3">
        <v>0</v>
      </c>
      <c r="M1857" s="3">
        <v>0</v>
      </c>
      <c r="N1857" s="3">
        <v>1071</v>
      </c>
    </row>
    <row r="1858" spans="1:14" x14ac:dyDescent="0.2">
      <c r="A1858" s="5" t="str">
        <f>HYPERLINK("http://www.ncbi.nlm.nih.gov/protein/256773234","Dnah1")</f>
        <v>Dnah1</v>
      </c>
      <c r="B1858" s="4"/>
      <c r="C1858" s="3">
        <v>3661</v>
      </c>
      <c r="D1858" s="3">
        <v>0</v>
      </c>
      <c r="E1858" s="3">
        <v>2919</v>
      </c>
      <c r="F1858" s="3">
        <v>5984</v>
      </c>
      <c r="G1858" s="3">
        <v>0</v>
      </c>
      <c r="H1858" s="2">
        <f t="shared" ref="H1858:H1921" si="58">SUM(C1858:G1858)</f>
        <v>12564</v>
      </c>
      <c r="I1858" t="str">
        <f t="shared" ref="I1858:I1921" si="59">A1858&amp;"_"&amp;H1858</f>
        <v>Dnah1_12564</v>
      </c>
      <c r="J1858" s="3">
        <v>3661</v>
      </c>
      <c r="K1858" s="3">
        <v>0</v>
      </c>
      <c r="L1858" s="3">
        <v>2919</v>
      </c>
      <c r="M1858" s="3">
        <v>5984</v>
      </c>
      <c r="N1858" s="3">
        <v>0</v>
      </c>
    </row>
    <row r="1859" spans="1:14" x14ac:dyDescent="0.2">
      <c r="A1859" s="5" t="str">
        <f>HYPERLINK("http://www.ncbi.nlm.nih.gov/protein/254692843","Dnah10")</f>
        <v>Dnah10</v>
      </c>
      <c r="B1859" s="4"/>
      <c r="C1859" s="3">
        <v>3661</v>
      </c>
      <c r="D1859" s="3">
        <v>0</v>
      </c>
      <c r="E1859" s="3">
        <v>3275</v>
      </c>
      <c r="F1859" s="3">
        <v>5984</v>
      </c>
      <c r="G1859" s="3">
        <v>0</v>
      </c>
      <c r="H1859" s="2">
        <f t="shared" si="58"/>
        <v>12920</v>
      </c>
      <c r="I1859" t="str">
        <f t="shared" si="59"/>
        <v>Dnah10_12920</v>
      </c>
      <c r="J1859" s="3">
        <v>3661</v>
      </c>
      <c r="K1859" s="3">
        <v>0</v>
      </c>
      <c r="L1859" s="3">
        <v>3275</v>
      </c>
      <c r="M1859" s="3">
        <v>5984</v>
      </c>
      <c r="N1859" s="3">
        <v>0</v>
      </c>
    </row>
    <row r="1860" spans="1:14" x14ac:dyDescent="0.2">
      <c r="A1860" s="5" t="str">
        <f>HYPERLINK("http://www.ncbi.nlm.nih.gov/protein/393794754","Dnah11")</f>
        <v>Dnah11</v>
      </c>
      <c r="B1860" s="4"/>
      <c r="C1860" s="3">
        <v>3661</v>
      </c>
      <c r="D1860" s="3">
        <v>0</v>
      </c>
      <c r="E1860" s="3">
        <v>2919</v>
      </c>
      <c r="F1860" s="3">
        <v>5984</v>
      </c>
      <c r="G1860" s="3">
        <v>0</v>
      </c>
      <c r="H1860" s="2">
        <f t="shared" si="58"/>
        <v>12564</v>
      </c>
      <c r="I1860" t="str">
        <f t="shared" si="59"/>
        <v>Dnah11_12564</v>
      </c>
      <c r="J1860" s="3">
        <v>3661</v>
      </c>
      <c r="K1860" s="3">
        <v>0</v>
      </c>
      <c r="L1860" s="3">
        <v>2919</v>
      </c>
      <c r="M1860" s="3">
        <v>5984</v>
      </c>
      <c r="N1860" s="3">
        <v>0</v>
      </c>
    </row>
    <row r="1861" spans="1:14" x14ac:dyDescent="0.2">
      <c r="A1861" s="5" t="str">
        <f>HYPERLINK("http://www.ncbi.nlm.nih.gov/protein/283837762","Dnah17")</f>
        <v>Dnah17</v>
      </c>
      <c r="B1861" s="4"/>
      <c r="C1861" s="3">
        <v>0</v>
      </c>
      <c r="D1861" s="3">
        <v>0</v>
      </c>
      <c r="E1861" s="3">
        <v>28</v>
      </c>
      <c r="F1861" s="3">
        <v>0</v>
      </c>
      <c r="G1861" s="3">
        <v>0</v>
      </c>
      <c r="H1861" s="2">
        <f t="shared" si="58"/>
        <v>28</v>
      </c>
      <c r="I1861" t="str">
        <f t="shared" si="59"/>
        <v>Dnah17_28</v>
      </c>
      <c r="J1861" s="3">
        <v>0</v>
      </c>
      <c r="K1861" s="3">
        <v>0</v>
      </c>
      <c r="L1861" s="3">
        <v>28</v>
      </c>
      <c r="M1861" s="3">
        <v>0</v>
      </c>
      <c r="N1861" s="3">
        <v>0</v>
      </c>
    </row>
    <row r="1862" spans="1:14" x14ac:dyDescent="0.2">
      <c r="A1862" s="5" t="str">
        <f>HYPERLINK("http://www.ncbi.nlm.nih.gov/protein/342672105","Dnah5")</f>
        <v>Dnah5</v>
      </c>
      <c r="B1862" s="4"/>
      <c r="C1862" s="3">
        <v>3661</v>
      </c>
      <c r="D1862" s="3">
        <v>0</v>
      </c>
      <c r="E1862" s="3">
        <v>2919</v>
      </c>
      <c r="F1862" s="3">
        <v>5984</v>
      </c>
      <c r="G1862" s="3">
        <v>76166</v>
      </c>
      <c r="H1862" s="2">
        <f t="shared" si="58"/>
        <v>88730</v>
      </c>
      <c r="I1862" t="str">
        <f t="shared" si="59"/>
        <v>Dnah5_88730</v>
      </c>
      <c r="J1862" s="3">
        <v>3661</v>
      </c>
      <c r="K1862" s="3">
        <v>0</v>
      </c>
      <c r="L1862" s="3">
        <v>2919</v>
      </c>
      <c r="M1862" s="3">
        <v>5984</v>
      </c>
      <c r="N1862" s="3">
        <v>76166</v>
      </c>
    </row>
    <row r="1863" spans="1:14" x14ac:dyDescent="0.2">
      <c r="A1863" s="5" t="str">
        <f>HYPERLINK("http://www.ncbi.nlm.nih.gov/protein/153792273","Dnah8")</f>
        <v>Dnah8</v>
      </c>
      <c r="B1863" s="4"/>
      <c r="C1863" s="3">
        <v>3661</v>
      </c>
      <c r="D1863" s="3">
        <v>0</v>
      </c>
      <c r="E1863" s="3">
        <v>2919</v>
      </c>
      <c r="F1863" s="3">
        <v>5984</v>
      </c>
      <c r="G1863" s="3">
        <v>0</v>
      </c>
      <c r="H1863" s="2">
        <f t="shared" si="58"/>
        <v>12564</v>
      </c>
      <c r="I1863" t="str">
        <f t="shared" si="59"/>
        <v>Dnah8_12564</v>
      </c>
      <c r="J1863" s="3">
        <v>3661</v>
      </c>
      <c r="K1863" s="3">
        <v>0</v>
      </c>
      <c r="L1863" s="3">
        <v>2919</v>
      </c>
      <c r="M1863" s="3">
        <v>5984</v>
      </c>
      <c r="N1863" s="3">
        <v>0</v>
      </c>
    </row>
    <row r="1864" spans="1:14" x14ac:dyDescent="0.2">
      <c r="A1864" s="5" t="str">
        <f>HYPERLINK("http://www.ncbi.nlm.nih.gov/protein/153791933","Dnah9")</f>
        <v>Dnah9</v>
      </c>
      <c r="B1864" s="4"/>
      <c r="C1864" s="3">
        <v>0</v>
      </c>
      <c r="D1864" s="3">
        <v>0</v>
      </c>
      <c r="E1864" s="3">
        <v>34</v>
      </c>
      <c r="F1864" s="3">
        <v>0</v>
      </c>
      <c r="G1864" s="3">
        <v>0</v>
      </c>
      <c r="H1864" s="2">
        <f t="shared" si="58"/>
        <v>34</v>
      </c>
      <c r="I1864" t="str">
        <f t="shared" si="59"/>
        <v>Dnah9_34</v>
      </c>
      <c r="J1864" s="3">
        <v>0</v>
      </c>
      <c r="K1864" s="3">
        <v>0</v>
      </c>
      <c r="L1864" s="3">
        <v>34</v>
      </c>
      <c r="M1864" s="3">
        <v>0</v>
      </c>
      <c r="N1864" s="3">
        <v>0</v>
      </c>
    </row>
    <row r="1865" spans="1:14" x14ac:dyDescent="0.2">
      <c r="A1865" s="5" t="str">
        <f>HYPERLINK("http://www.ncbi.nlm.nih.gov/protein/407262105","Dnahc12")</f>
        <v>Dnahc12</v>
      </c>
      <c r="B1865" s="4"/>
      <c r="C1865" s="3">
        <v>3661</v>
      </c>
      <c r="D1865" s="3">
        <v>0</v>
      </c>
      <c r="E1865" s="3">
        <v>2919</v>
      </c>
      <c r="F1865" s="3">
        <v>5984</v>
      </c>
      <c r="G1865" s="3">
        <v>0</v>
      </c>
      <c r="H1865" s="2">
        <f t="shared" si="58"/>
        <v>12564</v>
      </c>
      <c r="I1865" t="str">
        <f t="shared" si="59"/>
        <v>Dnahc12_12564</v>
      </c>
      <c r="J1865" s="3">
        <v>3661</v>
      </c>
      <c r="K1865" s="3">
        <v>0</v>
      </c>
      <c r="L1865" s="3">
        <v>2919</v>
      </c>
      <c r="M1865" s="3">
        <v>5984</v>
      </c>
      <c r="N1865" s="3">
        <v>0</v>
      </c>
    </row>
    <row r="1866" spans="1:14" x14ac:dyDescent="0.2">
      <c r="A1866" s="5" t="str">
        <f>HYPERLINK("http://www.ncbi.nlm.nih.gov/protein/407264021","Dnahc12")</f>
        <v>Dnahc12</v>
      </c>
      <c r="B1866" s="4"/>
      <c r="C1866" s="3">
        <v>3661</v>
      </c>
      <c r="D1866" s="3">
        <v>0</v>
      </c>
      <c r="E1866" s="3">
        <v>2919</v>
      </c>
      <c r="F1866" s="3">
        <v>5984</v>
      </c>
      <c r="G1866" s="3">
        <v>0</v>
      </c>
      <c r="H1866" s="2">
        <f t="shared" si="58"/>
        <v>12564</v>
      </c>
      <c r="I1866" t="str">
        <f t="shared" si="59"/>
        <v>Dnahc12_12564</v>
      </c>
      <c r="J1866" s="3">
        <v>3661</v>
      </c>
      <c r="K1866" s="3">
        <v>0</v>
      </c>
      <c r="L1866" s="3">
        <v>2919</v>
      </c>
      <c r="M1866" s="3">
        <v>5984</v>
      </c>
      <c r="N1866" s="3">
        <v>0</v>
      </c>
    </row>
    <row r="1867" spans="1:14" x14ac:dyDescent="0.2">
      <c r="A1867" s="5" t="str">
        <f>HYPERLINK("http://www.ncbi.nlm.nih.gov/protein/377833725","Dnahc14")</f>
        <v>Dnahc14</v>
      </c>
      <c r="B1867" s="4"/>
      <c r="C1867" s="3">
        <v>0</v>
      </c>
      <c r="D1867" s="3">
        <v>0</v>
      </c>
      <c r="E1867" s="3">
        <v>31</v>
      </c>
      <c r="F1867" s="3">
        <v>0</v>
      </c>
      <c r="G1867" s="3">
        <v>0</v>
      </c>
      <c r="H1867" s="2">
        <f t="shared" si="58"/>
        <v>31</v>
      </c>
      <c r="I1867" t="str">
        <f t="shared" si="59"/>
        <v>Dnahc14_31</v>
      </c>
      <c r="J1867" s="3">
        <v>0</v>
      </c>
      <c r="K1867" s="3">
        <v>0</v>
      </c>
      <c r="L1867" s="3">
        <v>31</v>
      </c>
      <c r="M1867" s="3">
        <v>0</v>
      </c>
      <c r="N1867" s="3">
        <v>0</v>
      </c>
    </row>
    <row r="1868" spans="1:14" x14ac:dyDescent="0.2">
      <c r="A1868" s="5" t="str">
        <f>HYPERLINK("http://www.ncbi.nlm.nih.gov/protein/377834821","Dnahc14")</f>
        <v>Dnahc14</v>
      </c>
      <c r="B1868" s="4"/>
      <c r="C1868" s="3">
        <v>0</v>
      </c>
      <c r="D1868" s="3">
        <v>0</v>
      </c>
      <c r="E1868" s="3">
        <v>31</v>
      </c>
      <c r="F1868" s="3">
        <v>0</v>
      </c>
      <c r="G1868" s="3">
        <v>0</v>
      </c>
      <c r="H1868" s="2">
        <f t="shared" si="58"/>
        <v>31</v>
      </c>
      <c r="I1868" t="str">
        <f t="shared" si="59"/>
        <v>Dnahc14_31</v>
      </c>
      <c r="J1868" s="3">
        <v>0</v>
      </c>
      <c r="K1868" s="3">
        <v>0</v>
      </c>
      <c r="L1868" s="3">
        <v>31</v>
      </c>
      <c r="M1868" s="3">
        <v>0</v>
      </c>
      <c r="N1868" s="3">
        <v>0</v>
      </c>
    </row>
    <row r="1869" spans="1:14" x14ac:dyDescent="0.2">
      <c r="A1869" s="5" t="str">
        <f>HYPERLINK("http://www.ncbi.nlm.nih.gov/protein/6680297;258547146","Dnaja1")</f>
        <v>Dnaja1</v>
      </c>
      <c r="B1869" s="4"/>
      <c r="C1869" s="3">
        <v>5400</v>
      </c>
      <c r="D1869" s="3">
        <v>0</v>
      </c>
      <c r="E1869" s="3">
        <v>0</v>
      </c>
      <c r="F1869" s="3">
        <v>0</v>
      </c>
      <c r="G1869" s="3">
        <v>0</v>
      </c>
      <c r="H1869" s="2">
        <f t="shared" si="58"/>
        <v>5400</v>
      </c>
      <c r="I1869" t="str">
        <f t="shared" si="59"/>
        <v>Dnaja1_5400</v>
      </c>
      <c r="J1869" s="3">
        <v>5400</v>
      </c>
      <c r="K1869" s="3">
        <v>0</v>
      </c>
      <c r="L1869" s="3">
        <v>0</v>
      </c>
      <c r="M1869" s="3">
        <v>0</v>
      </c>
      <c r="N1869" s="3">
        <v>0</v>
      </c>
    </row>
    <row r="1870" spans="1:14" x14ac:dyDescent="0.2">
      <c r="A1870" s="5" t="str">
        <f>HYPERLINK("http://www.ncbi.nlm.nih.gov/protein/258547146","Dnaja1")</f>
        <v>Dnaja1</v>
      </c>
      <c r="B1870" s="4"/>
      <c r="C1870" s="3">
        <v>0</v>
      </c>
      <c r="D1870" s="3">
        <v>14585</v>
      </c>
      <c r="E1870" s="3">
        <v>13926</v>
      </c>
      <c r="F1870" s="3">
        <v>16641</v>
      </c>
      <c r="G1870" s="3">
        <v>22618</v>
      </c>
      <c r="H1870" s="2">
        <f t="shared" si="58"/>
        <v>67770</v>
      </c>
      <c r="I1870" t="str">
        <f t="shared" si="59"/>
        <v>Dnaja1_67770</v>
      </c>
      <c r="J1870" s="3">
        <v>0</v>
      </c>
      <c r="K1870" s="3">
        <v>14585</v>
      </c>
      <c r="L1870" s="3">
        <v>13926</v>
      </c>
      <c r="M1870" s="3">
        <v>16641</v>
      </c>
      <c r="N1870" s="3">
        <v>22618</v>
      </c>
    </row>
    <row r="1871" spans="1:14" x14ac:dyDescent="0.2">
      <c r="A1871" s="5" t="str">
        <f>HYPERLINK("http://www.ncbi.nlm.nih.gov/protein/9789937","Dnaja2")</f>
        <v>Dnaja2</v>
      </c>
      <c r="B1871" s="4"/>
      <c r="C1871" s="3">
        <v>31651</v>
      </c>
      <c r="D1871" s="3">
        <v>18406</v>
      </c>
      <c r="E1871" s="3">
        <v>17994</v>
      </c>
      <c r="F1871" s="3">
        <v>17476</v>
      </c>
      <c r="G1871" s="3">
        <v>24396</v>
      </c>
      <c r="H1871" s="2">
        <f t="shared" si="58"/>
        <v>109923</v>
      </c>
      <c r="I1871" t="str">
        <f t="shared" si="59"/>
        <v>Dnaja2_109923</v>
      </c>
      <c r="J1871" s="3">
        <v>31651</v>
      </c>
      <c r="K1871" s="3">
        <v>18406</v>
      </c>
      <c r="L1871" s="3">
        <v>17994</v>
      </c>
      <c r="M1871" s="3">
        <v>17476</v>
      </c>
      <c r="N1871" s="3">
        <v>24396</v>
      </c>
    </row>
    <row r="1872" spans="1:14" x14ac:dyDescent="0.2">
      <c r="A1872" s="5" t="str">
        <f>HYPERLINK("http://www.ncbi.nlm.nih.gov/protein/205361112","Dnaja3")</f>
        <v>Dnaja3</v>
      </c>
      <c r="B1872" s="4"/>
      <c r="C1872" s="3">
        <v>11313</v>
      </c>
      <c r="D1872" s="3">
        <v>4785</v>
      </c>
      <c r="E1872" s="3">
        <v>0</v>
      </c>
      <c r="F1872" s="3">
        <v>0</v>
      </c>
      <c r="G1872" s="3">
        <v>0</v>
      </c>
      <c r="H1872" s="2">
        <f t="shared" si="58"/>
        <v>16098</v>
      </c>
      <c r="I1872" t="str">
        <f t="shared" si="59"/>
        <v>Dnaja3_16098</v>
      </c>
      <c r="J1872" s="3">
        <v>11313</v>
      </c>
      <c r="K1872" s="3">
        <v>4785</v>
      </c>
      <c r="L1872" s="3">
        <v>0</v>
      </c>
      <c r="M1872" s="3">
        <v>0</v>
      </c>
      <c r="N1872" s="3">
        <v>0</v>
      </c>
    </row>
    <row r="1873" spans="1:14" x14ac:dyDescent="0.2">
      <c r="A1873" s="5" t="str">
        <f>HYPERLINK("http://www.ncbi.nlm.nih.gov/protein/205361114","Dnaja3")</f>
        <v>Dnaja3</v>
      </c>
      <c r="B1873" s="4"/>
      <c r="C1873" s="3">
        <v>11313</v>
      </c>
      <c r="D1873" s="3">
        <v>4785</v>
      </c>
      <c r="E1873" s="3">
        <v>0</v>
      </c>
      <c r="F1873" s="3">
        <v>0</v>
      </c>
      <c r="G1873" s="3">
        <v>0</v>
      </c>
      <c r="H1873" s="2">
        <f t="shared" si="58"/>
        <v>16098</v>
      </c>
      <c r="I1873" t="str">
        <f t="shared" si="59"/>
        <v>Dnaja3_16098</v>
      </c>
      <c r="J1873" s="3">
        <v>11313</v>
      </c>
      <c r="K1873" s="3">
        <v>4785</v>
      </c>
      <c r="L1873" s="3">
        <v>0</v>
      </c>
      <c r="M1873" s="3">
        <v>0</v>
      </c>
      <c r="N1873" s="3">
        <v>0</v>
      </c>
    </row>
    <row r="1874" spans="1:14" x14ac:dyDescent="0.2">
      <c r="A1874" s="5" t="str">
        <f>HYPERLINK("http://www.ncbi.nlm.nih.gov/protein/9055242","Dnajb1")</f>
        <v>Dnajb1</v>
      </c>
      <c r="B1874" s="4"/>
      <c r="C1874" s="3">
        <v>0</v>
      </c>
      <c r="D1874" s="3">
        <v>564</v>
      </c>
      <c r="E1874" s="3">
        <v>3870</v>
      </c>
      <c r="F1874" s="3">
        <v>15708</v>
      </c>
      <c r="G1874" s="3">
        <v>14062</v>
      </c>
      <c r="H1874" s="2">
        <f t="shared" si="58"/>
        <v>34204</v>
      </c>
      <c r="I1874" t="str">
        <f t="shared" si="59"/>
        <v>Dnajb1_34204</v>
      </c>
      <c r="J1874" s="3">
        <v>0</v>
      </c>
      <c r="K1874" s="3">
        <v>564</v>
      </c>
      <c r="L1874" s="3">
        <v>3870</v>
      </c>
      <c r="M1874" s="3">
        <v>15708</v>
      </c>
      <c r="N1874" s="3">
        <v>14062</v>
      </c>
    </row>
    <row r="1875" spans="1:14" x14ac:dyDescent="0.2">
      <c r="A1875" s="5" t="str">
        <f>HYPERLINK("http://www.ncbi.nlm.nih.gov/protein/110625998","Dnajb11")</f>
        <v>Dnajb11</v>
      </c>
      <c r="B1875" s="4"/>
      <c r="C1875" s="3">
        <v>23670</v>
      </c>
      <c r="D1875" s="3">
        <v>5933</v>
      </c>
      <c r="E1875" s="3">
        <v>4090</v>
      </c>
      <c r="F1875" s="3">
        <v>819</v>
      </c>
      <c r="G1875" s="3">
        <v>0</v>
      </c>
      <c r="H1875" s="2">
        <f t="shared" si="58"/>
        <v>34512</v>
      </c>
      <c r="I1875" t="str">
        <f t="shared" si="59"/>
        <v>Dnajb11_34512</v>
      </c>
      <c r="J1875" s="3">
        <v>23670</v>
      </c>
      <c r="K1875" s="3">
        <v>5933</v>
      </c>
      <c r="L1875" s="3">
        <v>4090</v>
      </c>
      <c r="M1875" s="3">
        <v>819</v>
      </c>
      <c r="N1875" s="3">
        <v>0</v>
      </c>
    </row>
    <row r="1876" spans="1:14" x14ac:dyDescent="0.2">
      <c r="A1876" s="5" t="str">
        <f>HYPERLINK("http://www.ncbi.nlm.nih.gov/protein/31982701","Dnajb12")</f>
        <v>Dnajb12</v>
      </c>
      <c r="B1876" s="4"/>
      <c r="C1876" s="3">
        <v>0</v>
      </c>
      <c r="D1876" s="3">
        <v>0</v>
      </c>
      <c r="E1876" s="3">
        <v>13</v>
      </c>
      <c r="F1876" s="3">
        <v>0</v>
      </c>
      <c r="G1876" s="3">
        <v>0</v>
      </c>
      <c r="H1876" s="2">
        <f t="shared" si="58"/>
        <v>13</v>
      </c>
      <c r="I1876" t="str">
        <f t="shared" si="59"/>
        <v>Dnajb12_13</v>
      </c>
      <c r="J1876" s="3">
        <v>0</v>
      </c>
      <c r="K1876" s="3">
        <v>0</v>
      </c>
      <c r="L1876" s="3">
        <v>13</v>
      </c>
      <c r="M1876" s="3">
        <v>0</v>
      </c>
      <c r="N1876" s="3">
        <v>0</v>
      </c>
    </row>
    <row r="1877" spans="1:14" x14ac:dyDescent="0.2">
      <c r="A1877" s="5" t="str">
        <f>HYPERLINK("http://www.ncbi.nlm.nih.gov/protein/229577334;30017349","Dnajb2")</f>
        <v>Dnajb2</v>
      </c>
      <c r="B1877" s="4"/>
      <c r="C1877" s="3">
        <v>0</v>
      </c>
      <c r="D1877" s="3">
        <v>0</v>
      </c>
      <c r="E1877" s="3">
        <v>571</v>
      </c>
      <c r="F1877" s="3">
        <v>0</v>
      </c>
      <c r="G1877" s="3">
        <v>0</v>
      </c>
      <c r="H1877" s="2">
        <f t="shared" si="58"/>
        <v>571</v>
      </c>
      <c r="I1877" t="str">
        <f t="shared" si="59"/>
        <v>Dnajb2_571</v>
      </c>
      <c r="J1877" s="3">
        <v>0</v>
      </c>
      <c r="K1877" s="3">
        <v>0</v>
      </c>
      <c r="L1877" s="3">
        <v>571</v>
      </c>
      <c r="M1877" s="3">
        <v>0</v>
      </c>
      <c r="N1877" s="3">
        <v>0</v>
      </c>
    </row>
    <row r="1878" spans="1:14" x14ac:dyDescent="0.2">
      <c r="A1878" s="5" t="str">
        <f>HYPERLINK("http://www.ncbi.nlm.nih.gov/protein/30017349","Dnajb2")</f>
        <v>Dnajb2</v>
      </c>
      <c r="B1878" s="4"/>
      <c r="C1878" s="3">
        <v>0</v>
      </c>
      <c r="D1878" s="3">
        <v>914</v>
      </c>
      <c r="E1878" s="3">
        <v>0</v>
      </c>
      <c r="F1878" s="3">
        <v>1351</v>
      </c>
      <c r="G1878" s="3">
        <v>0</v>
      </c>
      <c r="H1878" s="2">
        <f t="shared" si="58"/>
        <v>2265</v>
      </c>
      <c r="I1878" t="str">
        <f t="shared" si="59"/>
        <v>Dnajb2_2265</v>
      </c>
      <c r="J1878" s="3">
        <v>0</v>
      </c>
      <c r="K1878" s="3">
        <v>914</v>
      </c>
      <c r="L1878" s="3">
        <v>0</v>
      </c>
      <c r="M1878" s="3">
        <v>1351</v>
      </c>
      <c r="N1878" s="3">
        <v>0</v>
      </c>
    </row>
    <row r="1879" spans="1:14" x14ac:dyDescent="0.2">
      <c r="A1879" s="5" t="str">
        <f>HYPERLINK("http://www.ncbi.nlm.nih.gov/protein/229577329","Dnajb2")</f>
        <v>Dnajb2</v>
      </c>
      <c r="B1879" s="4"/>
      <c r="C1879" s="3">
        <v>0</v>
      </c>
      <c r="D1879" s="3">
        <v>914</v>
      </c>
      <c r="E1879" s="3">
        <v>571</v>
      </c>
      <c r="F1879" s="3">
        <v>1351</v>
      </c>
      <c r="G1879" s="3">
        <v>0</v>
      </c>
      <c r="H1879" s="2">
        <f t="shared" si="58"/>
        <v>2836</v>
      </c>
      <c r="I1879" t="str">
        <f t="shared" si="59"/>
        <v>Dnajb2_2836</v>
      </c>
      <c r="J1879" s="3">
        <v>0</v>
      </c>
      <c r="K1879" s="3">
        <v>914</v>
      </c>
      <c r="L1879" s="3">
        <v>571</v>
      </c>
      <c r="M1879" s="3">
        <v>1351</v>
      </c>
      <c r="N1879" s="3">
        <v>0</v>
      </c>
    </row>
    <row r="1880" spans="1:14" x14ac:dyDescent="0.2">
      <c r="A1880" s="5" t="str">
        <f>HYPERLINK("http://www.ncbi.nlm.nih.gov/protein/229577332","Dnajb2")</f>
        <v>Dnajb2</v>
      </c>
      <c r="B1880" s="4"/>
      <c r="C1880" s="3">
        <v>0</v>
      </c>
      <c r="D1880" s="3">
        <v>914</v>
      </c>
      <c r="E1880" s="3">
        <v>571</v>
      </c>
      <c r="F1880" s="3">
        <v>1351</v>
      </c>
      <c r="G1880" s="3">
        <v>0</v>
      </c>
      <c r="H1880" s="2">
        <f t="shared" si="58"/>
        <v>2836</v>
      </c>
      <c r="I1880" t="str">
        <f t="shared" si="59"/>
        <v>Dnajb2_2836</v>
      </c>
      <c r="J1880" s="3">
        <v>0</v>
      </c>
      <c r="K1880" s="3">
        <v>914</v>
      </c>
      <c r="L1880" s="3">
        <v>571</v>
      </c>
      <c r="M1880" s="3">
        <v>1351</v>
      </c>
      <c r="N1880" s="3">
        <v>0</v>
      </c>
    </row>
    <row r="1881" spans="1:14" x14ac:dyDescent="0.2">
      <c r="A1881" s="5" t="str">
        <f>HYPERLINK("http://www.ncbi.nlm.nih.gov/protein/21313156;165377271","Dnajb4")</f>
        <v>Dnajb4</v>
      </c>
      <c r="B1881" s="4"/>
      <c r="C1881" s="3">
        <v>0</v>
      </c>
      <c r="D1881" s="3">
        <v>0</v>
      </c>
      <c r="E1881" s="3">
        <v>4094</v>
      </c>
      <c r="F1881" s="3">
        <v>0</v>
      </c>
      <c r="G1881" s="3">
        <v>0</v>
      </c>
      <c r="H1881" s="2">
        <f t="shared" si="58"/>
        <v>4094</v>
      </c>
      <c r="I1881" t="str">
        <f t="shared" si="59"/>
        <v>Dnajb4_4094</v>
      </c>
      <c r="J1881" s="3">
        <v>0</v>
      </c>
      <c r="K1881" s="3">
        <v>0</v>
      </c>
      <c r="L1881" s="3">
        <v>4094</v>
      </c>
      <c r="M1881" s="3">
        <v>0</v>
      </c>
      <c r="N1881" s="3">
        <v>0</v>
      </c>
    </row>
    <row r="1882" spans="1:14" x14ac:dyDescent="0.2">
      <c r="A1882" s="5" t="str">
        <f>HYPERLINK("http://www.ncbi.nlm.nih.gov/protein/165377271","Dnajb4")</f>
        <v>Dnajb4</v>
      </c>
      <c r="B1882" s="4"/>
      <c r="C1882" s="3">
        <v>0</v>
      </c>
      <c r="D1882" s="3">
        <v>397</v>
      </c>
      <c r="E1882" s="3">
        <v>0</v>
      </c>
      <c r="F1882" s="3">
        <v>27594</v>
      </c>
      <c r="G1882" s="3">
        <v>10442</v>
      </c>
      <c r="H1882" s="2">
        <f t="shared" si="58"/>
        <v>38433</v>
      </c>
      <c r="I1882" t="str">
        <f t="shared" si="59"/>
        <v>Dnajb4_38433</v>
      </c>
      <c r="J1882" s="3">
        <v>0</v>
      </c>
      <c r="K1882" s="3">
        <v>397</v>
      </c>
      <c r="L1882" s="3">
        <v>0</v>
      </c>
      <c r="M1882" s="3">
        <v>27594</v>
      </c>
      <c r="N1882" s="3">
        <v>10442</v>
      </c>
    </row>
    <row r="1883" spans="1:14" x14ac:dyDescent="0.2">
      <c r="A1883" s="5" t="str">
        <f>HYPERLINK("http://www.ncbi.nlm.nih.gov/protein/188219642","Dnajb6")</f>
        <v>Dnajb6</v>
      </c>
      <c r="B1883" s="4"/>
      <c r="C1883" s="3">
        <v>0</v>
      </c>
      <c r="D1883" s="3">
        <v>1875</v>
      </c>
      <c r="E1883" s="3">
        <v>1046</v>
      </c>
      <c r="F1883" s="3">
        <v>2603</v>
      </c>
      <c r="G1883" s="3">
        <v>5805</v>
      </c>
      <c r="H1883" s="2">
        <f t="shared" si="58"/>
        <v>11329</v>
      </c>
      <c r="I1883" t="str">
        <f t="shared" si="59"/>
        <v>Dnajb6_11329</v>
      </c>
      <c r="J1883" s="3">
        <v>0</v>
      </c>
      <c r="K1883" s="3">
        <v>1875</v>
      </c>
      <c r="L1883" s="3">
        <v>1046</v>
      </c>
      <c r="M1883" s="3">
        <v>2603</v>
      </c>
      <c r="N1883" s="3">
        <v>5805</v>
      </c>
    </row>
    <row r="1884" spans="1:14" x14ac:dyDescent="0.2">
      <c r="A1884" s="5" t="str">
        <f>HYPERLINK("http://www.ncbi.nlm.nih.gov/protein/188219644","Dnajb6")</f>
        <v>Dnajb6</v>
      </c>
      <c r="B1884" s="4"/>
      <c r="C1884" s="3">
        <v>0</v>
      </c>
      <c r="D1884" s="3">
        <v>2789</v>
      </c>
      <c r="E1884" s="3">
        <v>1618</v>
      </c>
      <c r="F1884" s="3">
        <v>3962</v>
      </c>
      <c r="G1884" s="3">
        <v>5805</v>
      </c>
      <c r="H1884" s="2">
        <f t="shared" si="58"/>
        <v>14174</v>
      </c>
      <c r="I1884" t="str">
        <f t="shared" si="59"/>
        <v>Dnajb6_14174</v>
      </c>
      <c r="J1884" s="3">
        <v>0</v>
      </c>
      <c r="K1884" s="3">
        <v>2789</v>
      </c>
      <c r="L1884" s="3">
        <v>1618</v>
      </c>
      <c r="M1884" s="3">
        <v>3962</v>
      </c>
      <c r="N1884" s="3">
        <v>5805</v>
      </c>
    </row>
    <row r="1885" spans="1:14" x14ac:dyDescent="0.2">
      <c r="A1885" s="5" t="str">
        <f>HYPERLINK("http://www.ncbi.nlm.nih.gov/protein/83816903","Dnajb6")</f>
        <v>Dnajb6</v>
      </c>
      <c r="B1885" s="4"/>
      <c r="C1885" s="3">
        <v>0</v>
      </c>
      <c r="D1885" s="3">
        <v>2789</v>
      </c>
      <c r="E1885" s="3">
        <v>1618</v>
      </c>
      <c r="F1885" s="3">
        <v>3962</v>
      </c>
      <c r="G1885" s="3">
        <v>5805</v>
      </c>
      <c r="H1885" s="2">
        <f t="shared" si="58"/>
        <v>14174</v>
      </c>
      <c r="I1885" t="str">
        <f t="shared" si="59"/>
        <v>Dnajb6_14174</v>
      </c>
      <c r="J1885" s="3">
        <v>0</v>
      </c>
      <c r="K1885" s="3">
        <v>2789</v>
      </c>
      <c r="L1885" s="3">
        <v>1618</v>
      </c>
      <c r="M1885" s="3">
        <v>3962</v>
      </c>
      <c r="N1885" s="3">
        <v>5805</v>
      </c>
    </row>
    <row r="1886" spans="1:14" x14ac:dyDescent="0.2">
      <c r="A1886" s="5" t="str">
        <f>HYPERLINK("http://www.ncbi.nlm.nih.gov/protein/83816907","Dnajb6")</f>
        <v>Dnajb6</v>
      </c>
      <c r="B1886" s="4"/>
      <c r="C1886" s="3">
        <v>0</v>
      </c>
      <c r="D1886" s="3">
        <v>3945</v>
      </c>
      <c r="E1886" s="3">
        <v>1894</v>
      </c>
      <c r="F1886" s="3">
        <v>3962</v>
      </c>
      <c r="G1886" s="3">
        <v>5805</v>
      </c>
      <c r="H1886" s="2">
        <f t="shared" si="58"/>
        <v>15606</v>
      </c>
      <c r="I1886" t="str">
        <f t="shared" si="59"/>
        <v>Dnajb6_15606</v>
      </c>
      <c r="J1886" s="3">
        <v>0</v>
      </c>
      <c r="K1886" s="3">
        <v>3945</v>
      </c>
      <c r="L1886" s="3">
        <v>1894</v>
      </c>
      <c r="M1886" s="3">
        <v>3962</v>
      </c>
      <c r="N1886" s="3">
        <v>5805</v>
      </c>
    </row>
    <row r="1887" spans="1:14" x14ac:dyDescent="0.2">
      <c r="A1887" s="5" t="str">
        <f>HYPERLINK("http://www.ncbi.nlm.nih.gov/protein/119392096","Dnajb7")</f>
        <v>Dnajb7</v>
      </c>
      <c r="B1887" s="4"/>
      <c r="C1887" s="3">
        <v>0</v>
      </c>
      <c r="D1887" s="3">
        <v>875</v>
      </c>
      <c r="E1887" s="3">
        <v>57</v>
      </c>
      <c r="F1887" s="3">
        <v>1866</v>
      </c>
      <c r="G1887" s="3">
        <v>2934</v>
      </c>
      <c r="H1887" s="2">
        <f t="shared" si="58"/>
        <v>5732</v>
      </c>
      <c r="I1887" t="str">
        <f t="shared" si="59"/>
        <v>Dnajb7_5732</v>
      </c>
      <c r="J1887" s="3">
        <v>0</v>
      </c>
      <c r="K1887" s="3">
        <v>875</v>
      </c>
      <c r="L1887" s="3">
        <v>57</v>
      </c>
      <c r="M1887" s="3">
        <v>1866</v>
      </c>
      <c r="N1887" s="3">
        <v>2934</v>
      </c>
    </row>
    <row r="1888" spans="1:14" x14ac:dyDescent="0.2">
      <c r="A1888" s="5" t="str">
        <f>HYPERLINK("http://www.ncbi.nlm.nih.gov/protein/7106295","Dnajc1")</f>
        <v>Dnajc1</v>
      </c>
      <c r="B1888" s="4"/>
      <c r="C1888" s="3">
        <v>0</v>
      </c>
      <c r="D1888" s="3">
        <v>0</v>
      </c>
      <c r="E1888" s="3">
        <v>0</v>
      </c>
      <c r="F1888" s="3">
        <v>0</v>
      </c>
      <c r="G1888" s="3">
        <v>835</v>
      </c>
      <c r="H1888" s="2">
        <f t="shared" si="58"/>
        <v>835</v>
      </c>
      <c r="I1888" t="str">
        <f t="shared" si="59"/>
        <v>Dnajc1_835</v>
      </c>
      <c r="J1888" s="3">
        <v>0</v>
      </c>
      <c r="K1888" s="3">
        <v>0</v>
      </c>
      <c r="L1888" s="3">
        <v>0</v>
      </c>
      <c r="M1888" s="3">
        <v>0</v>
      </c>
      <c r="N1888" s="3">
        <v>835</v>
      </c>
    </row>
    <row r="1889" spans="1:14" x14ac:dyDescent="0.2">
      <c r="A1889" s="5" t="str">
        <f>HYPERLINK("http://www.ncbi.nlm.nih.gov/protein/119508443","Dnajc10")</f>
        <v>Dnajc10</v>
      </c>
      <c r="B1889" s="4"/>
      <c r="C1889" s="3">
        <v>4467</v>
      </c>
      <c r="D1889" s="3">
        <v>3135</v>
      </c>
      <c r="E1889" s="3">
        <v>1488</v>
      </c>
      <c r="F1889" s="3">
        <v>0</v>
      </c>
      <c r="G1889" s="3">
        <v>0</v>
      </c>
      <c r="H1889" s="2">
        <f t="shared" si="58"/>
        <v>9090</v>
      </c>
      <c r="I1889" t="str">
        <f t="shared" si="59"/>
        <v>Dnajc10_9090</v>
      </c>
      <c r="J1889" s="3">
        <v>4467</v>
      </c>
      <c r="K1889" s="3">
        <v>3135</v>
      </c>
      <c r="L1889" s="3">
        <v>1488</v>
      </c>
      <c r="M1889" s="3">
        <v>0</v>
      </c>
      <c r="N1889" s="3">
        <v>0</v>
      </c>
    </row>
    <row r="1890" spans="1:14" x14ac:dyDescent="0.2">
      <c r="A1890" s="5" t="str">
        <f>HYPERLINK("http://www.ncbi.nlm.nih.gov/protein/164565394","Dnajc11")</f>
        <v>Dnajc11</v>
      </c>
      <c r="B1890" s="4"/>
      <c r="C1890" s="3">
        <v>0</v>
      </c>
      <c r="D1890" s="3">
        <v>3916</v>
      </c>
      <c r="E1890" s="3">
        <v>73</v>
      </c>
      <c r="F1890" s="3">
        <v>0</v>
      </c>
      <c r="G1890" s="3">
        <v>0</v>
      </c>
      <c r="H1890" s="2">
        <f t="shared" si="58"/>
        <v>3989</v>
      </c>
      <c r="I1890" t="str">
        <f t="shared" si="59"/>
        <v>Dnajc11_3989</v>
      </c>
      <c r="J1890" s="3">
        <v>0</v>
      </c>
      <c r="K1890" s="3">
        <v>3916</v>
      </c>
      <c r="L1890" s="3">
        <v>73</v>
      </c>
      <c r="M1890" s="3">
        <v>0</v>
      </c>
      <c r="N1890" s="3">
        <v>0</v>
      </c>
    </row>
    <row r="1891" spans="1:14" x14ac:dyDescent="0.2">
      <c r="A1891" s="5" t="str">
        <f>HYPERLINK("http://www.ncbi.nlm.nih.gov/protein/247494234","Dnajc13")</f>
        <v>Dnajc13</v>
      </c>
      <c r="B1891" s="4"/>
      <c r="C1891" s="3">
        <v>2801</v>
      </c>
      <c r="D1891" s="3">
        <v>12492</v>
      </c>
      <c r="E1891" s="3">
        <v>14234</v>
      </c>
      <c r="F1891" s="3">
        <v>1211</v>
      </c>
      <c r="G1891" s="3">
        <v>0</v>
      </c>
      <c r="H1891" s="2">
        <f t="shared" si="58"/>
        <v>30738</v>
      </c>
      <c r="I1891" t="str">
        <f t="shared" si="59"/>
        <v>Dnajc13_30738</v>
      </c>
      <c r="J1891" s="3">
        <v>2801</v>
      </c>
      <c r="K1891" s="3">
        <v>12492</v>
      </c>
      <c r="L1891" s="3">
        <v>14234</v>
      </c>
      <c r="M1891" s="3">
        <v>1211</v>
      </c>
      <c r="N1891" s="3">
        <v>0</v>
      </c>
    </row>
    <row r="1892" spans="1:14" x14ac:dyDescent="0.2">
      <c r="A1892" s="5" t="str">
        <f>HYPERLINK("http://www.ncbi.nlm.nih.gov/protein/71061474","Dnajc19")</f>
        <v>Dnajc19</v>
      </c>
      <c r="B1892" s="4"/>
      <c r="C1892" s="3">
        <v>714</v>
      </c>
      <c r="D1892" s="3">
        <v>977</v>
      </c>
      <c r="E1892" s="3">
        <v>76</v>
      </c>
      <c r="F1892" s="3">
        <v>0</v>
      </c>
      <c r="G1892" s="3">
        <v>0</v>
      </c>
      <c r="H1892" s="2">
        <f t="shared" si="58"/>
        <v>1767</v>
      </c>
      <c r="I1892" t="str">
        <f t="shared" si="59"/>
        <v>Dnajc19_1767</v>
      </c>
      <c r="J1892" s="3">
        <v>714</v>
      </c>
      <c r="K1892" s="3">
        <v>977</v>
      </c>
      <c r="L1892" s="3">
        <v>76</v>
      </c>
      <c r="M1892" s="3">
        <v>0</v>
      </c>
      <c r="N1892" s="3">
        <v>0</v>
      </c>
    </row>
    <row r="1893" spans="1:14" x14ac:dyDescent="0.2">
      <c r="A1893" s="5" t="str">
        <f>HYPERLINK("http://www.ncbi.nlm.nih.gov/protein/309268906","Dnajc19-ps")</f>
        <v>Dnajc19-ps</v>
      </c>
      <c r="B1893" s="4"/>
      <c r="C1893" s="3">
        <v>714</v>
      </c>
      <c r="D1893" s="3">
        <v>977</v>
      </c>
      <c r="E1893" s="3">
        <v>76</v>
      </c>
      <c r="F1893" s="3">
        <v>0</v>
      </c>
      <c r="G1893" s="3">
        <v>0</v>
      </c>
      <c r="H1893" s="2">
        <f t="shared" si="58"/>
        <v>1767</v>
      </c>
      <c r="I1893" t="str">
        <f t="shared" si="59"/>
        <v>Dnajc19-ps_1767</v>
      </c>
      <c r="J1893" s="3">
        <v>714</v>
      </c>
      <c r="K1893" s="3">
        <v>977</v>
      </c>
      <c r="L1893" s="3">
        <v>76</v>
      </c>
      <c r="M1893" s="3">
        <v>0</v>
      </c>
      <c r="N1893" s="3">
        <v>0</v>
      </c>
    </row>
    <row r="1894" spans="1:14" x14ac:dyDescent="0.2">
      <c r="A1894" s="5" t="str">
        <f>HYPERLINK("http://www.ncbi.nlm.nih.gov/protein/6677659","Dnajc2")</f>
        <v>Dnajc2</v>
      </c>
      <c r="B1894" s="4"/>
      <c r="C1894" s="3">
        <v>1556</v>
      </c>
      <c r="D1894" s="3">
        <v>190</v>
      </c>
      <c r="E1894" s="3">
        <v>15715</v>
      </c>
      <c r="F1894" s="3">
        <v>18483</v>
      </c>
      <c r="G1894" s="3">
        <v>1424</v>
      </c>
      <c r="H1894" s="2">
        <f t="shared" si="58"/>
        <v>37368</v>
      </c>
      <c r="I1894" t="str">
        <f t="shared" si="59"/>
        <v>Dnajc2_37368</v>
      </c>
      <c r="J1894" s="3">
        <v>1556</v>
      </c>
      <c r="K1894" s="3">
        <v>190</v>
      </c>
      <c r="L1894" s="3">
        <v>15715</v>
      </c>
      <c r="M1894" s="3">
        <v>18483</v>
      </c>
      <c r="N1894" s="3">
        <v>1424</v>
      </c>
    </row>
    <row r="1895" spans="1:14" x14ac:dyDescent="0.2">
      <c r="A1895" s="5" t="str">
        <f>HYPERLINK("http://www.ncbi.nlm.nih.gov/protein/190194391","Dnajc21")</f>
        <v>Dnajc21</v>
      </c>
      <c r="B1895" s="4"/>
      <c r="C1895" s="3">
        <v>0</v>
      </c>
      <c r="D1895" s="3">
        <v>0</v>
      </c>
      <c r="E1895" s="3">
        <v>0</v>
      </c>
      <c r="F1895" s="3">
        <v>9896</v>
      </c>
      <c r="G1895" s="3">
        <v>0</v>
      </c>
      <c r="H1895" s="2">
        <f t="shared" si="58"/>
        <v>9896</v>
      </c>
      <c r="I1895" t="str">
        <f t="shared" si="59"/>
        <v>Dnajc21_9896</v>
      </c>
      <c r="J1895" s="3">
        <v>0</v>
      </c>
      <c r="K1895" s="3">
        <v>0</v>
      </c>
      <c r="L1895" s="3">
        <v>0</v>
      </c>
      <c r="M1895" s="3">
        <v>9896</v>
      </c>
      <c r="N1895" s="3">
        <v>0</v>
      </c>
    </row>
    <row r="1896" spans="1:14" x14ac:dyDescent="0.2">
      <c r="A1896" s="5" t="str">
        <f>HYPERLINK("http://www.ncbi.nlm.nih.gov/protein/21729759","Dnajc24")</f>
        <v>Dnajc24</v>
      </c>
      <c r="B1896" s="4"/>
      <c r="C1896" s="3">
        <v>0</v>
      </c>
      <c r="D1896" s="3">
        <v>0</v>
      </c>
      <c r="E1896" s="3">
        <v>0</v>
      </c>
      <c r="F1896" s="3">
        <v>0</v>
      </c>
      <c r="G1896" s="3">
        <v>2806</v>
      </c>
      <c r="H1896" s="2">
        <f t="shared" si="58"/>
        <v>2806</v>
      </c>
      <c r="I1896" t="str">
        <f t="shared" si="59"/>
        <v>Dnajc24_2806</v>
      </c>
      <c r="J1896" s="3">
        <v>0</v>
      </c>
      <c r="K1896" s="3">
        <v>0</v>
      </c>
      <c r="L1896" s="3">
        <v>0</v>
      </c>
      <c r="M1896" s="3">
        <v>0</v>
      </c>
      <c r="N1896" s="3">
        <v>2806</v>
      </c>
    </row>
    <row r="1897" spans="1:14" x14ac:dyDescent="0.2">
      <c r="A1897" s="5" t="str">
        <f>HYPERLINK("http://www.ncbi.nlm.nih.gov/protein/239985468","Dnajc25")</f>
        <v>Dnajc25</v>
      </c>
      <c r="B1897" s="4"/>
      <c r="C1897" s="3">
        <v>0</v>
      </c>
      <c r="D1897" s="3">
        <v>0</v>
      </c>
      <c r="E1897" s="3">
        <v>0</v>
      </c>
      <c r="F1897" s="3">
        <v>1744</v>
      </c>
      <c r="G1897" s="3">
        <v>0</v>
      </c>
      <c r="H1897" s="2">
        <f t="shared" si="58"/>
        <v>1744</v>
      </c>
      <c r="I1897" t="str">
        <f t="shared" si="59"/>
        <v>Dnajc25_1744</v>
      </c>
      <c r="J1897" s="3">
        <v>0</v>
      </c>
      <c r="K1897" s="3">
        <v>0</v>
      </c>
      <c r="L1897" s="3">
        <v>0</v>
      </c>
      <c r="M1897" s="3">
        <v>1744</v>
      </c>
      <c r="N1897" s="3">
        <v>0</v>
      </c>
    </row>
    <row r="1898" spans="1:14" x14ac:dyDescent="0.2">
      <c r="A1898" s="5" t="str">
        <f>HYPERLINK("http://www.ncbi.nlm.nih.gov/protein/31542563","Dnajc3")</f>
        <v>Dnajc3</v>
      </c>
      <c r="B1898" s="4"/>
      <c r="C1898" s="3">
        <v>0</v>
      </c>
      <c r="D1898" s="3">
        <v>3071</v>
      </c>
      <c r="E1898" s="3">
        <v>534</v>
      </c>
      <c r="F1898" s="3">
        <v>0</v>
      </c>
      <c r="G1898" s="3">
        <v>0</v>
      </c>
      <c r="H1898" s="2">
        <f t="shared" si="58"/>
        <v>3605</v>
      </c>
      <c r="I1898" t="str">
        <f t="shared" si="59"/>
        <v>Dnajc3_3605</v>
      </c>
      <c r="J1898" s="3">
        <v>0</v>
      </c>
      <c r="K1898" s="3">
        <v>3071</v>
      </c>
      <c r="L1898" s="3">
        <v>534</v>
      </c>
      <c r="M1898" s="3">
        <v>0</v>
      </c>
      <c r="N1898" s="3">
        <v>0</v>
      </c>
    </row>
    <row r="1899" spans="1:14" x14ac:dyDescent="0.2">
      <c r="A1899" s="5" t="str">
        <f>HYPERLINK("http://www.ncbi.nlm.nih.gov/protein/10181196","Dnajc4")</f>
        <v>Dnajc4</v>
      </c>
      <c r="B1899" s="4"/>
      <c r="C1899" s="3">
        <v>0</v>
      </c>
      <c r="D1899" s="3">
        <v>0</v>
      </c>
      <c r="E1899" s="3">
        <v>0</v>
      </c>
      <c r="F1899" s="3">
        <v>8</v>
      </c>
      <c r="G1899" s="3">
        <v>0</v>
      </c>
      <c r="H1899" s="2">
        <f t="shared" si="58"/>
        <v>8</v>
      </c>
      <c r="I1899" t="str">
        <f t="shared" si="59"/>
        <v>Dnajc4_8</v>
      </c>
      <c r="J1899" s="3">
        <v>0</v>
      </c>
      <c r="K1899" s="3">
        <v>0</v>
      </c>
      <c r="L1899" s="3">
        <v>0</v>
      </c>
      <c r="M1899" s="3">
        <v>8</v>
      </c>
      <c r="N1899" s="3">
        <v>0</v>
      </c>
    </row>
    <row r="1900" spans="1:14" x14ac:dyDescent="0.2">
      <c r="A1900" s="5" t="str">
        <f>HYPERLINK("http://www.ncbi.nlm.nih.gov/protein/7949027","Dnajc5")</f>
        <v>Dnajc5</v>
      </c>
      <c r="B1900" s="4"/>
      <c r="C1900" s="3">
        <v>0</v>
      </c>
      <c r="D1900" s="3">
        <v>1420</v>
      </c>
      <c r="E1900" s="3">
        <v>591</v>
      </c>
      <c r="F1900" s="3">
        <v>0</v>
      </c>
      <c r="G1900" s="3">
        <v>0</v>
      </c>
      <c r="H1900" s="2">
        <f t="shared" si="58"/>
        <v>2011</v>
      </c>
      <c r="I1900" t="str">
        <f t="shared" si="59"/>
        <v>Dnajc5_2011</v>
      </c>
      <c r="J1900" s="3">
        <v>0</v>
      </c>
      <c r="K1900" s="3">
        <v>1420</v>
      </c>
      <c r="L1900" s="3">
        <v>591</v>
      </c>
      <c r="M1900" s="3">
        <v>0</v>
      </c>
      <c r="N1900" s="3">
        <v>0</v>
      </c>
    </row>
    <row r="1901" spans="1:14" x14ac:dyDescent="0.2">
      <c r="A1901" s="5" t="str">
        <f>HYPERLINK("http://www.ncbi.nlm.nih.gov/protein/31980994","Dnajc7")</f>
        <v>Dnajc7</v>
      </c>
      <c r="B1901" s="4"/>
      <c r="C1901" s="3">
        <v>0</v>
      </c>
      <c r="D1901" s="3">
        <v>1303</v>
      </c>
      <c r="E1901" s="3">
        <v>2350</v>
      </c>
      <c r="F1901" s="3">
        <v>655</v>
      </c>
      <c r="G1901" s="3">
        <v>3663</v>
      </c>
      <c r="H1901" s="2">
        <f t="shared" si="58"/>
        <v>7971</v>
      </c>
      <c r="I1901" t="str">
        <f t="shared" si="59"/>
        <v>Dnajc7_7971</v>
      </c>
      <c r="J1901" s="3">
        <v>0</v>
      </c>
      <c r="K1901" s="3">
        <v>1303</v>
      </c>
      <c r="L1901" s="3">
        <v>2350</v>
      </c>
      <c r="M1901" s="3">
        <v>655</v>
      </c>
      <c r="N1901" s="3">
        <v>3663</v>
      </c>
    </row>
    <row r="1902" spans="1:14" x14ac:dyDescent="0.2">
      <c r="A1902" s="5" t="str">
        <f>HYPERLINK("http://www.ncbi.nlm.nih.gov/protein/157951606","Dnajc8")</f>
        <v>Dnajc8</v>
      </c>
      <c r="B1902" s="4"/>
      <c r="C1902" s="3">
        <v>3478</v>
      </c>
      <c r="D1902" s="3">
        <v>0</v>
      </c>
      <c r="E1902" s="3">
        <v>678</v>
      </c>
      <c r="F1902" s="3">
        <v>2693</v>
      </c>
      <c r="G1902" s="3">
        <v>26249</v>
      </c>
      <c r="H1902" s="2">
        <f t="shared" si="58"/>
        <v>33098</v>
      </c>
      <c r="I1902" t="str">
        <f t="shared" si="59"/>
        <v>Dnajc8_33098</v>
      </c>
      <c r="J1902" s="3">
        <v>3478</v>
      </c>
      <c r="K1902" s="3">
        <v>0</v>
      </c>
      <c r="L1902" s="3">
        <v>678</v>
      </c>
      <c r="M1902" s="3">
        <v>2693</v>
      </c>
      <c r="N1902" s="3">
        <v>26249</v>
      </c>
    </row>
    <row r="1903" spans="1:14" x14ac:dyDescent="0.2">
      <c r="A1903" s="5" t="str">
        <f>HYPERLINK("http://www.ncbi.nlm.nih.gov/protein/23956266","Dnajc9")</f>
        <v>Dnajc9</v>
      </c>
      <c r="B1903" s="4"/>
      <c r="C1903" s="3">
        <v>4668</v>
      </c>
      <c r="D1903" s="3">
        <v>5845</v>
      </c>
      <c r="E1903" s="3">
        <v>5758</v>
      </c>
      <c r="F1903" s="3">
        <v>27798</v>
      </c>
      <c r="G1903" s="3">
        <v>6918</v>
      </c>
      <c r="H1903" s="2">
        <f t="shared" si="58"/>
        <v>50987</v>
      </c>
      <c r="I1903" t="str">
        <f t="shared" si="59"/>
        <v>Dnajc9_50987</v>
      </c>
      <c r="J1903" s="3">
        <v>4668</v>
      </c>
      <c r="K1903" s="3">
        <v>5845</v>
      </c>
      <c r="L1903" s="3">
        <v>5758</v>
      </c>
      <c r="M1903" s="3">
        <v>27798</v>
      </c>
      <c r="N1903" s="3">
        <v>6918</v>
      </c>
    </row>
    <row r="1904" spans="1:14" x14ac:dyDescent="0.2">
      <c r="A1904" s="5" t="str">
        <f>HYPERLINK("http://www.ncbi.nlm.nih.gov/protein/164607162","Dnal1")</f>
        <v>Dnal1</v>
      </c>
      <c r="B1904" s="4"/>
      <c r="C1904" s="3">
        <v>0</v>
      </c>
      <c r="D1904" s="3">
        <v>0</v>
      </c>
      <c r="E1904" s="3">
        <v>0</v>
      </c>
      <c r="F1904" s="3">
        <v>0</v>
      </c>
      <c r="G1904" s="3">
        <v>257</v>
      </c>
      <c r="H1904" s="2">
        <f t="shared" si="58"/>
        <v>257</v>
      </c>
      <c r="I1904" t="str">
        <f t="shared" si="59"/>
        <v>Dnal1_257</v>
      </c>
      <c r="J1904" s="3">
        <v>0</v>
      </c>
      <c r="K1904" s="3">
        <v>0</v>
      </c>
      <c r="L1904" s="3">
        <v>0</v>
      </c>
      <c r="M1904" s="3">
        <v>0</v>
      </c>
      <c r="N1904" s="3">
        <v>257</v>
      </c>
    </row>
    <row r="1905" spans="1:14" x14ac:dyDescent="0.2">
      <c r="A1905" s="5" t="str">
        <f>HYPERLINK("http://www.ncbi.nlm.nih.gov/protein/148539953","Dnase1l2")</f>
        <v>Dnase1l2</v>
      </c>
      <c r="B1905" s="4"/>
      <c r="C1905" s="3">
        <v>21491</v>
      </c>
      <c r="D1905" s="3">
        <v>5797</v>
      </c>
      <c r="E1905" s="3">
        <v>609</v>
      </c>
      <c r="F1905" s="3">
        <v>0</v>
      </c>
      <c r="G1905" s="3">
        <v>0</v>
      </c>
      <c r="H1905" s="2">
        <f t="shared" si="58"/>
        <v>27897</v>
      </c>
      <c r="I1905" t="str">
        <f t="shared" si="59"/>
        <v>Dnase1l2_27897</v>
      </c>
      <c r="J1905" s="3">
        <v>21491</v>
      </c>
      <c r="K1905" s="3">
        <v>5797</v>
      </c>
      <c r="L1905" s="3">
        <v>609</v>
      </c>
      <c r="M1905" s="3">
        <v>0</v>
      </c>
      <c r="N1905" s="3">
        <v>0</v>
      </c>
    </row>
    <row r="1906" spans="1:14" x14ac:dyDescent="0.2">
      <c r="A1906" s="5" t="str">
        <f>HYPERLINK("http://www.ncbi.nlm.nih.gov/protein/6753654","Dnase2a")</f>
        <v>Dnase2a</v>
      </c>
      <c r="B1906" s="4"/>
      <c r="C1906" s="3">
        <v>0</v>
      </c>
      <c r="D1906" s="3">
        <v>1939</v>
      </c>
      <c r="E1906" s="3">
        <v>51</v>
      </c>
      <c r="F1906" s="3">
        <v>0</v>
      </c>
      <c r="G1906" s="3">
        <v>964</v>
      </c>
      <c r="H1906" s="2">
        <f t="shared" si="58"/>
        <v>2954</v>
      </c>
      <c r="I1906" t="str">
        <f t="shared" si="59"/>
        <v>Dnase2a_2954</v>
      </c>
      <c r="J1906" s="3">
        <v>0</v>
      </c>
      <c r="K1906" s="3">
        <v>1939</v>
      </c>
      <c r="L1906" s="3">
        <v>51</v>
      </c>
      <c r="M1906" s="3">
        <v>0</v>
      </c>
      <c r="N1906" s="3">
        <v>964</v>
      </c>
    </row>
    <row r="1907" spans="1:14" x14ac:dyDescent="0.2">
      <c r="A1907" s="5" t="str">
        <f>HYPERLINK("http://www.ncbi.nlm.nih.gov/protein/110625712","Dnlz")</f>
        <v>Dnlz</v>
      </c>
      <c r="B1907" s="4"/>
      <c r="C1907" s="3">
        <v>0</v>
      </c>
      <c r="D1907" s="3">
        <v>192</v>
      </c>
      <c r="E1907" s="3">
        <v>0</v>
      </c>
      <c r="F1907" s="3">
        <v>0</v>
      </c>
      <c r="G1907" s="3">
        <v>0</v>
      </c>
      <c r="H1907" s="2">
        <f t="shared" si="58"/>
        <v>192</v>
      </c>
      <c r="I1907" t="str">
        <f t="shared" si="59"/>
        <v>Dnlz_192</v>
      </c>
      <c r="J1907" s="3">
        <v>0</v>
      </c>
      <c r="K1907" s="3">
        <v>192</v>
      </c>
      <c r="L1907" s="3">
        <v>0</v>
      </c>
      <c r="M1907" s="3">
        <v>0</v>
      </c>
      <c r="N1907" s="3">
        <v>0</v>
      </c>
    </row>
    <row r="1908" spans="1:14" x14ac:dyDescent="0.2">
      <c r="A1908" s="5" t="str">
        <f>HYPERLINK("http://www.ncbi.nlm.nih.gov/protein/218777849","Dnlz")</f>
        <v>Dnlz</v>
      </c>
      <c r="B1908" s="4"/>
      <c r="C1908" s="3">
        <v>0</v>
      </c>
      <c r="D1908" s="3">
        <v>75</v>
      </c>
      <c r="E1908" s="3">
        <v>0</v>
      </c>
      <c r="F1908" s="3">
        <v>0</v>
      </c>
      <c r="G1908" s="3">
        <v>0</v>
      </c>
      <c r="H1908" s="2">
        <f t="shared" si="58"/>
        <v>75</v>
      </c>
      <c r="I1908" t="str">
        <f t="shared" si="59"/>
        <v>Dnlz_75</v>
      </c>
      <c r="J1908" s="3">
        <v>0</v>
      </c>
      <c r="K1908" s="3">
        <v>75</v>
      </c>
      <c r="L1908" s="3">
        <v>0</v>
      </c>
      <c r="M1908" s="3">
        <v>0</v>
      </c>
      <c r="N1908" s="3">
        <v>0</v>
      </c>
    </row>
    <row r="1909" spans="1:14" x14ac:dyDescent="0.2">
      <c r="A1909" s="5" t="str">
        <f>HYPERLINK("http://www.ncbi.nlm.nih.gov/protein/218777851","Dnlz")</f>
        <v>Dnlz</v>
      </c>
      <c r="B1909" s="4"/>
      <c r="C1909" s="3">
        <v>0</v>
      </c>
      <c r="D1909" s="3">
        <v>75</v>
      </c>
      <c r="E1909" s="3">
        <v>0</v>
      </c>
      <c r="F1909" s="3">
        <v>0</v>
      </c>
      <c r="G1909" s="3">
        <v>0</v>
      </c>
      <c r="H1909" s="2">
        <f t="shared" si="58"/>
        <v>75</v>
      </c>
      <c r="I1909" t="str">
        <f t="shared" si="59"/>
        <v>Dnlz_75</v>
      </c>
      <c r="J1909" s="3">
        <v>0</v>
      </c>
      <c r="K1909" s="3">
        <v>75</v>
      </c>
      <c r="L1909" s="3">
        <v>0</v>
      </c>
      <c r="M1909" s="3">
        <v>0</v>
      </c>
      <c r="N1909" s="3">
        <v>0</v>
      </c>
    </row>
    <row r="1910" spans="1:14" x14ac:dyDescent="0.2">
      <c r="A1910" s="5" t="str">
        <f>HYPERLINK("http://www.ncbi.nlm.nih.gov/protein/116063570","Dnm1")</f>
        <v>Dnm1</v>
      </c>
      <c r="B1910" s="4"/>
      <c r="C1910" s="3">
        <v>0</v>
      </c>
      <c r="D1910" s="3">
        <v>2215</v>
      </c>
      <c r="E1910" s="3">
        <v>5483</v>
      </c>
      <c r="F1910" s="3">
        <v>2145</v>
      </c>
      <c r="G1910" s="3">
        <v>15218</v>
      </c>
      <c r="H1910" s="2">
        <f t="shared" si="58"/>
        <v>25061</v>
      </c>
      <c r="I1910" t="str">
        <f t="shared" si="59"/>
        <v>Dnm1_25061</v>
      </c>
      <c r="J1910" s="3">
        <v>0</v>
      </c>
      <c r="K1910" s="3">
        <v>2215</v>
      </c>
      <c r="L1910" s="3">
        <v>5483</v>
      </c>
      <c r="M1910" s="3">
        <v>2145</v>
      </c>
      <c r="N1910" s="3">
        <v>15218</v>
      </c>
    </row>
    <row r="1911" spans="1:14" x14ac:dyDescent="0.2">
      <c r="A1911" s="5" t="str">
        <f>HYPERLINK("http://www.ncbi.nlm.nih.gov/protein/448261635","Dnm1l")</f>
        <v>Dnm1l</v>
      </c>
      <c r="B1911" s="4"/>
      <c r="C1911" s="3">
        <v>0</v>
      </c>
      <c r="D1911" s="3">
        <v>9623</v>
      </c>
      <c r="E1911" s="3">
        <v>14093</v>
      </c>
      <c r="F1911" s="3">
        <v>47820</v>
      </c>
      <c r="G1911" s="3">
        <v>47625</v>
      </c>
      <c r="H1911" s="2">
        <f t="shared" si="58"/>
        <v>119161</v>
      </c>
      <c r="I1911" t="str">
        <f t="shared" si="59"/>
        <v>Dnm1l_119161</v>
      </c>
      <c r="J1911" s="3">
        <v>0</v>
      </c>
      <c r="K1911" s="3">
        <v>9623</v>
      </c>
      <c r="L1911" s="3">
        <v>14093</v>
      </c>
      <c r="M1911" s="3">
        <v>47820</v>
      </c>
      <c r="N1911" s="3">
        <v>47625</v>
      </c>
    </row>
    <row r="1912" spans="1:14" x14ac:dyDescent="0.2">
      <c r="A1912" s="5" t="str">
        <f>HYPERLINK("http://www.ncbi.nlm.nih.gov/protein/448261637","Dnm1l")</f>
        <v>Dnm1l</v>
      </c>
      <c r="B1912" s="4"/>
      <c r="C1912" s="3">
        <v>0</v>
      </c>
      <c r="D1912" s="3">
        <v>5843</v>
      </c>
      <c r="E1912" s="3">
        <v>12184</v>
      </c>
      <c r="F1912" s="3">
        <v>40985</v>
      </c>
      <c r="G1912" s="3">
        <v>39411</v>
      </c>
      <c r="H1912" s="2">
        <f t="shared" si="58"/>
        <v>98423</v>
      </c>
      <c r="I1912" t="str">
        <f t="shared" si="59"/>
        <v>Dnm1l_98423</v>
      </c>
      <c r="J1912" s="3">
        <v>0</v>
      </c>
      <c r="K1912" s="3">
        <v>5843</v>
      </c>
      <c r="L1912" s="3">
        <v>12184</v>
      </c>
      <c r="M1912" s="3">
        <v>40985</v>
      </c>
      <c r="N1912" s="3">
        <v>39411</v>
      </c>
    </row>
    <row r="1913" spans="1:14" x14ac:dyDescent="0.2">
      <c r="A1913" s="5" t="str">
        <f>HYPERLINK("http://www.ncbi.nlm.nih.gov/protein/71061455","Dnm1l")</f>
        <v>Dnm1l</v>
      </c>
      <c r="B1913" s="4"/>
      <c r="C1913" s="3">
        <v>0</v>
      </c>
      <c r="D1913" s="3">
        <v>9623</v>
      </c>
      <c r="E1913" s="3">
        <v>14093</v>
      </c>
      <c r="F1913" s="3">
        <v>48630</v>
      </c>
      <c r="G1913" s="3">
        <v>52262</v>
      </c>
      <c r="H1913" s="2">
        <f t="shared" si="58"/>
        <v>124608</v>
      </c>
      <c r="I1913" t="str">
        <f t="shared" si="59"/>
        <v>Dnm1l_124608</v>
      </c>
      <c r="J1913" s="3">
        <v>0</v>
      </c>
      <c r="K1913" s="3">
        <v>9623</v>
      </c>
      <c r="L1913" s="3">
        <v>14093</v>
      </c>
      <c r="M1913" s="3">
        <v>48630</v>
      </c>
      <c r="N1913" s="3">
        <v>52262</v>
      </c>
    </row>
    <row r="1914" spans="1:14" x14ac:dyDescent="0.2">
      <c r="A1914" s="5" t="str">
        <f>HYPERLINK("http://www.ncbi.nlm.nih.gov/protein/71061458","Dnm1l")</f>
        <v>Dnm1l</v>
      </c>
      <c r="B1914" s="4"/>
      <c r="C1914" s="3">
        <v>0</v>
      </c>
      <c r="D1914" s="3">
        <v>9623</v>
      </c>
      <c r="E1914" s="3">
        <v>14093</v>
      </c>
      <c r="F1914" s="3">
        <v>48630</v>
      </c>
      <c r="G1914" s="3">
        <v>47625</v>
      </c>
      <c r="H1914" s="2">
        <f t="shared" si="58"/>
        <v>119971</v>
      </c>
      <c r="I1914" t="str">
        <f t="shared" si="59"/>
        <v>Dnm1l_119971</v>
      </c>
      <c r="J1914" s="3">
        <v>0</v>
      </c>
      <c r="K1914" s="3">
        <v>9623</v>
      </c>
      <c r="L1914" s="3">
        <v>14093</v>
      </c>
      <c r="M1914" s="3">
        <v>48630</v>
      </c>
      <c r="N1914" s="3">
        <v>47625</v>
      </c>
    </row>
    <row r="1915" spans="1:14" x14ac:dyDescent="0.2">
      <c r="A1915" s="5" t="str">
        <f>HYPERLINK("http://www.ncbi.nlm.nih.gov/protein/359751391","Dnm2")</f>
        <v>Dnm2</v>
      </c>
      <c r="B1915" s="4"/>
      <c r="C1915" s="3">
        <v>1483</v>
      </c>
      <c r="D1915" s="3">
        <v>4772</v>
      </c>
      <c r="E1915" s="3">
        <v>10572</v>
      </c>
      <c r="F1915" s="3">
        <v>22388</v>
      </c>
      <c r="G1915" s="3">
        <v>30522</v>
      </c>
      <c r="H1915" s="2">
        <f t="shared" si="58"/>
        <v>69737</v>
      </c>
      <c r="I1915" t="str">
        <f t="shared" si="59"/>
        <v>Dnm2_69737</v>
      </c>
      <c r="J1915" s="3">
        <v>1483</v>
      </c>
      <c r="K1915" s="3">
        <v>4772</v>
      </c>
      <c r="L1915" s="3">
        <v>10572</v>
      </c>
      <c r="M1915" s="3">
        <v>22388</v>
      </c>
      <c r="N1915" s="3">
        <v>30522</v>
      </c>
    </row>
    <row r="1916" spans="1:14" x14ac:dyDescent="0.2">
      <c r="A1916" s="5" t="str">
        <f>HYPERLINK("http://www.ncbi.nlm.nih.gov/protein/359751394","Dnm2")</f>
        <v>Dnm2</v>
      </c>
      <c r="B1916" s="4"/>
      <c r="C1916" s="3">
        <v>1483</v>
      </c>
      <c r="D1916" s="3">
        <v>4772</v>
      </c>
      <c r="E1916" s="3">
        <v>9896</v>
      </c>
      <c r="F1916" s="3">
        <v>22388</v>
      </c>
      <c r="G1916" s="3">
        <v>30522</v>
      </c>
      <c r="H1916" s="2">
        <f t="shared" si="58"/>
        <v>69061</v>
      </c>
      <c r="I1916" t="str">
        <f t="shared" si="59"/>
        <v>Dnm2_69061</v>
      </c>
      <c r="J1916" s="3">
        <v>1483</v>
      </c>
      <c r="K1916" s="3">
        <v>4772</v>
      </c>
      <c r="L1916" s="3">
        <v>9896</v>
      </c>
      <c r="M1916" s="3">
        <v>22388</v>
      </c>
      <c r="N1916" s="3">
        <v>30522</v>
      </c>
    </row>
    <row r="1917" spans="1:14" x14ac:dyDescent="0.2">
      <c r="A1917" s="5" t="str">
        <f>HYPERLINK("http://www.ncbi.nlm.nih.gov/protein/359751399","Dnm2")</f>
        <v>Dnm2</v>
      </c>
      <c r="B1917" s="4"/>
      <c r="C1917" s="3">
        <v>1483</v>
      </c>
      <c r="D1917" s="3">
        <v>4772</v>
      </c>
      <c r="E1917" s="3">
        <v>10572</v>
      </c>
      <c r="F1917" s="3">
        <v>22388</v>
      </c>
      <c r="G1917" s="3">
        <v>30522</v>
      </c>
      <c r="H1917" s="2">
        <f t="shared" si="58"/>
        <v>69737</v>
      </c>
      <c r="I1917" t="str">
        <f t="shared" si="59"/>
        <v>Dnm2_69737</v>
      </c>
      <c r="J1917" s="3">
        <v>1483</v>
      </c>
      <c r="K1917" s="3">
        <v>4772</v>
      </c>
      <c r="L1917" s="3">
        <v>10572</v>
      </c>
      <c r="M1917" s="3">
        <v>22388</v>
      </c>
      <c r="N1917" s="3">
        <v>30522</v>
      </c>
    </row>
    <row r="1918" spans="1:14" x14ac:dyDescent="0.2">
      <c r="A1918" s="5" t="str">
        <f>HYPERLINK("http://www.ncbi.nlm.nih.gov/protein/87299637","Dnm2")</f>
        <v>Dnm2</v>
      </c>
      <c r="B1918" s="4"/>
      <c r="C1918" s="3">
        <v>1483</v>
      </c>
      <c r="D1918" s="3">
        <v>4793</v>
      </c>
      <c r="E1918" s="3">
        <v>10572</v>
      </c>
      <c r="F1918" s="3">
        <v>21905</v>
      </c>
      <c r="G1918" s="3">
        <v>30522</v>
      </c>
      <c r="H1918" s="2">
        <f t="shared" si="58"/>
        <v>69275</v>
      </c>
      <c r="I1918" t="str">
        <f t="shared" si="59"/>
        <v>Dnm2_69275</v>
      </c>
      <c r="J1918" s="3">
        <v>1483</v>
      </c>
      <c r="K1918" s="3">
        <v>4793</v>
      </c>
      <c r="L1918" s="3">
        <v>10572</v>
      </c>
      <c r="M1918" s="3">
        <v>21905</v>
      </c>
      <c r="N1918" s="3">
        <v>30522</v>
      </c>
    </row>
    <row r="1919" spans="1:14" x14ac:dyDescent="0.2">
      <c r="A1919" s="5" t="str">
        <f>HYPERLINK("http://www.ncbi.nlm.nih.gov/protein/27369922","Dnm3")</f>
        <v>Dnm3</v>
      </c>
      <c r="B1919" s="4"/>
      <c r="C1919" s="3">
        <v>0</v>
      </c>
      <c r="D1919" s="3">
        <v>2914</v>
      </c>
      <c r="E1919" s="3">
        <v>4229</v>
      </c>
      <c r="F1919" s="3">
        <v>3381</v>
      </c>
      <c r="G1919" s="3">
        <v>15368</v>
      </c>
      <c r="H1919" s="2">
        <f t="shared" si="58"/>
        <v>25892</v>
      </c>
      <c r="I1919" t="str">
        <f t="shared" si="59"/>
        <v>Dnm3_25892</v>
      </c>
      <c r="J1919" s="3">
        <v>0</v>
      </c>
      <c r="K1919" s="3">
        <v>2914</v>
      </c>
      <c r="L1919" s="3">
        <v>4229</v>
      </c>
      <c r="M1919" s="3">
        <v>3381</v>
      </c>
      <c r="N1919" s="3">
        <v>15368</v>
      </c>
    </row>
    <row r="1920" spans="1:14" x14ac:dyDescent="0.2">
      <c r="A1920" s="5" t="str">
        <f>HYPERLINK("http://www.ncbi.nlm.nih.gov/protein/84490431","Dnm3")</f>
        <v>Dnm3</v>
      </c>
      <c r="B1920" s="4"/>
      <c r="C1920" s="3">
        <v>0</v>
      </c>
      <c r="D1920" s="3">
        <v>2914</v>
      </c>
      <c r="E1920" s="3">
        <v>4229</v>
      </c>
      <c r="F1920" s="3">
        <v>3381</v>
      </c>
      <c r="G1920" s="3">
        <v>15368</v>
      </c>
      <c r="H1920" s="2">
        <f t="shared" si="58"/>
        <v>25892</v>
      </c>
      <c r="I1920" t="str">
        <f t="shared" si="59"/>
        <v>Dnm3_25892</v>
      </c>
      <c r="J1920" s="3">
        <v>0</v>
      </c>
      <c r="K1920" s="3">
        <v>2914</v>
      </c>
      <c r="L1920" s="3">
        <v>4229</v>
      </c>
      <c r="M1920" s="3">
        <v>3381</v>
      </c>
      <c r="N1920" s="3">
        <v>15368</v>
      </c>
    </row>
    <row r="1921" spans="1:14" x14ac:dyDescent="0.2">
      <c r="A1921" s="5" t="str">
        <f>HYPERLINK("http://www.ncbi.nlm.nih.gov/protein/313661497","Dnmt1")</f>
        <v>Dnmt1</v>
      </c>
      <c r="B1921" s="4"/>
      <c r="C1921" s="3">
        <v>55376</v>
      </c>
      <c r="D1921" s="3">
        <v>975</v>
      </c>
      <c r="E1921" s="3">
        <v>17656</v>
      </c>
      <c r="F1921" s="3">
        <v>11468</v>
      </c>
      <c r="G1921" s="3">
        <v>118</v>
      </c>
      <c r="H1921" s="2">
        <f t="shared" si="58"/>
        <v>85593</v>
      </c>
      <c r="I1921" t="str">
        <f t="shared" si="59"/>
        <v>Dnmt1_85593</v>
      </c>
      <c r="J1921" s="3">
        <v>55376</v>
      </c>
      <c r="K1921" s="3">
        <v>975</v>
      </c>
      <c r="L1921" s="3">
        <v>17656</v>
      </c>
      <c r="M1921" s="3">
        <v>11468</v>
      </c>
      <c r="N1921" s="3">
        <v>118</v>
      </c>
    </row>
    <row r="1922" spans="1:14" x14ac:dyDescent="0.2">
      <c r="A1922" s="5" t="str">
        <f>HYPERLINK("http://www.ncbi.nlm.nih.gov/protein/313661499","Dnmt1")</f>
        <v>Dnmt1</v>
      </c>
      <c r="B1922" s="4"/>
      <c r="C1922" s="3">
        <v>55376</v>
      </c>
      <c r="D1922" s="3">
        <v>975</v>
      </c>
      <c r="E1922" s="3">
        <v>17715</v>
      </c>
      <c r="F1922" s="3">
        <v>11468</v>
      </c>
      <c r="G1922" s="3">
        <v>118</v>
      </c>
      <c r="H1922" s="2">
        <f t="shared" ref="H1922:H1985" si="60">SUM(C1922:G1922)</f>
        <v>85652</v>
      </c>
      <c r="I1922" t="str">
        <f t="shared" ref="I1922:I1985" si="61">A1922&amp;"_"&amp;H1922</f>
        <v>Dnmt1_85652</v>
      </c>
      <c r="J1922" s="3">
        <v>55376</v>
      </c>
      <c r="K1922" s="3">
        <v>975</v>
      </c>
      <c r="L1922" s="3">
        <v>17715</v>
      </c>
      <c r="M1922" s="3">
        <v>11468</v>
      </c>
      <c r="N1922" s="3">
        <v>118</v>
      </c>
    </row>
    <row r="1923" spans="1:14" x14ac:dyDescent="0.2">
      <c r="A1923" s="5" t="str">
        <f>HYPERLINK("http://www.ncbi.nlm.nih.gov/protein/327180732","Dnmt1")</f>
        <v>Dnmt1</v>
      </c>
      <c r="B1923" s="4"/>
      <c r="C1923" s="3">
        <v>57151</v>
      </c>
      <c r="D1923" s="3">
        <v>975</v>
      </c>
      <c r="E1923" s="3">
        <v>17715</v>
      </c>
      <c r="F1923" s="3">
        <v>11468</v>
      </c>
      <c r="G1923" s="3">
        <v>257</v>
      </c>
      <c r="H1923" s="2">
        <f t="shared" si="60"/>
        <v>87566</v>
      </c>
      <c r="I1923" t="str">
        <f t="shared" si="61"/>
        <v>Dnmt1_87566</v>
      </c>
      <c r="J1923" s="3">
        <v>57151</v>
      </c>
      <c r="K1923" s="3">
        <v>975</v>
      </c>
      <c r="L1923" s="3">
        <v>17715</v>
      </c>
      <c r="M1923" s="3">
        <v>11468</v>
      </c>
      <c r="N1923" s="3">
        <v>257</v>
      </c>
    </row>
    <row r="1924" spans="1:14" x14ac:dyDescent="0.2">
      <c r="A1924" s="5" t="str">
        <f>HYPERLINK("http://www.ncbi.nlm.nih.gov/protein/327180734","Dnmt1")</f>
        <v>Dnmt1</v>
      </c>
      <c r="B1924" s="4"/>
      <c r="C1924" s="3">
        <v>57151</v>
      </c>
      <c r="D1924" s="3">
        <v>975</v>
      </c>
      <c r="E1924" s="3">
        <v>17656</v>
      </c>
      <c r="F1924" s="3">
        <v>11468</v>
      </c>
      <c r="G1924" s="3">
        <v>257</v>
      </c>
      <c r="H1924" s="2">
        <f t="shared" si="60"/>
        <v>87507</v>
      </c>
      <c r="I1924" t="str">
        <f t="shared" si="61"/>
        <v>Dnmt1_87507</v>
      </c>
      <c r="J1924" s="3">
        <v>57151</v>
      </c>
      <c r="K1924" s="3">
        <v>975</v>
      </c>
      <c r="L1924" s="3">
        <v>17656</v>
      </c>
      <c r="M1924" s="3">
        <v>11468</v>
      </c>
      <c r="N1924" s="3">
        <v>257</v>
      </c>
    </row>
    <row r="1925" spans="1:14" x14ac:dyDescent="0.2">
      <c r="A1925" s="5" t="str">
        <f>HYPERLINK("http://www.ncbi.nlm.nih.gov/protein/161016820","Dnpep")</f>
        <v>Dnpep</v>
      </c>
      <c r="B1925" s="4"/>
      <c r="C1925" s="3">
        <v>2947</v>
      </c>
      <c r="D1925" s="3">
        <v>3766</v>
      </c>
      <c r="E1925" s="3">
        <v>6515</v>
      </c>
      <c r="F1925" s="3">
        <v>341338</v>
      </c>
      <c r="G1925" s="3">
        <v>20220</v>
      </c>
      <c r="H1925" s="2">
        <f t="shared" si="60"/>
        <v>374786</v>
      </c>
      <c r="I1925" t="str">
        <f t="shared" si="61"/>
        <v>Dnpep_374786</v>
      </c>
      <c r="J1925" s="3">
        <v>2947</v>
      </c>
      <c r="K1925" s="3">
        <v>3766</v>
      </c>
      <c r="L1925" s="3">
        <v>6515</v>
      </c>
      <c r="M1925" s="3">
        <v>341338</v>
      </c>
      <c r="N1925" s="3">
        <v>20220</v>
      </c>
    </row>
    <row r="1926" spans="1:14" x14ac:dyDescent="0.2">
      <c r="A1926" s="5" t="str">
        <f>HYPERLINK("http://www.ncbi.nlm.nih.gov/protein/161016822","Dnpep")</f>
        <v>Dnpep</v>
      </c>
      <c r="B1926" s="4"/>
      <c r="C1926" s="3">
        <v>2947</v>
      </c>
      <c r="D1926" s="3">
        <v>3766</v>
      </c>
      <c r="E1926" s="3">
        <v>6515</v>
      </c>
      <c r="F1926" s="3">
        <v>341338</v>
      </c>
      <c r="G1926" s="3">
        <v>20220</v>
      </c>
      <c r="H1926" s="2">
        <f t="shared" si="60"/>
        <v>374786</v>
      </c>
      <c r="I1926" t="str">
        <f t="shared" si="61"/>
        <v>Dnpep_374786</v>
      </c>
      <c r="J1926" s="3">
        <v>2947</v>
      </c>
      <c r="K1926" s="3">
        <v>3766</v>
      </c>
      <c r="L1926" s="3">
        <v>6515</v>
      </c>
      <c r="M1926" s="3">
        <v>341338</v>
      </c>
      <c r="N1926" s="3">
        <v>20220</v>
      </c>
    </row>
    <row r="1927" spans="1:14" x14ac:dyDescent="0.2">
      <c r="A1927" s="5" t="str">
        <f>HYPERLINK("http://www.ncbi.nlm.nih.gov/protein/110625744","Dnph1")</f>
        <v>Dnph1</v>
      </c>
      <c r="B1927" s="4"/>
      <c r="C1927" s="3">
        <v>0</v>
      </c>
      <c r="D1927" s="3">
        <v>714</v>
      </c>
      <c r="E1927" s="3">
        <v>278</v>
      </c>
      <c r="F1927" s="3">
        <v>0</v>
      </c>
      <c r="G1927" s="3">
        <v>16428</v>
      </c>
      <c r="H1927" s="2">
        <f t="shared" si="60"/>
        <v>17420</v>
      </c>
      <c r="I1927" t="str">
        <f t="shared" si="61"/>
        <v>Dnph1_17420</v>
      </c>
      <c r="J1927" s="3">
        <v>0</v>
      </c>
      <c r="K1927" s="3">
        <v>714</v>
      </c>
      <c r="L1927" s="3">
        <v>278</v>
      </c>
      <c r="M1927" s="3">
        <v>0</v>
      </c>
      <c r="N1927" s="3">
        <v>16428</v>
      </c>
    </row>
    <row r="1928" spans="1:14" x14ac:dyDescent="0.2">
      <c r="A1928" s="5" t="str">
        <f>HYPERLINK("http://www.ncbi.nlm.nih.gov/protein/24418931","Dnttip2")</f>
        <v>Dnttip2</v>
      </c>
      <c r="B1928" s="4"/>
      <c r="C1928" s="3">
        <v>549</v>
      </c>
      <c r="D1928" s="3">
        <v>0</v>
      </c>
      <c r="E1928" s="3">
        <v>0</v>
      </c>
      <c r="F1928" s="3">
        <v>0</v>
      </c>
      <c r="G1928" s="3">
        <v>0</v>
      </c>
      <c r="H1928" s="2">
        <f t="shared" si="60"/>
        <v>549</v>
      </c>
      <c r="I1928" t="str">
        <f t="shared" si="61"/>
        <v>Dnttip2_549</v>
      </c>
      <c r="J1928" s="3">
        <v>549</v>
      </c>
      <c r="K1928" s="3">
        <v>0</v>
      </c>
      <c r="L1928" s="3">
        <v>0</v>
      </c>
      <c r="M1928" s="3">
        <v>0</v>
      </c>
      <c r="N1928" s="3">
        <v>0</v>
      </c>
    </row>
    <row r="1929" spans="1:14" x14ac:dyDescent="0.2">
      <c r="A1929" s="5" t="str">
        <f>HYPERLINK("http://www.ncbi.nlm.nih.gov/protein/88853584","Dock1")</f>
        <v>Dock1</v>
      </c>
      <c r="B1929" s="4"/>
      <c r="C1929" s="3">
        <v>0</v>
      </c>
      <c r="D1929" s="3">
        <v>1576</v>
      </c>
      <c r="E1929" s="3">
        <v>5410</v>
      </c>
      <c r="F1929" s="3">
        <v>21602</v>
      </c>
      <c r="G1929" s="3">
        <v>18635</v>
      </c>
      <c r="H1929" s="2">
        <f t="shared" si="60"/>
        <v>47223</v>
      </c>
      <c r="I1929" t="str">
        <f t="shared" si="61"/>
        <v>Dock1_47223</v>
      </c>
      <c r="J1929" s="3">
        <v>0</v>
      </c>
      <c r="K1929" s="3">
        <v>1576</v>
      </c>
      <c r="L1929" s="3">
        <v>5410</v>
      </c>
      <c r="M1929" s="3">
        <v>21602</v>
      </c>
      <c r="N1929" s="3">
        <v>18635</v>
      </c>
    </row>
    <row r="1930" spans="1:14" x14ac:dyDescent="0.2">
      <c r="A1930" s="5" t="str">
        <f>HYPERLINK("http://www.ncbi.nlm.nih.gov/protein/148277096","Dock3")</f>
        <v>Dock3</v>
      </c>
      <c r="B1930" s="4"/>
      <c r="C1930" s="3">
        <v>0</v>
      </c>
      <c r="D1930" s="3">
        <v>0</v>
      </c>
      <c r="E1930" s="3">
        <v>126</v>
      </c>
      <c r="F1930" s="3">
        <v>0</v>
      </c>
      <c r="G1930" s="3">
        <v>0</v>
      </c>
      <c r="H1930" s="2">
        <f t="shared" si="60"/>
        <v>126</v>
      </c>
      <c r="I1930" t="str">
        <f t="shared" si="61"/>
        <v>Dock3_126</v>
      </c>
      <c r="J1930" s="3">
        <v>0</v>
      </c>
      <c r="K1930" s="3">
        <v>0</v>
      </c>
      <c r="L1930" s="3">
        <v>126</v>
      </c>
      <c r="M1930" s="3">
        <v>0</v>
      </c>
      <c r="N1930" s="3">
        <v>0</v>
      </c>
    </row>
    <row r="1931" spans="1:14" x14ac:dyDescent="0.2">
      <c r="A1931" s="5" t="str">
        <f>HYPERLINK("http://www.ncbi.nlm.nih.gov/protein/124358946","Dock5")</f>
        <v>Dock5</v>
      </c>
      <c r="B1931" s="4"/>
      <c r="C1931" s="3">
        <v>0</v>
      </c>
      <c r="D1931" s="3">
        <v>0</v>
      </c>
      <c r="E1931" s="3">
        <v>0</v>
      </c>
      <c r="F1931" s="3">
        <v>458</v>
      </c>
      <c r="G1931" s="3">
        <v>0</v>
      </c>
      <c r="H1931" s="2">
        <f t="shared" si="60"/>
        <v>458</v>
      </c>
      <c r="I1931" t="str">
        <f t="shared" si="61"/>
        <v>Dock5_458</v>
      </c>
      <c r="J1931" s="3">
        <v>0</v>
      </c>
      <c r="K1931" s="3">
        <v>0</v>
      </c>
      <c r="L1931" s="3">
        <v>0</v>
      </c>
      <c r="M1931" s="3">
        <v>458</v>
      </c>
      <c r="N1931" s="3">
        <v>0</v>
      </c>
    </row>
    <row r="1932" spans="1:14" x14ac:dyDescent="0.2">
      <c r="A1932" s="5" t="str">
        <f>HYPERLINK("http://www.ncbi.nlm.nih.gov/protein/78191789","Dock7")</f>
        <v>Dock7</v>
      </c>
      <c r="B1932" s="4"/>
      <c r="C1932" s="3">
        <v>0</v>
      </c>
      <c r="D1932" s="3">
        <v>0</v>
      </c>
      <c r="E1932" s="3">
        <v>268</v>
      </c>
      <c r="F1932" s="3">
        <v>368</v>
      </c>
      <c r="G1932" s="3">
        <v>0</v>
      </c>
      <c r="H1932" s="2">
        <f t="shared" si="60"/>
        <v>636</v>
      </c>
      <c r="I1932" t="str">
        <f t="shared" si="61"/>
        <v>Dock7_636</v>
      </c>
      <c r="J1932" s="3">
        <v>0</v>
      </c>
      <c r="K1932" s="3">
        <v>0</v>
      </c>
      <c r="L1932" s="3">
        <v>268</v>
      </c>
      <c r="M1932" s="3">
        <v>368</v>
      </c>
      <c r="N1932" s="3">
        <v>0</v>
      </c>
    </row>
    <row r="1933" spans="1:14" x14ac:dyDescent="0.2">
      <c r="A1933" s="5" t="str">
        <f>HYPERLINK("http://www.ncbi.nlm.nih.gov/protein/62241030","Dock8")</f>
        <v>Dock8</v>
      </c>
      <c r="B1933" s="4"/>
      <c r="C1933" s="3">
        <v>0</v>
      </c>
      <c r="D1933" s="3">
        <v>987</v>
      </c>
      <c r="E1933" s="3">
        <v>519</v>
      </c>
      <c r="F1933" s="3">
        <v>696</v>
      </c>
      <c r="G1933" s="3">
        <v>0</v>
      </c>
      <c r="H1933" s="2">
        <f t="shared" si="60"/>
        <v>2202</v>
      </c>
      <c r="I1933" t="str">
        <f t="shared" si="61"/>
        <v>Dock8_2202</v>
      </c>
      <c r="J1933" s="3">
        <v>0</v>
      </c>
      <c r="K1933" s="3">
        <v>987</v>
      </c>
      <c r="L1933" s="3">
        <v>519</v>
      </c>
      <c r="M1933" s="3">
        <v>696</v>
      </c>
      <c r="N1933" s="3">
        <v>0</v>
      </c>
    </row>
    <row r="1934" spans="1:14" x14ac:dyDescent="0.2">
      <c r="A1934" s="5" t="str">
        <f>HYPERLINK("http://www.ncbi.nlm.nih.gov/protein/124486664","Dock9")</f>
        <v>Dock9</v>
      </c>
      <c r="B1934" s="4"/>
      <c r="C1934" s="3">
        <v>0</v>
      </c>
      <c r="D1934" s="3">
        <v>386</v>
      </c>
      <c r="E1934" s="3">
        <v>998</v>
      </c>
      <c r="F1934" s="3">
        <v>0</v>
      </c>
      <c r="G1934" s="3">
        <v>878</v>
      </c>
      <c r="H1934" s="2">
        <f t="shared" si="60"/>
        <v>2262</v>
      </c>
      <c r="I1934" t="str">
        <f t="shared" si="61"/>
        <v>Dock9_2262</v>
      </c>
      <c r="J1934" s="3">
        <v>0</v>
      </c>
      <c r="K1934" s="3">
        <v>386</v>
      </c>
      <c r="L1934" s="3">
        <v>998</v>
      </c>
      <c r="M1934" s="3">
        <v>0</v>
      </c>
      <c r="N1934" s="3">
        <v>878</v>
      </c>
    </row>
    <row r="1935" spans="1:14" x14ac:dyDescent="0.2">
      <c r="A1935" s="5" t="str">
        <f>HYPERLINK("http://www.ncbi.nlm.nih.gov/protein/190194397","Dock9")</f>
        <v>Dock9</v>
      </c>
      <c r="B1935" s="4"/>
      <c r="C1935" s="3">
        <v>0</v>
      </c>
      <c r="D1935" s="3">
        <v>386</v>
      </c>
      <c r="E1935" s="3">
        <v>998</v>
      </c>
      <c r="F1935" s="3">
        <v>0</v>
      </c>
      <c r="G1935" s="3">
        <v>878</v>
      </c>
      <c r="H1935" s="2">
        <f t="shared" si="60"/>
        <v>2262</v>
      </c>
      <c r="I1935" t="str">
        <f t="shared" si="61"/>
        <v>Dock9_2262</v>
      </c>
      <c r="J1935" s="3">
        <v>0</v>
      </c>
      <c r="K1935" s="3">
        <v>386</v>
      </c>
      <c r="L1935" s="3">
        <v>998</v>
      </c>
      <c r="M1935" s="3">
        <v>0</v>
      </c>
      <c r="N1935" s="3">
        <v>878</v>
      </c>
    </row>
    <row r="1936" spans="1:14" x14ac:dyDescent="0.2">
      <c r="A1936" s="5" t="str">
        <f>HYPERLINK("http://www.ncbi.nlm.nih.gov/protein/190194399","Dock9")</f>
        <v>Dock9</v>
      </c>
      <c r="B1936" s="4"/>
      <c r="C1936" s="3">
        <v>0</v>
      </c>
      <c r="D1936" s="3">
        <v>386</v>
      </c>
      <c r="E1936" s="3">
        <v>998</v>
      </c>
      <c r="F1936" s="3">
        <v>0</v>
      </c>
      <c r="G1936" s="3">
        <v>878</v>
      </c>
      <c r="H1936" s="2">
        <f t="shared" si="60"/>
        <v>2262</v>
      </c>
      <c r="I1936" t="str">
        <f t="shared" si="61"/>
        <v>Dock9_2262</v>
      </c>
      <c r="J1936" s="3">
        <v>0</v>
      </c>
      <c r="K1936" s="3">
        <v>386</v>
      </c>
      <c r="L1936" s="3">
        <v>998</v>
      </c>
      <c r="M1936" s="3">
        <v>0</v>
      </c>
      <c r="N1936" s="3">
        <v>878</v>
      </c>
    </row>
    <row r="1937" spans="1:14" x14ac:dyDescent="0.2">
      <c r="A1937" s="5" t="str">
        <f>HYPERLINK("http://www.ncbi.nlm.nih.gov/protein/190194401","Dock9")</f>
        <v>Dock9</v>
      </c>
      <c r="B1937" s="4"/>
      <c r="C1937" s="3">
        <v>0</v>
      </c>
      <c r="D1937" s="3">
        <v>386</v>
      </c>
      <c r="E1937" s="3">
        <v>998</v>
      </c>
      <c r="F1937" s="3">
        <v>0</v>
      </c>
      <c r="G1937" s="3">
        <v>878</v>
      </c>
      <c r="H1937" s="2">
        <f t="shared" si="60"/>
        <v>2262</v>
      </c>
      <c r="I1937" t="str">
        <f t="shared" si="61"/>
        <v>Dock9_2262</v>
      </c>
      <c r="J1937" s="3">
        <v>0</v>
      </c>
      <c r="K1937" s="3">
        <v>386</v>
      </c>
      <c r="L1937" s="3">
        <v>998</v>
      </c>
      <c r="M1937" s="3">
        <v>0</v>
      </c>
      <c r="N1937" s="3">
        <v>878</v>
      </c>
    </row>
    <row r="1938" spans="1:14" x14ac:dyDescent="0.2">
      <c r="A1938" s="5" t="str">
        <f>HYPERLINK("http://www.ncbi.nlm.nih.gov/protein/284005490","Dohh")</f>
        <v>Dohh</v>
      </c>
      <c r="B1938" s="4"/>
      <c r="C1938" s="3">
        <v>0</v>
      </c>
      <c r="D1938" s="3">
        <v>0</v>
      </c>
      <c r="E1938" s="3">
        <v>0</v>
      </c>
      <c r="F1938" s="3">
        <v>0</v>
      </c>
      <c r="G1938" s="3">
        <v>8610</v>
      </c>
      <c r="H1938" s="2">
        <f t="shared" si="60"/>
        <v>8610</v>
      </c>
      <c r="I1938" t="str">
        <f t="shared" si="61"/>
        <v>Dohh_8610</v>
      </c>
      <c r="J1938" s="3">
        <v>0</v>
      </c>
      <c r="K1938" s="3">
        <v>0</v>
      </c>
      <c r="L1938" s="3">
        <v>0</v>
      </c>
      <c r="M1938" s="3">
        <v>0</v>
      </c>
      <c r="N1938" s="3">
        <v>8610</v>
      </c>
    </row>
    <row r="1939" spans="1:14" x14ac:dyDescent="0.2">
      <c r="A1939" s="5" t="str">
        <f>HYPERLINK("http://www.ncbi.nlm.nih.gov/protein/190194414","Dopey1")</f>
        <v>Dopey1</v>
      </c>
      <c r="B1939" s="4"/>
      <c r="C1939" s="3">
        <v>0</v>
      </c>
      <c r="D1939" s="3">
        <v>0</v>
      </c>
      <c r="E1939" s="3">
        <v>0</v>
      </c>
      <c r="F1939" s="3">
        <v>131</v>
      </c>
      <c r="G1939" s="3">
        <v>0</v>
      </c>
      <c r="H1939" s="2">
        <f t="shared" si="60"/>
        <v>131</v>
      </c>
      <c r="I1939" t="str">
        <f t="shared" si="61"/>
        <v>Dopey1_131</v>
      </c>
      <c r="J1939" s="3">
        <v>0</v>
      </c>
      <c r="K1939" s="3">
        <v>0</v>
      </c>
      <c r="L1939" s="3">
        <v>0</v>
      </c>
      <c r="M1939" s="3">
        <v>131</v>
      </c>
      <c r="N1939" s="3">
        <v>0</v>
      </c>
    </row>
    <row r="1940" spans="1:14" x14ac:dyDescent="0.2">
      <c r="A1940" s="5" t="str">
        <f>HYPERLINK("http://www.ncbi.nlm.nih.gov/protein/62243808","Dopey2")</f>
        <v>Dopey2</v>
      </c>
      <c r="B1940" s="4"/>
      <c r="C1940" s="3">
        <v>0</v>
      </c>
      <c r="D1940" s="3">
        <v>4</v>
      </c>
      <c r="E1940" s="3">
        <v>0</v>
      </c>
      <c r="F1940" s="3">
        <v>0</v>
      </c>
      <c r="G1940" s="3">
        <v>32</v>
      </c>
      <c r="H1940" s="2">
        <f t="shared" si="60"/>
        <v>36</v>
      </c>
      <c r="I1940" t="str">
        <f t="shared" si="61"/>
        <v>Dopey2_36</v>
      </c>
      <c r="J1940" s="3">
        <v>0</v>
      </c>
      <c r="K1940" s="3">
        <v>4</v>
      </c>
      <c r="L1940" s="3">
        <v>0</v>
      </c>
      <c r="M1940" s="3">
        <v>0</v>
      </c>
      <c r="N1940" s="3">
        <v>32</v>
      </c>
    </row>
    <row r="1941" spans="1:14" x14ac:dyDescent="0.2">
      <c r="A1941" s="5" t="str">
        <f>HYPERLINK("http://www.ncbi.nlm.nih.gov/protein/31541998","Dpcd")</f>
        <v>Dpcd</v>
      </c>
      <c r="B1941" s="4"/>
      <c r="C1941" s="3">
        <v>0</v>
      </c>
      <c r="D1941" s="3">
        <v>0</v>
      </c>
      <c r="E1941" s="3">
        <v>176</v>
      </c>
      <c r="F1941" s="3">
        <v>6147</v>
      </c>
      <c r="G1941" s="3">
        <v>0</v>
      </c>
      <c r="H1941" s="2">
        <f t="shared" si="60"/>
        <v>6323</v>
      </c>
      <c r="I1941" t="str">
        <f t="shared" si="61"/>
        <v>Dpcd_6323</v>
      </c>
      <c r="J1941" s="3">
        <v>0</v>
      </c>
      <c r="K1941" s="3">
        <v>0</v>
      </c>
      <c r="L1941" s="3">
        <v>176</v>
      </c>
      <c r="M1941" s="3">
        <v>6147</v>
      </c>
      <c r="N1941" s="3">
        <v>0</v>
      </c>
    </row>
    <row r="1942" spans="1:14" x14ac:dyDescent="0.2">
      <c r="A1942" s="5" t="str">
        <f>HYPERLINK("http://www.ncbi.nlm.nih.gov/protein/21313683","Dpep3")</f>
        <v>Dpep3</v>
      </c>
      <c r="B1942" s="4"/>
      <c r="C1942" s="3">
        <v>0</v>
      </c>
      <c r="D1942" s="3">
        <v>0</v>
      </c>
      <c r="E1942" s="3">
        <v>142</v>
      </c>
      <c r="F1942" s="3">
        <v>0</v>
      </c>
      <c r="G1942" s="3">
        <v>0</v>
      </c>
      <c r="H1942" s="2">
        <f t="shared" si="60"/>
        <v>142</v>
      </c>
      <c r="I1942" t="str">
        <f t="shared" si="61"/>
        <v>Dpep3_142</v>
      </c>
      <c r="J1942" s="3">
        <v>0</v>
      </c>
      <c r="K1942" s="3">
        <v>0</v>
      </c>
      <c r="L1942" s="3">
        <v>142</v>
      </c>
      <c r="M1942" s="3">
        <v>0</v>
      </c>
      <c r="N1942" s="3">
        <v>0</v>
      </c>
    </row>
    <row r="1943" spans="1:14" x14ac:dyDescent="0.2">
      <c r="A1943" s="5" t="str">
        <f>HYPERLINK("http://www.ncbi.nlm.nih.gov/protein/6755314","Dpf2")</f>
        <v>Dpf2</v>
      </c>
      <c r="B1943" s="4"/>
      <c r="C1943" s="3">
        <v>476</v>
      </c>
      <c r="D1943" s="3">
        <v>0</v>
      </c>
      <c r="E1943" s="3">
        <v>0</v>
      </c>
      <c r="F1943" s="3">
        <v>0</v>
      </c>
      <c r="G1943" s="3">
        <v>0</v>
      </c>
      <c r="H1943" s="2">
        <f t="shared" si="60"/>
        <v>476</v>
      </c>
      <c r="I1943" t="str">
        <f t="shared" si="61"/>
        <v>Dpf2_476</v>
      </c>
      <c r="J1943" s="3">
        <v>476</v>
      </c>
      <c r="K1943" s="3">
        <v>0</v>
      </c>
      <c r="L1943" s="3">
        <v>0</v>
      </c>
      <c r="M1943" s="3">
        <v>0</v>
      </c>
      <c r="N1943" s="3">
        <v>0</v>
      </c>
    </row>
    <row r="1944" spans="1:14" x14ac:dyDescent="0.2">
      <c r="A1944" s="5" t="str">
        <f>HYPERLINK("http://www.ncbi.nlm.nih.gov/protein/118026919","Dph1")</f>
        <v>Dph1</v>
      </c>
      <c r="B1944" s="4"/>
      <c r="C1944" s="3">
        <v>0</v>
      </c>
      <c r="D1944" s="3">
        <v>0</v>
      </c>
      <c r="E1944" s="3">
        <v>63</v>
      </c>
      <c r="F1944" s="3">
        <v>0</v>
      </c>
      <c r="G1944" s="3">
        <v>900</v>
      </c>
      <c r="H1944" s="2">
        <f t="shared" si="60"/>
        <v>963</v>
      </c>
      <c r="I1944" t="str">
        <f t="shared" si="61"/>
        <v>Dph1_963</v>
      </c>
      <c r="J1944" s="3">
        <v>0</v>
      </c>
      <c r="K1944" s="3">
        <v>0</v>
      </c>
      <c r="L1944" s="3">
        <v>63</v>
      </c>
      <c r="M1944" s="3">
        <v>0</v>
      </c>
      <c r="N1944" s="3">
        <v>900</v>
      </c>
    </row>
    <row r="1945" spans="1:14" x14ac:dyDescent="0.2">
      <c r="A1945" s="5" t="str">
        <f>HYPERLINK("http://www.ncbi.nlm.nih.gov/protein/33468993","Dph2")</f>
        <v>Dph2</v>
      </c>
      <c r="B1945" s="4"/>
      <c r="C1945" s="3">
        <v>0</v>
      </c>
      <c r="D1945" s="3">
        <v>0</v>
      </c>
      <c r="E1945" s="3">
        <v>0</v>
      </c>
      <c r="F1945" s="3">
        <v>0</v>
      </c>
      <c r="G1945" s="3">
        <v>1189</v>
      </c>
      <c r="H1945" s="2">
        <f t="shared" si="60"/>
        <v>1189</v>
      </c>
      <c r="I1945" t="str">
        <f t="shared" si="61"/>
        <v>Dph2_1189</v>
      </c>
      <c r="J1945" s="3">
        <v>0</v>
      </c>
      <c r="K1945" s="3">
        <v>0</v>
      </c>
      <c r="L1945" s="3">
        <v>0</v>
      </c>
      <c r="M1945" s="3">
        <v>0</v>
      </c>
      <c r="N1945" s="3">
        <v>1189</v>
      </c>
    </row>
    <row r="1946" spans="1:14" x14ac:dyDescent="0.2">
      <c r="A1946" s="5" t="str">
        <f>HYPERLINK("http://www.ncbi.nlm.nih.gov/protein/40254183","Dph5")</f>
        <v>Dph5</v>
      </c>
      <c r="B1946" s="4"/>
      <c r="C1946" s="3">
        <v>0</v>
      </c>
      <c r="D1946" s="3">
        <v>0</v>
      </c>
      <c r="E1946" s="3">
        <v>0</v>
      </c>
      <c r="F1946" s="3">
        <v>0</v>
      </c>
      <c r="G1946" s="3">
        <v>1371</v>
      </c>
      <c r="H1946" s="2">
        <f t="shared" si="60"/>
        <v>1371</v>
      </c>
      <c r="I1946" t="str">
        <f t="shared" si="61"/>
        <v>Dph5_1371</v>
      </c>
      <c r="J1946" s="3">
        <v>0</v>
      </c>
      <c r="K1946" s="3">
        <v>0</v>
      </c>
      <c r="L1946" s="3">
        <v>0</v>
      </c>
      <c r="M1946" s="3">
        <v>0</v>
      </c>
      <c r="N1946" s="3">
        <v>1371</v>
      </c>
    </row>
    <row r="1947" spans="1:14" x14ac:dyDescent="0.2">
      <c r="A1947" s="5" t="str">
        <f>HYPERLINK("http://www.ncbi.nlm.nih.gov/protein/13385136","Dph6")</f>
        <v>Dph6</v>
      </c>
      <c r="B1947" s="4"/>
      <c r="C1947" s="3">
        <v>0</v>
      </c>
      <c r="D1947" s="3">
        <v>0</v>
      </c>
      <c r="E1947" s="3">
        <v>0</v>
      </c>
      <c r="F1947" s="3">
        <v>0</v>
      </c>
      <c r="G1947" s="3">
        <v>2881</v>
      </c>
      <c r="H1947" s="2">
        <f t="shared" si="60"/>
        <v>2881</v>
      </c>
      <c r="I1947" t="str">
        <f t="shared" si="61"/>
        <v>Dph6_2881</v>
      </c>
      <c r="J1947" s="3">
        <v>0</v>
      </c>
      <c r="K1947" s="3">
        <v>0</v>
      </c>
      <c r="L1947" s="3">
        <v>0</v>
      </c>
      <c r="M1947" s="3">
        <v>0</v>
      </c>
      <c r="N1947" s="3">
        <v>2881</v>
      </c>
    </row>
    <row r="1948" spans="1:14" x14ac:dyDescent="0.2">
      <c r="A1948" s="5" t="str">
        <f>HYPERLINK("http://www.ncbi.nlm.nih.gov/protein/21313066","Dph7")</f>
        <v>Dph7</v>
      </c>
      <c r="B1948" s="4"/>
      <c r="C1948" s="3">
        <v>0</v>
      </c>
      <c r="D1948" s="3">
        <v>0</v>
      </c>
      <c r="E1948" s="3">
        <v>0</v>
      </c>
      <c r="F1948" s="3">
        <v>0</v>
      </c>
      <c r="G1948" s="3">
        <v>1971</v>
      </c>
      <c r="H1948" s="2">
        <f t="shared" si="60"/>
        <v>1971</v>
      </c>
      <c r="I1948" t="str">
        <f t="shared" si="61"/>
        <v>Dph7_1971</v>
      </c>
      <c r="J1948" s="3">
        <v>0</v>
      </c>
      <c r="K1948" s="3">
        <v>0</v>
      </c>
      <c r="L1948" s="3">
        <v>0</v>
      </c>
      <c r="M1948" s="3">
        <v>0</v>
      </c>
      <c r="N1948" s="3">
        <v>1971</v>
      </c>
    </row>
    <row r="1949" spans="1:14" x14ac:dyDescent="0.2">
      <c r="A1949" s="5" t="str">
        <f>HYPERLINK("http://www.ncbi.nlm.nih.gov/protein/6753670","Dpm1")</f>
        <v>Dpm1</v>
      </c>
      <c r="B1949" s="4"/>
      <c r="C1949" s="3">
        <v>24457</v>
      </c>
      <c r="D1949" s="3">
        <v>5290</v>
      </c>
      <c r="E1949" s="3">
        <v>2587</v>
      </c>
      <c r="F1949" s="3">
        <v>868</v>
      </c>
      <c r="G1949" s="3">
        <v>0</v>
      </c>
      <c r="H1949" s="2">
        <f t="shared" si="60"/>
        <v>33202</v>
      </c>
      <c r="I1949" t="str">
        <f t="shared" si="61"/>
        <v>Dpm1_33202</v>
      </c>
      <c r="J1949" s="3">
        <v>24457</v>
      </c>
      <c r="K1949" s="3">
        <v>5290</v>
      </c>
      <c r="L1949" s="3">
        <v>2587</v>
      </c>
      <c r="M1949" s="3">
        <v>868</v>
      </c>
      <c r="N1949" s="3">
        <v>0</v>
      </c>
    </row>
    <row r="1950" spans="1:14" x14ac:dyDescent="0.2">
      <c r="A1950" s="5" t="str">
        <f>HYPERLINK("http://www.ncbi.nlm.nih.gov/protein/58037125","Dpm3")</f>
        <v>Dpm3</v>
      </c>
      <c r="B1950" s="4"/>
      <c r="C1950" s="3">
        <v>17464</v>
      </c>
      <c r="D1950" s="3">
        <v>211</v>
      </c>
      <c r="E1950" s="3">
        <v>1977</v>
      </c>
      <c r="F1950" s="3">
        <v>0</v>
      </c>
      <c r="G1950" s="3">
        <v>0</v>
      </c>
      <c r="H1950" s="2">
        <f t="shared" si="60"/>
        <v>19652</v>
      </c>
      <c r="I1950" t="str">
        <f t="shared" si="61"/>
        <v>Dpm3_19652</v>
      </c>
      <c r="J1950" s="3">
        <v>17464</v>
      </c>
      <c r="K1950" s="3">
        <v>211</v>
      </c>
      <c r="L1950" s="3">
        <v>1977</v>
      </c>
      <c r="M1950" s="3">
        <v>0</v>
      </c>
      <c r="N1950" s="3">
        <v>0</v>
      </c>
    </row>
    <row r="1951" spans="1:14" x14ac:dyDescent="0.2">
      <c r="A1951" s="5" t="str">
        <f>HYPERLINK("http://www.ncbi.nlm.nih.gov/protein/244791124","Dpp3")</f>
        <v>Dpp3</v>
      </c>
      <c r="B1951" s="4"/>
      <c r="C1951" s="3">
        <v>183</v>
      </c>
      <c r="D1951" s="3">
        <v>7607</v>
      </c>
      <c r="E1951" s="3">
        <v>16955</v>
      </c>
      <c r="F1951" s="3">
        <v>11214</v>
      </c>
      <c r="G1951" s="3">
        <v>67727</v>
      </c>
      <c r="H1951" s="2">
        <f t="shared" si="60"/>
        <v>103686</v>
      </c>
      <c r="I1951" t="str">
        <f t="shared" si="61"/>
        <v>Dpp3_103686</v>
      </c>
      <c r="J1951" s="3">
        <v>183</v>
      </c>
      <c r="K1951" s="3">
        <v>7607</v>
      </c>
      <c r="L1951" s="3">
        <v>16955</v>
      </c>
      <c r="M1951" s="3">
        <v>11214</v>
      </c>
      <c r="N1951" s="3">
        <v>67727</v>
      </c>
    </row>
    <row r="1952" spans="1:14" x14ac:dyDescent="0.2">
      <c r="A1952" s="5" t="str">
        <f>HYPERLINK("http://www.ncbi.nlm.nih.gov/protein/227116292","Dpp4")</f>
        <v>Dpp4</v>
      </c>
      <c r="B1952" s="4"/>
      <c r="C1952" s="3">
        <v>0</v>
      </c>
      <c r="D1952" s="3">
        <v>0</v>
      </c>
      <c r="E1952" s="3">
        <v>45</v>
      </c>
      <c r="F1952" s="3">
        <v>0</v>
      </c>
      <c r="G1952" s="3">
        <v>0</v>
      </c>
      <c r="H1952" s="2">
        <f t="shared" si="60"/>
        <v>45</v>
      </c>
      <c r="I1952" t="str">
        <f t="shared" si="61"/>
        <v>Dpp4_45</v>
      </c>
      <c r="J1952" s="3">
        <v>0</v>
      </c>
      <c r="K1952" s="3">
        <v>0</v>
      </c>
      <c r="L1952" s="3">
        <v>45</v>
      </c>
      <c r="M1952" s="3">
        <v>0</v>
      </c>
      <c r="N1952" s="3">
        <v>0</v>
      </c>
    </row>
    <row r="1953" spans="1:14" x14ac:dyDescent="0.2">
      <c r="A1953" s="5" t="str">
        <f>HYPERLINK("http://www.ncbi.nlm.nih.gov/protein/6753674","Dpp4")</f>
        <v>Dpp4</v>
      </c>
      <c r="B1953" s="4"/>
      <c r="C1953" s="3">
        <v>0</v>
      </c>
      <c r="D1953" s="3">
        <v>0</v>
      </c>
      <c r="E1953" s="3">
        <v>45</v>
      </c>
      <c r="F1953" s="3">
        <v>0</v>
      </c>
      <c r="G1953" s="3">
        <v>0</v>
      </c>
      <c r="H1953" s="2">
        <f t="shared" si="60"/>
        <v>45</v>
      </c>
      <c r="I1953" t="str">
        <f t="shared" si="61"/>
        <v>Dpp4_45</v>
      </c>
      <c r="J1953" s="3">
        <v>0</v>
      </c>
      <c r="K1953" s="3">
        <v>0</v>
      </c>
      <c r="L1953" s="3">
        <v>45</v>
      </c>
      <c r="M1953" s="3">
        <v>0</v>
      </c>
      <c r="N1953" s="3">
        <v>0</v>
      </c>
    </row>
    <row r="1954" spans="1:14" x14ac:dyDescent="0.2">
      <c r="A1954" s="5" t="str">
        <f>HYPERLINK("http://www.ncbi.nlm.nih.gov/protein/31981425","Dpp7")</f>
        <v>Dpp7</v>
      </c>
      <c r="B1954" s="4"/>
      <c r="C1954" s="3">
        <v>27496</v>
      </c>
      <c r="D1954" s="3">
        <v>4204</v>
      </c>
      <c r="E1954" s="3">
        <v>5954</v>
      </c>
      <c r="F1954" s="3">
        <v>868</v>
      </c>
      <c r="G1954" s="3">
        <v>30436</v>
      </c>
      <c r="H1954" s="2">
        <f t="shared" si="60"/>
        <v>68958</v>
      </c>
      <c r="I1954" t="str">
        <f t="shared" si="61"/>
        <v>Dpp7_68958</v>
      </c>
      <c r="J1954" s="3">
        <v>27496</v>
      </c>
      <c r="K1954" s="3">
        <v>4204</v>
      </c>
      <c r="L1954" s="3">
        <v>5954</v>
      </c>
      <c r="M1954" s="3">
        <v>868</v>
      </c>
      <c r="N1954" s="3">
        <v>30436</v>
      </c>
    </row>
    <row r="1955" spans="1:14" x14ac:dyDescent="0.2">
      <c r="A1955" s="5" t="str">
        <f>HYPERLINK("http://www.ncbi.nlm.nih.gov/protein/255003757","Dpp9")</f>
        <v>Dpp9</v>
      </c>
      <c r="B1955" s="4"/>
      <c r="C1955" s="3">
        <v>0</v>
      </c>
      <c r="D1955" s="3">
        <v>0</v>
      </c>
      <c r="E1955" s="3">
        <v>91</v>
      </c>
      <c r="F1955" s="3">
        <v>0</v>
      </c>
      <c r="G1955" s="3">
        <v>2527</v>
      </c>
      <c r="H1955" s="2">
        <f t="shared" si="60"/>
        <v>2618</v>
      </c>
      <c r="I1955" t="str">
        <f t="shared" si="61"/>
        <v>Dpp9_2618</v>
      </c>
      <c r="J1955" s="3">
        <v>0</v>
      </c>
      <c r="K1955" s="3">
        <v>0</v>
      </c>
      <c r="L1955" s="3">
        <v>91</v>
      </c>
      <c r="M1955" s="3">
        <v>0</v>
      </c>
      <c r="N1955" s="3">
        <v>2527</v>
      </c>
    </row>
    <row r="1956" spans="1:14" x14ac:dyDescent="0.2">
      <c r="A1956" s="5" t="str">
        <f>HYPERLINK("http://www.ncbi.nlm.nih.gov/protein/226246654","Dpy30")</f>
        <v>Dpy30</v>
      </c>
      <c r="B1956" s="4"/>
      <c r="C1956" s="3">
        <v>0</v>
      </c>
      <c r="D1956" s="3">
        <v>708</v>
      </c>
      <c r="E1956" s="3">
        <v>858</v>
      </c>
      <c r="F1956" s="3">
        <v>5648</v>
      </c>
      <c r="G1956" s="3">
        <v>7025</v>
      </c>
      <c r="H1956" s="2">
        <f t="shared" si="60"/>
        <v>14239</v>
      </c>
      <c r="I1956" t="str">
        <f t="shared" si="61"/>
        <v>Dpy30_14239</v>
      </c>
      <c r="J1956" s="3">
        <v>0</v>
      </c>
      <c r="K1956" s="3">
        <v>708</v>
      </c>
      <c r="L1956" s="3">
        <v>858</v>
      </c>
      <c r="M1956" s="3">
        <v>5648</v>
      </c>
      <c r="N1956" s="3">
        <v>7025</v>
      </c>
    </row>
    <row r="1957" spans="1:14" x14ac:dyDescent="0.2">
      <c r="A1957" s="5" t="str">
        <f>HYPERLINK("http://www.ncbi.nlm.nih.gov/protein/40254595","Dpysl2")</f>
        <v>Dpysl2</v>
      </c>
      <c r="B1957" s="4"/>
      <c r="C1957" s="3">
        <v>17922</v>
      </c>
      <c r="D1957" s="3">
        <v>13915</v>
      </c>
      <c r="E1957" s="3">
        <v>38781</v>
      </c>
      <c r="F1957" s="3">
        <v>219676</v>
      </c>
      <c r="G1957" s="3">
        <v>87507</v>
      </c>
      <c r="H1957" s="2">
        <f t="shared" si="60"/>
        <v>377801</v>
      </c>
      <c r="I1957" t="str">
        <f t="shared" si="61"/>
        <v>Dpysl2_377801</v>
      </c>
      <c r="J1957" s="3">
        <v>17922</v>
      </c>
      <c r="K1957" s="3">
        <v>13915</v>
      </c>
      <c r="L1957" s="3">
        <v>38781</v>
      </c>
      <c r="M1957" s="3">
        <v>219676</v>
      </c>
      <c r="N1957" s="3">
        <v>87507</v>
      </c>
    </row>
    <row r="1958" spans="1:14" x14ac:dyDescent="0.2">
      <c r="A1958" s="5" t="str">
        <f>HYPERLINK("http://www.ncbi.nlm.nih.gov/protein/209862992","Dpysl3")</f>
        <v>Dpysl3</v>
      </c>
      <c r="B1958" s="4"/>
      <c r="C1958" s="3">
        <v>0</v>
      </c>
      <c r="D1958" s="3">
        <v>58</v>
      </c>
      <c r="E1958" s="3">
        <v>4429</v>
      </c>
      <c r="F1958" s="3">
        <v>17149</v>
      </c>
      <c r="G1958" s="3">
        <v>5237</v>
      </c>
      <c r="H1958" s="2">
        <f t="shared" si="60"/>
        <v>26873</v>
      </c>
      <c r="I1958" t="str">
        <f t="shared" si="61"/>
        <v>Dpysl3_26873</v>
      </c>
      <c r="J1958" s="3">
        <v>0</v>
      </c>
      <c r="K1958" s="3">
        <v>58</v>
      </c>
      <c r="L1958" s="3">
        <v>4429</v>
      </c>
      <c r="M1958" s="3">
        <v>17149</v>
      </c>
      <c r="N1958" s="3">
        <v>5237</v>
      </c>
    </row>
    <row r="1959" spans="1:14" x14ac:dyDescent="0.2">
      <c r="A1959" s="5" t="str">
        <f>HYPERLINK("http://www.ncbi.nlm.nih.gov/protein/6681219","Dpysl3")</f>
        <v>Dpysl3</v>
      </c>
      <c r="B1959" s="4"/>
      <c r="C1959" s="3">
        <v>0</v>
      </c>
      <c r="D1959" s="3">
        <v>58</v>
      </c>
      <c r="E1959" s="3">
        <v>4429</v>
      </c>
      <c r="F1959" s="3">
        <v>17149</v>
      </c>
      <c r="G1959" s="3">
        <v>5237</v>
      </c>
      <c r="H1959" s="2">
        <f t="shared" si="60"/>
        <v>26873</v>
      </c>
      <c r="I1959" t="str">
        <f t="shared" si="61"/>
        <v>Dpysl3_26873</v>
      </c>
      <c r="J1959" s="3">
        <v>0</v>
      </c>
      <c r="K1959" s="3">
        <v>58</v>
      </c>
      <c r="L1959" s="3">
        <v>4429</v>
      </c>
      <c r="M1959" s="3">
        <v>17149</v>
      </c>
      <c r="N1959" s="3">
        <v>5237</v>
      </c>
    </row>
    <row r="1960" spans="1:14" x14ac:dyDescent="0.2">
      <c r="A1960" s="5" t="str">
        <f>HYPERLINK("http://www.ncbi.nlm.nih.gov/protein/12746424","Dpysl5")</f>
        <v>Dpysl5</v>
      </c>
      <c r="B1960" s="4"/>
      <c r="C1960" s="3">
        <v>0</v>
      </c>
      <c r="D1960" s="3">
        <v>1092</v>
      </c>
      <c r="E1960" s="3">
        <v>161</v>
      </c>
      <c r="F1960" s="3">
        <v>12868</v>
      </c>
      <c r="G1960" s="3">
        <v>9210</v>
      </c>
      <c r="H1960" s="2">
        <f t="shared" si="60"/>
        <v>23331</v>
      </c>
      <c r="I1960" t="str">
        <f t="shared" si="61"/>
        <v>Dpysl5_23331</v>
      </c>
      <c r="J1960" s="3">
        <v>0</v>
      </c>
      <c r="K1960" s="3">
        <v>1092</v>
      </c>
      <c r="L1960" s="3">
        <v>161</v>
      </c>
      <c r="M1960" s="3">
        <v>12868</v>
      </c>
      <c r="N1960" s="3">
        <v>9210</v>
      </c>
    </row>
    <row r="1961" spans="1:14" x14ac:dyDescent="0.2">
      <c r="A1961" s="5" t="str">
        <f>HYPERLINK("http://www.ncbi.nlm.nih.gov/protein/27754097","Dr1")</f>
        <v>Dr1</v>
      </c>
      <c r="B1961" s="4"/>
      <c r="C1961" s="3">
        <v>0</v>
      </c>
      <c r="D1961" s="3">
        <v>0</v>
      </c>
      <c r="E1961" s="3">
        <v>92</v>
      </c>
      <c r="F1961" s="3">
        <v>868</v>
      </c>
      <c r="G1961" s="3">
        <v>803</v>
      </c>
      <c r="H1961" s="2">
        <f t="shared" si="60"/>
        <v>1763</v>
      </c>
      <c r="I1961" t="str">
        <f t="shared" si="61"/>
        <v>Dr1_1763</v>
      </c>
      <c r="J1961" s="3">
        <v>0</v>
      </c>
      <c r="K1961" s="3">
        <v>0</v>
      </c>
      <c r="L1961" s="3">
        <v>92</v>
      </c>
      <c r="M1961" s="3">
        <v>868</v>
      </c>
      <c r="N1961" s="3">
        <v>803</v>
      </c>
    </row>
    <row r="1962" spans="1:14" x14ac:dyDescent="0.2">
      <c r="A1962" s="5" t="str">
        <f>HYPERLINK("http://www.ncbi.nlm.nih.gov/protein/21313106","Dram2")</f>
        <v>Dram2</v>
      </c>
      <c r="B1962" s="4"/>
      <c r="C1962" s="3">
        <v>0</v>
      </c>
      <c r="D1962" s="3">
        <v>1505</v>
      </c>
      <c r="E1962" s="3">
        <v>672</v>
      </c>
      <c r="F1962" s="3">
        <v>0</v>
      </c>
      <c r="G1962" s="3">
        <v>0</v>
      </c>
      <c r="H1962" s="2">
        <f t="shared" si="60"/>
        <v>2177</v>
      </c>
      <c r="I1962" t="str">
        <f t="shared" si="61"/>
        <v>Dram2_2177</v>
      </c>
      <c r="J1962" s="3">
        <v>0</v>
      </c>
      <c r="K1962" s="3">
        <v>1505</v>
      </c>
      <c r="L1962" s="3">
        <v>672</v>
      </c>
      <c r="M1962" s="3">
        <v>0</v>
      </c>
      <c r="N1962" s="3">
        <v>0</v>
      </c>
    </row>
    <row r="1963" spans="1:14" x14ac:dyDescent="0.2">
      <c r="A1963" s="5" t="str">
        <f>HYPERLINK("http://www.ncbi.nlm.nih.gov/protein/70980526","Dram2")</f>
        <v>Dram2</v>
      </c>
      <c r="B1963" s="4"/>
      <c r="C1963" s="3">
        <v>0</v>
      </c>
      <c r="D1963" s="3">
        <v>1505</v>
      </c>
      <c r="E1963" s="3">
        <v>672</v>
      </c>
      <c r="F1963" s="3">
        <v>0</v>
      </c>
      <c r="G1963" s="3">
        <v>0</v>
      </c>
      <c r="H1963" s="2">
        <f t="shared" si="60"/>
        <v>2177</v>
      </c>
      <c r="I1963" t="str">
        <f t="shared" si="61"/>
        <v>Dram2_2177</v>
      </c>
      <c r="J1963" s="3">
        <v>0</v>
      </c>
      <c r="K1963" s="3">
        <v>1505</v>
      </c>
      <c r="L1963" s="3">
        <v>672</v>
      </c>
      <c r="M1963" s="3">
        <v>0</v>
      </c>
      <c r="N1963" s="3">
        <v>0</v>
      </c>
    </row>
    <row r="1964" spans="1:14" x14ac:dyDescent="0.2">
      <c r="A1964" s="5" t="str">
        <f>HYPERLINK("http://www.ncbi.nlm.nih.gov/protein/21313424","Drap1")</f>
        <v>Drap1</v>
      </c>
      <c r="B1964" s="4"/>
      <c r="C1964" s="3">
        <v>0</v>
      </c>
      <c r="D1964" s="3">
        <v>269</v>
      </c>
      <c r="E1964" s="3">
        <v>360</v>
      </c>
      <c r="F1964" s="3">
        <v>4674</v>
      </c>
      <c r="G1964" s="3">
        <v>5515</v>
      </c>
      <c r="H1964" s="2">
        <f t="shared" si="60"/>
        <v>10818</v>
      </c>
      <c r="I1964" t="str">
        <f t="shared" si="61"/>
        <v>Drap1_10818</v>
      </c>
      <c r="J1964" s="3">
        <v>0</v>
      </c>
      <c r="K1964" s="3">
        <v>269</v>
      </c>
      <c r="L1964" s="3">
        <v>360</v>
      </c>
      <c r="M1964" s="3">
        <v>4674</v>
      </c>
      <c r="N1964" s="3">
        <v>5515</v>
      </c>
    </row>
    <row r="1965" spans="1:14" x14ac:dyDescent="0.2">
      <c r="A1965" s="5" t="str">
        <f>HYPERLINK("http://www.ncbi.nlm.nih.gov/protein/6681225","Drg1")</f>
        <v>Drg1</v>
      </c>
      <c r="B1965" s="4"/>
      <c r="C1965" s="3">
        <v>1648</v>
      </c>
      <c r="D1965" s="3">
        <v>2868</v>
      </c>
      <c r="E1965" s="3">
        <v>25560</v>
      </c>
      <c r="F1965" s="3">
        <v>69905</v>
      </c>
      <c r="G1965" s="3">
        <v>3909</v>
      </c>
      <c r="H1965" s="2">
        <f t="shared" si="60"/>
        <v>103890</v>
      </c>
      <c r="I1965" t="str">
        <f t="shared" si="61"/>
        <v>Drg1_103890</v>
      </c>
      <c r="J1965" s="3">
        <v>1648</v>
      </c>
      <c r="K1965" s="3">
        <v>2868</v>
      </c>
      <c r="L1965" s="3">
        <v>25560</v>
      </c>
      <c r="M1965" s="3">
        <v>69905</v>
      </c>
      <c r="N1965" s="3">
        <v>3909</v>
      </c>
    </row>
    <row r="1966" spans="1:14" x14ac:dyDescent="0.2">
      <c r="A1966" s="5" t="str">
        <f>HYPERLINK("http://www.ncbi.nlm.nih.gov/protein/10946678","Drg2")</f>
        <v>Drg2</v>
      </c>
      <c r="B1966" s="4"/>
      <c r="C1966" s="3">
        <v>0</v>
      </c>
      <c r="D1966" s="3">
        <v>65</v>
      </c>
      <c r="E1966" s="3">
        <v>10896</v>
      </c>
      <c r="F1966" s="3">
        <v>9831</v>
      </c>
      <c r="G1966" s="3">
        <v>76798</v>
      </c>
      <c r="H1966" s="2">
        <f t="shared" si="60"/>
        <v>97590</v>
      </c>
      <c r="I1966" t="str">
        <f t="shared" si="61"/>
        <v>Drg2_97590</v>
      </c>
      <c r="J1966" s="3">
        <v>0</v>
      </c>
      <c r="K1966" s="3">
        <v>65</v>
      </c>
      <c r="L1966" s="3">
        <v>10896</v>
      </c>
      <c r="M1966" s="3">
        <v>9831</v>
      </c>
      <c r="N1966" s="3">
        <v>76798</v>
      </c>
    </row>
    <row r="1967" spans="1:14" x14ac:dyDescent="0.2">
      <c r="A1967" s="5" t="str">
        <f>HYPERLINK("http://www.ncbi.nlm.nih.gov/protein/194328670","Drosha")</f>
        <v>Drosha</v>
      </c>
      <c r="B1967" s="4"/>
      <c r="C1967" s="3">
        <v>0</v>
      </c>
      <c r="D1967" s="3">
        <v>0</v>
      </c>
      <c r="E1967" s="3">
        <v>9</v>
      </c>
      <c r="F1967" s="3">
        <v>0</v>
      </c>
      <c r="G1967" s="3">
        <v>0</v>
      </c>
      <c r="H1967" s="2">
        <f t="shared" si="60"/>
        <v>9</v>
      </c>
      <c r="I1967" t="str">
        <f t="shared" si="61"/>
        <v>Drosha_9</v>
      </c>
      <c r="J1967" s="3">
        <v>0</v>
      </c>
      <c r="K1967" s="3">
        <v>0</v>
      </c>
      <c r="L1967" s="3">
        <v>9</v>
      </c>
      <c r="M1967" s="3">
        <v>0</v>
      </c>
      <c r="N1967" s="3">
        <v>0</v>
      </c>
    </row>
    <row r="1968" spans="1:14" x14ac:dyDescent="0.2">
      <c r="A1968" s="5" t="str">
        <f>HYPERLINK("http://www.ncbi.nlm.nih.gov/protein/62821774","Dscc1")</f>
        <v>Dscc1</v>
      </c>
      <c r="B1968" s="4"/>
      <c r="C1968" s="3">
        <v>0</v>
      </c>
      <c r="D1968" s="3">
        <v>0</v>
      </c>
      <c r="E1968" s="3">
        <v>78</v>
      </c>
      <c r="F1968" s="3">
        <v>5353</v>
      </c>
      <c r="G1968" s="3">
        <v>3159</v>
      </c>
      <c r="H1968" s="2">
        <f t="shared" si="60"/>
        <v>8590</v>
      </c>
      <c r="I1968" t="str">
        <f t="shared" si="61"/>
        <v>Dscc1_8590</v>
      </c>
      <c r="J1968" s="3">
        <v>0</v>
      </c>
      <c r="K1968" s="3">
        <v>0</v>
      </c>
      <c r="L1968" s="3">
        <v>78</v>
      </c>
      <c r="M1968" s="3">
        <v>5353</v>
      </c>
      <c r="N1968" s="3">
        <v>3159</v>
      </c>
    </row>
    <row r="1969" spans="1:14" x14ac:dyDescent="0.2">
      <c r="A1969" s="5" t="str">
        <f>HYPERLINK("http://www.ncbi.nlm.nih.gov/protein/6681145","Dscr3")</f>
        <v>Dscr3</v>
      </c>
      <c r="B1969" s="4"/>
      <c r="C1969" s="3">
        <v>0</v>
      </c>
      <c r="D1969" s="3">
        <v>4430</v>
      </c>
      <c r="E1969" s="3">
        <v>973</v>
      </c>
      <c r="F1969" s="3">
        <v>15348</v>
      </c>
      <c r="G1969" s="3">
        <v>428</v>
      </c>
      <c r="H1969" s="2">
        <f t="shared" si="60"/>
        <v>21179</v>
      </c>
      <c r="I1969" t="str">
        <f t="shared" si="61"/>
        <v>Dscr3_21179</v>
      </c>
      <c r="J1969" s="3">
        <v>0</v>
      </c>
      <c r="K1969" s="3">
        <v>4430</v>
      </c>
      <c r="L1969" s="3">
        <v>973</v>
      </c>
      <c r="M1969" s="3">
        <v>15348</v>
      </c>
      <c r="N1969" s="3">
        <v>428</v>
      </c>
    </row>
    <row r="1970" spans="1:14" x14ac:dyDescent="0.2">
      <c r="A1970" s="5" t="str">
        <f>HYPERLINK("http://www.ncbi.nlm.nih.gov/protein/169234958","Dsg1a")</f>
        <v>Dsg1a</v>
      </c>
      <c r="B1970" s="4"/>
      <c r="C1970" s="3">
        <v>128</v>
      </c>
      <c r="D1970" s="3">
        <v>0</v>
      </c>
      <c r="E1970" s="3">
        <v>0</v>
      </c>
      <c r="F1970" s="3">
        <v>0</v>
      </c>
      <c r="G1970" s="3">
        <v>0</v>
      </c>
      <c r="H1970" s="2">
        <f t="shared" si="60"/>
        <v>128</v>
      </c>
      <c r="I1970" t="str">
        <f t="shared" si="61"/>
        <v>Dsg1a_128</v>
      </c>
      <c r="J1970" s="3">
        <v>128</v>
      </c>
      <c r="K1970" s="3">
        <v>0</v>
      </c>
      <c r="L1970" s="3">
        <v>0</v>
      </c>
      <c r="M1970" s="3">
        <v>0</v>
      </c>
      <c r="N1970" s="3">
        <v>0</v>
      </c>
    </row>
    <row r="1971" spans="1:14" x14ac:dyDescent="0.2">
      <c r="A1971" s="5" t="str">
        <f>HYPERLINK("http://www.ncbi.nlm.nih.gov/protein/32129201","Dsg1b")</f>
        <v>Dsg1b</v>
      </c>
      <c r="B1971" s="4"/>
      <c r="C1971" s="3">
        <v>128</v>
      </c>
      <c r="D1971" s="3">
        <v>0</v>
      </c>
      <c r="E1971" s="3">
        <v>0</v>
      </c>
      <c r="F1971" s="3">
        <v>0</v>
      </c>
      <c r="G1971" s="3">
        <v>0</v>
      </c>
      <c r="H1971" s="2">
        <f t="shared" si="60"/>
        <v>128</v>
      </c>
      <c r="I1971" t="str">
        <f t="shared" si="61"/>
        <v>Dsg1b_128</v>
      </c>
      <c r="J1971" s="3">
        <v>128</v>
      </c>
      <c r="K1971" s="3">
        <v>0</v>
      </c>
      <c r="L1971" s="3">
        <v>0</v>
      </c>
      <c r="M1971" s="3">
        <v>0</v>
      </c>
      <c r="N1971" s="3">
        <v>0</v>
      </c>
    </row>
    <row r="1972" spans="1:14" x14ac:dyDescent="0.2">
      <c r="A1972" s="5" t="str">
        <f>HYPERLINK("http://www.ncbi.nlm.nih.gov/protein/161016843","Dsg2")</f>
        <v>Dsg2</v>
      </c>
      <c r="B1972" s="4"/>
      <c r="C1972" s="3">
        <v>0</v>
      </c>
      <c r="D1972" s="3">
        <v>313</v>
      </c>
      <c r="E1972" s="3">
        <v>60</v>
      </c>
      <c r="F1972" s="3">
        <v>0</v>
      </c>
      <c r="G1972" s="3">
        <v>0</v>
      </c>
      <c r="H1972" s="2">
        <f t="shared" si="60"/>
        <v>373</v>
      </c>
      <c r="I1972" t="str">
        <f t="shared" si="61"/>
        <v>Dsg2_373</v>
      </c>
      <c r="J1972" s="3">
        <v>0</v>
      </c>
      <c r="K1972" s="3">
        <v>313</v>
      </c>
      <c r="L1972" s="3">
        <v>60</v>
      </c>
      <c r="M1972" s="3">
        <v>0</v>
      </c>
      <c r="N1972" s="3">
        <v>0</v>
      </c>
    </row>
    <row r="1973" spans="1:14" x14ac:dyDescent="0.2">
      <c r="A1973" s="5" t="str">
        <f>HYPERLINK("http://www.ncbi.nlm.nih.gov/protein/254540034","Dsn1")</f>
        <v>Dsn1</v>
      </c>
      <c r="B1973" s="4"/>
      <c r="C1973" s="3">
        <v>0</v>
      </c>
      <c r="D1973" s="3">
        <v>25</v>
      </c>
      <c r="E1973" s="3">
        <v>31</v>
      </c>
      <c r="F1973" s="3">
        <v>958</v>
      </c>
      <c r="G1973" s="3">
        <v>471</v>
      </c>
      <c r="H1973" s="2">
        <f t="shared" si="60"/>
        <v>1485</v>
      </c>
      <c r="I1973" t="str">
        <f t="shared" si="61"/>
        <v>Dsn1_1485</v>
      </c>
      <c r="J1973" s="3">
        <v>0</v>
      </c>
      <c r="K1973" s="3">
        <v>25</v>
      </c>
      <c r="L1973" s="3">
        <v>31</v>
      </c>
      <c r="M1973" s="3">
        <v>958</v>
      </c>
      <c r="N1973" s="3">
        <v>471</v>
      </c>
    </row>
    <row r="1974" spans="1:14" x14ac:dyDescent="0.2">
      <c r="A1974" s="5" t="str">
        <f>HYPERLINK("http://www.ncbi.nlm.nih.gov/protein/190194418","Dsp")</f>
        <v>Dsp</v>
      </c>
      <c r="B1974" s="4"/>
      <c r="C1974" s="3">
        <v>37857</v>
      </c>
      <c r="D1974" s="3">
        <v>1697</v>
      </c>
      <c r="E1974" s="3">
        <v>4623</v>
      </c>
      <c r="F1974" s="3">
        <v>5132</v>
      </c>
      <c r="G1974" s="3">
        <v>84605</v>
      </c>
      <c r="H1974" s="2">
        <f t="shared" si="60"/>
        <v>133914</v>
      </c>
      <c r="I1974" t="str">
        <f t="shared" si="61"/>
        <v>Dsp_133914</v>
      </c>
      <c r="J1974" s="3">
        <v>37857</v>
      </c>
      <c r="K1974" s="3">
        <v>1697</v>
      </c>
      <c r="L1974" s="3">
        <v>4623</v>
      </c>
      <c r="M1974" s="3">
        <v>5132</v>
      </c>
      <c r="N1974" s="3">
        <v>84605</v>
      </c>
    </row>
    <row r="1975" spans="1:14" x14ac:dyDescent="0.2">
      <c r="A1975" s="5" t="str">
        <f>HYPERLINK("http://www.ncbi.nlm.nih.gov/protein/454525117","Dst")</f>
        <v>Dst</v>
      </c>
      <c r="B1975" s="4"/>
      <c r="C1975" s="3">
        <v>0</v>
      </c>
      <c r="D1975" s="3">
        <v>284</v>
      </c>
      <c r="E1975" s="3">
        <v>214</v>
      </c>
      <c r="F1975" s="3">
        <v>0</v>
      </c>
      <c r="G1975" s="3">
        <v>0</v>
      </c>
      <c r="H1975" s="2">
        <f t="shared" si="60"/>
        <v>498</v>
      </c>
      <c r="I1975" t="str">
        <f t="shared" si="61"/>
        <v>Dst_498</v>
      </c>
      <c r="J1975" s="3">
        <v>0</v>
      </c>
      <c r="K1975" s="3">
        <v>284</v>
      </c>
      <c r="L1975" s="3">
        <v>214</v>
      </c>
      <c r="M1975" s="3">
        <v>0</v>
      </c>
      <c r="N1975" s="3">
        <v>0</v>
      </c>
    </row>
    <row r="1976" spans="1:14" x14ac:dyDescent="0.2">
      <c r="A1976" s="5" t="str">
        <f>HYPERLINK("http://www.ncbi.nlm.nih.gov/protein/111154076","Dst")</f>
        <v>Dst</v>
      </c>
      <c r="B1976" s="4"/>
      <c r="C1976" s="3">
        <v>0</v>
      </c>
      <c r="D1976" s="3">
        <v>284</v>
      </c>
      <c r="E1976" s="3">
        <v>474</v>
      </c>
      <c r="F1976" s="3">
        <v>1326</v>
      </c>
      <c r="G1976" s="3">
        <v>1446</v>
      </c>
      <c r="H1976" s="2">
        <f t="shared" si="60"/>
        <v>3530</v>
      </c>
      <c r="I1976" t="str">
        <f t="shared" si="61"/>
        <v>Dst_3530</v>
      </c>
      <c r="J1976" s="3">
        <v>0</v>
      </c>
      <c r="K1976" s="3">
        <v>284</v>
      </c>
      <c r="L1976" s="3">
        <v>474</v>
      </c>
      <c r="M1976" s="3">
        <v>1326</v>
      </c>
      <c r="N1976" s="3">
        <v>1446</v>
      </c>
    </row>
    <row r="1977" spans="1:14" x14ac:dyDescent="0.2">
      <c r="A1977" s="5" t="str">
        <f>HYPERLINK("http://www.ncbi.nlm.nih.gov/protein/111154082","Dst")</f>
        <v>Dst</v>
      </c>
      <c r="B1977" s="4"/>
      <c r="C1977" s="3">
        <v>0</v>
      </c>
      <c r="D1977" s="3">
        <v>284</v>
      </c>
      <c r="E1977" s="3">
        <v>474</v>
      </c>
      <c r="F1977" s="3">
        <v>1187</v>
      </c>
      <c r="G1977" s="3">
        <v>1446</v>
      </c>
      <c r="H1977" s="2">
        <f t="shared" si="60"/>
        <v>3391</v>
      </c>
      <c r="I1977" t="str">
        <f t="shared" si="61"/>
        <v>Dst_3391</v>
      </c>
      <c r="J1977" s="3">
        <v>0</v>
      </c>
      <c r="K1977" s="3">
        <v>284</v>
      </c>
      <c r="L1977" s="3">
        <v>474</v>
      </c>
      <c r="M1977" s="3">
        <v>1187</v>
      </c>
      <c r="N1977" s="3">
        <v>1446</v>
      </c>
    </row>
    <row r="1978" spans="1:14" x14ac:dyDescent="0.2">
      <c r="A1978" s="5" t="str">
        <f>HYPERLINK("http://www.ncbi.nlm.nih.gov/protein/9790219","Dstn")</f>
        <v>Dstn</v>
      </c>
      <c r="B1978" s="4"/>
      <c r="C1978" s="3">
        <v>73297</v>
      </c>
      <c r="D1978" s="3">
        <v>31507</v>
      </c>
      <c r="E1978" s="3">
        <v>40645</v>
      </c>
      <c r="F1978" s="3">
        <v>20857</v>
      </c>
      <c r="G1978" s="3">
        <v>275020</v>
      </c>
      <c r="H1978" s="2">
        <f t="shared" si="60"/>
        <v>441326</v>
      </c>
      <c r="I1978" t="str">
        <f t="shared" si="61"/>
        <v>Dstn_441326</v>
      </c>
      <c r="J1978" s="3">
        <v>73297</v>
      </c>
      <c r="K1978" s="3">
        <v>31507</v>
      </c>
      <c r="L1978" s="3">
        <v>40645</v>
      </c>
      <c r="M1978" s="3">
        <v>20857</v>
      </c>
      <c r="N1978" s="3">
        <v>275020</v>
      </c>
    </row>
    <row r="1979" spans="1:14" x14ac:dyDescent="0.2">
      <c r="A1979" s="5" t="str">
        <f>HYPERLINK("http://www.ncbi.nlm.nih.gov/protein/13384676","Dtd1")</f>
        <v>Dtd1</v>
      </c>
      <c r="B1979" s="4"/>
      <c r="C1979" s="3">
        <v>0</v>
      </c>
      <c r="D1979" s="3">
        <v>491</v>
      </c>
      <c r="E1979" s="3">
        <v>237</v>
      </c>
      <c r="F1979" s="3">
        <v>4510</v>
      </c>
      <c r="G1979" s="3">
        <v>5847</v>
      </c>
      <c r="H1979" s="2">
        <f t="shared" si="60"/>
        <v>11085</v>
      </c>
      <c r="I1979" t="str">
        <f t="shared" si="61"/>
        <v>Dtd1_11085</v>
      </c>
      <c r="J1979" s="3">
        <v>0</v>
      </c>
      <c r="K1979" s="3">
        <v>491</v>
      </c>
      <c r="L1979" s="3">
        <v>237</v>
      </c>
      <c r="M1979" s="3">
        <v>4510</v>
      </c>
      <c r="N1979" s="3">
        <v>5847</v>
      </c>
    </row>
    <row r="1980" spans="1:14" x14ac:dyDescent="0.2">
      <c r="A1980" s="5" t="str">
        <f>HYPERLINK("http://www.ncbi.nlm.nih.gov/protein/31324532","Dtd2")</f>
        <v>Dtd2</v>
      </c>
      <c r="B1980" s="4"/>
      <c r="C1980" s="3">
        <v>0</v>
      </c>
      <c r="D1980" s="3">
        <v>672</v>
      </c>
      <c r="E1980" s="3">
        <v>1629</v>
      </c>
      <c r="F1980" s="3">
        <v>11877</v>
      </c>
      <c r="G1980" s="3">
        <v>8793</v>
      </c>
      <c r="H1980" s="2">
        <f t="shared" si="60"/>
        <v>22971</v>
      </c>
      <c r="I1980" t="str">
        <f t="shared" si="61"/>
        <v>Dtd2_22971</v>
      </c>
      <c r="J1980" s="3">
        <v>0</v>
      </c>
      <c r="K1980" s="3">
        <v>672</v>
      </c>
      <c r="L1980" s="3">
        <v>1629</v>
      </c>
      <c r="M1980" s="3">
        <v>11877</v>
      </c>
      <c r="N1980" s="3">
        <v>8793</v>
      </c>
    </row>
    <row r="1981" spans="1:14" x14ac:dyDescent="0.2">
      <c r="A1981" s="5" t="str">
        <f>HYPERLINK("http://www.ncbi.nlm.nih.gov/protein/46519164","Dtna")</f>
        <v>Dtna</v>
      </c>
      <c r="B1981" s="4"/>
      <c r="C1981" s="3">
        <v>0</v>
      </c>
      <c r="D1981" s="3">
        <v>0</v>
      </c>
      <c r="E1981" s="3">
        <v>1324</v>
      </c>
      <c r="F1981" s="3">
        <v>0</v>
      </c>
      <c r="G1981" s="3">
        <v>0</v>
      </c>
      <c r="H1981" s="2">
        <f t="shared" si="60"/>
        <v>1324</v>
      </c>
      <c r="I1981" t="str">
        <f t="shared" si="61"/>
        <v>Dtna_1324</v>
      </c>
      <c r="J1981" s="3">
        <v>0</v>
      </c>
      <c r="K1981" s="3">
        <v>0</v>
      </c>
      <c r="L1981" s="3">
        <v>1324</v>
      </c>
      <c r="M1981" s="3">
        <v>0</v>
      </c>
      <c r="N1981" s="3">
        <v>0</v>
      </c>
    </row>
    <row r="1982" spans="1:14" x14ac:dyDescent="0.2">
      <c r="A1982" s="5" t="str">
        <f>HYPERLINK("http://www.ncbi.nlm.nih.gov/protein/247269547","Dtnb")</f>
        <v>Dtnb</v>
      </c>
      <c r="B1982" s="4"/>
      <c r="C1982" s="3">
        <v>860</v>
      </c>
      <c r="D1982" s="3">
        <v>2756</v>
      </c>
      <c r="E1982" s="3">
        <v>3633</v>
      </c>
      <c r="F1982" s="3">
        <v>0</v>
      </c>
      <c r="G1982" s="3">
        <v>0</v>
      </c>
      <c r="H1982" s="2">
        <f t="shared" si="60"/>
        <v>7249</v>
      </c>
      <c r="I1982" t="str">
        <f t="shared" si="61"/>
        <v>Dtnb_7249</v>
      </c>
      <c r="J1982" s="3">
        <v>860</v>
      </c>
      <c r="K1982" s="3">
        <v>2756</v>
      </c>
      <c r="L1982" s="3">
        <v>3633</v>
      </c>
      <c r="M1982" s="3">
        <v>0</v>
      </c>
      <c r="N1982" s="3">
        <v>0</v>
      </c>
    </row>
    <row r="1983" spans="1:14" x14ac:dyDescent="0.2">
      <c r="A1983" s="5" t="str">
        <f>HYPERLINK("http://www.ncbi.nlm.nih.gov/protein/247269964","Dtnb")</f>
        <v>Dtnb</v>
      </c>
      <c r="B1983" s="4"/>
      <c r="C1983" s="3">
        <v>860</v>
      </c>
      <c r="D1983" s="3">
        <v>2756</v>
      </c>
      <c r="E1983" s="3">
        <v>3633</v>
      </c>
      <c r="F1983" s="3">
        <v>0</v>
      </c>
      <c r="G1983" s="3">
        <v>0</v>
      </c>
      <c r="H1983" s="2">
        <f t="shared" si="60"/>
        <v>7249</v>
      </c>
      <c r="I1983" t="str">
        <f t="shared" si="61"/>
        <v>Dtnb_7249</v>
      </c>
      <c r="J1983" s="3">
        <v>860</v>
      </c>
      <c r="K1983" s="3">
        <v>2756</v>
      </c>
      <c r="L1983" s="3">
        <v>3633</v>
      </c>
      <c r="M1983" s="3">
        <v>0</v>
      </c>
      <c r="N1983" s="3">
        <v>0</v>
      </c>
    </row>
    <row r="1984" spans="1:14" x14ac:dyDescent="0.2">
      <c r="A1984" s="5" t="str">
        <f>HYPERLINK("http://www.ncbi.nlm.nih.gov/protein/133930784","Dtx3l")</f>
        <v>Dtx3l</v>
      </c>
      <c r="B1984" s="4"/>
      <c r="C1984" s="3">
        <v>0</v>
      </c>
      <c r="D1984" s="3">
        <v>305</v>
      </c>
      <c r="E1984" s="3">
        <v>2270</v>
      </c>
      <c r="F1984" s="3">
        <v>1834</v>
      </c>
      <c r="G1984" s="3">
        <v>0</v>
      </c>
      <c r="H1984" s="2">
        <f t="shared" si="60"/>
        <v>4409</v>
      </c>
      <c r="I1984" t="str">
        <f t="shared" si="61"/>
        <v>Dtx3l_4409</v>
      </c>
      <c r="J1984" s="3">
        <v>0</v>
      </c>
      <c r="K1984" s="3">
        <v>305</v>
      </c>
      <c r="L1984" s="3">
        <v>2270</v>
      </c>
      <c r="M1984" s="3">
        <v>1834</v>
      </c>
      <c r="N1984" s="3">
        <v>0</v>
      </c>
    </row>
    <row r="1985" spans="1:14" x14ac:dyDescent="0.2">
      <c r="A1985" s="5" t="str">
        <f>HYPERLINK("http://www.ncbi.nlm.nih.gov/protein/12963517","Dtymk")</f>
        <v>Dtymk</v>
      </c>
      <c r="B1985" s="4"/>
      <c r="C1985" s="3">
        <v>2361</v>
      </c>
      <c r="D1985" s="3">
        <v>2983</v>
      </c>
      <c r="E1985" s="3">
        <v>613</v>
      </c>
      <c r="F1985" s="3">
        <v>1277</v>
      </c>
      <c r="G1985" s="3">
        <v>24311</v>
      </c>
      <c r="H1985" s="2">
        <f t="shared" si="60"/>
        <v>31545</v>
      </c>
      <c r="I1985" t="str">
        <f t="shared" si="61"/>
        <v>Dtymk_31545</v>
      </c>
      <c r="J1985" s="3">
        <v>2361</v>
      </c>
      <c r="K1985" s="3">
        <v>2983</v>
      </c>
      <c r="L1985" s="3">
        <v>613</v>
      </c>
      <c r="M1985" s="3">
        <v>1277</v>
      </c>
      <c r="N1985" s="3">
        <v>24311</v>
      </c>
    </row>
    <row r="1986" spans="1:14" x14ac:dyDescent="0.2">
      <c r="A1986" s="5" t="str">
        <f>HYPERLINK("http://www.ncbi.nlm.nih.gov/protein/157785665","Dtymk")</f>
        <v>Dtymk</v>
      </c>
      <c r="B1986" s="4"/>
      <c r="C1986" s="3">
        <v>4869</v>
      </c>
      <c r="D1986" s="3">
        <v>6561</v>
      </c>
      <c r="E1986" s="3">
        <v>2634</v>
      </c>
      <c r="F1986" s="3">
        <v>2701</v>
      </c>
      <c r="G1986" s="3">
        <v>53355</v>
      </c>
      <c r="H1986" s="2">
        <f t="shared" ref="H1986:H2049" si="62">SUM(C1986:G1986)</f>
        <v>70120</v>
      </c>
      <c r="I1986" t="str">
        <f t="shared" ref="I1986:I2049" si="63">A1986&amp;"_"&amp;H1986</f>
        <v>Dtymk_70120</v>
      </c>
      <c r="J1986" s="3">
        <v>4869</v>
      </c>
      <c r="K1986" s="3">
        <v>6561</v>
      </c>
      <c r="L1986" s="3">
        <v>2634</v>
      </c>
      <c r="M1986" s="3">
        <v>2701</v>
      </c>
      <c r="N1986" s="3">
        <v>53355</v>
      </c>
    </row>
    <row r="1987" spans="1:14" x14ac:dyDescent="0.2">
      <c r="A1987" s="5" t="str">
        <f>HYPERLINK("http://www.ncbi.nlm.nih.gov/protein/31980834","Dus1l")</f>
        <v>Dus1l</v>
      </c>
      <c r="B1987" s="4"/>
      <c r="C1987" s="3">
        <v>0</v>
      </c>
      <c r="D1987" s="3">
        <v>0</v>
      </c>
      <c r="E1987" s="3">
        <v>0</v>
      </c>
      <c r="F1987" s="3">
        <v>0</v>
      </c>
      <c r="G1987" s="3">
        <v>257</v>
      </c>
      <c r="H1987" s="2">
        <f t="shared" si="62"/>
        <v>257</v>
      </c>
      <c r="I1987" t="str">
        <f t="shared" si="63"/>
        <v>Dus1l_257</v>
      </c>
      <c r="J1987" s="3">
        <v>0</v>
      </c>
      <c r="K1987" s="3">
        <v>0</v>
      </c>
      <c r="L1987" s="3">
        <v>0</v>
      </c>
      <c r="M1987" s="3">
        <v>0</v>
      </c>
      <c r="N1987" s="3">
        <v>257</v>
      </c>
    </row>
    <row r="1988" spans="1:14" x14ac:dyDescent="0.2">
      <c r="A1988" s="5" t="str">
        <f>HYPERLINK("http://www.ncbi.nlm.nih.gov/protein/255003775","Dus3l")</f>
        <v>Dus3l</v>
      </c>
      <c r="B1988" s="4"/>
      <c r="C1988" s="3">
        <v>0</v>
      </c>
      <c r="D1988" s="3">
        <v>251</v>
      </c>
      <c r="E1988" s="3">
        <v>394</v>
      </c>
      <c r="F1988" s="3">
        <v>4166</v>
      </c>
      <c r="G1988" s="3">
        <v>0</v>
      </c>
      <c r="H1988" s="2">
        <f t="shared" si="62"/>
        <v>4811</v>
      </c>
      <c r="I1988" t="str">
        <f t="shared" si="63"/>
        <v>Dus3l_4811</v>
      </c>
      <c r="J1988" s="3">
        <v>0</v>
      </c>
      <c r="K1988" s="3">
        <v>251</v>
      </c>
      <c r="L1988" s="3">
        <v>394</v>
      </c>
      <c r="M1988" s="3">
        <v>4166</v>
      </c>
      <c r="N1988" s="3">
        <v>0</v>
      </c>
    </row>
    <row r="1989" spans="1:14" x14ac:dyDescent="0.2">
      <c r="A1989" s="5" t="str">
        <f>HYPERLINK("http://www.ncbi.nlm.nih.gov/protein/19527288","Dusp22")</f>
        <v>Dusp22</v>
      </c>
      <c r="B1989" s="4"/>
      <c r="C1989" s="3">
        <v>0</v>
      </c>
      <c r="D1989" s="3">
        <v>420</v>
      </c>
      <c r="E1989" s="3">
        <v>72</v>
      </c>
      <c r="F1989" s="3">
        <v>483</v>
      </c>
      <c r="G1989" s="3">
        <v>64</v>
      </c>
      <c r="H1989" s="2">
        <f t="shared" si="62"/>
        <v>1039</v>
      </c>
      <c r="I1989" t="str">
        <f t="shared" si="63"/>
        <v>Dusp22_1039</v>
      </c>
      <c r="J1989" s="3">
        <v>0</v>
      </c>
      <c r="K1989" s="3">
        <v>420</v>
      </c>
      <c r="L1989" s="3">
        <v>72</v>
      </c>
      <c r="M1989" s="3">
        <v>483</v>
      </c>
      <c r="N1989" s="3">
        <v>64</v>
      </c>
    </row>
    <row r="1990" spans="1:14" x14ac:dyDescent="0.2">
      <c r="A1990" s="5" t="str">
        <f>HYPERLINK("http://www.ncbi.nlm.nih.gov/protein/83816915","Dusp22")</f>
        <v>Dusp22</v>
      </c>
      <c r="B1990" s="4"/>
      <c r="C1990" s="3">
        <v>0</v>
      </c>
      <c r="D1990" s="3">
        <v>420</v>
      </c>
      <c r="E1990" s="3">
        <v>72</v>
      </c>
      <c r="F1990" s="3">
        <v>303</v>
      </c>
      <c r="G1990" s="3">
        <v>64</v>
      </c>
      <c r="H1990" s="2">
        <f t="shared" si="62"/>
        <v>859</v>
      </c>
      <c r="I1990" t="str">
        <f t="shared" si="63"/>
        <v>Dusp22_859</v>
      </c>
      <c r="J1990" s="3">
        <v>0</v>
      </c>
      <c r="K1990" s="3">
        <v>420</v>
      </c>
      <c r="L1990" s="3">
        <v>72</v>
      </c>
      <c r="M1990" s="3">
        <v>303</v>
      </c>
      <c r="N1990" s="3">
        <v>64</v>
      </c>
    </row>
    <row r="1991" spans="1:14" x14ac:dyDescent="0.2">
      <c r="A1991" s="5" t="str">
        <f>HYPERLINK("http://www.ncbi.nlm.nih.gov/protein/29171320","Dusp28")</f>
        <v>Dusp28</v>
      </c>
      <c r="B1991" s="4"/>
      <c r="C1991" s="3">
        <v>0</v>
      </c>
      <c r="D1991" s="3">
        <v>0</v>
      </c>
      <c r="E1991" s="3">
        <v>0</v>
      </c>
      <c r="F1991" s="3">
        <v>0</v>
      </c>
      <c r="G1991" s="3">
        <v>2088</v>
      </c>
      <c r="H1991" s="2">
        <f t="shared" si="62"/>
        <v>2088</v>
      </c>
      <c r="I1991" t="str">
        <f t="shared" si="63"/>
        <v>Dusp28_2088</v>
      </c>
      <c r="J1991" s="3">
        <v>0</v>
      </c>
      <c r="K1991" s="3">
        <v>0</v>
      </c>
      <c r="L1991" s="3">
        <v>0</v>
      </c>
      <c r="M1991" s="3">
        <v>0</v>
      </c>
      <c r="N1991" s="3">
        <v>2088</v>
      </c>
    </row>
    <row r="1992" spans="1:14" x14ac:dyDescent="0.2">
      <c r="A1992" s="5" t="str">
        <f>HYPERLINK("http://www.ncbi.nlm.nih.gov/protein/21312314","Dusp3")</f>
        <v>Dusp3</v>
      </c>
      <c r="B1992" s="4"/>
      <c r="C1992" s="3">
        <v>0</v>
      </c>
      <c r="D1992" s="3">
        <v>1868</v>
      </c>
      <c r="E1992" s="3">
        <v>618</v>
      </c>
      <c r="F1992" s="3">
        <v>1121</v>
      </c>
      <c r="G1992" s="3">
        <v>11491</v>
      </c>
      <c r="H1992" s="2">
        <f t="shared" si="62"/>
        <v>15098</v>
      </c>
      <c r="I1992" t="str">
        <f t="shared" si="63"/>
        <v>Dusp3_15098</v>
      </c>
      <c r="J1992" s="3">
        <v>0</v>
      </c>
      <c r="K1992" s="3">
        <v>1868</v>
      </c>
      <c r="L1992" s="3">
        <v>618</v>
      </c>
      <c r="M1992" s="3">
        <v>1121</v>
      </c>
      <c r="N1992" s="3">
        <v>11491</v>
      </c>
    </row>
    <row r="1993" spans="1:14" x14ac:dyDescent="0.2">
      <c r="A1993" s="5" t="str">
        <f>HYPERLINK("http://www.ncbi.nlm.nih.gov/protein/21281687","Dut")</f>
        <v>Dut</v>
      </c>
      <c r="B1993" s="4"/>
      <c r="C1993" s="3">
        <v>2233</v>
      </c>
      <c r="D1993" s="3">
        <v>1286</v>
      </c>
      <c r="E1993" s="3">
        <v>1589</v>
      </c>
      <c r="F1993" s="3">
        <v>1359</v>
      </c>
      <c r="G1993" s="3">
        <v>11127</v>
      </c>
      <c r="H1993" s="2">
        <f t="shared" si="62"/>
        <v>17594</v>
      </c>
      <c r="I1993" t="str">
        <f t="shared" si="63"/>
        <v>Dut_17594</v>
      </c>
      <c r="J1993" s="3">
        <v>2233</v>
      </c>
      <c r="K1993" s="3">
        <v>1286</v>
      </c>
      <c r="L1993" s="3">
        <v>1589</v>
      </c>
      <c r="M1993" s="3">
        <v>1359</v>
      </c>
      <c r="N1993" s="3">
        <v>11127</v>
      </c>
    </row>
    <row r="1994" spans="1:14" x14ac:dyDescent="0.2">
      <c r="A1994" s="5" t="str">
        <f>HYPERLINK("http://www.ncbi.nlm.nih.gov/protein/227497222","Dut")</f>
        <v>Dut</v>
      </c>
      <c r="B1994" s="4"/>
      <c r="C1994" s="3">
        <v>2233</v>
      </c>
      <c r="D1994" s="3">
        <v>1286</v>
      </c>
      <c r="E1994" s="3">
        <v>1444</v>
      </c>
      <c r="F1994" s="3">
        <v>1326</v>
      </c>
      <c r="G1994" s="3">
        <v>11031</v>
      </c>
      <c r="H1994" s="2">
        <f t="shared" si="62"/>
        <v>17320</v>
      </c>
      <c r="I1994" t="str">
        <f t="shared" si="63"/>
        <v>Dut_17320</v>
      </c>
      <c r="J1994" s="3">
        <v>2233</v>
      </c>
      <c r="K1994" s="3">
        <v>1286</v>
      </c>
      <c r="L1994" s="3">
        <v>1444</v>
      </c>
      <c r="M1994" s="3">
        <v>1326</v>
      </c>
      <c r="N1994" s="3">
        <v>11031</v>
      </c>
    </row>
    <row r="1995" spans="1:14" x14ac:dyDescent="0.2">
      <c r="A1995" s="5" t="str">
        <f>HYPERLINK("http://www.ncbi.nlm.nih.gov/protein/87299588","Dvl2")</f>
        <v>Dvl2</v>
      </c>
      <c r="B1995" s="4"/>
      <c r="C1995" s="3">
        <v>0</v>
      </c>
      <c r="D1995" s="3">
        <v>0</v>
      </c>
      <c r="E1995" s="3">
        <v>16</v>
      </c>
      <c r="F1995" s="3">
        <v>0</v>
      </c>
      <c r="G1995" s="3">
        <v>0</v>
      </c>
      <c r="H1995" s="2">
        <f t="shared" si="62"/>
        <v>16</v>
      </c>
      <c r="I1995" t="str">
        <f t="shared" si="63"/>
        <v>Dvl2_16</v>
      </c>
      <c r="J1995" s="3">
        <v>0</v>
      </c>
      <c r="K1995" s="3">
        <v>0</v>
      </c>
      <c r="L1995" s="3">
        <v>16</v>
      </c>
      <c r="M1995" s="3">
        <v>0</v>
      </c>
      <c r="N1995" s="3">
        <v>0</v>
      </c>
    </row>
    <row r="1996" spans="1:14" x14ac:dyDescent="0.2">
      <c r="A1996" s="5" t="str">
        <f>HYPERLINK("http://www.ncbi.nlm.nih.gov/protein/117168287","Dvl3")</f>
        <v>Dvl3</v>
      </c>
      <c r="B1996" s="4"/>
      <c r="C1996" s="3">
        <v>0</v>
      </c>
      <c r="D1996" s="3">
        <v>0</v>
      </c>
      <c r="E1996" s="3">
        <v>16</v>
      </c>
      <c r="F1996" s="3">
        <v>0</v>
      </c>
      <c r="G1996" s="3">
        <v>0</v>
      </c>
      <c r="H1996" s="2">
        <f t="shared" si="62"/>
        <v>16</v>
      </c>
      <c r="I1996" t="str">
        <f t="shared" si="63"/>
        <v>Dvl3_16</v>
      </c>
      <c r="J1996" s="3">
        <v>0</v>
      </c>
      <c r="K1996" s="3">
        <v>0</v>
      </c>
      <c r="L1996" s="3">
        <v>16</v>
      </c>
      <c r="M1996" s="3">
        <v>0</v>
      </c>
      <c r="N1996" s="3">
        <v>0</v>
      </c>
    </row>
    <row r="1997" spans="1:14" x14ac:dyDescent="0.2">
      <c r="A1997" s="5" t="str">
        <f>HYPERLINK("http://www.ncbi.nlm.nih.gov/protein/254939704","Dxo")</f>
        <v>Dxo</v>
      </c>
      <c r="B1997" s="4"/>
      <c r="C1997" s="3">
        <v>0</v>
      </c>
      <c r="D1997" s="3">
        <v>0</v>
      </c>
      <c r="E1997" s="3">
        <v>142</v>
      </c>
      <c r="F1997" s="3">
        <v>0</v>
      </c>
      <c r="G1997" s="3">
        <v>0</v>
      </c>
      <c r="H1997" s="2">
        <f t="shared" si="62"/>
        <v>142</v>
      </c>
      <c r="I1997" t="str">
        <f t="shared" si="63"/>
        <v>Dxo_142</v>
      </c>
      <c r="J1997" s="3">
        <v>0</v>
      </c>
      <c r="K1997" s="3">
        <v>0</v>
      </c>
      <c r="L1997" s="3">
        <v>142</v>
      </c>
      <c r="M1997" s="3">
        <v>0</v>
      </c>
      <c r="N1997" s="3">
        <v>0</v>
      </c>
    </row>
    <row r="1998" spans="1:14" x14ac:dyDescent="0.2">
      <c r="A1998" s="5" t="str">
        <f>HYPERLINK("http://www.ncbi.nlm.nih.gov/protein/25282389","Dym")</f>
        <v>Dym</v>
      </c>
      <c r="B1998" s="4"/>
      <c r="C1998" s="3">
        <v>0</v>
      </c>
      <c r="D1998" s="3">
        <v>17</v>
      </c>
      <c r="E1998" s="3">
        <v>0</v>
      </c>
      <c r="F1998" s="3">
        <v>802</v>
      </c>
      <c r="G1998" s="3">
        <v>0</v>
      </c>
      <c r="H1998" s="2">
        <f t="shared" si="62"/>
        <v>819</v>
      </c>
      <c r="I1998" t="str">
        <f t="shared" si="63"/>
        <v>Dym_819</v>
      </c>
      <c r="J1998" s="3">
        <v>0</v>
      </c>
      <c r="K1998" s="3">
        <v>17</v>
      </c>
      <c r="L1998" s="3">
        <v>0</v>
      </c>
      <c r="M1998" s="3">
        <v>802</v>
      </c>
      <c r="N1998" s="3">
        <v>0</v>
      </c>
    </row>
    <row r="1999" spans="1:14" x14ac:dyDescent="0.2">
      <c r="A1999" s="5" t="str">
        <f>HYPERLINK("http://www.ncbi.nlm.nih.gov/protein/134288917","Dync1h1")</f>
        <v>Dync1h1</v>
      </c>
      <c r="B1999" s="4"/>
      <c r="C1999" s="3">
        <v>7579</v>
      </c>
      <c r="D1999" s="3">
        <v>84722</v>
      </c>
      <c r="E1999" s="3">
        <v>174442</v>
      </c>
      <c r="F1999" s="3">
        <v>2323914</v>
      </c>
      <c r="G1999" s="3">
        <v>75995</v>
      </c>
      <c r="H1999" s="2">
        <f t="shared" si="62"/>
        <v>2666652</v>
      </c>
      <c r="I1999" t="str">
        <f t="shared" si="63"/>
        <v>Dync1h1_2666652</v>
      </c>
      <c r="J1999" s="3">
        <v>7579</v>
      </c>
      <c r="K1999" s="3">
        <v>84722</v>
      </c>
      <c r="L1999" s="3">
        <v>174442</v>
      </c>
      <c r="M1999" s="3">
        <v>2323914</v>
      </c>
      <c r="N1999" s="3">
        <v>75995</v>
      </c>
    </row>
    <row r="2000" spans="1:14" x14ac:dyDescent="0.2">
      <c r="A2000" s="5" t="str">
        <f>HYPERLINK("http://www.ncbi.nlm.nih.gov/protein/311893374","Dync1i2")</f>
        <v>Dync1i2</v>
      </c>
      <c r="B2000" s="4"/>
      <c r="C2000" s="3">
        <v>0</v>
      </c>
      <c r="D2000" s="3">
        <v>553</v>
      </c>
      <c r="E2000" s="3">
        <v>9349</v>
      </c>
      <c r="F2000" s="3">
        <v>52142</v>
      </c>
      <c r="G2000" s="3">
        <v>4798</v>
      </c>
      <c r="H2000" s="2">
        <f t="shared" si="62"/>
        <v>66842</v>
      </c>
      <c r="I2000" t="str">
        <f t="shared" si="63"/>
        <v>Dync1i2_66842</v>
      </c>
      <c r="J2000" s="3">
        <v>0</v>
      </c>
      <c r="K2000" s="3">
        <v>553</v>
      </c>
      <c r="L2000" s="3">
        <v>9349</v>
      </c>
      <c r="M2000" s="3">
        <v>52142</v>
      </c>
      <c r="N2000" s="3">
        <v>4798</v>
      </c>
    </row>
    <row r="2001" spans="1:14" x14ac:dyDescent="0.2">
      <c r="A2001" s="5" t="str">
        <f>HYPERLINK("http://www.ncbi.nlm.nih.gov/protein/311893376","Dync1i2")</f>
        <v>Dync1i2</v>
      </c>
      <c r="B2001" s="4"/>
      <c r="C2001" s="3">
        <v>0</v>
      </c>
      <c r="D2001" s="3">
        <v>553</v>
      </c>
      <c r="E2001" s="3">
        <v>9349</v>
      </c>
      <c r="F2001" s="3">
        <v>55163</v>
      </c>
      <c r="G2001" s="3">
        <v>4798</v>
      </c>
      <c r="H2001" s="2">
        <f t="shared" si="62"/>
        <v>69863</v>
      </c>
      <c r="I2001" t="str">
        <f t="shared" si="63"/>
        <v>Dync1i2_69863</v>
      </c>
      <c r="J2001" s="3">
        <v>0</v>
      </c>
      <c r="K2001" s="3">
        <v>553</v>
      </c>
      <c r="L2001" s="3">
        <v>9349</v>
      </c>
      <c r="M2001" s="3">
        <v>55163</v>
      </c>
      <c r="N2001" s="3">
        <v>4798</v>
      </c>
    </row>
    <row r="2002" spans="1:14" x14ac:dyDescent="0.2">
      <c r="A2002" s="5" t="str">
        <f>HYPERLINK("http://www.ncbi.nlm.nih.gov/protein/311893378","Dync1i2")</f>
        <v>Dync1i2</v>
      </c>
      <c r="B2002" s="4"/>
      <c r="C2002" s="3">
        <v>0</v>
      </c>
      <c r="D2002" s="3">
        <v>553</v>
      </c>
      <c r="E2002" s="3">
        <v>9349</v>
      </c>
      <c r="F2002" s="3">
        <v>59042</v>
      </c>
      <c r="G2002" s="3">
        <v>4798</v>
      </c>
      <c r="H2002" s="2">
        <f t="shared" si="62"/>
        <v>73742</v>
      </c>
      <c r="I2002" t="str">
        <f t="shared" si="63"/>
        <v>Dync1i2_73742</v>
      </c>
      <c r="J2002" s="3">
        <v>0</v>
      </c>
      <c r="K2002" s="3">
        <v>553</v>
      </c>
      <c r="L2002" s="3">
        <v>9349</v>
      </c>
      <c r="M2002" s="3">
        <v>59042</v>
      </c>
      <c r="N2002" s="3">
        <v>4798</v>
      </c>
    </row>
    <row r="2003" spans="1:14" x14ac:dyDescent="0.2">
      <c r="A2003" s="5" t="str">
        <f>HYPERLINK("http://www.ncbi.nlm.nih.gov/protein/311893380","Dync1i2")</f>
        <v>Dync1i2</v>
      </c>
      <c r="B2003" s="4"/>
      <c r="C2003" s="3">
        <v>0</v>
      </c>
      <c r="D2003" s="3">
        <v>553</v>
      </c>
      <c r="E2003" s="3">
        <v>9349</v>
      </c>
      <c r="F2003" s="3">
        <v>55310</v>
      </c>
      <c r="G2003" s="3">
        <v>4798</v>
      </c>
      <c r="H2003" s="2">
        <f t="shared" si="62"/>
        <v>70010</v>
      </c>
      <c r="I2003" t="str">
        <f t="shared" si="63"/>
        <v>Dync1i2_70010</v>
      </c>
      <c r="J2003" s="3">
        <v>0</v>
      </c>
      <c r="K2003" s="3">
        <v>553</v>
      </c>
      <c r="L2003" s="3">
        <v>9349</v>
      </c>
      <c r="M2003" s="3">
        <v>55310</v>
      </c>
      <c r="N2003" s="3">
        <v>4798</v>
      </c>
    </row>
    <row r="2004" spans="1:14" x14ac:dyDescent="0.2">
      <c r="A2004" s="5" t="str">
        <f>HYPERLINK("http://www.ncbi.nlm.nih.gov/protein/6753658","Dync1i2")</f>
        <v>Dync1i2</v>
      </c>
      <c r="B2004" s="4"/>
      <c r="C2004" s="3">
        <v>0</v>
      </c>
      <c r="D2004" s="3">
        <v>553</v>
      </c>
      <c r="E2004" s="3">
        <v>9349</v>
      </c>
      <c r="F2004" s="3">
        <v>59042</v>
      </c>
      <c r="G2004" s="3">
        <v>4798</v>
      </c>
      <c r="H2004" s="2">
        <f t="shared" si="62"/>
        <v>73742</v>
      </c>
      <c r="I2004" t="str">
        <f t="shared" si="63"/>
        <v>Dync1i2_73742</v>
      </c>
      <c r="J2004" s="3">
        <v>0</v>
      </c>
      <c r="K2004" s="3">
        <v>553</v>
      </c>
      <c r="L2004" s="3">
        <v>9349</v>
      </c>
      <c r="M2004" s="3">
        <v>59042</v>
      </c>
      <c r="N2004" s="3">
        <v>4798</v>
      </c>
    </row>
    <row r="2005" spans="1:14" x14ac:dyDescent="0.2">
      <c r="A2005" s="5" t="str">
        <f>HYPERLINK("http://www.ncbi.nlm.nih.gov/protein/22122795","Dync1li1")</f>
        <v>Dync1li1</v>
      </c>
      <c r="B2005" s="4"/>
      <c r="C2005" s="3">
        <v>0</v>
      </c>
      <c r="D2005" s="3">
        <v>820</v>
      </c>
      <c r="E2005" s="3">
        <v>8039</v>
      </c>
      <c r="F2005" s="3">
        <v>62178</v>
      </c>
      <c r="G2005" s="3">
        <v>5376</v>
      </c>
      <c r="H2005" s="2">
        <f t="shared" si="62"/>
        <v>76413</v>
      </c>
      <c r="I2005" t="str">
        <f t="shared" si="63"/>
        <v>Dync1li1_76413</v>
      </c>
      <c r="J2005" s="3">
        <v>0</v>
      </c>
      <c r="K2005" s="3">
        <v>820</v>
      </c>
      <c r="L2005" s="3">
        <v>8039</v>
      </c>
      <c r="M2005" s="3">
        <v>62178</v>
      </c>
      <c r="N2005" s="3">
        <v>5376</v>
      </c>
    </row>
    <row r="2006" spans="1:14" x14ac:dyDescent="0.2">
      <c r="A2006" s="5" t="str">
        <f>HYPERLINK("http://www.ncbi.nlm.nih.gov/protein/225543181","Dync1li2")</f>
        <v>Dync1li2</v>
      </c>
      <c r="B2006" s="4"/>
      <c r="C2006" s="3">
        <v>0</v>
      </c>
      <c r="D2006" s="3">
        <v>2676</v>
      </c>
      <c r="E2006" s="3">
        <v>9598</v>
      </c>
      <c r="F2006" s="3">
        <v>64977</v>
      </c>
      <c r="G2006" s="3">
        <v>4273</v>
      </c>
      <c r="H2006" s="2">
        <f t="shared" si="62"/>
        <v>81524</v>
      </c>
      <c r="I2006" t="str">
        <f t="shared" si="63"/>
        <v>Dync1li2_81524</v>
      </c>
      <c r="J2006" s="3">
        <v>0</v>
      </c>
      <c r="K2006" s="3">
        <v>2676</v>
      </c>
      <c r="L2006" s="3">
        <v>9598</v>
      </c>
      <c r="M2006" s="3">
        <v>64977</v>
      </c>
      <c r="N2006" s="3">
        <v>4273</v>
      </c>
    </row>
    <row r="2007" spans="1:14" x14ac:dyDescent="0.2">
      <c r="A2007" s="5" t="str">
        <f>HYPERLINK("http://www.ncbi.nlm.nih.gov/protein/72534792","Dync2h1")</f>
        <v>Dync2h1</v>
      </c>
      <c r="B2007" s="4"/>
      <c r="C2007" s="3">
        <v>0</v>
      </c>
      <c r="D2007" s="3">
        <v>61</v>
      </c>
      <c r="E2007" s="3">
        <v>208</v>
      </c>
      <c r="F2007" s="3">
        <v>909</v>
      </c>
      <c r="G2007" s="3">
        <v>0</v>
      </c>
      <c r="H2007" s="2">
        <f t="shared" si="62"/>
        <v>1178</v>
      </c>
      <c r="I2007" t="str">
        <f t="shared" si="63"/>
        <v>Dync2h1_1178</v>
      </c>
      <c r="J2007" s="3">
        <v>0</v>
      </c>
      <c r="K2007" s="3">
        <v>61</v>
      </c>
      <c r="L2007" s="3">
        <v>208</v>
      </c>
      <c r="M2007" s="3">
        <v>909</v>
      </c>
      <c r="N2007" s="3">
        <v>0</v>
      </c>
    </row>
    <row r="2008" spans="1:14" x14ac:dyDescent="0.2">
      <c r="A2008" s="5" t="str">
        <f>HYPERLINK("http://www.ncbi.nlm.nih.gov/protein/26986541","Dync2li1")</f>
        <v>Dync2li1</v>
      </c>
      <c r="B2008" s="4"/>
      <c r="C2008" s="3">
        <v>0</v>
      </c>
      <c r="D2008" s="3">
        <v>0</v>
      </c>
      <c r="E2008" s="3">
        <v>0</v>
      </c>
      <c r="F2008" s="3">
        <v>147</v>
      </c>
      <c r="G2008" s="3">
        <v>0</v>
      </c>
      <c r="H2008" s="2">
        <f t="shared" si="62"/>
        <v>147</v>
      </c>
      <c r="I2008" t="str">
        <f t="shared" si="63"/>
        <v>Dync2li1_147</v>
      </c>
      <c r="J2008" s="3">
        <v>0</v>
      </c>
      <c r="K2008" s="3">
        <v>0</v>
      </c>
      <c r="L2008" s="3">
        <v>0</v>
      </c>
      <c r="M2008" s="3">
        <v>147</v>
      </c>
      <c r="N2008" s="3">
        <v>0</v>
      </c>
    </row>
    <row r="2009" spans="1:14" x14ac:dyDescent="0.2">
      <c r="A2009" s="5" t="str">
        <f>HYPERLINK("http://www.ncbi.nlm.nih.gov/protein/213688406","Dynll1")</f>
        <v>Dynll1</v>
      </c>
      <c r="B2009" s="4"/>
      <c r="C2009" s="3">
        <v>35532</v>
      </c>
      <c r="D2009" s="3">
        <v>3568</v>
      </c>
      <c r="E2009" s="3">
        <v>8042</v>
      </c>
      <c r="F2009" s="3">
        <v>18540</v>
      </c>
      <c r="G2009" s="3">
        <v>4787</v>
      </c>
      <c r="H2009" s="2">
        <f t="shared" si="62"/>
        <v>70469</v>
      </c>
      <c r="I2009" t="str">
        <f t="shared" si="63"/>
        <v>Dynll1_70469</v>
      </c>
      <c r="J2009" s="3">
        <v>35532</v>
      </c>
      <c r="K2009" s="3">
        <v>3568</v>
      </c>
      <c r="L2009" s="3">
        <v>8042</v>
      </c>
      <c r="M2009" s="3">
        <v>18540</v>
      </c>
      <c r="N2009" s="3">
        <v>4787</v>
      </c>
    </row>
    <row r="2010" spans="1:14" x14ac:dyDescent="0.2">
      <c r="A2010" s="5" t="str">
        <f>HYPERLINK("http://www.ncbi.nlm.nih.gov/protein/281182473;18087731","Dynll2")</f>
        <v>Dynll2</v>
      </c>
      <c r="B2010" s="4"/>
      <c r="C2010" s="3">
        <v>35532</v>
      </c>
      <c r="D2010" s="3">
        <v>0</v>
      </c>
      <c r="E2010" s="3">
        <v>5154</v>
      </c>
      <c r="F2010" s="3">
        <v>0</v>
      </c>
      <c r="G2010" s="3">
        <v>0</v>
      </c>
      <c r="H2010" s="2">
        <f t="shared" si="62"/>
        <v>40686</v>
      </c>
      <c r="I2010" t="str">
        <f t="shared" si="63"/>
        <v>Dynll2_40686</v>
      </c>
      <c r="J2010" s="3">
        <v>35532</v>
      </c>
      <c r="K2010" s="3">
        <v>0</v>
      </c>
      <c r="L2010" s="3">
        <v>5154</v>
      </c>
      <c r="M2010" s="3">
        <v>0</v>
      </c>
      <c r="N2010" s="3">
        <v>0</v>
      </c>
    </row>
    <row r="2011" spans="1:14" x14ac:dyDescent="0.2">
      <c r="A2011" s="5" t="str">
        <f>HYPERLINK("http://www.ncbi.nlm.nih.gov/protein/18087731","Dynll2")</f>
        <v>Dynll2</v>
      </c>
      <c r="B2011" s="4"/>
      <c r="C2011" s="3">
        <v>0</v>
      </c>
      <c r="D2011" s="3">
        <v>2463</v>
      </c>
      <c r="E2011" s="3">
        <v>0</v>
      </c>
      <c r="F2011" s="3">
        <v>17337</v>
      </c>
      <c r="G2011" s="3">
        <v>2099</v>
      </c>
      <c r="H2011" s="2">
        <f t="shared" si="62"/>
        <v>21899</v>
      </c>
      <c r="I2011" t="str">
        <f t="shared" si="63"/>
        <v>Dynll2_21899</v>
      </c>
      <c r="J2011" s="3">
        <v>0</v>
      </c>
      <c r="K2011" s="3">
        <v>2463</v>
      </c>
      <c r="L2011" s="3">
        <v>0</v>
      </c>
      <c r="M2011" s="3">
        <v>17337</v>
      </c>
      <c r="N2011" s="3">
        <v>2099</v>
      </c>
    </row>
    <row r="2012" spans="1:14" x14ac:dyDescent="0.2">
      <c r="A2012" s="5" t="str">
        <f>HYPERLINK("http://www.ncbi.nlm.nih.gov/protein/254540041","Dynlrb1")</f>
        <v>Dynlrb1</v>
      </c>
      <c r="B2012" s="4"/>
      <c r="C2012" s="3">
        <v>897</v>
      </c>
      <c r="D2012" s="3">
        <v>173</v>
      </c>
      <c r="E2012" s="3">
        <v>944</v>
      </c>
      <c r="F2012" s="3">
        <v>1342</v>
      </c>
      <c r="G2012" s="3">
        <v>2474</v>
      </c>
      <c r="H2012" s="2">
        <f t="shared" si="62"/>
        <v>5830</v>
      </c>
      <c r="I2012" t="str">
        <f t="shared" si="63"/>
        <v>Dynlrb1_5830</v>
      </c>
      <c r="J2012" s="3">
        <v>897</v>
      </c>
      <c r="K2012" s="3">
        <v>173</v>
      </c>
      <c r="L2012" s="3">
        <v>944</v>
      </c>
      <c r="M2012" s="3">
        <v>1342</v>
      </c>
      <c r="N2012" s="3">
        <v>2474</v>
      </c>
    </row>
    <row r="2013" spans="1:14" x14ac:dyDescent="0.2">
      <c r="A2013" s="5" t="str">
        <f>HYPERLINK("http://www.ncbi.nlm.nih.gov/protein/262231815","Dynlt1a")</f>
        <v>Dynlt1a</v>
      </c>
      <c r="B2013" s="4"/>
      <c r="C2013" s="3">
        <v>0</v>
      </c>
      <c r="D2013" s="3">
        <v>1879</v>
      </c>
      <c r="E2013" s="3">
        <v>0</v>
      </c>
      <c r="F2013" s="3">
        <v>44153</v>
      </c>
      <c r="G2013" s="3">
        <v>1585</v>
      </c>
      <c r="H2013" s="2">
        <f t="shared" si="62"/>
        <v>47617</v>
      </c>
      <c r="I2013" t="str">
        <f t="shared" si="63"/>
        <v>Dynlt1a_47617</v>
      </c>
      <c r="J2013" s="3">
        <v>0</v>
      </c>
      <c r="K2013" s="3">
        <v>1879</v>
      </c>
      <c r="L2013" s="3">
        <v>0</v>
      </c>
      <c r="M2013" s="3">
        <v>44153</v>
      </c>
      <c r="N2013" s="3">
        <v>1585</v>
      </c>
    </row>
    <row r="2014" spans="1:14" x14ac:dyDescent="0.2">
      <c r="A2014" s="5" t="str">
        <f>HYPERLINK("http://www.ncbi.nlm.nih.gov/protein/6678265;262231815","Dynlt1b")</f>
        <v>Dynlt1b</v>
      </c>
      <c r="B2014" s="4"/>
      <c r="C2014" s="3">
        <v>0</v>
      </c>
      <c r="D2014" s="3">
        <v>0</v>
      </c>
      <c r="E2014" s="3">
        <v>3661</v>
      </c>
      <c r="F2014" s="3">
        <v>0</v>
      </c>
      <c r="G2014" s="3">
        <v>0</v>
      </c>
      <c r="H2014" s="2">
        <f t="shared" si="62"/>
        <v>3661</v>
      </c>
      <c r="I2014" t="str">
        <f t="shared" si="63"/>
        <v>Dynlt1b_3661</v>
      </c>
      <c r="J2014" s="3">
        <v>0</v>
      </c>
      <c r="K2014" s="3">
        <v>0</v>
      </c>
      <c r="L2014" s="3">
        <v>3661</v>
      </c>
      <c r="M2014" s="3">
        <v>0</v>
      </c>
      <c r="N2014" s="3">
        <v>0</v>
      </c>
    </row>
    <row r="2015" spans="1:14" x14ac:dyDescent="0.2">
      <c r="A2015" s="5" t="str">
        <f>HYPERLINK("http://www.ncbi.nlm.nih.gov/protein/315711043","Dynlt1f")</f>
        <v>Dynlt1f</v>
      </c>
      <c r="B2015" s="4"/>
      <c r="C2015" s="3">
        <v>0</v>
      </c>
      <c r="D2015" s="3">
        <v>1879</v>
      </c>
      <c r="E2015" s="3">
        <v>3530</v>
      </c>
      <c r="F2015" s="3">
        <v>43662</v>
      </c>
      <c r="G2015" s="3">
        <v>1585</v>
      </c>
      <c r="H2015" s="2">
        <f t="shared" si="62"/>
        <v>50656</v>
      </c>
      <c r="I2015" t="str">
        <f t="shared" si="63"/>
        <v>Dynlt1f_50656</v>
      </c>
      <c r="J2015" s="3">
        <v>0</v>
      </c>
      <c r="K2015" s="3">
        <v>1879</v>
      </c>
      <c r="L2015" s="3">
        <v>3530</v>
      </c>
      <c r="M2015" s="3">
        <v>43662</v>
      </c>
      <c r="N2015" s="3">
        <v>1585</v>
      </c>
    </row>
    <row r="2016" spans="1:14" x14ac:dyDescent="0.2">
      <c r="A2016" s="5" t="str">
        <f>HYPERLINK("http://www.ncbi.nlm.nih.gov/protein/31543851","Dynlt3")</f>
        <v>Dynlt3</v>
      </c>
      <c r="B2016" s="4"/>
      <c r="C2016" s="3">
        <v>0</v>
      </c>
      <c r="D2016" s="3">
        <v>0</v>
      </c>
      <c r="E2016" s="3">
        <v>20</v>
      </c>
      <c r="F2016" s="3">
        <v>532</v>
      </c>
      <c r="G2016" s="3">
        <v>0</v>
      </c>
      <c r="H2016" s="2">
        <f t="shared" si="62"/>
        <v>552</v>
      </c>
      <c r="I2016" t="str">
        <f t="shared" si="63"/>
        <v>Dynlt3_552</v>
      </c>
      <c r="J2016" s="3">
        <v>0</v>
      </c>
      <c r="K2016" s="3">
        <v>0</v>
      </c>
      <c r="L2016" s="3">
        <v>20</v>
      </c>
      <c r="M2016" s="3">
        <v>532</v>
      </c>
      <c r="N2016" s="3">
        <v>0</v>
      </c>
    </row>
    <row r="2017" spans="1:14" x14ac:dyDescent="0.2">
      <c r="A2017" s="5" t="str">
        <f>HYPERLINK("http://www.ncbi.nlm.nih.gov/protein/164607150","Dyrk1a")</f>
        <v>Dyrk1a</v>
      </c>
      <c r="B2017" s="4"/>
      <c r="C2017" s="3">
        <v>0</v>
      </c>
      <c r="D2017" s="3">
        <v>0</v>
      </c>
      <c r="E2017" s="3">
        <v>53</v>
      </c>
      <c r="F2017" s="3">
        <v>0</v>
      </c>
      <c r="G2017" s="3">
        <v>0</v>
      </c>
      <c r="H2017" s="2">
        <f t="shared" si="62"/>
        <v>53</v>
      </c>
      <c r="I2017" t="str">
        <f t="shared" si="63"/>
        <v>Dyrk1a_53</v>
      </c>
      <c r="J2017" s="3">
        <v>0</v>
      </c>
      <c r="K2017" s="3">
        <v>0</v>
      </c>
      <c r="L2017" s="3">
        <v>53</v>
      </c>
      <c r="M2017" s="3">
        <v>0</v>
      </c>
      <c r="N2017" s="3">
        <v>0</v>
      </c>
    </row>
    <row r="2018" spans="1:14" x14ac:dyDescent="0.2">
      <c r="A2018" s="5" t="str">
        <f>HYPERLINK("http://www.ncbi.nlm.nih.gov/protein/406035327","Dyrk1b")</f>
        <v>Dyrk1b</v>
      </c>
      <c r="B2018" s="4"/>
      <c r="C2018" s="3">
        <v>0</v>
      </c>
      <c r="D2018" s="3">
        <v>0</v>
      </c>
      <c r="E2018" s="3">
        <v>53</v>
      </c>
      <c r="F2018" s="3">
        <v>0</v>
      </c>
      <c r="G2018" s="3">
        <v>0</v>
      </c>
      <c r="H2018" s="2">
        <f t="shared" si="62"/>
        <v>53</v>
      </c>
      <c r="I2018" t="str">
        <f t="shared" si="63"/>
        <v>Dyrk1b_53</v>
      </c>
      <c r="J2018" s="3">
        <v>0</v>
      </c>
      <c r="K2018" s="3">
        <v>0</v>
      </c>
      <c r="L2018" s="3">
        <v>53</v>
      </c>
      <c r="M2018" s="3">
        <v>0</v>
      </c>
      <c r="N2018" s="3">
        <v>0</v>
      </c>
    </row>
    <row r="2019" spans="1:14" x14ac:dyDescent="0.2">
      <c r="A2019" s="5" t="str">
        <f>HYPERLINK("http://www.ncbi.nlm.nih.gov/protein/6753698","Dyrk1b")</f>
        <v>Dyrk1b</v>
      </c>
      <c r="B2019" s="4"/>
      <c r="C2019" s="3">
        <v>0</v>
      </c>
      <c r="D2019" s="3">
        <v>0</v>
      </c>
      <c r="E2019" s="3">
        <v>53</v>
      </c>
      <c r="F2019" s="3">
        <v>0</v>
      </c>
      <c r="G2019" s="3">
        <v>0</v>
      </c>
      <c r="H2019" s="2">
        <f t="shared" si="62"/>
        <v>53</v>
      </c>
      <c r="I2019" t="str">
        <f t="shared" si="63"/>
        <v>Dyrk1b_53</v>
      </c>
      <c r="J2019" s="3">
        <v>0</v>
      </c>
      <c r="K2019" s="3">
        <v>0</v>
      </c>
      <c r="L2019" s="3">
        <v>53</v>
      </c>
      <c r="M2019" s="3">
        <v>0</v>
      </c>
      <c r="N2019" s="3">
        <v>0</v>
      </c>
    </row>
    <row r="2020" spans="1:14" x14ac:dyDescent="0.2">
      <c r="A2020" s="5" t="str">
        <f>HYPERLINK("http://www.ncbi.nlm.nih.gov/protein/83816922","Dyrk1b")</f>
        <v>Dyrk1b</v>
      </c>
      <c r="B2020" s="4"/>
      <c r="C2020" s="3">
        <v>0</v>
      </c>
      <c r="D2020" s="3">
        <v>0</v>
      </c>
      <c r="E2020" s="3">
        <v>53</v>
      </c>
      <c r="F2020" s="3">
        <v>0</v>
      </c>
      <c r="G2020" s="3">
        <v>0</v>
      </c>
      <c r="H2020" s="2">
        <f t="shared" si="62"/>
        <v>53</v>
      </c>
      <c r="I2020" t="str">
        <f t="shared" si="63"/>
        <v>Dyrk1b_53</v>
      </c>
      <c r="J2020" s="3">
        <v>0</v>
      </c>
      <c r="K2020" s="3">
        <v>0</v>
      </c>
      <c r="L2020" s="3">
        <v>53</v>
      </c>
      <c r="M2020" s="3">
        <v>0</v>
      </c>
      <c r="N2020" s="3">
        <v>0</v>
      </c>
    </row>
    <row r="2021" spans="1:14" x14ac:dyDescent="0.2">
      <c r="A2021" s="5" t="str">
        <f>HYPERLINK("http://www.ncbi.nlm.nih.gov/protein/116174791","Dysf")</f>
        <v>Dysf</v>
      </c>
      <c r="B2021" s="4"/>
      <c r="C2021" s="3">
        <v>0</v>
      </c>
      <c r="D2021" s="3">
        <v>2382</v>
      </c>
      <c r="E2021" s="3">
        <v>4590</v>
      </c>
      <c r="F2021" s="3">
        <v>0</v>
      </c>
      <c r="G2021" s="3">
        <v>0</v>
      </c>
      <c r="H2021" s="2">
        <f t="shared" si="62"/>
        <v>6972</v>
      </c>
      <c r="I2021" t="str">
        <f t="shared" si="63"/>
        <v>Dysf_6972</v>
      </c>
      <c r="J2021" s="3">
        <v>0</v>
      </c>
      <c r="K2021" s="3">
        <v>2382</v>
      </c>
      <c r="L2021" s="3">
        <v>4590</v>
      </c>
      <c r="M2021" s="3">
        <v>0</v>
      </c>
      <c r="N2021" s="3">
        <v>0</v>
      </c>
    </row>
    <row r="2022" spans="1:14" x14ac:dyDescent="0.2">
      <c r="A2022" s="5" t="str">
        <f>HYPERLINK("http://www.ncbi.nlm.nih.gov/protein/118026931","Dysf")</f>
        <v>Dysf</v>
      </c>
      <c r="B2022" s="4"/>
      <c r="C2022" s="3">
        <v>0</v>
      </c>
      <c r="D2022" s="3">
        <v>2382</v>
      </c>
      <c r="E2022" s="3">
        <v>4590</v>
      </c>
      <c r="F2022" s="3">
        <v>0</v>
      </c>
      <c r="G2022" s="3">
        <v>0</v>
      </c>
      <c r="H2022" s="2">
        <f t="shared" si="62"/>
        <v>6972</v>
      </c>
      <c r="I2022" t="str">
        <f t="shared" si="63"/>
        <v>Dysf_6972</v>
      </c>
      <c r="J2022" s="3">
        <v>0</v>
      </c>
      <c r="K2022" s="3">
        <v>2382</v>
      </c>
      <c r="L2022" s="3">
        <v>4590</v>
      </c>
      <c r="M2022" s="3">
        <v>0</v>
      </c>
      <c r="N2022" s="3">
        <v>0</v>
      </c>
    </row>
    <row r="2023" spans="1:14" x14ac:dyDescent="0.2">
      <c r="A2023" s="5" t="str">
        <f>HYPERLINK("http://www.ncbi.nlm.nih.gov/protein/124249054","Dzip3")</f>
        <v>Dzip3</v>
      </c>
      <c r="B2023" s="4"/>
      <c r="C2023" s="3">
        <v>0</v>
      </c>
      <c r="D2023" s="3">
        <v>405</v>
      </c>
      <c r="E2023" s="3">
        <v>416</v>
      </c>
      <c r="F2023" s="3">
        <v>0</v>
      </c>
      <c r="G2023" s="3">
        <v>0</v>
      </c>
      <c r="H2023" s="2">
        <f t="shared" si="62"/>
        <v>821</v>
      </c>
      <c r="I2023" t="str">
        <f t="shared" si="63"/>
        <v>Dzip3_821</v>
      </c>
      <c r="J2023" s="3">
        <v>0</v>
      </c>
      <c r="K2023" s="3">
        <v>405</v>
      </c>
      <c r="L2023" s="3">
        <v>416</v>
      </c>
      <c r="M2023" s="3">
        <v>0</v>
      </c>
      <c r="N2023" s="3">
        <v>0</v>
      </c>
    </row>
    <row r="2024" spans="1:14" x14ac:dyDescent="0.2">
      <c r="A2024" s="5" t="str">
        <f>HYPERLINK("http://www.ncbi.nlm.nih.gov/protein/158517947","Dzip3")</f>
        <v>Dzip3</v>
      </c>
      <c r="B2024" s="4"/>
      <c r="C2024" s="3">
        <v>0</v>
      </c>
      <c r="D2024" s="3">
        <v>405</v>
      </c>
      <c r="E2024" s="3">
        <v>416</v>
      </c>
      <c r="F2024" s="3">
        <v>0</v>
      </c>
      <c r="G2024" s="3">
        <v>0</v>
      </c>
      <c r="H2024" s="2">
        <f t="shared" si="62"/>
        <v>821</v>
      </c>
      <c r="I2024" t="str">
        <f t="shared" si="63"/>
        <v>Dzip3_821</v>
      </c>
      <c r="J2024" s="3">
        <v>0</v>
      </c>
      <c r="K2024" s="3">
        <v>405</v>
      </c>
      <c r="L2024" s="3">
        <v>416</v>
      </c>
      <c r="M2024" s="3">
        <v>0</v>
      </c>
      <c r="N2024" s="3">
        <v>0</v>
      </c>
    </row>
    <row r="2025" spans="1:14" x14ac:dyDescent="0.2">
      <c r="A2025" s="5" t="str">
        <f>HYPERLINK("http://www.ncbi.nlm.nih.gov/protein/149234198","E030010N08Rik")</f>
        <v>E030010N08Rik</v>
      </c>
      <c r="B2025" s="4"/>
      <c r="C2025" s="3">
        <v>0</v>
      </c>
      <c r="D2025" s="3">
        <v>0</v>
      </c>
      <c r="E2025" s="3">
        <v>0</v>
      </c>
      <c r="F2025" s="3">
        <v>0</v>
      </c>
      <c r="G2025" s="3">
        <v>2303</v>
      </c>
      <c r="H2025" s="2">
        <f t="shared" si="62"/>
        <v>2303</v>
      </c>
      <c r="I2025" t="str">
        <f t="shared" si="63"/>
        <v>E030010N08Rik_2303</v>
      </c>
      <c r="J2025" s="3">
        <v>0</v>
      </c>
      <c r="K2025" s="3">
        <v>0</v>
      </c>
      <c r="L2025" s="3">
        <v>0</v>
      </c>
      <c r="M2025" s="3">
        <v>0</v>
      </c>
      <c r="N2025" s="3">
        <v>2303</v>
      </c>
    </row>
    <row r="2026" spans="1:14" x14ac:dyDescent="0.2">
      <c r="A2026" s="5" t="str">
        <f>HYPERLINK("http://www.ncbi.nlm.nih.gov/protein/309264118","E030010N08Rik")</f>
        <v>E030010N08Rik</v>
      </c>
      <c r="B2026" s="4"/>
      <c r="C2026" s="3">
        <v>0</v>
      </c>
      <c r="D2026" s="3">
        <v>0</v>
      </c>
      <c r="E2026" s="3">
        <v>0</v>
      </c>
      <c r="F2026" s="3">
        <v>0</v>
      </c>
      <c r="G2026" s="3">
        <v>2303</v>
      </c>
      <c r="H2026" s="2">
        <f t="shared" si="62"/>
        <v>2303</v>
      </c>
      <c r="I2026" t="str">
        <f t="shared" si="63"/>
        <v>E030010N08Rik_2303</v>
      </c>
      <c r="J2026" s="3">
        <v>0</v>
      </c>
      <c r="K2026" s="3">
        <v>0</v>
      </c>
      <c r="L2026" s="3">
        <v>0</v>
      </c>
      <c r="M2026" s="3">
        <v>0</v>
      </c>
      <c r="N2026" s="3">
        <v>2303</v>
      </c>
    </row>
    <row r="2027" spans="1:14" x14ac:dyDescent="0.2">
      <c r="A2027" s="5" t="str">
        <f>HYPERLINK("http://www.ncbi.nlm.nih.gov/protein/170650679","E130309D02Rik")</f>
        <v>E130309D02Rik</v>
      </c>
      <c r="B2027" s="4"/>
      <c r="C2027" s="3">
        <v>0</v>
      </c>
      <c r="D2027" s="3">
        <v>0</v>
      </c>
      <c r="E2027" s="3">
        <v>13</v>
      </c>
      <c r="F2027" s="3">
        <v>0</v>
      </c>
      <c r="G2027" s="3">
        <v>0</v>
      </c>
      <c r="H2027" s="2">
        <f t="shared" si="62"/>
        <v>13</v>
      </c>
      <c r="I2027" t="str">
        <f t="shared" si="63"/>
        <v>E130309D02Rik_13</v>
      </c>
      <c r="J2027" s="3">
        <v>0</v>
      </c>
      <c r="K2027" s="3">
        <v>0</v>
      </c>
      <c r="L2027" s="3">
        <v>13</v>
      </c>
      <c r="M2027" s="3">
        <v>0</v>
      </c>
      <c r="N2027" s="3">
        <v>0</v>
      </c>
    </row>
    <row r="2028" spans="1:14" x14ac:dyDescent="0.2">
      <c r="A2028" s="5" t="str">
        <f>HYPERLINK("http://www.ncbi.nlm.nih.gov/protein/29244450","E130311K13Rik")</f>
        <v>E130311K13Rik</v>
      </c>
      <c r="B2028" s="4"/>
      <c r="C2028" s="3">
        <v>0</v>
      </c>
      <c r="D2028" s="3">
        <v>61</v>
      </c>
      <c r="E2028" s="3">
        <v>0</v>
      </c>
      <c r="F2028" s="3">
        <v>0</v>
      </c>
      <c r="G2028" s="3">
        <v>0</v>
      </c>
      <c r="H2028" s="2">
        <f t="shared" si="62"/>
        <v>61</v>
      </c>
      <c r="I2028" t="str">
        <f t="shared" si="63"/>
        <v>E130311K13Rik_61</v>
      </c>
      <c r="J2028" s="3">
        <v>0</v>
      </c>
      <c r="K2028" s="3">
        <v>61</v>
      </c>
      <c r="L2028" s="3">
        <v>0</v>
      </c>
      <c r="M2028" s="3">
        <v>0</v>
      </c>
      <c r="N2028" s="3">
        <v>0</v>
      </c>
    </row>
    <row r="2029" spans="1:14" x14ac:dyDescent="0.2">
      <c r="A2029" s="5" t="str">
        <f>HYPERLINK("http://www.ncbi.nlm.nih.gov/protein/319402141","E330021D16Rik")</f>
        <v>E330021D16Rik</v>
      </c>
      <c r="B2029" s="4"/>
      <c r="C2029" s="3">
        <v>0</v>
      </c>
      <c r="D2029" s="3">
        <v>0</v>
      </c>
      <c r="E2029" s="3">
        <v>0</v>
      </c>
      <c r="F2029" s="3">
        <v>0</v>
      </c>
      <c r="G2029" s="3">
        <v>2538</v>
      </c>
      <c r="H2029" s="2">
        <f t="shared" si="62"/>
        <v>2538</v>
      </c>
      <c r="I2029" t="str">
        <f t="shared" si="63"/>
        <v>E330021D16Rik_2538</v>
      </c>
      <c r="J2029" s="3">
        <v>0</v>
      </c>
      <c r="K2029" s="3">
        <v>0</v>
      </c>
      <c r="L2029" s="3">
        <v>0</v>
      </c>
      <c r="M2029" s="3">
        <v>0</v>
      </c>
      <c r="N2029" s="3">
        <v>2538</v>
      </c>
    </row>
    <row r="2030" spans="1:14" x14ac:dyDescent="0.2">
      <c r="A2030" s="5" t="str">
        <f>HYPERLINK("http://www.ncbi.nlm.nih.gov/protein/46048300","E430025E21Rik")</f>
        <v>E430025E21Rik</v>
      </c>
      <c r="B2030" s="4"/>
      <c r="C2030" s="3">
        <v>183</v>
      </c>
      <c r="D2030" s="3">
        <v>27</v>
      </c>
      <c r="E2030" s="3">
        <v>2305</v>
      </c>
      <c r="F2030" s="3">
        <v>8726</v>
      </c>
      <c r="G2030" s="3">
        <v>10238</v>
      </c>
      <c r="H2030" s="2">
        <f t="shared" si="62"/>
        <v>21479</v>
      </c>
      <c r="I2030" t="str">
        <f t="shared" si="63"/>
        <v>E430025E21Rik_21479</v>
      </c>
      <c r="J2030" s="3">
        <v>183</v>
      </c>
      <c r="K2030" s="3">
        <v>27</v>
      </c>
      <c r="L2030" s="3">
        <v>2305</v>
      </c>
      <c r="M2030" s="3">
        <v>8726</v>
      </c>
      <c r="N2030" s="3">
        <v>10238</v>
      </c>
    </row>
    <row r="2031" spans="1:14" x14ac:dyDescent="0.2">
      <c r="A2031" s="5" t="str">
        <f>HYPERLINK("http://www.ncbi.nlm.nih.gov/protein/21312986","Ears2")</f>
        <v>Ears2</v>
      </c>
      <c r="B2031" s="4"/>
      <c r="C2031" s="3">
        <v>3661</v>
      </c>
      <c r="D2031" s="3">
        <v>271</v>
      </c>
      <c r="E2031" s="3">
        <v>2919</v>
      </c>
      <c r="F2031" s="3">
        <v>5984</v>
      </c>
      <c r="G2031" s="3">
        <v>0</v>
      </c>
      <c r="H2031" s="2">
        <f t="shared" si="62"/>
        <v>12835</v>
      </c>
      <c r="I2031" t="str">
        <f t="shared" si="63"/>
        <v>Ears2_12835</v>
      </c>
      <c r="J2031" s="3">
        <v>3661</v>
      </c>
      <c r="K2031" s="3">
        <v>271</v>
      </c>
      <c r="L2031" s="3">
        <v>2919</v>
      </c>
      <c r="M2031" s="3">
        <v>5984</v>
      </c>
      <c r="N2031" s="3">
        <v>0</v>
      </c>
    </row>
    <row r="2032" spans="1:14" x14ac:dyDescent="0.2">
      <c r="A2032" s="5" t="str">
        <f>HYPERLINK("http://www.ncbi.nlm.nih.gov/protein/31982524","Ebag9")</f>
        <v>Ebag9</v>
      </c>
      <c r="B2032" s="4"/>
      <c r="C2032" s="3">
        <v>0</v>
      </c>
      <c r="D2032" s="3">
        <v>184</v>
      </c>
      <c r="E2032" s="3">
        <v>0</v>
      </c>
      <c r="F2032" s="3">
        <v>0</v>
      </c>
      <c r="G2032" s="3">
        <v>0</v>
      </c>
      <c r="H2032" s="2">
        <f t="shared" si="62"/>
        <v>184</v>
      </c>
      <c r="I2032" t="str">
        <f t="shared" si="63"/>
        <v>Ebag9_184</v>
      </c>
      <c r="J2032" s="3">
        <v>0</v>
      </c>
      <c r="K2032" s="3">
        <v>184</v>
      </c>
      <c r="L2032" s="3">
        <v>0</v>
      </c>
      <c r="M2032" s="3">
        <v>0</v>
      </c>
      <c r="N2032" s="3">
        <v>0</v>
      </c>
    </row>
    <row r="2033" spans="1:14" x14ac:dyDescent="0.2">
      <c r="A2033" s="5" t="str">
        <f>HYPERLINK("http://www.ncbi.nlm.nih.gov/protein/6681255","Ebp")</f>
        <v>Ebp</v>
      </c>
      <c r="B2033" s="4"/>
      <c r="C2033" s="3">
        <v>0</v>
      </c>
      <c r="D2033" s="3">
        <v>735</v>
      </c>
      <c r="E2033" s="3">
        <v>1100</v>
      </c>
      <c r="F2033" s="3">
        <v>213</v>
      </c>
      <c r="G2033" s="3">
        <v>0</v>
      </c>
      <c r="H2033" s="2">
        <f t="shared" si="62"/>
        <v>2048</v>
      </c>
      <c r="I2033" t="str">
        <f t="shared" si="63"/>
        <v>Ebp_2048</v>
      </c>
      <c r="J2033" s="3">
        <v>0</v>
      </c>
      <c r="K2033" s="3">
        <v>735</v>
      </c>
      <c r="L2033" s="3">
        <v>1100</v>
      </c>
      <c r="M2033" s="3">
        <v>213</v>
      </c>
      <c r="N2033" s="3">
        <v>0</v>
      </c>
    </row>
    <row r="2034" spans="1:14" x14ac:dyDescent="0.2">
      <c r="A2034" s="5" t="str">
        <f>HYPERLINK("http://www.ncbi.nlm.nih.gov/protein/7949037","Ech1")</f>
        <v>Ech1</v>
      </c>
      <c r="B2034" s="4"/>
      <c r="C2034" s="3">
        <v>3606</v>
      </c>
      <c r="D2034" s="3">
        <v>5922</v>
      </c>
      <c r="E2034" s="3">
        <v>768</v>
      </c>
      <c r="F2034" s="3">
        <v>0</v>
      </c>
      <c r="G2034" s="3">
        <v>0</v>
      </c>
      <c r="H2034" s="2">
        <f t="shared" si="62"/>
        <v>10296</v>
      </c>
      <c r="I2034" t="str">
        <f t="shared" si="63"/>
        <v>Ech1_10296</v>
      </c>
      <c r="J2034" s="3">
        <v>3606</v>
      </c>
      <c r="K2034" s="3">
        <v>5922</v>
      </c>
      <c r="L2034" s="3">
        <v>768</v>
      </c>
      <c r="M2034" s="3">
        <v>0</v>
      </c>
      <c r="N2034" s="3">
        <v>0</v>
      </c>
    </row>
    <row r="2035" spans="1:14" x14ac:dyDescent="0.2">
      <c r="A2035" s="5" t="str">
        <f>HYPERLINK("http://www.ncbi.nlm.nih.gov/protein/158854020","Echdc1")</f>
        <v>Echdc1</v>
      </c>
      <c r="B2035" s="4"/>
      <c r="C2035" s="3">
        <v>0</v>
      </c>
      <c r="D2035" s="3">
        <v>1687</v>
      </c>
      <c r="E2035" s="3">
        <v>224</v>
      </c>
      <c r="F2035" s="3">
        <v>2456</v>
      </c>
      <c r="G2035" s="3">
        <v>22158</v>
      </c>
      <c r="H2035" s="2">
        <f t="shared" si="62"/>
        <v>26525</v>
      </c>
      <c r="I2035" t="str">
        <f t="shared" si="63"/>
        <v>Echdc1_26525</v>
      </c>
      <c r="J2035" s="3">
        <v>0</v>
      </c>
      <c r="K2035" s="3">
        <v>1687</v>
      </c>
      <c r="L2035" s="3">
        <v>224</v>
      </c>
      <c r="M2035" s="3">
        <v>2456</v>
      </c>
      <c r="N2035" s="3">
        <v>22158</v>
      </c>
    </row>
    <row r="2036" spans="1:14" x14ac:dyDescent="0.2">
      <c r="A2036" s="5" t="str">
        <f>HYPERLINK("http://www.ncbi.nlm.nih.gov/protein/158854022","Echdc1")</f>
        <v>Echdc1</v>
      </c>
      <c r="B2036" s="4"/>
      <c r="C2036" s="3">
        <v>0</v>
      </c>
      <c r="D2036" s="3">
        <v>1687</v>
      </c>
      <c r="E2036" s="3">
        <v>224</v>
      </c>
      <c r="F2036" s="3">
        <v>2456</v>
      </c>
      <c r="G2036" s="3">
        <v>22158</v>
      </c>
      <c r="H2036" s="2">
        <f t="shared" si="62"/>
        <v>26525</v>
      </c>
      <c r="I2036" t="str">
        <f t="shared" si="63"/>
        <v>Echdc1_26525</v>
      </c>
      <c r="J2036" s="3">
        <v>0</v>
      </c>
      <c r="K2036" s="3">
        <v>1687</v>
      </c>
      <c r="L2036" s="3">
        <v>224</v>
      </c>
      <c r="M2036" s="3">
        <v>2456</v>
      </c>
      <c r="N2036" s="3">
        <v>22158</v>
      </c>
    </row>
    <row r="2037" spans="1:14" x14ac:dyDescent="0.2">
      <c r="A2037" s="5" t="str">
        <f>HYPERLINK("http://www.ncbi.nlm.nih.gov/protein/225543400","Echdc2")</f>
        <v>Echdc2</v>
      </c>
      <c r="B2037" s="4"/>
      <c r="C2037" s="3">
        <v>1336</v>
      </c>
      <c r="D2037" s="3">
        <v>822</v>
      </c>
      <c r="E2037" s="3">
        <v>0</v>
      </c>
      <c r="F2037" s="3">
        <v>0</v>
      </c>
      <c r="G2037" s="3">
        <v>0</v>
      </c>
      <c r="H2037" s="2">
        <f t="shared" si="62"/>
        <v>2158</v>
      </c>
      <c r="I2037" t="str">
        <f t="shared" si="63"/>
        <v>Echdc2_2158</v>
      </c>
      <c r="J2037" s="3">
        <v>1336</v>
      </c>
      <c r="K2037" s="3">
        <v>822</v>
      </c>
      <c r="L2037" s="3">
        <v>0</v>
      </c>
      <c r="M2037" s="3">
        <v>0</v>
      </c>
      <c r="N2037" s="3">
        <v>0</v>
      </c>
    </row>
    <row r="2038" spans="1:14" x14ac:dyDescent="0.2">
      <c r="A2038" s="5" t="str">
        <f>HYPERLINK("http://www.ncbi.nlm.nih.gov/protein/363543337","Echdc2")</f>
        <v>Echdc2</v>
      </c>
      <c r="B2038" s="4"/>
      <c r="C2038" s="3">
        <v>1336</v>
      </c>
      <c r="D2038" s="3">
        <v>822</v>
      </c>
      <c r="E2038" s="3">
        <v>0</v>
      </c>
      <c r="F2038" s="3">
        <v>0</v>
      </c>
      <c r="G2038" s="3">
        <v>0</v>
      </c>
      <c r="H2038" s="2">
        <f t="shared" si="62"/>
        <v>2158</v>
      </c>
      <c r="I2038" t="str">
        <f t="shared" si="63"/>
        <v>Echdc2_2158</v>
      </c>
      <c r="J2038" s="3">
        <v>1336</v>
      </c>
      <c r="K2038" s="3">
        <v>822</v>
      </c>
      <c r="L2038" s="3">
        <v>0</v>
      </c>
      <c r="M2038" s="3">
        <v>0</v>
      </c>
      <c r="N2038" s="3">
        <v>0</v>
      </c>
    </row>
    <row r="2039" spans="1:14" x14ac:dyDescent="0.2">
      <c r="A2039" s="5" t="str">
        <f>HYPERLINK("http://www.ncbi.nlm.nih.gov/protein/31980955","Echdc3")</f>
        <v>Echdc3</v>
      </c>
      <c r="B2039" s="4"/>
      <c r="C2039" s="3">
        <v>0</v>
      </c>
      <c r="D2039" s="3">
        <v>1290</v>
      </c>
      <c r="E2039" s="3">
        <v>73</v>
      </c>
      <c r="F2039" s="3">
        <v>0</v>
      </c>
      <c r="G2039" s="3">
        <v>0</v>
      </c>
      <c r="H2039" s="2">
        <f t="shared" si="62"/>
        <v>1363</v>
      </c>
      <c r="I2039" t="str">
        <f t="shared" si="63"/>
        <v>Echdc3_1363</v>
      </c>
      <c r="J2039" s="3">
        <v>0</v>
      </c>
      <c r="K2039" s="3">
        <v>1290</v>
      </c>
      <c r="L2039" s="3">
        <v>73</v>
      </c>
      <c r="M2039" s="3">
        <v>0</v>
      </c>
      <c r="N2039" s="3">
        <v>0</v>
      </c>
    </row>
    <row r="2040" spans="1:14" x14ac:dyDescent="0.2">
      <c r="A2040" s="5" t="str">
        <f>HYPERLINK("http://www.ncbi.nlm.nih.gov/protein/29789289","Echs1")</f>
        <v>Echs1</v>
      </c>
      <c r="B2040" s="4"/>
      <c r="C2040" s="3">
        <v>74890</v>
      </c>
      <c r="D2040" s="3">
        <v>21226</v>
      </c>
      <c r="E2040" s="3">
        <v>550</v>
      </c>
      <c r="F2040" s="3">
        <v>892</v>
      </c>
      <c r="G2040" s="3">
        <v>5569</v>
      </c>
      <c r="H2040" s="2">
        <f t="shared" si="62"/>
        <v>103127</v>
      </c>
      <c r="I2040" t="str">
        <f t="shared" si="63"/>
        <v>Echs1_103127</v>
      </c>
      <c r="J2040" s="3">
        <v>74890</v>
      </c>
      <c r="K2040" s="3">
        <v>21226</v>
      </c>
      <c r="L2040" s="3">
        <v>550</v>
      </c>
      <c r="M2040" s="3">
        <v>892</v>
      </c>
      <c r="N2040" s="3">
        <v>5569</v>
      </c>
    </row>
    <row r="2041" spans="1:14" x14ac:dyDescent="0.2">
      <c r="A2041" s="5" t="str">
        <f>HYPERLINK("http://www.ncbi.nlm.nih.gov/protein/31981810","Eci1")</f>
        <v>Eci1</v>
      </c>
      <c r="B2041" s="4"/>
      <c r="C2041" s="3">
        <v>137002</v>
      </c>
      <c r="D2041" s="3">
        <v>47908</v>
      </c>
      <c r="E2041" s="3">
        <v>967</v>
      </c>
      <c r="F2041" s="3">
        <v>0</v>
      </c>
      <c r="G2041" s="3">
        <v>8386</v>
      </c>
      <c r="H2041" s="2">
        <f t="shared" si="62"/>
        <v>194263</v>
      </c>
      <c r="I2041" t="str">
        <f t="shared" si="63"/>
        <v>Eci1_194263</v>
      </c>
      <c r="J2041" s="3">
        <v>137002</v>
      </c>
      <c r="K2041" s="3">
        <v>47908</v>
      </c>
      <c r="L2041" s="3">
        <v>967</v>
      </c>
      <c r="M2041" s="3">
        <v>0</v>
      </c>
      <c r="N2041" s="3">
        <v>8386</v>
      </c>
    </row>
    <row r="2042" spans="1:14" x14ac:dyDescent="0.2">
      <c r="A2042" s="5" t="str">
        <f>HYPERLINK("http://www.ncbi.nlm.nih.gov/protein/160333193","Eci2")</f>
        <v>Eci2</v>
      </c>
      <c r="B2042" s="4"/>
      <c r="C2042" s="3">
        <v>2252</v>
      </c>
      <c r="D2042" s="3">
        <v>161</v>
      </c>
      <c r="E2042" s="3">
        <v>1026</v>
      </c>
      <c r="F2042" s="3">
        <v>0</v>
      </c>
      <c r="G2042" s="3">
        <v>0</v>
      </c>
      <c r="H2042" s="2">
        <f t="shared" si="62"/>
        <v>3439</v>
      </c>
      <c r="I2042" t="str">
        <f t="shared" si="63"/>
        <v>Eci2_3439</v>
      </c>
      <c r="J2042" s="3">
        <v>2252</v>
      </c>
      <c r="K2042" s="3">
        <v>161</v>
      </c>
      <c r="L2042" s="3">
        <v>1026</v>
      </c>
      <c r="M2042" s="3">
        <v>0</v>
      </c>
      <c r="N2042" s="3">
        <v>0</v>
      </c>
    </row>
    <row r="2043" spans="1:14" x14ac:dyDescent="0.2">
      <c r="A2043" s="5" t="str">
        <f>HYPERLINK("http://www.ncbi.nlm.nih.gov/protein/160333195","Eci2")</f>
        <v>Eci2</v>
      </c>
      <c r="B2043" s="4"/>
      <c r="C2043" s="3">
        <v>2252</v>
      </c>
      <c r="D2043" s="3">
        <v>161</v>
      </c>
      <c r="E2043" s="3">
        <v>1026</v>
      </c>
      <c r="F2043" s="3">
        <v>0</v>
      </c>
      <c r="G2043" s="3">
        <v>0</v>
      </c>
      <c r="H2043" s="2">
        <f t="shared" si="62"/>
        <v>3439</v>
      </c>
      <c r="I2043" t="str">
        <f t="shared" si="63"/>
        <v>Eci2_3439</v>
      </c>
      <c r="J2043" s="3">
        <v>2252</v>
      </c>
      <c r="K2043" s="3">
        <v>161</v>
      </c>
      <c r="L2043" s="3">
        <v>1026</v>
      </c>
      <c r="M2043" s="3">
        <v>0</v>
      </c>
      <c r="N2043" s="3">
        <v>0</v>
      </c>
    </row>
    <row r="2044" spans="1:14" x14ac:dyDescent="0.2">
      <c r="A2044" s="5" t="str">
        <f>HYPERLINK("http://www.ncbi.nlm.nih.gov/protein/21312210","Eci3")</f>
        <v>Eci3</v>
      </c>
      <c r="B2044" s="4"/>
      <c r="C2044" s="3">
        <v>0</v>
      </c>
      <c r="D2044" s="3">
        <v>132</v>
      </c>
      <c r="E2044" s="3">
        <v>877</v>
      </c>
      <c r="F2044" s="3">
        <v>0</v>
      </c>
      <c r="G2044" s="3">
        <v>0</v>
      </c>
      <c r="H2044" s="2">
        <f t="shared" si="62"/>
        <v>1009</v>
      </c>
      <c r="I2044" t="str">
        <f t="shared" si="63"/>
        <v>Eci3_1009</v>
      </c>
      <c r="J2044" s="3">
        <v>0</v>
      </c>
      <c r="K2044" s="3">
        <v>132</v>
      </c>
      <c r="L2044" s="3">
        <v>877</v>
      </c>
      <c r="M2044" s="3">
        <v>0</v>
      </c>
      <c r="N2044" s="3">
        <v>0</v>
      </c>
    </row>
    <row r="2045" spans="1:14" x14ac:dyDescent="0.2">
      <c r="A2045" s="5" t="str">
        <f>HYPERLINK("http://www.ncbi.nlm.nih.gov/protein/6755522","Ecsit")</f>
        <v>Ecsit</v>
      </c>
      <c r="B2045" s="4"/>
      <c r="C2045" s="3">
        <v>0</v>
      </c>
      <c r="D2045" s="3">
        <v>8</v>
      </c>
      <c r="E2045" s="3">
        <v>0</v>
      </c>
      <c r="F2045" s="3">
        <v>0</v>
      </c>
      <c r="G2045" s="3">
        <v>0</v>
      </c>
      <c r="H2045" s="2">
        <f t="shared" si="62"/>
        <v>8</v>
      </c>
      <c r="I2045" t="str">
        <f t="shared" si="63"/>
        <v>Ecsit_8</v>
      </c>
      <c r="J2045" s="3">
        <v>0</v>
      </c>
      <c r="K2045" s="3">
        <v>8</v>
      </c>
      <c r="L2045" s="3">
        <v>0</v>
      </c>
      <c r="M2045" s="3">
        <v>0</v>
      </c>
      <c r="N2045" s="3">
        <v>0</v>
      </c>
    </row>
    <row r="2046" spans="1:14" x14ac:dyDescent="0.2">
      <c r="A2046" s="5" t="str">
        <f>HYPERLINK("http://www.ncbi.nlm.nih.gov/protein/24418913","Edc3")</f>
        <v>Edc3</v>
      </c>
      <c r="B2046" s="4"/>
      <c r="C2046" s="3">
        <v>0</v>
      </c>
      <c r="D2046" s="3">
        <v>0</v>
      </c>
      <c r="E2046" s="3">
        <v>1515</v>
      </c>
      <c r="F2046" s="3">
        <v>25</v>
      </c>
      <c r="G2046" s="3">
        <v>0</v>
      </c>
      <c r="H2046" s="2">
        <f t="shared" si="62"/>
        <v>1540</v>
      </c>
      <c r="I2046" t="str">
        <f t="shared" si="63"/>
        <v>Edc3_1540</v>
      </c>
      <c r="J2046" s="3">
        <v>0</v>
      </c>
      <c r="K2046" s="3">
        <v>0</v>
      </c>
      <c r="L2046" s="3">
        <v>1515</v>
      </c>
      <c r="M2046" s="3">
        <v>25</v>
      </c>
      <c r="N2046" s="3">
        <v>0</v>
      </c>
    </row>
    <row r="2047" spans="1:14" x14ac:dyDescent="0.2">
      <c r="A2047" s="5" t="str">
        <f>HYPERLINK("http://www.ncbi.nlm.nih.gov/protein/31712002","Edc4")</f>
        <v>Edc4</v>
      </c>
      <c r="B2047" s="4"/>
      <c r="C2047" s="3">
        <v>0</v>
      </c>
      <c r="D2047" s="3">
        <v>0</v>
      </c>
      <c r="E2047" s="3">
        <v>12756</v>
      </c>
      <c r="F2047" s="3">
        <v>3250</v>
      </c>
      <c r="G2047" s="3">
        <v>14415</v>
      </c>
      <c r="H2047" s="2">
        <f t="shared" si="62"/>
        <v>30421</v>
      </c>
      <c r="I2047" t="str">
        <f t="shared" si="63"/>
        <v>Edc4_30421</v>
      </c>
      <c r="J2047" s="3">
        <v>0</v>
      </c>
      <c r="K2047" s="3">
        <v>0</v>
      </c>
      <c r="L2047" s="3">
        <v>12756</v>
      </c>
      <c r="M2047" s="3">
        <v>3250</v>
      </c>
      <c r="N2047" s="3">
        <v>14415</v>
      </c>
    </row>
    <row r="2048" spans="1:14" x14ac:dyDescent="0.2">
      <c r="A2048" s="5" t="str">
        <f>HYPERLINK("http://www.ncbi.nlm.nih.gov/protein/10946942","Edf1")</f>
        <v>Edf1</v>
      </c>
      <c r="B2048" s="4"/>
      <c r="C2048" s="3">
        <v>275</v>
      </c>
      <c r="D2048" s="3">
        <v>1672</v>
      </c>
      <c r="E2048" s="3">
        <v>10477</v>
      </c>
      <c r="F2048" s="3">
        <v>2202</v>
      </c>
      <c r="G2048" s="3">
        <v>257</v>
      </c>
      <c r="H2048" s="2">
        <f t="shared" si="62"/>
        <v>14883</v>
      </c>
      <c r="I2048" t="str">
        <f t="shared" si="63"/>
        <v>Edf1_14883</v>
      </c>
      <c r="J2048" s="3">
        <v>275</v>
      </c>
      <c r="K2048" s="3">
        <v>1672</v>
      </c>
      <c r="L2048" s="3">
        <v>10477</v>
      </c>
      <c r="M2048" s="3">
        <v>2202</v>
      </c>
      <c r="N2048" s="3">
        <v>257</v>
      </c>
    </row>
    <row r="2049" spans="1:14" x14ac:dyDescent="0.2">
      <c r="A2049" s="5" t="str">
        <f>HYPERLINK("http://www.ncbi.nlm.nih.gov/protein/50053824","Eea1")</f>
        <v>Eea1</v>
      </c>
      <c r="B2049" s="4"/>
      <c r="C2049" s="3">
        <v>0</v>
      </c>
      <c r="D2049" s="3">
        <v>142</v>
      </c>
      <c r="E2049" s="3">
        <v>8871</v>
      </c>
      <c r="F2049" s="3">
        <v>0</v>
      </c>
      <c r="G2049" s="3">
        <v>10217</v>
      </c>
      <c r="H2049" s="2">
        <f t="shared" si="62"/>
        <v>19230</v>
      </c>
      <c r="I2049" t="str">
        <f t="shared" si="63"/>
        <v>Eea1_19230</v>
      </c>
      <c r="J2049" s="3">
        <v>0</v>
      </c>
      <c r="K2049" s="3">
        <v>142</v>
      </c>
      <c r="L2049" s="3">
        <v>8871</v>
      </c>
      <c r="M2049" s="3">
        <v>0</v>
      </c>
      <c r="N2049" s="3">
        <v>10217</v>
      </c>
    </row>
    <row r="2050" spans="1:14" x14ac:dyDescent="0.2">
      <c r="A2050" s="5" t="str">
        <f>HYPERLINK("http://www.ncbi.nlm.nih.gov/protein/6681273","Eef1a2")</f>
        <v>Eef1a2</v>
      </c>
      <c r="B2050" s="4"/>
      <c r="C2050" s="3">
        <v>2233407</v>
      </c>
      <c r="D2050" s="3">
        <v>222652</v>
      </c>
      <c r="E2050" s="3">
        <v>339013</v>
      </c>
      <c r="F2050" s="3">
        <v>1310615</v>
      </c>
      <c r="G2050" s="3">
        <v>1540830</v>
      </c>
      <c r="H2050" s="2">
        <f t="shared" ref="H2050:H2113" si="64">SUM(C2050:G2050)</f>
        <v>5646517</v>
      </c>
      <c r="I2050" t="str">
        <f t="shared" ref="I2050:I2113" si="65">A2050&amp;"_"&amp;H2050</f>
        <v>Eef1a2_5646517</v>
      </c>
      <c r="J2050" s="3">
        <v>2233407</v>
      </c>
      <c r="K2050" s="3">
        <v>222652</v>
      </c>
      <c r="L2050" s="3">
        <v>339013</v>
      </c>
      <c r="M2050" s="3">
        <v>1310615</v>
      </c>
      <c r="N2050" s="3">
        <v>1540830</v>
      </c>
    </row>
    <row r="2051" spans="1:14" x14ac:dyDescent="0.2">
      <c r="A2051" s="5" t="str">
        <f>HYPERLINK("http://www.ncbi.nlm.nih.gov/protein/31980922","Eef1b2")</f>
        <v>Eef1b2</v>
      </c>
      <c r="B2051" s="4"/>
      <c r="C2051" s="3">
        <v>12741</v>
      </c>
      <c r="D2051" s="3">
        <v>8127</v>
      </c>
      <c r="E2051" s="3">
        <v>6813</v>
      </c>
      <c r="F2051" s="3">
        <v>146219</v>
      </c>
      <c r="G2051" s="3">
        <v>58463</v>
      </c>
      <c r="H2051" s="2">
        <f t="shared" si="64"/>
        <v>232363</v>
      </c>
      <c r="I2051" t="str">
        <f t="shared" si="65"/>
        <v>Eef1b2_232363</v>
      </c>
      <c r="J2051" s="3">
        <v>12741</v>
      </c>
      <c r="K2051" s="3">
        <v>8127</v>
      </c>
      <c r="L2051" s="3">
        <v>6813</v>
      </c>
      <c r="M2051" s="3">
        <v>146219</v>
      </c>
      <c r="N2051" s="3">
        <v>58463</v>
      </c>
    </row>
    <row r="2052" spans="1:14" x14ac:dyDescent="0.2">
      <c r="A2052" s="5" t="str">
        <f>HYPERLINK("http://www.ncbi.nlm.nih.gov/protein/549806736","Eef1d")</f>
        <v>Eef1d</v>
      </c>
      <c r="B2052" s="4"/>
      <c r="C2052" s="3">
        <v>106559</v>
      </c>
      <c r="D2052" s="3">
        <v>0</v>
      </c>
      <c r="E2052" s="3">
        <v>0</v>
      </c>
      <c r="F2052" s="3">
        <v>0</v>
      </c>
      <c r="G2052" s="3">
        <v>0</v>
      </c>
      <c r="H2052" s="2">
        <f t="shared" si="64"/>
        <v>106559</v>
      </c>
      <c r="I2052" t="str">
        <f t="shared" si="65"/>
        <v>Eef1d_106559</v>
      </c>
      <c r="J2052" s="3">
        <v>106559</v>
      </c>
      <c r="K2052" s="3">
        <v>0</v>
      </c>
      <c r="L2052" s="3">
        <v>0</v>
      </c>
      <c r="M2052" s="3">
        <v>0</v>
      </c>
      <c r="N2052" s="3">
        <v>0</v>
      </c>
    </row>
    <row r="2053" spans="1:14" x14ac:dyDescent="0.2">
      <c r="A2053" s="5" t="str">
        <f>HYPERLINK("http://www.ncbi.nlm.nih.gov/protein/549806774","Eef1d")</f>
        <v>Eef1d</v>
      </c>
      <c r="B2053" s="4"/>
      <c r="C2053" s="3">
        <v>107658</v>
      </c>
      <c r="D2053" s="3">
        <v>0</v>
      </c>
      <c r="E2053" s="3">
        <v>0</v>
      </c>
      <c r="F2053" s="3">
        <v>0</v>
      </c>
      <c r="G2053" s="3">
        <v>0</v>
      </c>
      <c r="H2053" s="2">
        <f t="shared" si="64"/>
        <v>107658</v>
      </c>
      <c r="I2053" t="str">
        <f t="shared" si="65"/>
        <v>Eef1d_107658</v>
      </c>
      <c r="J2053" s="3">
        <v>107658</v>
      </c>
      <c r="K2053" s="3">
        <v>0</v>
      </c>
      <c r="L2053" s="3">
        <v>0</v>
      </c>
      <c r="M2053" s="3">
        <v>0</v>
      </c>
      <c r="N2053" s="3">
        <v>0</v>
      </c>
    </row>
    <row r="2054" spans="1:14" x14ac:dyDescent="0.2">
      <c r="A2054" s="5" t="str">
        <f>HYPERLINK("http://www.ncbi.nlm.nih.gov/protein/54287684","Eef1d")</f>
        <v>Eef1d</v>
      </c>
      <c r="B2054" s="4"/>
      <c r="C2054" s="3">
        <v>118696</v>
      </c>
      <c r="D2054" s="3">
        <v>49708</v>
      </c>
      <c r="E2054" s="3">
        <v>42414</v>
      </c>
      <c r="F2054" s="3">
        <v>741162</v>
      </c>
      <c r="G2054" s="3">
        <v>210870</v>
      </c>
      <c r="H2054" s="2">
        <f t="shared" si="64"/>
        <v>1162850</v>
      </c>
      <c r="I2054" t="str">
        <f t="shared" si="65"/>
        <v>Eef1d_1162850</v>
      </c>
      <c r="J2054" s="3">
        <v>118696</v>
      </c>
      <c r="K2054" s="3">
        <v>49708</v>
      </c>
      <c r="L2054" s="3">
        <v>42414</v>
      </c>
      <c r="M2054" s="3">
        <v>741162</v>
      </c>
      <c r="N2054" s="3">
        <v>210870</v>
      </c>
    </row>
    <row r="2055" spans="1:14" x14ac:dyDescent="0.2">
      <c r="A2055" s="5" t="str">
        <f>HYPERLINK("http://www.ncbi.nlm.nih.gov/protein/56699438","Eef1d")</f>
        <v>Eef1d</v>
      </c>
      <c r="B2055" s="4"/>
      <c r="C2055" s="3">
        <v>118696</v>
      </c>
      <c r="D2055" s="3">
        <v>49708</v>
      </c>
      <c r="E2055" s="3">
        <v>42414</v>
      </c>
      <c r="F2055" s="3">
        <v>793402</v>
      </c>
      <c r="G2055" s="3">
        <v>210870</v>
      </c>
      <c r="H2055" s="2">
        <f t="shared" si="64"/>
        <v>1215090</v>
      </c>
      <c r="I2055" t="str">
        <f t="shared" si="65"/>
        <v>Eef1d_1215090</v>
      </c>
      <c r="J2055" s="3">
        <v>118696</v>
      </c>
      <c r="K2055" s="3">
        <v>49708</v>
      </c>
      <c r="L2055" s="3">
        <v>42414</v>
      </c>
      <c r="M2055" s="3">
        <v>793402</v>
      </c>
      <c r="N2055" s="3">
        <v>210870</v>
      </c>
    </row>
    <row r="2056" spans="1:14" x14ac:dyDescent="0.2">
      <c r="A2056" s="5" t="str">
        <f>HYPERLINK("http://www.ncbi.nlm.nih.gov/protein/13384756","Eef1e1")</f>
        <v>Eef1e1</v>
      </c>
      <c r="B2056" s="4"/>
      <c r="C2056" s="3">
        <v>0</v>
      </c>
      <c r="D2056" s="3">
        <v>257</v>
      </c>
      <c r="E2056" s="3">
        <v>9</v>
      </c>
      <c r="F2056" s="3">
        <v>39946</v>
      </c>
      <c r="G2056" s="3">
        <v>0</v>
      </c>
      <c r="H2056" s="2">
        <f t="shared" si="64"/>
        <v>40212</v>
      </c>
      <c r="I2056" t="str">
        <f t="shared" si="65"/>
        <v>Eef1e1_40212</v>
      </c>
      <c r="J2056" s="3">
        <v>0</v>
      </c>
      <c r="K2056" s="3">
        <v>257</v>
      </c>
      <c r="L2056" s="3">
        <v>9</v>
      </c>
      <c r="M2056" s="3">
        <v>39946</v>
      </c>
      <c r="N2056" s="3">
        <v>0</v>
      </c>
    </row>
    <row r="2057" spans="1:14" x14ac:dyDescent="0.2">
      <c r="A2057" s="5" t="str">
        <f>HYPERLINK("http://www.ncbi.nlm.nih.gov/protein/110625979","Eef1g")</f>
        <v>Eef1g</v>
      </c>
      <c r="B2057" s="4"/>
      <c r="C2057" s="3">
        <v>210977</v>
      </c>
      <c r="D2057" s="3">
        <v>51359</v>
      </c>
      <c r="E2057" s="3">
        <v>83149</v>
      </c>
      <c r="F2057" s="3">
        <v>792674</v>
      </c>
      <c r="G2057" s="3">
        <v>161017</v>
      </c>
      <c r="H2057" s="2">
        <f t="shared" si="64"/>
        <v>1299176</v>
      </c>
      <c r="I2057" t="str">
        <f t="shared" si="65"/>
        <v>Eef1g_1299176</v>
      </c>
      <c r="J2057" s="3">
        <v>210977</v>
      </c>
      <c r="K2057" s="3">
        <v>51359</v>
      </c>
      <c r="L2057" s="3">
        <v>83149</v>
      </c>
      <c r="M2057" s="3">
        <v>792674</v>
      </c>
      <c r="N2057" s="3">
        <v>161017</v>
      </c>
    </row>
    <row r="2058" spans="1:14" x14ac:dyDescent="0.2">
      <c r="A2058" s="5" t="str">
        <f>HYPERLINK("http://www.ncbi.nlm.nih.gov/protein/33859482","Eef2")</f>
        <v>Eef2</v>
      </c>
      <c r="B2058" s="4"/>
      <c r="C2058" s="3">
        <v>835596</v>
      </c>
      <c r="D2058" s="3">
        <v>137361</v>
      </c>
      <c r="E2058" s="3">
        <v>400635</v>
      </c>
      <c r="F2058" s="3">
        <v>951072</v>
      </c>
      <c r="G2058" s="3">
        <v>1765237</v>
      </c>
      <c r="H2058" s="2">
        <f t="shared" si="64"/>
        <v>4089901</v>
      </c>
      <c r="I2058" t="str">
        <f t="shared" si="65"/>
        <v>Eef2_4089901</v>
      </c>
      <c r="J2058" s="3">
        <v>835596</v>
      </c>
      <c r="K2058" s="3">
        <v>137361</v>
      </c>
      <c r="L2058" s="3">
        <v>400635</v>
      </c>
      <c r="M2058" s="3">
        <v>951072</v>
      </c>
      <c r="N2058" s="3">
        <v>1765237</v>
      </c>
    </row>
    <row r="2059" spans="1:14" x14ac:dyDescent="0.2">
      <c r="A2059" s="5" t="str">
        <f>HYPERLINK("http://www.ncbi.nlm.nih.gov/protein/6681275","Eef2k")</f>
        <v>Eef2k</v>
      </c>
      <c r="B2059" s="4"/>
      <c r="C2059" s="3">
        <v>0</v>
      </c>
      <c r="D2059" s="3">
        <v>0</v>
      </c>
      <c r="E2059" s="3">
        <v>0</v>
      </c>
      <c r="F2059" s="3">
        <v>0</v>
      </c>
      <c r="G2059" s="3">
        <v>3823</v>
      </c>
      <c r="H2059" s="2">
        <f t="shared" si="64"/>
        <v>3823</v>
      </c>
      <c r="I2059" t="str">
        <f t="shared" si="65"/>
        <v>Eef2k_3823</v>
      </c>
      <c r="J2059" s="3">
        <v>0</v>
      </c>
      <c r="K2059" s="3">
        <v>0</v>
      </c>
      <c r="L2059" s="3">
        <v>0</v>
      </c>
      <c r="M2059" s="3">
        <v>0</v>
      </c>
      <c r="N2059" s="3">
        <v>3823</v>
      </c>
    </row>
    <row r="2060" spans="1:14" x14ac:dyDescent="0.2">
      <c r="A2060" s="5" t="str">
        <f>HYPERLINK("http://www.ncbi.nlm.nih.gov/protein/12746442","Eefsec")</f>
        <v>Eefsec</v>
      </c>
      <c r="B2060" s="4"/>
      <c r="C2060" s="3">
        <v>0</v>
      </c>
      <c r="D2060" s="3">
        <v>1881</v>
      </c>
      <c r="E2060" s="3">
        <v>23859</v>
      </c>
      <c r="F2060" s="3">
        <v>33438</v>
      </c>
      <c r="G2060" s="3">
        <v>4959</v>
      </c>
      <c r="H2060" s="2">
        <f t="shared" si="64"/>
        <v>64137</v>
      </c>
      <c r="I2060" t="str">
        <f t="shared" si="65"/>
        <v>Eefsec_64137</v>
      </c>
      <c r="J2060" s="3">
        <v>0</v>
      </c>
      <c r="K2060" s="3">
        <v>1881</v>
      </c>
      <c r="L2060" s="3">
        <v>23859</v>
      </c>
      <c r="M2060" s="3">
        <v>33438</v>
      </c>
      <c r="N2060" s="3">
        <v>4959</v>
      </c>
    </row>
    <row r="2061" spans="1:14" x14ac:dyDescent="0.2">
      <c r="A2061" s="5" t="str">
        <f>HYPERLINK("http://www.ncbi.nlm.nih.gov/protein/13386360","Efhd1")</f>
        <v>Efhd1</v>
      </c>
      <c r="B2061" s="4"/>
      <c r="C2061" s="3">
        <v>0</v>
      </c>
      <c r="D2061" s="3">
        <v>286</v>
      </c>
      <c r="E2061" s="3">
        <v>186</v>
      </c>
      <c r="F2061" s="3">
        <v>0</v>
      </c>
      <c r="G2061" s="3">
        <v>2892</v>
      </c>
      <c r="H2061" s="2">
        <f t="shared" si="64"/>
        <v>3364</v>
      </c>
      <c r="I2061" t="str">
        <f t="shared" si="65"/>
        <v>Efhd1_3364</v>
      </c>
      <c r="J2061" s="3">
        <v>0</v>
      </c>
      <c r="K2061" s="3">
        <v>286</v>
      </c>
      <c r="L2061" s="3">
        <v>186</v>
      </c>
      <c r="M2061" s="3">
        <v>0</v>
      </c>
      <c r="N2061" s="3">
        <v>2892</v>
      </c>
    </row>
    <row r="2062" spans="1:14" x14ac:dyDescent="0.2">
      <c r="A2062" s="5" t="str">
        <f>HYPERLINK("http://www.ncbi.nlm.nih.gov/protein/31981086","Efhd2")</f>
        <v>Efhd2</v>
      </c>
      <c r="B2062" s="4"/>
      <c r="C2062" s="3">
        <v>0</v>
      </c>
      <c r="D2062" s="3">
        <v>2334</v>
      </c>
      <c r="E2062" s="3">
        <v>2300</v>
      </c>
      <c r="F2062" s="3">
        <v>508</v>
      </c>
      <c r="G2062" s="3">
        <v>66260</v>
      </c>
      <c r="H2062" s="2">
        <f t="shared" si="64"/>
        <v>71402</v>
      </c>
      <c r="I2062" t="str">
        <f t="shared" si="65"/>
        <v>Efhd2_71402</v>
      </c>
      <c r="J2062" s="3">
        <v>0</v>
      </c>
      <c r="K2062" s="3">
        <v>2334</v>
      </c>
      <c r="L2062" s="3">
        <v>2300</v>
      </c>
      <c r="M2062" s="3">
        <v>508</v>
      </c>
      <c r="N2062" s="3">
        <v>66260</v>
      </c>
    </row>
    <row r="2063" spans="1:14" x14ac:dyDescent="0.2">
      <c r="A2063" s="5" t="str">
        <f>HYPERLINK("http://www.ncbi.nlm.nih.gov/protein/31542597","Efnb2")</f>
        <v>Efnb2</v>
      </c>
      <c r="B2063" s="4"/>
      <c r="C2063" s="3">
        <v>0</v>
      </c>
      <c r="D2063" s="3">
        <v>816</v>
      </c>
      <c r="E2063" s="3">
        <v>86</v>
      </c>
      <c r="F2063" s="3">
        <v>0</v>
      </c>
      <c r="G2063" s="3">
        <v>0</v>
      </c>
      <c r="H2063" s="2">
        <f t="shared" si="64"/>
        <v>902</v>
      </c>
      <c r="I2063" t="str">
        <f t="shared" si="65"/>
        <v>Efnb2_902</v>
      </c>
      <c r="J2063" s="3">
        <v>0</v>
      </c>
      <c r="K2063" s="3">
        <v>816</v>
      </c>
      <c r="L2063" s="3">
        <v>86</v>
      </c>
      <c r="M2063" s="3">
        <v>0</v>
      </c>
      <c r="N2063" s="3">
        <v>0</v>
      </c>
    </row>
    <row r="2064" spans="1:14" x14ac:dyDescent="0.2">
      <c r="A2064" s="5" t="str">
        <f>HYPERLINK("http://www.ncbi.nlm.nih.gov/protein/54020730","Efr3a")</f>
        <v>Efr3a</v>
      </c>
      <c r="B2064" s="4"/>
      <c r="C2064" s="3">
        <v>0</v>
      </c>
      <c r="D2064" s="3">
        <v>17</v>
      </c>
      <c r="E2064" s="3">
        <v>0</v>
      </c>
      <c r="F2064" s="3">
        <v>0</v>
      </c>
      <c r="G2064" s="3">
        <v>0</v>
      </c>
      <c r="H2064" s="2">
        <f t="shared" si="64"/>
        <v>17</v>
      </c>
      <c r="I2064" t="str">
        <f t="shared" si="65"/>
        <v>Efr3a_17</v>
      </c>
      <c r="J2064" s="3">
        <v>0</v>
      </c>
      <c r="K2064" s="3">
        <v>17</v>
      </c>
      <c r="L2064" s="3">
        <v>0</v>
      </c>
      <c r="M2064" s="3">
        <v>0</v>
      </c>
      <c r="N2064" s="3">
        <v>0</v>
      </c>
    </row>
    <row r="2065" spans="1:14" x14ac:dyDescent="0.2">
      <c r="A2065" s="5" t="str">
        <f>HYPERLINK("http://www.ncbi.nlm.nih.gov/protein/227908782","Eftud1")</f>
        <v>Eftud1</v>
      </c>
      <c r="B2065" s="4"/>
      <c r="C2065" s="3">
        <v>0</v>
      </c>
      <c r="D2065" s="3">
        <v>90</v>
      </c>
      <c r="E2065" s="3">
        <v>563</v>
      </c>
      <c r="F2065" s="3">
        <v>0</v>
      </c>
      <c r="G2065" s="3">
        <v>12102</v>
      </c>
      <c r="H2065" s="2">
        <f t="shared" si="64"/>
        <v>12755</v>
      </c>
      <c r="I2065" t="str">
        <f t="shared" si="65"/>
        <v>Eftud1_12755</v>
      </c>
      <c r="J2065" s="3">
        <v>0</v>
      </c>
      <c r="K2065" s="3">
        <v>90</v>
      </c>
      <c r="L2065" s="3">
        <v>563</v>
      </c>
      <c r="M2065" s="3">
        <v>0</v>
      </c>
      <c r="N2065" s="3">
        <v>12102</v>
      </c>
    </row>
    <row r="2066" spans="1:14" x14ac:dyDescent="0.2">
      <c r="A2066" s="5" t="str">
        <f>HYPERLINK("http://www.ncbi.nlm.nih.gov/protein/158508674","Eftud2")</f>
        <v>Eftud2</v>
      </c>
      <c r="B2066" s="4"/>
      <c r="C2066" s="3">
        <v>108372</v>
      </c>
      <c r="D2066" s="3">
        <v>5317</v>
      </c>
      <c r="E2066" s="3">
        <v>29054</v>
      </c>
      <c r="F2066" s="3">
        <v>45577</v>
      </c>
      <c r="G2066" s="3">
        <v>227577</v>
      </c>
      <c r="H2066" s="2">
        <f t="shared" si="64"/>
        <v>415897</v>
      </c>
      <c r="I2066" t="str">
        <f t="shared" si="65"/>
        <v>Eftud2_415897</v>
      </c>
      <c r="J2066" s="3">
        <v>108372</v>
      </c>
      <c r="K2066" s="3">
        <v>5317</v>
      </c>
      <c r="L2066" s="3">
        <v>29054</v>
      </c>
      <c r="M2066" s="3">
        <v>45577</v>
      </c>
      <c r="N2066" s="3">
        <v>227577</v>
      </c>
    </row>
    <row r="2067" spans="1:14" x14ac:dyDescent="0.2">
      <c r="A2067" s="5" t="str">
        <f>HYPERLINK("http://www.ncbi.nlm.nih.gov/protein/6755594","Eftud2")</f>
        <v>Eftud2</v>
      </c>
      <c r="B2067" s="4"/>
      <c r="C2067" s="3">
        <v>108372</v>
      </c>
      <c r="D2067" s="3">
        <v>5317</v>
      </c>
      <c r="E2067" s="3">
        <v>29054</v>
      </c>
      <c r="F2067" s="3">
        <v>45577</v>
      </c>
      <c r="G2067" s="3">
        <v>227577</v>
      </c>
      <c r="H2067" s="2">
        <f t="shared" si="64"/>
        <v>415897</v>
      </c>
      <c r="I2067" t="str">
        <f t="shared" si="65"/>
        <v>Eftud2_415897</v>
      </c>
      <c r="J2067" s="3">
        <v>108372</v>
      </c>
      <c r="K2067" s="3">
        <v>5317</v>
      </c>
      <c r="L2067" s="3">
        <v>29054</v>
      </c>
      <c r="M2067" s="3">
        <v>45577</v>
      </c>
      <c r="N2067" s="3">
        <v>227577</v>
      </c>
    </row>
    <row r="2068" spans="1:14" x14ac:dyDescent="0.2">
      <c r="A2068" s="5" t="str">
        <f>HYPERLINK("http://www.ncbi.nlm.nih.gov/protein/46560582","Egfr")</f>
        <v>Egfr</v>
      </c>
      <c r="B2068" s="4"/>
      <c r="C2068" s="3">
        <v>2087</v>
      </c>
      <c r="D2068" s="3">
        <v>2436</v>
      </c>
      <c r="E2068" s="3">
        <v>13934</v>
      </c>
      <c r="F2068" s="3">
        <v>0</v>
      </c>
      <c r="G2068" s="3">
        <v>0</v>
      </c>
      <c r="H2068" s="2">
        <f t="shared" si="64"/>
        <v>18457</v>
      </c>
      <c r="I2068" t="str">
        <f t="shared" si="65"/>
        <v>Egfr_18457</v>
      </c>
      <c r="J2068" s="3">
        <v>2087</v>
      </c>
      <c r="K2068" s="3">
        <v>2436</v>
      </c>
      <c r="L2068" s="3">
        <v>13934</v>
      </c>
      <c r="M2068" s="3">
        <v>0</v>
      </c>
      <c r="N2068" s="3">
        <v>0</v>
      </c>
    </row>
    <row r="2069" spans="1:14" x14ac:dyDescent="0.2">
      <c r="A2069" s="5" t="str">
        <f>HYPERLINK("http://www.ncbi.nlm.nih.gov/protein/6681283","Egfr")</f>
        <v>Egfr</v>
      </c>
      <c r="B2069" s="4"/>
      <c r="C2069" s="3">
        <v>2087</v>
      </c>
      <c r="D2069" s="3">
        <v>981</v>
      </c>
      <c r="E2069" s="3">
        <v>6689</v>
      </c>
      <c r="F2069" s="3">
        <v>0</v>
      </c>
      <c r="G2069" s="3">
        <v>0</v>
      </c>
      <c r="H2069" s="2">
        <f t="shared" si="64"/>
        <v>9757</v>
      </c>
      <c r="I2069" t="str">
        <f t="shared" si="65"/>
        <v>Egfr_9757</v>
      </c>
      <c r="J2069" s="3">
        <v>2087</v>
      </c>
      <c r="K2069" s="3">
        <v>981</v>
      </c>
      <c r="L2069" s="3">
        <v>6689</v>
      </c>
      <c r="M2069" s="3">
        <v>0</v>
      </c>
      <c r="N2069" s="3">
        <v>0</v>
      </c>
    </row>
    <row r="2070" spans="1:14" x14ac:dyDescent="0.2">
      <c r="A2070" s="5" t="str">
        <f>HYPERLINK("http://www.ncbi.nlm.nih.gov/protein/158303306","Egln1")</f>
        <v>Egln1</v>
      </c>
      <c r="B2070" s="4"/>
      <c r="C2070" s="3">
        <v>0</v>
      </c>
      <c r="D2070" s="3">
        <v>67</v>
      </c>
      <c r="E2070" s="3">
        <v>181</v>
      </c>
      <c r="F2070" s="3">
        <v>0</v>
      </c>
      <c r="G2070" s="3">
        <v>2763</v>
      </c>
      <c r="H2070" s="2">
        <f t="shared" si="64"/>
        <v>3011</v>
      </c>
      <c r="I2070" t="str">
        <f t="shared" si="65"/>
        <v>Egln1_3011</v>
      </c>
      <c r="J2070" s="3">
        <v>0</v>
      </c>
      <c r="K2070" s="3">
        <v>67</v>
      </c>
      <c r="L2070" s="3">
        <v>181</v>
      </c>
      <c r="M2070" s="3">
        <v>0</v>
      </c>
      <c r="N2070" s="3">
        <v>2763</v>
      </c>
    </row>
    <row r="2071" spans="1:14" x14ac:dyDescent="0.2">
      <c r="A2071" s="5" t="str">
        <f>HYPERLINK("http://www.ncbi.nlm.nih.gov/protein/167736351","Ehbp1l1")</f>
        <v>Ehbp1l1</v>
      </c>
      <c r="B2071" s="4"/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2">
        <f t="shared" si="64"/>
        <v>0</v>
      </c>
      <c r="I2071" t="str">
        <f t="shared" si="65"/>
        <v>Ehbp1l1_0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</row>
    <row r="2072" spans="1:14" x14ac:dyDescent="0.2">
      <c r="A2072" s="5" t="str">
        <f>HYPERLINK("http://www.ncbi.nlm.nih.gov/protein/7106303","Ehd1")</f>
        <v>Ehd1</v>
      </c>
      <c r="B2072" s="4"/>
      <c r="C2072" s="3">
        <v>1117</v>
      </c>
      <c r="D2072" s="3">
        <v>12154</v>
      </c>
      <c r="E2072" s="3">
        <v>32887</v>
      </c>
      <c r="F2072" s="3">
        <v>132737</v>
      </c>
      <c r="G2072" s="3">
        <v>4005</v>
      </c>
      <c r="H2072" s="2">
        <f t="shared" si="64"/>
        <v>182900</v>
      </c>
      <c r="I2072" t="str">
        <f t="shared" si="65"/>
        <v>Ehd1_182900</v>
      </c>
      <c r="J2072" s="3">
        <v>1117</v>
      </c>
      <c r="K2072" s="3">
        <v>12154</v>
      </c>
      <c r="L2072" s="3">
        <v>32887</v>
      </c>
      <c r="M2072" s="3">
        <v>132737</v>
      </c>
      <c r="N2072" s="3">
        <v>4005</v>
      </c>
    </row>
    <row r="2073" spans="1:14" x14ac:dyDescent="0.2">
      <c r="A2073" s="5" t="str">
        <f>HYPERLINK("http://www.ncbi.nlm.nih.gov/protein/55742711","Ehd2")</f>
        <v>Ehd2</v>
      </c>
      <c r="B2073" s="4"/>
      <c r="C2073" s="3">
        <v>0</v>
      </c>
      <c r="D2073" s="3">
        <v>0</v>
      </c>
      <c r="E2073" s="3">
        <v>0</v>
      </c>
      <c r="F2073" s="3">
        <v>2660</v>
      </c>
      <c r="G2073" s="3">
        <v>0</v>
      </c>
      <c r="H2073" s="2">
        <f t="shared" si="64"/>
        <v>2660</v>
      </c>
      <c r="I2073" t="str">
        <f t="shared" si="65"/>
        <v>Ehd2_2660</v>
      </c>
      <c r="J2073" s="3">
        <v>0</v>
      </c>
      <c r="K2073" s="3">
        <v>0</v>
      </c>
      <c r="L2073" s="3">
        <v>0</v>
      </c>
      <c r="M2073" s="3">
        <v>2660</v>
      </c>
      <c r="N2073" s="3">
        <v>0</v>
      </c>
    </row>
    <row r="2074" spans="1:14" x14ac:dyDescent="0.2">
      <c r="A2074" s="5" t="str">
        <f>HYPERLINK("http://www.ncbi.nlm.nih.gov/protein/215983062","Ehd3")</f>
        <v>Ehd3</v>
      </c>
      <c r="B2074" s="4"/>
      <c r="C2074" s="3">
        <v>0</v>
      </c>
      <c r="D2074" s="3">
        <v>4590</v>
      </c>
      <c r="E2074" s="3">
        <v>12466</v>
      </c>
      <c r="F2074" s="3">
        <v>52961</v>
      </c>
      <c r="G2074" s="3">
        <v>2720</v>
      </c>
      <c r="H2074" s="2">
        <f t="shared" si="64"/>
        <v>72737</v>
      </c>
      <c r="I2074" t="str">
        <f t="shared" si="65"/>
        <v>Ehd3_72737</v>
      </c>
      <c r="J2074" s="3">
        <v>0</v>
      </c>
      <c r="K2074" s="3">
        <v>4590</v>
      </c>
      <c r="L2074" s="3">
        <v>12466</v>
      </c>
      <c r="M2074" s="3">
        <v>52961</v>
      </c>
      <c r="N2074" s="3">
        <v>2720</v>
      </c>
    </row>
    <row r="2075" spans="1:14" x14ac:dyDescent="0.2">
      <c r="A2075" s="5" t="str">
        <f>HYPERLINK("http://www.ncbi.nlm.nih.gov/protein/31981592","Ehd4")</f>
        <v>Ehd4</v>
      </c>
      <c r="B2075" s="4"/>
      <c r="C2075" s="3">
        <v>1025</v>
      </c>
      <c r="D2075" s="3">
        <v>20147</v>
      </c>
      <c r="E2075" s="3">
        <v>35742</v>
      </c>
      <c r="F2075" s="3">
        <v>188939</v>
      </c>
      <c r="G2075" s="3">
        <v>3813</v>
      </c>
      <c r="H2075" s="2">
        <f t="shared" si="64"/>
        <v>249666</v>
      </c>
      <c r="I2075" t="str">
        <f t="shared" si="65"/>
        <v>Ehd4_249666</v>
      </c>
      <c r="J2075" s="3">
        <v>1025</v>
      </c>
      <c r="K2075" s="3">
        <v>20147</v>
      </c>
      <c r="L2075" s="3">
        <v>35742</v>
      </c>
      <c r="M2075" s="3">
        <v>188939</v>
      </c>
      <c r="N2075" s="3">
        <v>3813</v>
      </c>
    </row>
    <row r="2076" spans="1:14" x14ac:dyDescent="0.2">
      <c r="A2076" s="5" t="str">
        <f>HYPERLINK("http://www.ncbi.nlm.nih.gov/protein/31541815","Ehhadh")</f>
        <v>Ehhadh</v>
      </c>
      <c r="B2076" s="4"/>
      <c r="C2076" s="3">
        <v>0</v>
      </c>
      <c r="D2076" s="3">
        <v>106</v>
      </c>
      <c r="E2076" s="3">
        <v>22</v>
      </c>
      <c r="F2076" s="3">
        <v>0</v>
      </c>
      <c r="G2076" s="3">
        <v>0</v>
      </c>
      <c r="H2076" s="2">
        <f t="shared" si="64"/>
        <v>128</v>
      </c>
      <c r="I2076" t="str">
        <f t="shared" si="65"/>
        <v>Ehhadh_128</v>
      </c>
      <c r="J2076" s="3">
        <v>0</v>
      </c>
      <c r="K2076" s="3">
        <v>106</v>
      </c>
      <c r="L2076" s="3">
        <v>22</v>
      </c>
      <c r="M2076" s="3">
        <v>0</v>
      </c>
      <c r="N2076" s="3">
        <v>0</v>
      </c>
    </row>
    <row r="2077" spans="1:14" x14ac:dyDescent="0.2">
      <c r="A2077" s="5" t="str">
        <f>HYPERLINK("http://www.ncbi.nlm.nih.gov/protein/313747488","Ei24")</f>
        <v>Ei24</v>
      </c>
      <c r="B2077" s="4"/>
      <c r="C2077" s="3">
        <v>0</v>
      </c>
      <c r="D2077" s="3">
        <v>658</v>
      </c>
      <c r="E2077" s="3">
        <v>78</v>
      </c>
      <c r="F2077" s="3">
        <v>0</v>
      </c>
      <c r="G2077" s="3">
        <v>0</v>
      </c>
      <c r="H2077" s="2">
        <f t="shared" si="64"/>
        <v>736</v>
      </c>
      <c r="I2077" t="str">
        <f t="shared" si="65"/>
        <v>Ei24_736</v>
      </c>
      <c r="J2077" s="3">
        <v>0</v>
      </c>
      <c r="K2077" s="3">
        <v>658</v>
      </c>
      <c r="L2077" s="3">
        <v>78</v>
      </c>
      <c r="M2077" s="3">
        <v>0</v>
      </c>
      <c r="N2077" s="3">
        <v>0</v>
      </c>
    </row>
    <row r="2078" spans="1:14" x14ac:dyDescent="0.2">
      <c r="A2078" s="5" t="str">
        <f>HYPERLINK("http://www.ncbi.nlm.nih.gov/protein/22165347","Eif1")</f>
        <v>Eif1</v>
      </c>
      <c r="B2078" s="4"/>
      <c r="C2078" s="3">
        <v>3881</v>
      </c>
      <c r="D2078" s="3">
        <v>2597</v>
      </c>
      <c r="E2078" s="3">
        <v>2855</v>
      </c>
      <c r="F2078" s="3">
        <v>5108</v>
      </c>
      <c r="G2078" s="3">
        <v>4048</v>
      </c>
      <c r="H2078" s="2">
        <f t="shared" si="64"/>
        <v>18489</v>
      </c>
      <c r="I2078" t="str">
        <f t="shared" si="65"/>
        <v>Eif1_18489</v>
      </c>
      <c r="J2078" s="3">
        <v>3881</v>
      </c>
      <c r="K2078" s="3">
        <v>2597</v>
      </c>
      <c r="L2078" s="3">
        <v>2855</v>
      </c>
      <c r="M2078" s="3">
        <v>5108</v>
      </c>
      <c r="N2078" s="3">
        <v>4048</v>
      </c>
    </row>
    <row r="2079" spans="1:14" x14ac:dyDescent="0.2">
      <c r="A2079" s="5" t="str">
        <f>HYPERLINK("http://www.ncbi.nlm.nih.gov/protein/158631225","Eif1a")</f>
        <v>Eif1a</v>
      </c>
      <c r="B2079" s="4"/>
      <c r="C2079" s="3">
        <v>2123</v>
      </c>
      <c r="D2079" s="3">
        <v>3163</v>
      </c>
      <c r="E2079" s="3">
        <v>22342</v>
      </c>
      <c r="F2079" s="3">
        <v>45495</v>
      </c>
      <c r="G2079" s="3">
        <v>8075</v>
      </c>
      <c r="H2079" s="2">
        <f t="shared" si="64"/>
        <v>81198</v>
      </c>
      <c r="I2079" t="str">
        <f t="shared" si="65"/>
        <v>Eif1a_81198</v>
      </c>
      <c r="J2079" s="3">
        <v>2123</v>
      </c>
      <c r="K2079" s="3">
        <v>3163</v>
      </c>
      <c r="L2079" s="3">
        <v>22342</v>
      </c>
      <c r="M2079" s="3">
        <v>45495</v>
      </c>
      <c r="N2079" s="3">
        <v>8075</v>
      </c>
    </row>
    <row r="2080" spans="1:14" x14ac:dyDescent="0.2">
      <c r="A2080" s="5" t="str">
        <f>HYPERLINK("http://www.ncbi.nlm.nih.gov/protein/58037183","Eif1ad")</f>
        <v>Eif1ad</v>
      </c>
      <c r="B2080" s="4"/>
      <c r="C2080" s="3">
        <v>0</v>
      </c>
      <c r="D2080" s="3">
        <v>0</v>
      </c>
      <c r="E2080" s="3">
        <v>0</v>
      </c>
      <c r="F2080" s="3">
        <v>131</v>
      </c>
      <c r="G2080" s="3">
        <v>2378</v>
      </c>
      <c r="H2080" s="2">
        <f t="shared" si="64"/>
        <v>2509</v>
      </c>
      <c r="I2080" t="str">
        <f t="shared" si="65"/>
        <v>Eif1ad_2509</v>
      </c>
      <c r="J2080" s="3">
        <v>0</v>
      </c>
      <c r="K2080" s="3">
        <v>0</v>
      </c>
      <c r="L2080" s="3">
        <v>0</v>
      </c>
      <c r="M2080" s="3">
        <v>131</v>
      </c>
      <c r="N2080" s="3">
        <v>2378</v>
      </c>
    </row>
    <row r="2081" spans="1:14" x14ac:dyDescent="0.2">
      <c r="A2081" s="5" t="str">
        <f>HYPERLINK("http://www.ncbi.nlm.nih.gov/protein/31541824","Eif1ax")</f>
        <v>Eif1ax</v>
      </c>
      <c r="B2081" s="4"/>
      <c r="C2081" s="3">
        <v>2123</v>
      </c>
      <c r="D2081" s="3">
        <v>1776</v>
      </c>
      <c r="E2081" s="3">
        <v>19841</v>
      </c>
      <c r="F2081" s="3">
        <v>57119</v>
      </c>
      <c r="G2081" s="3">
        <v>6983</v>
      </c>
      <c r="H2081" s="2">
        <f t="shared" si="64"/>
        <v>87842</v>
      </c>
      <c r="I2081" t="str">
        <f t="shared" si="65"/>
        <v>Eif1ax_87842</v>
      </c>
      <c r="J2081" s="3">
        <v>2123</v>
      </c>
      <c r="K2081" s="3">
        <v>1776</v>
      </c>
      <c r="L2081" s="3">
        <v>19841</v>
      </c>
      <c r="M2081" s="3">
        <v>57119</v>
      </c>
      <c r="N2081" s="3">
        <v>6983</v>
      </c>
    </row>
    <row r="2082" spans="1:14" x14ac:dyDescent="0.2">
      <c r="A2082" s="5" t="str">
        <f>HYPERLINK("http://www.ncbi.nlm.nih.gov/protein/21312159","Eif1b")</f>
        <v>Eif1b</v>
      </c>
      <c r="B2082" s="4"/>
      <c r="C2082" s="3">
        <v>3881</v>
      </c>
      <c r="D2082" s="3">
        <v>2597</v>
      </c>
      <c r="E2082" s="3">
        <v>2855</v>
      </c>
      <c r="F2082" s="3">
        <v>5108</v>
      </c>
      <c r="G2082" s="3">
        <v>4048</v>
      </c>
      <c r="H2082" s="2">
        <f t="shared" si="64"/>
        <v>18489</v>
      </c>
      <c r="I2082" t="str">
        <f t="shared" si="65"/>
        <v>Eif1b_18489</v>
      </c>
      <c r="J2082" s="3">
        <v>3881</v>
      </c>
      <c r="K2082" s="3">
        <v>2597</v>
      </c>
      <c r="L2082" s="3">
        <v>2855</v>
      </c>
      <c r="M2082" s="3">
        <v>5108</v>
      </c>
      <c r="N2082" s="3">
        <v>4048</v>
      </c>
    </row>
    <row r="2083" spans="1:14" x14ac:dyDescent="0.2">
      <c r="A2083" s="5" t="str">
        <f>HYPERLINK("http://www.ncbi.nlm.nih.gov/protein/54020676","Eif2a")</f>
        <v>Eif2a</v>
      </c>
      <c r="B2083" s="4"/>
      <c r="C2083" s="3">
        <v>1172</v>
      </c>
      <c r="D2083" s="3">
        <v>5954</v>
      </c>
      <c r="E2083" s="3">
        <v>71135</v>
      </c>
      <c r="F2083" s="3">
        <v>157621</v>
      </c>
      <c r="G2083" s="3">
        <v>0</v>
      </c>
      <c r="H2083" s="2">
        <f t="shared" si="64"/>
        <v>235882</v>
      </c>
      <c r="I2083" t="str">
        <f t="shared" si="65"/>
        <v>Eif2a_235882</v>
      </c>
      <c r="J2083" s="3">
        <v>1172</v>
      </c>
      <c r="K2083" s="3">
        <v>5954</v>
      </c>
      <c r="L2083" s="3">
        <v>71135</v>
      </c>
      <c r="M2083" s="3">
        <v>157621</v>
      </c>
      <c r="N2083" s="3">
        <v>0</v>
      </c>
    </row>
    <row r="2084" spans="1:14" x14ac:dyDescent="0.2">
      <c r="A2084" s="5" t="str">
        <f>HYPERLINK("http://www.ncbi.nlm.nih.gov/protein/6755160","Eif2ak2")</f>
        <v>Eif2ak2</v>
      </c>
      <c r="B2084" s="4"/>
      <c r="C2084" s="3">
        <v>0</v>
      </c>
      <c r="D2084" s="3">
        <v>367</v>
      </c>
      <c r="E2084" s="3">
        <v>9577</v>
      </c>
      <c r="F2084" s="3">
        <v>13334</v>
      </c>
      <c r="G2084" s="3">
        <v>3545</v>
      </c>
      <c r="H2084" s="2">
        <f t="shared" si="64"/>
        <v>26823</v>
      </c>
      <c r="I2084" t="str">
        <f t="shared" si="65"/>
        <v>Eif2ak2_26823</v>
      </c>
      <c r="J2084" s="3">
        <v>0</v>
      </c>
      <c r="K2084" s="3">
        <v>367</v>
      </c>
      <c r="L2084" s="3">
        <v>9577</v>
      </c>
      <c r="M2084" s="3">
        <v>13334</v>
      </c>
      <c r="N2084" s="3">
        <v>3545</v>
      </c>
    </row>
    <row r="2085" spans="1:14" x14ac:dyDescent="0.2">
      <c r="A2085" s="5" t="str">
        <f>HYPERLINK("http://www.ncbi.nlm.nih.gov/protein/166851838","Eif2ak4")</f>
        <v>Eif2ak4</v>
      </c>
      <c r="B2085" s="4"/>
      <c r="C2085" s="3">
        <v>0</v>
      </c>
      <c r="D2085" s="3">
        <v>0</v>
      </c>
      <c r="E2085" s="3">
        <v>228</v>
      </c>
      <c r="F2085" s="3">
        <v>0</v>
      </c>
      <c r="G2085" s="3">
        <v>0</v>
      </c>
      <c r="H2085" s="2">
        <f t="shared" si="64"/>
        <v>228</v>
      </c>
      <c r="I2085" t="str">
        <f t="shared" si="65"/>
        <v>Eif2ak4_228</v>
      </c>
      <c r="J2085" s="3">
        <v>0</v>
      </c>
      <c r="K2085" s="3">
        <v>0</v>
      </c>
      <c r="L2085" s="3">
        <v>228</v>
      </c>
      <c r="M2085" s="3">
        <v>0</v>
      </c>
      <c r="N2085" s="3">
        <v>0</v>
      </c>
    </row>
    <row r="2086" spans="1:14" x14ac:dyDescent="0.2">
      <c r="A2086" s="5" t="str">
        <f>HYPERLINK("http://www.ncbi.nlm.nih.gov/protein/295317391","Eif2ak4")</f>
        <v>Eif2ak4</v>
      </c>
      <c r="B2086" s="4"/>
      <c r="C2086" s="3">
        <v>0</v>
      </c>
      <c r="D2086" s="3">
        <v>0</v>
      </c>
      <c r="E2086" s="3">
        <v>228</v>
      </c>
      <c r="F2086" s="3">
        <v>0</v>
      </c>
      <c r="G2086" s="3">
        <v>0</v>
      </c>
      <c r="H2086" s="2">
        <f t="shared" si="64"/>
        <v>228</v>
      </c>
      <c r="I2086" t="str">
        <f t="shared" si="65"/>
        <v>Eif2ak4_228</v>
      </c>
      <c r="J2086" s="3">
        <v>0</v>
      </c>
      <c r="K2086" s="3">
        <v>0</v>
      </c>
      <c r="L2086" s="3">
        <v>228</v>
      </c>
      <c r="M2086" s="3">
        <v>0</v>
      </c>
      <c r="N2086" s="3">
        <v>0</v>
      </c>
    </row>
    <row r="2087" spans="1:14" x14ac:dyDescent="0.2">
      <c r="A2087" s="5" t="str">
        <f>HYPERLINK("http://www.ncbi.nlm.nih.gov/protein/21703744","Eif2b1")</f>
        <v>Eif2b1</v>
      </c>
      <c r="B2087" s="4"/>
      <c r="C2087" s="3">
        <v>0</v>
      </c>
      <c r="D2087" s="3">
        <v>246</v>
      </c>
      <c r="E2087" s="3">
        <v>811</v>
      </c>
      <c r="F2087" s="3">
        <v>21585</v>
      </c>
      <c r="G2087" s="3">
        <v>3802</v>
      </c>
      <c r="H2087" s="2">
        <f t="shared" si="64"/>
        <v>26444</v>
      </c>
      <c r="I2087" t="str">
        <f t="shared" si="65"/>
        <v>Eif2b1_26444</v>
      </c>
      <c r="J2087" s="3">
        <v>0</v>
      </c>
      <c r="K2087" s="3">
        <v>246</v>
      </c>
      <c r="L2087" s="3">
        <v>811</v>
      </c>
      <c r="M2087" s="3">
        <v>21585</v>
      </c>
      <c r="N2087" s="3">
        <v>3802</v>
      </c>
    </row>
    <row r="2088" spans="1:14" x14ac:dyDescent="0.2">
      <c r="A2088" s="5" t="str">
        <f>HYPERLINK("http://www.ncbi.nlm.nih.gov/protein/21703888","Eif2b2")</f>
        <v>Eif2b2</v>
      </c>
      <c r="B2088" s="4"/>
      <c r="C2088" s="3">
        <v>0</v>
      </c>
      <c r="D2088" s="3">
        <v>0</v>
      </c>
      <c r="E2088" s="3">
        <v>6</v>
      </c>
      <c r="F2088" s="3">
        <v>33839</v>
      </c>
      <c r="G2088" s="3">
        <v>2335</v>
      </c>
      <c r="H2088" s="2">
        <f t="shared" si="64"/>
        <v>36180</v>
      </c>
      <c r="I2088" t="str">
        <f t="shared" si="65"/>
        <v>Eif2b2_36180</v>
      </c>
      <c r="J2088" s="3">
        <v>0</v>
      </c>
      <c r="K2088" s="3">
        <v>0</v>
      </c>
      <c r="L2088" s="3">
        <v>6</v>
      </c>
      <c r="M2088" s="3">
        <v>33839</v>
      </c>
      <c r="N2088" s="3">
        <v>2335</v>
      </c>
    </row>
    <row r="2089" spans="1:14" x14ac:dyDescent="0.2">
      <c r="A2089" s="5" t="str">
        <f>HYPERLINK("http://www.ncbi.nlm.nih.gov/protein/110626005","Eif2b3")</f>
        <v>Eif2b3</v>
      </c>
      <c r="B2089" s="4"/>
      <c r="C2089" s="3">
        <v>0</v>
      </c>
      <c r="D2089" s="3">
        <v>0</v>
      </c>
      <c r="E2089" s="3">
        <v>0</v>
      </c>
      <c r="F2089" s="3">
        <v>12933</v>
      </c>
      <c r="G2089" s="3">
        <v>0</v>
      </c>
      <c r="H2089" s="2">
        <f t="shared" si="64"/>
        <v>12933</v>
      </c>
      <c r="I2089" t="str">
        <f t="shared" si="65"/>
        <v>Eif2b3_12933</v>
      </c>
      <c r="J2089" s="3">
        <v>0</v>
      </c>
      <c r="K2089" s="3">
        <v>0</v>
      </c>
      <c r="L2089" s="3">
        <v>0</v>
      </c>
      <c r="M2089" s="3">
        <v>12933</v>
      </c>
      <c r="N2089" s="3">
        <v>0</v>
      </c>
    </row>
    <row r="2090" spans="1:14" x14ac:dyDescent="0.2">
      <c r="A2090" s="5" t="str">
        <f>HYPERLINK("http://www.ncbi.nlm.nih.gov/protein/162287102","Eif2b3")</f>
        <v>Eif2b3</v>
      </c>
      <c r="B2090" s="4"/>
      <c r="C2090" s="3">
        <v>0</v>
      </c>
      <c r="D2090" s="3">
        <v>0</v>
      </c>
      <c r="E2090" s="3">
        <v>0</v>
      </c>
      <c r="F2090" s="3">
        <v>12933</v>
      </c>
      <c r="G2090" s="3">
        <v>0</v>
      </c>
      <c r="H2090" s="2">
        <f t="shared" si="64"/>
        <v>12933</v>
      </c>
      <c r="I2090" t="str">
        <f t="shared" si="65"/>
        <v>Eif2b3_12933</v>
      </c>
      <c r="J2090" s="3">
        <v>0</v>
      </c>
      <c r="K2090" s="3">
        <v>0</v>
      </c>
      <c r="L2090" s="3">
        <v>0</v>
      </c>
      <c r="M2090" s="3">
        <v>12933</v>
      </c>
      <c r="N2090" s="3">
        <v>0</v>
      </c>
    </row>
    <row r="2091" spans="1:14" x14ac:dyDescent="0.2">
      <c r="A2091" s="5" t="str">
        <f>HYPERLINK("http://www.ncbi.nlm.nih.gov/protein/188219551","Eif2b4")</f>
        <v>Eif2b4</v>
      </c>
      <c r="B2091" s="4"/>
      <c r="C2091" s="3">
        <v>0</v>
      </c>
      <c r="D2091" s="3">
        <v>33</v>
      </c>
      <c r="E2091" s="3">
        <v>571</v>
      </c>
      <c r="F2091" s="3">
        <v>37752</v>
      </c>
      <c r="G2091" s="3">
        <v>782</v>
      </c>
      <c r="H2091" s="2">
        <f t="shared" si="64"/>
        <v>39138</v>
      </c>
      <c r="I2091" t="str">
        <f t="shared" si="65"/>
        <v>Eif2b4_39138</v>
      </c>
      <c r="J2091" s="3">
        <v>0</v>
      </c>
      <c r="K2091" s="3">
        <v>33</v>
      </c>
      <c r="L2091" s="3">
        <v>571</v>
      </c>
      <c r="M2091" s="3">
        <v>37752</v>
      </c>
      <c r="N2091" s="3">
        <v>782</v>
      </c>
    </row>
    <row r="2092" spans="1:14" x14ac:dyDescent="0.2">
      <c r="A2092" s="5" t="str">
        <f>HYPERLINK("http://www.ncbi.nlm.nih.gov/protein/188219553","Eif2b4")</f>
        <v>Eif2b4</v>
      </c>
      <c r="B2092" s="4"/>
      <c r="C2092" s="3">
        <v>0</v>
      </c>
      <c r="D2092" s="3">
        <v>33</v>
      </c>
      <c r="E2092" s="3">
        <v>571</v>
      </c>
      <c r="F2092" s="3">
        <v>37752</v>
      </c>
      <c r="G2092" s="3">
        <v>782</v>
      </c>
      <c r="H2092" s="2">
        <f t="shared" si="64"/>
        <v>39138</v>
      </c>
      <c r="I2092" t="str">
        <f t="shared" si="65"/>
        <v>Eif2b4_39138</v>
      </c>
      <c r="J2092" s="3">
        <v>0</v>
      </c>
      <c r="K2092" s="3">
        <v>33</v>
      </c>
      <c r="L2092" s="3">
        <v>571</v>
      </c>
      <c r="M2092" s="3">
        <v>37752</v>
      </c>
      <c r="N2092" s="3">
        <v>782</v>
      </c>
    </row>
    <row r="2093" spans="1:14" x14ac:dyDescent="0.2">
      <c r="A2093" s="5" t="str">
        <f>HYPERLINK("http://www.ncbi.nlm.nih.gov/protein/26986557","Eif2b5")</f>
        <v>Eif2b5</v>
      </c>
      <c r="B2093" s="4"/>
      <c r="C2093" s="3">
        <v>0</v>
      </c>
      <c r="D2093" s="3">
        <v>223</v>
      </c>
      <c r="E2093" s="3">
        <v>269</v>
      </c>
      <c r="F2093" s="3">
        <v>21299</v>
      </c>
      <c r="G2093" s="3">
        <v>0</v>
      </c>
      <c r="H2093" s="2">
        <f t="shared" si="64"/>
        <v>21791</v>
      </c>
      <c r="I2093" t="str">
        <f t="shared" si="65"/>
        <v>Eif2b5_21791</v>
      </c>
      <c r="J2093" s="3">
        <v>0</v>
      </c>
      <c r="K2093" s="3">
        <v>223</v>
      </c>
      <c r="L2093" s="3">
        <v>269</v>
      </c>
      <c r="M2093" s="3">
        <v>21299</v>
      </c>
      <c r="N2093" s="3">
        <v>0</v>
      </c>
    </row>
    <row r="2094" spans="1:14" x14ac:dyDescent="0.2">
      <c r="A2094" s="5" t="str">
        <f>HYPERLINK("http://www.ncbi.nlm.nih.gov/protein/209862947","Eif2d")</f>
        <v>Eif2d</v>
      </c>
      <c r="B2094" s="4"/>
      <c r="C2094" s="3">
        <v>0</v>
      </c>
      <c r="D2094" s="3">
        <v>0</v>
      </c>
      <c r="E2094" s="3">
        <v>1412</v>
      </c>
      <c r="F2094" s="3">
        <v>33053</v>
      </c>
      <c r="G2094" s="3">
        <v>0</v>
      </c>
      <c r="H2094" s="2">
        <f t="shared" si="64"/>
        <v>34465</v>
      </c>
      <c r="I2094" t="str">
        <f t="shared" si="65"/>
        <v>Eif2d_34465</v>
      </c>
      <c r="J2094" s="3">
        <v>0</v>
      </c>
      <c r="K2094" s="3">
        <v>0</v>
      </c>
      <c r="L2094" s="3">
        <v>1412</v>
      </c>
      <c r="M2094" s="3">
        <v>33053</v>
      </c>
      <c r="N2094" s="3">
        <v>0</v>
      </c>
    </row>
    <row r="2095" spans="1:14" x14ac:dyDescent="0.2">
      <c r="A2095" s="5" t="str">
        <f>HYPERLINK("http://www.ncbi.nlm.nih.gov/protein/229577222","Eif2d")</f>
        <v>Eif2d</v>
      </c>
      <c r="B2095" s="4"/>
      <c r="C2095" s="3">
        <v>0</v>
      </c>
      <c r="D2095" s="3">
        <v>0</v>
      </c>
      <c r="E2095" s="3">
        <v>1412</v>
      </c>
      <c r="F2095" s="3">
        <v>33053</v>
      </c>
      <c r="G2095" s="3">
        <v>0</v>
      </c>
      <c r="H2095" s="2">
        <f t="shared" si="64"/>
        <v>34465</v>
      </c>
      <c r="I2095" t="str">
        <f t="shared" si="65"/>
        <v>Eif2d_34465</v>
      </c>
      <c r="J2095" s="3">
        <v>0</v>
      </c>
      <c r="K2095" s="3">
        <v>0</v>
      </c>
      <c r="L2095" s="3">
        <v>1412</v>
      </c>
      <c r="M2095" s="3">
        <v>33053</v>
      </c>
      <c r="N2095" s="3">
        <v>0</v>
      </c>
    </row>
    <row r="2096" spans="1:14" x14ac:dyDescent="0.2">
      <c r="A2096" s="5" t="str">
        <f>HYPERLINK("http://www.ncbi.nlm.nih.gov/protein/13385624","Eif2s1")</f>
        <v>Eif2s1</v>
      </c>
      <c r="B2096" s="4"/>
      <c r="C2096" s="3">
        <v>108829</v>
      </c>
      <c r="D2096" s="3">
        <v>19069</v>
      </c>
      <c r="E2096" s="3">
        <v>71608</v>
      </c>
      <c r="F2096" s="3">
        <v>302350</v>
      </c>
      <c r="G2096" s="3">
        <v>70479</v>
      </c>
      <c r="H2096" s="2">
        <f t="shared" si="64"/>
        <v>572335</v>
      </c>
      <c r="I2096" t="str">
        <f t="shared" si="65"/>
        <v>Eif2s1_572335</v>
      </c>
      <c r="J2096" s="3">
        <v>108829</v>
      </c>
      <c r="K2096" s="3">
        <v>19069</v>
      </c>
      <c r="L2096" s="3">
        <v>71608</v>
      </c>
      <c r="M2096" s="3">
        <v>302350</v>
      </c>
      <c r="N2096" s="3">
        <v>70479</v>
      </c>
    </row>
    <row r="2097" spans="1:14" x14ac:dyDescent="0.2">
      <c r="A2097" s="5" t="str">
        <f>HYPERLINK("http://www.ncbi.nlm.nih.gov/protein/14149756","Eif2s2")</f>
        <v>Eif2s2</v>
      </c>
      <c r="B2097" s="4"/>
      <c r="C2097" s="3">
        <v>4320</v>
      </c>
      <c r="D2097" s="3">
        <v>9500</v>
      </c>
      <c r="E2097" s="3">
        <v>50329</v>
      </c>
      <c r="F2097" s="3">
        <v>190282</v>
      </c>
      <c r="G2097" s="3">
        <v>15657</v>
      </c>
      <c r="H2097" s="2">
        <f t="shared" si="64"/>
        <v>270088</v>
      </c>
      <c r="I2097" t="str">
        <f t="shared" si="65"/>
        <v>Eif2s2_270088</v>
      </c>
      <c r="J2097" s="3">
        <v>4320</v>
      </c>
      <c r="K2097" s="3">
        <v>9500</v>
      </c>
      <c r="L2097" s="3">
        <v>50329</v>
      </c>
      <c r="M2097" s="3">
        <v>190282</v>
      </c>
      <c r="N2097" s="3">
        <v>15657</v>
      </c>
    </row>
    <row r="2098" spans="1:14" x14ac:dyDescent="0.2">
      <c r="A2098" s="5" t="str">
        <f>HYPERLINK("http://www.ncbi.nlm.nih.gov/protein/6753738","Eif2s3x")</f>
        <v>Eif2s3x</v>
      </c>
      <c r="B2098" s="4"/>
      <c r="C2098" s="3">
        <v>14205</v>
      </c>
      <c r="D2098" s="3">
        <v>26566</v>
      </c>
      <c r="E2098" s="3">
        <v>123403</v>
      </c>
      <c r="F2098" s="3">
        <v>186041</v>
      </c>
      <c r="G2098" s="3">
        <v>21558</v>
      </c>
      <c r="H2098" s="2">
        <f t="shared" si="64"/>
        <v>371773</v>
      </c>
      <c r="I2098" t="str">
        <f t="shared" si="65"/>
        <v>Eif2s3x_371773</v>
      </c>
      <c r="J2098" s="3">
        <v>14205</v>
      </c>
      <c r="K2098" s="3">
        <v>26566</v>
      </c>
      <c r="L2098" s="3">
        <v>123403</v>
      </c>
      <c r="M2098" s="3">
        <v>186041</v>
      </c>
      <c r="N2098" s="3">
        <v>21558</v>
      </c>
    </row>
    <row r="2099" spans="1:14" x14ac:dyDescent="0.2">
      <c r="A2099" s="5" t="str">
        <f>HYPERLINK("http://www.ncbi.nlm.nih.gov/protein/7242148","Eif2s3y")</f>
        <v>Eif2s3y</v>
      </c>
      <c r="B2099" s="4"/>
      <c r="C2099" s="3">
        <v>14205</v>
      </c>
      <c r="D2099" s="3">
        <v>17800</v>
      </c>
      <c r="E2099" s="3">
        <v>74451</v>
      </c>
      <c r="F2099" s="3">
        <v>178674</v>
      </c>
      <c r="G2099" s="3">
        <v>16546</v>
      </c>
      <c r="H2099" s="2">
        <f t="shared" si="64"/>
        <v>301676</v>
      </c>
      <c r="I2099" t="str">
        <f t="shared" si="65"/>
        <v>Eif2s3y_301676</v>
      </c>
      <c r="J2099" s="3">
        <v>14205</v>
      </c>
      <c r="K2099" s="3">
        <v>17800</v>
      </c>
      <c r="L2099" s="3">
        <v>74451</v>
      </c>
      <c r="M2099" s="3">
        <v>178674</v>
      </c>
      <c r="N2099" s="3">
        <v>16546</v>
      </c>
    </row>
    <row r="2100" spans="1:14" x14ac:dyDescent="0.2">
      <c r="A2100" s="5" t="str">
        <f>HYPERLINK("http://www.ncbi.nlm.nih.gov/protein/146219837","Eif3a")</f>
        <v>Eif3a</v>
      </c>
      <c r="B2100" s="4"/>
      <c r="C2100" s="3">
        <v>29235</v>
      </c>
      <c r="D2100" s="3">
        <v>2263</v>
      </c>
      <c r="E2100" s="3">
        <v>120737</v>
      </c>
      <c r="F2100" s="3">
        <v>680196</v>
      </c>
      <c r="G2100" s="3">
        <v>86</v>
      </c>
      <c r="H2100" s="2">
        <f t="shared" si="64"/>
        <v>832517</v>
      </c>
      <c r="I2100" t="str">
        <f t="shared" si="65"/>
        <v>Eif3a_832517</v>
      </c>
      <c r="J2100" s="3">
        <v>29235</v>
      </c>
      <c r="K2100" s="3">
        <v>2263</v>
      </c>
      <c r="L2100" s="3">
        <v>120737</v>
      </c>
      <c r="M2100" s="3">
        <v>680196</v>
      </c>
      <c r="N2100" s="3">
        <v>86</v>
      </c>
    </row>
    <row r="2101" spans="1:14" x14ac:dyDescent="0.2">
      <c r="A2101" s="5" t="str">
        <f>HYPERLINK("http://www.ncbi.nlm.nih.gov/protein/29789343","Eif3b")</f>
        <v>Eif3b</v>
      </c>
      <c r="B2101" s="4"/>
      <c r="C2101" s="3">
        <v>15926</v>
      </c>
      <c r="D2101" s="3">
        <v>3357</v>
      </c>
      <c r="E2101" s="3">
        <v>127473</v>
      </c>
      <c r="F2101" s="3">
        <v>453767</v>
      </c>
      <c r="G2101" s="3">
        <v>11373</v>
      </c>
      <c r="H2101" s="2">
        <f t="shared" si="64"/>
        <v>611896</v>
      </c>
      <c r="I2101" t="str">
        <f t="shared" si="65"/>
        <v>Eif3b_611896</v>
      </c>
      <c r="J2101" s="3">
        <v>15926</v>
      </c>
      <c r="K2101" s="3">
        <v>3357</v>
      </c>
      <c r="L2101" s="3">
        <v>127473</v>
      </c>
      <c r="M2101" s="3">
        <v>453767</v>
      </c>
      <c r="N2101" s="3">
        <v>11373</v>
      </c>
    </row>
    <row r="2102" spans="1:14" x14ac:dyDescent="0.2">
      <c r="A2102" s="5" t="str">
        <f>HYPERLINK("http://www.ncbi.nlm.nih.gov/protein/22203755","Eif3c")</f>
        <v>Eif3c</v>
      </c>
      <c r="B2102" s="4"/>
      <c r="C2102" s="3">
        <v>20796</v>
      </c>
      <c r="D2102" s="3">
        <v>12650</v>
      </c>
      <c r="E2102" s="3">
        <v>136845</v>
      </c>
      <c r="F2102" s="3">
        <v>481139</v>
      </c>
      <c r="G2102" s="3">
        <v>4980</v>
      </c>
      <c r="H2102" s="2">
        <f t="shared" si="64"/>
        <v>656410</v>
      </c>
      <c r="I2102" t="str">
        <f t="shared" si="65"/>
        <v>Eif3c_656410</v>
      </c>
      <c r="J2102" s="3">
        <v>20796</v>
      </c>
      <c r="K2102" s="3">
        <v>12650</v>
      </c>
      <c r="L2102" s="3">
        <v>136845</v>
      </c>
      <c r="M2102" s="3">
        <v>481139</v>
      </c>
      <c r="N2102" s="3">
        <v>4980</v>
      </c>
    </row>
    <row r="2103" spans="1:14" x14ac:dyDescent="0.2">
      <c r="A2103" s="5" t="str">
        <f>HYPERLINK("http://www.ncbi.nlm.nih.gov/protein/125628629","Eif3d")</f>
        <v>Eif3d</v>
      </c>
      <c r="B2103" s="4"/>
      <c r="C2103" s="3">
        <v>1995</v>
      </c>
      <c r="D2103" s="3">
        <v>12625</v>
      </c>
      <c r="E2103" s="3">
        <v>40878</v>
      </c>
      <c r="F2103" s="3">
        <v>230817</v>
      </c>
      <c r="G2103" s="3">
        <v>0</v>
      </c>
      <c r="H2103" s="2">
        <f t="shared" si="64"/>
        <v>286315</v>
      </c>
      <c r="I2103" t="str">
        <f t="shared" si="65"/>
        <v>Eif3d_286315</v>
      </c>
      <c r="J2103" s="3">
        <v>1995</v>
      </c>
      <c r="K2103" s="3">
        <v>12625</v>
      </c>
      <c r="L2103" s="3">
        <v>40878</v>
      </c>
      <c r="M2103" s="3">
        <v>230817</v>
      </c>
      <c r="N2103" s="3">
        <v>0</v>
      </c>
    </row>
    <row r="2104" spans="1:14" x14ac:dyDescent="0.2">
      <c r="A2104" s="5" t="str">
        <f>HYPERLINK("http://www.ncbi.nlm.nih.gov/protein/45476573","Eif3e")</f>
        <v>Eif3e</v>
      </c>
      <c r="B2104" s="4"/>
      <c r="C2104" s="3">
        <v>6737</v>
      </c>
      <c r="D2104" s="3">
        <v>11723</v>
      </c>
      <c r="E2104" s="3">
        <v>88190</v>
      </c>
      <c r="F2104" s="3">
        <v>150991</v>
      </c>
      <c r="G2104" s="3">
        <v>225</v>
      </c>
      <c r="H2104" s="2">
        <f t="shared" si="64"/>
        <v>257866</v>
      </c>
      <c r="I2104" t="str">
        <f t="shared" si="65"/>
        <v>Eif3e_257866</v>
      </c>
      <c r="J2104" s="3">
        <v>6737</v>
      </c>
      <c r="K2104" s="3">
        <v>11723</v>
      </c>
      <c r="L2104" s="3">
        <v>88190</v>
      </c>
      <c r="M2104" s="3">
        <v>150991</v>
      </c>
      <c r="N2104" s="3">
        <v>225</v>
      </c>
    </row>
    <row r="2105" spans="1:14" x14ac:dyDescent="0.2">
      <c r="A2105" s="5" t="str">
        <f>HYPERLINK("http://www.ncbi.nlm.nih.gov/protein/225637531","Eif3f")</f>
        <v>Eif3f</v>
      </c>
      <c r="B2105" s="4"/>
      <c r="C2105" s="3">
        <v>11405</v>
      </c>
      <c r="D2105" s="3">
        <v>10878</v>
      </c>
      <c r="E2105" s="3">
        <v>72484</v>
      </c>
      <c r="F2105" s="3">
        <v>266023</v>
      </c>
      <c r="G2105" s="3">
        <v>7207</v>
      </c>
      <c r="H2105" s="2">
        <f t="shared" si="64"/>
        <v>367997</v>
      </c>
      <c r="I2105" t="str">
        <f t="shared" si="65"/>
        <v>Eif3f_367997</v>
      </c>
      <c r="J2105" s="3">
        <v>11405</v>
      </c>
      <c r="K2105" s="3">
        <v>10878</v>
      </c>
      <c r="L2105" s="3">
        <v>72484</v>
      </c>
      <c r="M2105" s="3">
        <v>266023</v>
      </c>
      <c r="N2105" s="3">
        <v>7207</v>
      </c>
    </row>
    <row r="2106" spans="1:14" x14ac:dyDescent="0.2">
      <c r="A2106" s="5" t="str">
        <f>HYPERLINK("http://www.ncbi.nlm.nih.gov/protein/31980808","Eif3g")</f>
        <v>Eif3g</v>
      </c>
      <c r="B2106" s="4"/>
      <c r="C2106" s="3">
        <v>35770</v>
      </c>
      <c r="D2106" s="3">
        <v>11481</v>
      </c>
      <c r="E2106" s="3">
        <v>30837</v>
      </c>
      <c r="F2106" s="3">
        <v>123537</v>
      </c>
      <c r="G2106" s="3">
        <v>1692</v>
      </c>
      <c r="H2106" s="2">
        <f t="shared" si="64"/>
        <v>203317</v>
      </c>
      <c r="I2106" t="str">
        <f t="shared" si="65"/>
        <v>Eif3g_203317</v>
      </c>
      <c r="J2106" s="3">
        <v>35770</v>
      </c>
      <c r="K2106" s="3">
        <v>11481</v>
      </c>
      <c r="L2106" s="3">
        <v>30837</v>
      </c>
      <c r="M2106" s="3">
        <v>123537</v>
      </c>
      <c r="N2106" s="3">
        <v>1692</v>
      </c>
    </row>
    <row r="2107" spans="1:14" x14ac:dyDescent="0.2">
      <c r="A2107" s="5" t="str">
        <f>HYPERLINK("http://www.ncbi.nlm.nih.gov/protein/18079341","Eif3h")</f>
        <v>Eif3h</v>
      </c>
      <c r="B2107" s="4"/>
      <c r="C2107" s="3">
        <v>13254</v>
      </c>
      <c r="D2107" s="3">
        <v>184</v>
      </c>
      <c r="E2107" s="3">
        <v>29280</v>
      </c>
      <c r="F2107" s="3">
        <v>256519</v>
      </c>
      <c r="G2107" s="3">
        <v>4637</v>
      </c>
      <c r="H2107" s="2">
        <f t="shared" si="64"/>
        <v>303874</v>
      </c>
      <c r="I2107" t="str">
        <f t="shared" si="65"/>
        <v>Eif3h_303874</v>
      </c>
      <c r="J2107" s="3">
        <v>13254</v>
      </c>
      <c r="K2107" s="3">
        <v>184</v>
      </c>
      <c r="L2107" s="3">
        <v>29280</v>
      </c>
      <c r="M2107" s="3">
        <v>256519</v>
      </c>
      <c r="N2107" s="3">
        <v>4637</v>
      </c>
    </row>
    <row r="2108" spans="1:14" x14ac:dyDescent="0.2">
      <c r="A2108" s="5" t="str">
        <f>HYPERLINK("http://www.ncbi.nlm.nih.gov/protein/9055370","Eif3i")</f>
        <v>Eif3i</v>
      </c>
      <c r="B2108" s="4"/>
      <c r="C2108" s="3">
        <v>8183</v>
      </c>
      <c r="D2108" s="3">
        <v>6926</v>
      </c>
      <c r="E2108" s="3">
        <v>50016</v>
      </c>
      <c r="F2108" s="3">
        <v>205147</v>
      </c>
      <c r="G2108" s="3">
        <v>4348</v>
      </c>
      <c r="H2108" s="2">
        <f t="shared" si="64"/>
        <v>274620</v>
      </c>
      <c r="I2108" t="str">
        <f t="shared" si="65"/>
        <v>Eif3i_274620</v>
      </c>
      <c r="J2108" s="3">
        <v>8183</v>
      </c>
      <c r="K2108" s="3">
        <v>6926</v>
      </c>
      <c r="L2108" s="3">
        <v>50016</v>
      </c>
      <c r="M2108" s="3">
        <v>205147</v>
      </c>
      <c r="N2108" s="3">
        <v>4348</v>
      </c>
    </row>
    <row r="2109" spans="1:14" x14ac:dyDescent="0.2">
      <c r="A2109" s="5" t="str">
        <f>HYPERLINK("http://www.ncbi.nlm.nih.gov/protein/124244040","Eif3j1")</f>
        <v>Eif3j1</v>
      </c>
      <c r="B2109" s="4"/>
      <c r="C2109" s="3">
        <v>0</v>
      </c>
      <c r="D2109" s="3">
        <v>1609</v>
      </c>
      <c r="E2109" s="3">
        <v>17618</v>
      </c>
      <c r="F2109" s="3">
        <v>93160</v>
      </c>
      <c r="G2109" s="3">
        <v>0</v>
      </c>
      <c r="H2109" s="2">
        <f t="shared" si="64"/>
        <v>112387</v>
      </c>
      <c r="I2109" t="str">
        <f t="shared" si="65"/>
        <v>Eif3j1_112387</v>
      </c>
      <c r="J2109" s="3">
        <v>0</v>
      </c>
      <c r="K2109" s="3">
        <v>1609</v>
      </c>
      <c r="L2109" s="3">
        <v>17618</v>
      </c>
      <c r="M2109" s="3">
        <v>93160</v>
      </c>
      <c r="N2109" s="3">
        <v>0</v>
      </c>
    </row>
    <row r="2110" spans="1:14" x14ac:dyDescent="0.2">
      <c r="A2110" s="5" t="str">
        <f>HYPERLINK("http://www.ncbi.nlm.nih.gov/protein/365906249","Eif3j2")</f>
        <v>Eif3j2</v>
      </c>
      <c r="B2110" s="4"/>
      <c r="C2110" s="3">
        <v>0</v>
      </c>
      <c r="D2110" s="3">
        <v>1609</v>
      </c>
      <c r="E2110" s="3">
        <v>17618</v>
      </c>
      <c r="F2110" s="3">
        <v>93160</v>
      </c>
      <c r="G2110" s="3">
        <v>0</v>
      </c>
      <c r="H2110" s="2">
        <f t="shared" si="64"/>
        <v>112387</v>
      </c>
      <c r="I2110" t="str">
        <f t="shared" si="65"/>
        <v>Eif3j2_112387</v>
      </c>
      <c r="J2110" s="3">
        <v>0</v>
      </c>
      <c r="K2110" s="3">
        <v>1609</v>
      </c>
      <c r="L2110" s="3">
        <v>17618</v>
      </c>
      <c r="M2110" s="3">
        <v>93160</v>
      </c>
      <c r="N2110" s="3">
        <v>0</v>
      </c>
    </row>
    <row r="2111" spans="1:14" x14ac:dyDescent="0.2">
      <c r="A2111" s="5" t="str">
        <f>HYPERLINK("http://www.ncbi.nlm.nih.gov/protein/552953694","Eif3k")</f>
        <v>Eif3k</v>
      </c>
      <c r="B2111" s="4"/>
      <c r="C2111" s="3">
        <v>1446</v>
      </c>
      <c r="D2111" s="3">
        <v>0</v>
      </c>
      <c r="E2111" s="3">
        <v>0</v>
      </c>
      <c r="F2111" s="3">
        <v>0</v>
      </c>
      <c r="G2111" s="3">
        <v>0</v>
      </c>
      <c r="H2111" s="2">
        <f t="shared" si="64"/>
        <v>1446</v>
      </c>
      <c r="I2111" t="str">
        <f t="shared" si="65"/>
        <v>Eif3k_1446</v>
      </c>
      <c r="J2111" s="3">
        <v>1446</v>
      </c>
      <c r="K2111" s="3">
        <v>0</v>
      </c>
      <c r="L2111" s="3">
        <v>0</v>
      </c>
      <c r="M2111" s="3">
        <v>0</v>
      </c>
      <c r="N2111" s="3">
        <v>0</v>
      </c>
    </row>
    <row r="2112" spans="1:14" x14ac:dyDescent="0.2">
      <c r="A2112" s="5" t="str">
        <f>HYPERLINK("http://www.ncbi.nlm.nih.gov/protein/553727155","Eif3k")</f>
        <v>Eif3k</v>
      </c>
      <c r="B2112" s="4"/>
      <c r="C2112" s="3">
        <v>1446</v>
      </c>
      <c r="D2112" s="3">
        <v>0</v>
      </c>
      <c r="E2112" s="3">
        <v>0</v>
      </c>
      <c r="F2112" s="3">
        <v>0</v>
      </c>
      <c r="G2112" s="3">
        <v>0</v>
      </c>
      <c r="H2112" s="2">
        <f t="shared" si="64"/>
        <v>1446</v>
      </c>
      <c r="I2112" t="str">
        <f t="shared" si="65"/>
        <v>Eif3k_1446</v>
      </c>
      <c r="J2112" s="3">
        <v>1446</v>
      </c>
      <c r="K2112" s="3">
        <v>0</v>
      </c>
      <c r="L2112" s="3">
        <v>0</v>
      </c>
      <c r="M2112" s="3">
        <v>0</v>
      </c>
      <c r="N2112" s="3">
        <v>0</v>
      </c>
    </row>
    <row r="2113" spans="1:14" x14ac:dyDescent="0.2">
      <c r="A2113" s="5" t="str">
        <f>HYPERLINK("http://www.ncbi.nlm.nih.gov/protein/21312044","Eif3k")</f>
        <v>Eif3k</v>
      </c>
      <c r="B2113" s="4"/>
      <c r="C2113" s="3">
        <v>7597</v>
      </c>
      <c r="D2113" s="3">
        <v>8350</v>
      </c>
      <c r="E2113" s="3">
        <v>20754</v>
      </c>
      <c r="F2113" s="3">
        <v>56178</v>
      </c>
      <c r="G2113" s="3">
        <v>2420</v>
      </c>
      <c r="H2113" s="2">
        <f t="shared" si="64"/>
        <v>95299</v>
      </c>
      <c r="I2113" t="str">
        <f t="shared" si="65"/>
        <v>Eif3k_95299</v>
      </c>
      <c r="J2113" s="3">
        <v>7597</v>
      </c>
      <c r="K2113" s="3">
        <v>8350</v>
      </c>
      <c r="L2113" s="3">
        <v>20754</v>
      </c>
      <c r="M2113" s="3">
        <v>56178</v>
      </c>
      <c r="N2113" s="3">
        <v>2420</v>
      </c>
    </row>
    <row r="2114" spans="1:14" x14ac:dyDescent="0.2">
      <c r="A2114" s="5" t="str">
        <f>HYPERLINK("http://www.ncbi.nlm.nih.gov/protein/51093840","Eif3l")</f>
        <v>Eif3l</v>
      </c>
      <c r="B2114" s="4"/>
      <c r="C2114" s="3">
        <v>46992</v>
      </c>
      <c r="D2114" s="3">
        <v>17120</v>
      </c>
      <c r="E2114" s="3">
        <v>122843</v>
      </c>
      <c r="F2114" s="3">
        <v>310888</v>
      </c>
      <c r="G2114" s="3">
        <v>1821</v>
      </c>
      <c r="H2114" s="2">
        <f t="shared" ref="H2114:H2177" si="66">SUM(C2114:G2114)</f>
        <v>499664</v>
      </c>
      <c r="I2114" t="str">
        <f t="shared" ref="I2114:I2177" si="67">A2114&amp;"_"&amp;H2114</f>
        <v>Eif3l_499664</v>
      </c>
      <c r="J2114" s="3">
        <v>46992</v>
      </c>
      <c r="K2114" s="3">
        <v>17120</v>
      </c>
      <c r="L2114" s="3">
        <v>122843</v>
      </c>
      <c r="M2114" s="3">
        <v>310888</v>
      </c>
      <c r="N2114" s="3">
        <v>1821</v>
      </c>
    </row>
    <row r="2115" spans="1:14" x14ac:dyDescent="0.2">
      <c r="A2115" s="5" t="str">
        <f>HYPERLINK("http://www.ncbi.nlm.nih.gov/protein/21703762","Eif3m")</f>
        <v>Eif3m</v>
      </c>
      <c r="B2115" s="4"/>
      <c r="C2115" s="3">
        <v>10050</v>
      </c>
      <c r="D2115" s="3">
        <v>589</v>
      </c>
      <c r="E2115" s="3">
        <v>29236</v>
      </c>
      <c r="F2115" s="3">
        <v>183578</v>
      </c>
      <c r="G2115" s="3">
        <v>7025</v>
      </c>
      <c r="H2115" s="2">
        <f t="shared" si="66"/>
        <v>230478</v>
      </c>
      <c r="I2115" t="str">
        <f t="shared" si="67"/>
        <v>Eif3m_230478</v>
      </c>
      <c r="J2115" s="3">
        <v>10050</v>
      </c>
      <c r="K2115" s="3">
        <v>589</v>
      </c>
      <c r="L2115" s="3">
        <v>29236</v>
      </c>
      <c r="M2115" s="3">
        <v>183578</v>
      </c>
      <c r="N2115" s="3">
        <v>7025</v>
      </c>
    </row>
    <row r="2116" spans="1:14" x14ac:dyDescent="0.2">
      <c r="A2116" s="5" t="str">
        <f>HYPERLINK("http://www.ncbi.nlm.nih.gov/protein/21450625","Eif4a1")</f>
        <v>Eif4a1</v>
      </c>
      <c r="B2116" s="4"/>
      <c r="C2116" s="3">
        <v>406778</v>
      </c>
      <c r="D2116" s="3">
        <v>117318</v>
      </c>
      <c r="E2116" s="3">
        <v>286713</v>
      </c>
      <c r="F2116" s="3">
        <v>594878</v>
      </c>
      <c r="G2116" s="3">
        <v>678415</v>
      </c>
      <c r="H2116" s="2">
        <f t="shared" si="66"/>
        <v>2084102</v>
      </c>
      <c r="I2116" t="str">
        <f t="shared" si="67"/>
        <v>Eif4a1_2084102</v>
      </c>
      <c r="J2116" s="3">
        <v>406778</v>
      </c>
      <c r="K2116" s="3">
        <v>117318</v>
      </c>
      <c r="L2116" s="3">
        <v>286713</v>
      </c>
      <c r="M2116" s="3">
        <v>594878</v>
      </c>
      <c r="N2116" s="3">
        <v>678415</v>
      </c>
    </row>
    <row r="2117" spans="1:14" x14ac:dyDescent="0.2">
      <c r="A2117" s="5" t="str">
        <f>HYPERLINK("http://www.ncbi.nlm.nih.gov/protein/226823309","Eif4a1")</f>
        <v>Eif4a1</v>
      </c>
      <c r="B2117" s="4"/>
      <c r="C2117" s="3">
        <v>396929</v>
      </c>
      <c r="D2117" s="3">
        <v>111532</v>
      </c>
      <c r="E2117" s="3">
        <v>235153</v>
      </c>
      <c r="F2117" s="3">
        <v>495554</v>
      </c>
      <c r="G2117" s="3">
        <v>617981</v>
      </c>
      <c r="H2117" s="2">
        <f t="shared" si="66"/>
        <v>1857149</v>
      </c>
      <c r="I2117" t="str">
        <f t="shared" si="67"/>
        <v>Eif4a1_1857149</v>
      </c>
      <c r="J2117" s="3">
        <v>396929</v>
      </c>
      <c r="K2117" s="3">
        <v>111532</v>
      </c>
      <c r="L2117" s="3">
        <v>235153</v>
      </c>
      <c r="M2117" s="3">
        <v>495554</v>
      </c>
      <c r="N2117" s="3">
        <v>617981</v>
      </c>
    </row>
    <row r="2118" spans="1:14" x14ac:dyDescent="0.2">
      <c r="A2118" s="5" t="str">
        <f>HYPERLINK("http://www.ncbi.nlm.nih.gov/protein/176865892","Eif4a2")</f>
        <v>Eif4a2</v>
      </c>
      <c r="B2118" s="4"/>
      <c r="C2118" s="3">
        <v>381351</v>
      </c>
      <c r="D2118" s="3">
        <v>104781</v>
      </c>
      <c r="E2118" s="3">
        <v>150583</v>
      </c>
      <c r="F2118" s="3">
        <v>303013</v>
      </c>
      <c r="G2118" s="3">
        <v>368054</v>
      </c>
      <c r="H2118" s="2">
        <f t="shared" si="66"/>
        <v>1307782</v>
      </c>
      <c r="I2118" t="str">
        <f t="shared" si="67"/>
        <v>Eif4a2_1307782</v>
      </c>
      <c r="J2118" s="3">
        <v>381351</v>
      </c>
      <c r="K2118" s="3">
        <v>104781</v>
      </c>
      <c r="L2118" s="3">
        <v>150583</v>
      </c>
      <c r="M2118" s="3">
        <v>303013</v>
      </c>
      <c r="N2118" s="3">
        <v>368054</v>
      </c>
    </row>
    <row r="2119" spans="1:14" x14ac:dyDescent="0.2">
      <c r="A2119" s="5" t="str">
        <f>HYPERLINK("http://www.ncbi.nlm.nih.gov/protein/176865998","Eif4a2")</f>
        <v>Eif4a2</v>
      </c>
      <c r="B2119" s="4"/>
      <c r="C2119" s="3">
        <v>181028</v>
      </c>
      <c r="D2119" s="3">
        <v>67155</v>
      </c>
      <c r="E2119" s="3">
        <v>90997</v>
      </c>
      <c r="F2119" s="3">
        <v>181056</v>
      </c>
      <c r="G2119" s="3">
        <v>256782</v>
      </c>
      <c r="H2119" s="2">
        <f t="shared" si="66"/>
        <v>777018</v>
      </c>
      <c r="I2119" t="str">
        <f t="shared" si="67"/>
        <v>Eif4a2_777018</v>
      </c>
      <c r="J2119" s="3">
        <v>181028</v>
      </c>
      <c r="K2119" s="3">
        <v>67155</v>
      </c>
      <c r="L2119" s="3">
        <v>90997</v>
      </c>
      <c r="M2119" s="3">
        <v>181056</v>
      </c>
      <c r="N2119" s="3">
        <v>256782</v>
      </c>
    </row>
    <row r="2120" spans="1:14" x14ac:dyDescent="0.2">
      <c r="A2120" s="5" t="str">
        <f>HYPERLINK("http://www.ncbi.nlm.nih.gov/protein/176866061","Eif4a2")</f>
        <v>Eif4a2</v>
      </c>
      <c r="B2120" s="4"/>
      <c r="C2120" s="3">
        <v>377708</v>
      </c>
      <c r="D2120" s="3">
        <v>99848</v>
      </c>
      <c r="E2120" s="3">
        <v>143776</v>
      </c>
      <c r="F2120" s="3">
        <v>288263</v>
      </c>
      <c r="G2120" s="3">
        <v>344782</v>
      </c>
      <c r="H2120" s="2">
        <f t="shared" si="66"/>
        <v>1254377</v>
      </c>
      <c r="I2120" t="str">
        <f t="shared" si="67"/>
        <v>Eif4a2_1254377</v>
      </c>
      <c r="J2120" s="3">
        <v>377708</v>
      </c>
      <c r="K2120" s="3">
        <v>99848</v>
      </c>
      <c r="L2120" s="3">
        <v>143776</v>
      </c>
      <c r="M2120" s="3">
        <v>288263</v>
      </c>
      <c r="N2120" s="3">
        <v>344782</v>
      </c>
    </row>
    <row r="2121" spans="1:14" x14ac:dyDescent="0.2">
      <c r="A2121" s="5" t="str">
        <f>HYPERLINK("http://www.ncbi.nlm.nih.gov/protein/20149756","Eif4a3")</f>
        <v>Eif4a3</v>
      </c>
      <c r="B2121" s="4"/>
      <c r="C2121" s="3">
        <v>197375</v>
      </c>
      <c r="D2121" s="3">
        <v>38924</v>
      </c>
      <c r="E2121" s="3">
        <v>79117</v>
      </c>
      <c r="F2121" s="3">
        <v>74243</v>
      </c>
      <c r="G2121" s="3">
        <v>49649</v>
      </c>
      <c r="H2121" s="2">
        <f t="shared" si="66"/>
        <v>439308</v>
      </c>
      <c r="I2121" t="str">
        <f t="shared" si="67"/>
        <v>Eif4a3_439308</v>
      </c>
      <c r="J2121" s="3">
        <v>197375</v>
      </c>
      <c r="K2121" s="3">
        <v>38924</v>
      </c>
      <c r="L2121" s="3">
        <v>79117</v>
      </c>
      <c r="M2121" s="3">
        <v>74243</v>
      </c>
      <c r="N2121" s="3">
        <v>49649</v>
      </c>
    </row>
    <row r="2122" spans="1:14" x14ac:dyDescent="0.2">
      <c r="A2122" s="5" t="str">
        <f>HYPERLINK("http://www.ncbi.nlm.nih.gov/protein/167234372","Eif4b")</f>
        <v>Eif4b</v>
      </c>
      <c r="B2122" s="4"/>
      <c r="C2122" s="3">
        <v>2984</v>
      </c>
      <c r="D2122" s="3">
        <v>647</v>
      </c>
      <c r="E2122" s="3">
        <v>6703</v>
      </c>
      <c r="F2122" s="3">
        <v>31302</v>
      </c>
      <c r="G2122" s="3">
        <v>79197</v>
      </c>
      <c r="H2122" s="2">
        <f t="shared" si="66"/>
        <v>120833</v>
      </c>
      <c r="I2122" t="str">
        <f t="shared" si="67"/>
        <v>Eif4b_120833</v>
      </c>
      <c r="J2122" s="3">
        <v>2984</v>
      </c>
      <c r="K2122" s="3">
        <v>647</v>
      </c>
      <c r="L2122" s="3">
        <v>6703</v>
      </c>
      <c r="M2122" s="3">
        <v>31302</v>
      </c>
      <c r="N2122" s="3">
        <v>79197</v>
      </c>
    </row>
    <row r="2123" spans="1:14" x14ac:dyDescent="0.2">
      <c r="A2123" s="5" t="str">
        <f>HYPERLINK("http://www.ncbi.nlm.nih.gov/protein/83627717","Eif4e")</f>
        <v>Eif4e</v>
      </c>
      <c r="B2123" s="4"/>
      <c r="C2123" s="3">
        <v>6224</v>
      </c>
      <c r="D2123" s="3">
        <v>5286</v>
      </c>
      <c r="E2123" s="3">
        <v>15287</v>
      </c>
      <c r="F2123" s="3">
        <v>18557</v>
      </c>
      <c r="G2123" s="3">
        <v>59684</v>
      </c>
      <c r="H2123" s="2">
        <f t="shared" si="66"/>
        <v>105038</v>
      </c>
      <c r="I2123" t="str">
        <f t="shared" si="67"/>
        <v>Eif4e_105038</v>
      </c>
      <c r="J2123" s="3">
        <v>6224</v>
      </c>
      <c r="K2123" s="3">
        <v>5286</v>
      </c>
      <c r="L2123" s="3">
        <v>15287</v>
      </c>
      <c r="M2123" s="3">
        <v>18557</v>
      </c>
      <c r="N2123" s="3">
        <v>59684</v>
      </c>
    </row>
    <row r="2124" spans="1:14" x14ac:dyDescent="0.2">
      <c r="A2124" s="5" t="str">
        <f>HYPERLINK("http://www.ncbi.nlm.nih.gov/protein/85677506","Eif4e2")</f>
        <v>Eif4e2</v>
      </c>
      <c r="B2124" s="4"/>
      <c r="C2124" s="3">
        <v>0</v>
      </c>
      <c r="D2124" s="3">
        <v>555</v>
      </c>
      <c r="E2124" s="3">
        <v>3947</v>
      </c>
      <c r="F2124" s="3">
        <v>8636</v>
      </c>
      <c r="G2124" s="3">
        <v>1596</v>
      </c>
      <c r="H2124" s="2">
        <f t="shared" si="66"/>
        <v>14734</v>
      </c>
      <c r="I2124" t="str">
        <f t="shared" si="67"/>
        <v>Eif4e2_14734</v>
      </c>
      <c r="J2124" s="3">
        <v>0</v>
      </c>
      <c r="K2124" s="3">
        <v>555</v>
      </c>
      <c r="L2124" s="3">
        <v>3947</v>
      </c>
      <c r="M2124" s="3">
        <v>8636</v>
      </c>
      <c r="N2124" s="3">
        <v>1596</v>
      </c>
    </row>
    <row r="2125" spans="1:14" x14ac:dyDescent="0.2">
      <c r="A2125" s="5" t="str">
        <f>HYPERLINK("http://www.ncbi.nlm.nih.gov/protein/85677508","Eif4e2")</f>
        <v>Eif4e2</v>
      </c>
      <c r="B2125" s="4"/>
      <c r="C2125" s="3">
        <v>0</v>
      </c>
      <c r="D2125" s="3">
        <v>578</v>
      </c>
      <c r="E2125" s="3">
        <v>3996</v>
      </c>
      <c r="F2125" s="3">
        <v>8439</v>
      </c>
      <c r="G2125" s="3">
        <v>1596</v>
      </c>
      <c r="H2125" s="2">
        <f t="shared" si="66"/>
        <v>14609</v>
      </c>
      <c r="I2125" t="str">
        <f t="shared" si="67"/>
        <v>Eif4e2_14609</v>
      </c>
      <c r="J2125" s="3">
        <v>0</v>
      </c>
      <c r="K2125" s="3">
        <v>578</v>
      </c>
      <c r="L2125" s="3">
        <v>3996</v>
      </c>
      <c r="M2125" s="3">
        <v>8439</v>
      </c>
      <c r="N2125" s="3">
        <v>1596</v>
      </c>
    </row>
    <row r="2126" spans="1:14" x14ac:dyDescent="0.2">
      <c r="A2126" s="5" t="str">
        <f>HYPERLINK("http://www.ncbi.nlm.nih.gov/protein/85677510","Eif4e2")</f>
        <v>Eif4e2</v>
      </c>
      <c r="B2126" s="4"/>
      <c r="C2126" s="3">
        <v>0</v>
      </c>
      <c r="D2126" s="3">
        <v>591</v>
      </c>
      <c r="E2126" s="3">
        <v>3996</v>
      </c>
      <c r="F2126" s="3">
        <v>8849</v>
      </c>
      <c r="G2126" s="3">
        <v>1596</v>
      </c>
      <c r="H2126" s="2">
        <f t="shared" si="66"/>
        <v>15032</v>
      </c>
      <c r="I2126" t="str">
        <f t="shared" si="67"/>
        <v>Eif4e2_15032</v>
      </c>
      <c r="J2126" s="3">
        <v>0</v>
      </c>
      <c r="K2126" s="3">
        <v>591</v>
      </c>
      <c r="L2126" s="3">
        <v>3996</v>
      </c>
      <c r="M2126" s="3">
        <v>8849</v>
      </c>
      <c r="N2126" s="3">
        <v>1596</v>
      </c>
    </row>
    <row r="2127" spans="1:14" x14ac:dyDescent="0.2">
      <c r="A2127" s="5" t="str">
        <f>HYPERLINK("http://www.ncbi.nlm.nih.gov/protein/6753742","Eif4ebp2")</f>
        <v>Eif4ebp2</v>
      </c>
      <c r="B2127" s="4"/>
      <c r="C2127" s="3">
        <v>0</v>
      </c>
      <c r="D2127" s="3">
        <v>0</v>
      </c>
      <c r="E2127" s="3">
        <v>0</v>
      </c>
      <c r="F2127" s="3">
        <v>0</v>
      </c>
      <c r="G2127" s="3">
        <v>5537</v>
      </c>
      <c r="H2127" s="2">
        <f t="shared" si="66"/>
        <v>5537</v>
      </c>
      <c r="I2127" t="str">
        <f t="shared" si="67"/>
        <v>Eif4ebp2_5537</v>
      </c>
      <c r="J2127" s="3">
        <v>0</v>
      </c>
      <c r="K2127" s="3">
        <v>0</v>
      </c>
      <c r="L2127" s="3">
        <v>0</v>
      </c>
      <c r="M2127" s="3">
        <v>0</v>
      </c>
      <c r="N2127" s="3">
        <v>5537</v>
      </c>
    </row>
    <row r="2128" spans="1:14" x14ac:dyDescent="0.2">
      <c r="A2128" s="5" t="str">
        <f>HYPERLINK("http://www.ncbi.nlm.nih.gov/protein/56699432","Eif4g1")</f>
        <v>Eif4g1</v>
      </c>
      <c r="B2128" s="4"/>
      <c r="C2128" s="3">
        <v>92</v>
      </c>
      <c r="D2128" s="3">
        <v>5730</v>
      </c>
      <c r="E2128" s="3">
        <v>70608</v>
      </c>
      <c r="F2128" s="3">
        <v>134620</v>
      </c>
      <c r="G2128" s="3">
        <v>63593</v>
      </c>
      <c r="H2128" s="2">
        <f t="shared" si="66"/>
        <v>274643</v>
      </c>
      <c r="I2128" t="str">
        <f t="shared" si="67"/>
        <v>Eif4g1_274643</v>
      </c>
      <c r="J2128" s="3">
        <v>92</v>
      </c>
      <c r="K2128" s="3">
        <v>5730</v>
      </c>
      <c r="L2128" s="3">
        <v>70608</v>
      </c>
      <c r="M2128" s="3">
        <v>134620</v>
      </c>
      <c r="N2128" s="3">
        <v>63593</v>
      </c>
    </row>
    <row r="2129" spans="1:14" x14ac:dyDescent="0.2">
      <c r="A2129" s="5" t="str">
        <f>HYPERLINK("http://www.ncbi.nlm.nih.gov/protein/56699434","Eif4g1")</f>
        <v>Eif4g1</v>
      </c>
      <c r="B2129" s="4"/>
      <c r="C2129" s="3">
        <v>92</v>
      </c>
      <c r="D2129" s="3">
        <v>5730</v>
      </c>
      <c r="E2129" s="3">
        <v>70608</v>
      </c>
      <c r="F2129" s="3">
        <v>134620</v>
      </c>
      <c r="G2129" s="3">
        <v>63593</v>
      </c>
      <c r="H2129" s="2">
        <f t="shared" si="66"/>
        <v>274643</v>
      </c>
      <c r="I2129" t="str">
        <f t="shared" si="67"/>
        <v>Eif4g1_274643</v>
      </c>
      <c r="J2129" s="3">
        <v>92</v>
      </c>
      <c r="K2129" s="3">
        <v>5730</v>
      </c>
      <c r="L2129" s="3">
        <v>70608</v>
      </c>
      <c r="M2129" s="3">
        <v>134620</v>
      </c>
      <c r="N2129" s="3">
        <v>63593</v>
      </c>
    </row>
    <row r="2130" spans="1:14" x14ac:dyDescent="0.2">
      <c r="A2130" s="5" t="str">
        <f>HYPERLINK("http://www.ncbi.nlm.nih.gov/protein/110630015","Eif4g2")</f>
        <v>Eif4g2</v>
      </c>
      <c r="B2130" s="4"/>
      <c r="C2130" s="3">
        <v>1281</v>
      </c>
      <c r="D2130" s="3">
        <v>1785</v>
      </c>
      <c r="E2130" s="3">
        <v>28628</v>
      </c>
      <c r="F2130" s="3">
        <v>9872</v>
      </c>
      <c r="G2130" s="3">
        <v>3234</v>
      </c>
      <c r="H2130" s="2">
        <f t="shared" si="66"/>
        <v>44800</v>
      </c>
      <c r="I2130" t="str">
        <f t="shared" si="67"/>
        <v>Eif4g2_44800</v>
      </c>
      <c r="J2130" s="3">
        <v>1281</v>
      </c>
      <c r="K2130" s="3">
        <v>1785</v>
      </c>
      <c r="L2130" s="3">
        <v>28628</v>
      </c>
      <c r="M2130" s="3">
        <v>9872</v>
      </c>
      <c r="N2130" s="3">
        <v>3234</v>
      </c>
    </row>
    <row r="2131" spans="1:14" x14ac:dyDescent="0.2">
      <c r="A2131" s="5" t="str">
        <f>HYPERLINK("http://www.ncbi.nlm.nih.gov/protein/34486094","Eif4g2")</f>
        <v>Eif4g2</v>
      </c>
      <c r="B2131" s="4"/>
      <c r="C2131" s="3">
        <v>1281</v>
      </c>
      <c r="D2131" s="3">
        <v>1785</v>
      </c>
      <c r="E2131" s="3">
        <v>28644</v>
      </c>
      <c r="F2131" s="3">
        <v>10289</v>
      </c>
      <c r="G2131" s="3">
        <v>3234</v>
      </c>
      <c r="H2131" s="2">
        <f t="shared" si="66"/>
        <v>45233</v>
      </c>
      <c r="I2131" t="str">
        <f t="shared" si="67"/>
        <v>Eif4g2_45233</v>
      </c>
      <c r="J2131" s="3">
        <v>1281</v>
      </c>
      <c r="K2131" s="3">
        <v>1785</v>
      </c>
      <c r="L2131" s="3">
        <v>28644</v>
      </c>
      <c r="M2131" s="3">
        <v>10289</v>
      </c>
      <c r="N2131" s="3">
        <v>3234</v>
      </c>
    </row>
    <row r="2132" spans="1:14" x14ac:dyDescent="0.2">
      <c r="A2132" s="5" t="str">
        <f>HYPERLINK("http://www.ncbi.nlm.nih.gov/protein/371875676","Eif4g3")</f>
        <v>Eif4g3</v>
      </c>
      <c r="B2132" s="4"/>
      <c r="C2132" s="3">
        <v>0</v>
      </c>
      <c r="D2132" s="3">
        <v>505</v>
      </c>
      <c r="E2132" s="3">
        <v>12352</v>
      </c>
      <c r="F2132" s="3">
        <v>13015</v>
      </c>
      <c r="G2132" s="3">
        <v>5880</v>
      </c>
      <c r="H2132" s="2">
        <f t="shared" si="66"/>
        <v>31752</v>
      </c>
      <c r="I2132" t="str">
        <f t="shared" si="67"/>
        <v>Eif4g3_31752</v>
      </c>
      <c r="J2132" s="3">
        <v>0</v>
      </c>
      <c r="K2132" s="3">
        <v>505</v>
      </c>
      <c r="L2132" s="3">
        <v>12352</v>
      </c>
      <c r="M2132" s="3">
        <v>13015</v>
      </c>
      <c r="N2132" s="3">
        <v>5880</v>
      </c>
    </row>
    <row r="2133" spans="1:14" x14ac:dyDescent="0.2">
      <c r="A2133" s="5" t="str">
        <f>HYPERLINK("http://www.ncbi.nlm.nih.gov/protein/371876057","Eif4g3")</f>
        <v>Eif4g3</v>
      </c>
      <c r="B2133" s="4"/>
      <c r="C2133" s="3">
        <v>0</v>
      </c>
      <c r="D2133" s="3">
        <v>505</v>
      </c>
      <c r="E2133" s="3">
        <v>12287</v>
      </c>
      <c r="F2133" s="3">
        <v>13015</v>
      </c>
      <c r="G2133" s="3">
        <v>5880</v>
      </c>
      <c r="H2133" s="2">
        <f t="shared" si="66"/>
        <v>31687</v>
      </c>
      <c r="I2133" t="str">
        <f t="shared" si="67"/>
        <v>Eif4g3_31687</v>
      </c>
      <c r="J2133" s="3">
        <v>0</v>
      </c>
      <c r="K2133" s="3">
        <v>505</v>
      </c>
      <c r="L2133" s="3">
        <v>12287</v>
      </c>
      <c r="M2133" s="3">
        <v>13015</v>
      </c>
      <c r="N2133" s="3">
        <v>5880</v>
      </c>
    </row>
    <row r="2134" spans="1:14" x14ac:dyDescent="0.2">
      <c r="A2134" s="5" t="str">
        <f>HYPERLINK("http://www.ncbi.nlm.nih.gov/protein/50838806","Eif4g3")</f>
        <v>Eif4g3</v>
      </c>
      <c r="B2134" s="4"/>
      <c r="C2134" s="3">
        <v>0</v>
      </c>
      <c r="D2134" s="3">
        <v>505</v>
      </c>
      <c r="E2134" s="3">
        <v>12352</v>
      </c>
      <c r="F2134" s="3">
        <v>13015</v>
      </c>
      <c r="G2134" s="3">
        <v>5880</v>
      </c>
      <c r="H2134" s="2">
        <f t="shared" si="66"/>
        <v>31752</v>
      </c>
      <c r="I2134" t="str">
        <f t="shared" si="67"/>
        <v>Eif4g3_31752</v>
      </c>
      <c r="J2134" s="3">
        <v>0</v>
      </c>
      <c r="K2134" s="3">
        <v>505</v>
      </c>
      <c r="L2134" s="3">
        <v>12352</v>
      </c>
      <c r="M2134" s="3">
        <v>13015</v>
      </c>
      <c r="N2134" s="3">
        <v>5880</v>
      </c>
    </row>
    <row r="2135" spans="1:14" x14ac:dyDescent="0.2">
      <c r="A2135" s="5" t="str">
        <f>HYPERLINK("http://www.ncbi.nlm.nih.gov/protein/15808988","Eif4h")</f>
        <v>Eif4h</v>
      </c>
      <c r="B2135" s="4"/>
      <c r="C2135" s="3">
        <v>110</v>
      </c>
      <c r="D2135" s="3">
        <v>612</v>
      </c>
      <c r="E2135" s="3">
        <v>2378</v>
      </c>
      <c r="F2135" s="3">
        <v>4682</v>
      </c>
      <c r="G2135" s="3">
        <v>56086</v>
      </c>
      <c r="H2135" s="2">
        <f t="shared" si="66"/>
        <v>63868</v>
      </c>
      <c r="I2135" t="str">
        <f t="shared" si="67"/>
        <v>Eif4h_63868</v>
      </c>
      <c r="J2135" s="3">
        <v>110</v>
      </c>
      <c r="K2135" s="3">
        <v>612</v>
      </c>
      <c r="L2135" s="3">
        <v>2378</v>
      </c>
      <c r="M2135" s="3">
        <v>4682</v>
      </c>
      <c r="N2135" s="3">
        <v>56086</v>
      </c>
    </row>
    <row r="2136" spans="1:14" x14ac:dyDescent="0.2">
      <c r="A2136" s="5" t="str">
        <f>HYPERLINK("http://www.ncbi.nlm.nih.gov/protein/262359891","Eif5a")</f>
        <v>Eif5a</v>
      </c>
      <c r="B2136" s="4"/>
      <c r="C2136" s="3">
        <v>34836</v>
      </c>
      <c r="D2136" s="3">
        <v>0</v>
      </c>
      <c r="E2136" s="3">
        <v>0</v>
      </c>
      <c r="F2136" s="3">
        <v>0</v>
      </c>
      <c r="G2136" s="3">
        <v>0</v>
      </c>
      <c r="H2136" s="2">
        <f t="shared" si="66"/>
        <v>34836</v>
      </c>
      <c r="I2136" t="str">
        <f t="shared" si="67"/>
        <v>Eif5a_34836</v>
      </c>
      <c r="J2136" s="3">
        <v>34836</v>
      </c>
      <c r="K2136" s="3">
        <v>0</v>
      </c>
      <c r="L2136" s="3">
        <v>0</v>
      </c>
      <c r="M2136" s="3">
        <v>0</v>
      </c>
      <c r="N2136" s="3">
        <v>0</v>
      </c>
    </row>
    <row r="2137" spans="1:14" x14ac:dyDescent="0.2">
      <c r="A2137" s="5" t="str">
        <f>HYPERLINK("http://www.ncbi.nlm.nih.gov/protein/262359891;31712036","Eif5a")</f>
        <v>Eif5a</v>
      </c>
      <c r="B2137" s="4"/>
      <c r="C2137" s="3">
        <v>0</v>
      </c>
      <c r="D2137" s="3">
        <v>0</v>
      </c>
      <c r="E2137" s="3">
        <v>17324</v>
      </c>
      <c r="F2137" s="3">
        <v>0</v>
      </c>
      <c r="G2137" s="3">
        <v>0</v>
      </c>
      <c r="H2137" s="2">
        <f t="shared" si="66"/>
        <v>17324</v>
      </c>
      <c r="I2137" t="str">
        <f t="shared" si="67"/>
        <v>Eif5a_17324</v>
      </c>
      <c r="J2137" s="3">
        <v>0</v>
      </c>
      <c r="K2137" s="3">
        <v>0</v>
      </c>
      <c r="L2137" s="3">
        <v>17324</v>
      </c>
      <c r="M2137" s="3">
        <v>0</v>
      </c>
      <c r="N2137" s="3">
        <v>0</v>
      </c>
    </row>
    <row r="2138" spans="1:14" x14ac:dyDescent="0.2">
      <c r="A2138" s="5" t="str">
        <f>HYPERLINK("http://www.ncbi.nlm.nih.gov/protein/31712036;262359891","Eif5a")</f>
        <v>Eif5a</v>
      </c>
      <c r="B2138" s="4"/>
      <c r="C2138" s="3">
        <v>0</v>
      </c>
      <c r="D2138" s="3">
        <v>11145</v>
      </c>
      <c r="E2138" s="3">
        <v>0</v>
      </c>
      <c r="F2138" s="3">
        <v>66360</v>
      </c>
      <c r="G2138" s="3">
        <v>193992</v>
      </c>
      <c r="H2138" s="2">
        <f t="shared" si="66"/>
        <v>271497</v>
      </c>
      <c r="I2138" t="str">
        <f t="shared" si="67"/>
        <v>Eif5a_271497</v>
      </c>
      <c r="J2138" s="3">
        <v>0</v>
      </c>
      <c r="K2138" s="3">
        <v>11145</v>
      </c>
      <c r="L2138" s="3">
        <v>0</v>
      </c>
      <c r="M2138" s="3">
        <v>66360</v>
      </c>
      <c r="N2138" s="3">
        <v>193992</v>
      </c>
    </row>
    <row r="2139" spans="1:14" x14ac:dyDescent="0.2">
      <c r="A2139" s="5" t="str">
        <f>HYPERLINK("http://www.ncbi.nlm.nih.gov/protein/29243942","Eif5a2")</f>
        <v>Eif5a2</v>
      </c>
      <c r="B2139" s="4"/>
      <c r="C2139" s="3">
        <v>34836</v>
      </c>
      <c r="D2139" s="3">
        <v>7544</v>
      </c>
      <c r="E2139" s="3">
        <v>13357</v>
      </c>
      <c r="F2139" s="3">
        <v>59002</v>
      </c>
      <c r="G2139" s="3">
        <v>39432</v>
      </c>
      <c r="H2139" s="2">
        <f t="shared" si="66"/>
        <v>154171</v>
      </c>
      <c r="I2139" t="str">
        <f t="shared" si="67"/>
        <v>Eif5a2_154171</v>
      </c>
      <c r="J2139" s="3">
        <v>34836</v>
      </c>
      <c r="K2139" s="3">
        <v>7544</v>
      </c>
      <c r="L2139" s="3">
        <v>13357</v>
      </c>
      <c r="M2139" s="3">
        <v>59002</v>
      </c>
      <c r="N2139" s="3">
        <v>39432</v>
      </c>
    </row>
    <row r="2140" spans="1:14" x14ac:dyDescent="0.2">
      <c r="A2140" s="5" t="str">
        <f>HYPERLINK("http://www.ncbi.nlm.nih.gov/protein/84043961","Eif5b")</f>
        <v>Eif5b</v>
      </c>
      <c r="B2140" s="4"/>
      <c r="C2140" s="3">
        <v>513</v>
      </c>
      <c r="D2140" s="3">
        <v>10911</v>
      </c>
      <c r="E2140" s="3">
        <v>29362</v>
      </c>
      <c r="F2140" s="3">
        <v>94764</v>
      </c>
      <c r="G2140" s="3">
        <v>0</v>
      </c>
      <c r="H2140" s="2">
        <f t="shared" si="66"/>
        <v>135550</v>
      </c>
      <c r="I2140" t="str">
        <f t="shared" si="67"/>
        <v>Eif5b_135550</v>
      </c>
      <c r="J2140" s="3">
        <v>513</v>
      </c>
      <c r="K2140" s="3">
        <v>10911</v>
      </c>
      <c r="L2140" s="3">
        <v>29362</v>
      </c>
      <c r="M2140" s="3">
        <v>94764</v>
      </c>
      <c r="N2140" s="3">
        <v>0</v>
      </c>
    </row>
    <row r="2141" spans="1:14" x14ac:dyDescent="0.2">
      <c r="A2141" s="5" t="str">
        <f>HYPERLINK("http://www.ncbi.nlm.nih.gov/protein/27501448","Eif6")</f>
        <v>Eif6</v>
      </c>
      <c r="B2141" s="4"/>
      <c r="C2141" s="3">
        <v>6242</v>
      </c>
      <c r="D2141" s="3">
        <v>5544</v>
      </c>
      <c r="E2141" s="3">
        <v>4440</v>
      </c>
      <c r="F2141" s="3">
        <v>48753</v>
      </c>
      <c r="G2141" s="3">
        <v>51995</v>
      </c>
      <c r="H2141" s="2">
        <f t="shared" si="66"/>
        <v>116974</v>
      </c>
      <c r="I2141" t="str">
        <f t="shared" si="67"/>
        <v>Eif6_116974</v>
      </c>
      <c r="J2141" s="3">
        <v>6242</v>
      </c>
      <c r="K2141" s="3">
        <v>5544</v>
      </c>
      <c r="L2141" s="3">
        <v>4440</v>
      </c>
      <c r="M2141" s="3">
        <v>48753</v>
      </c>
      <c r="N2141" s="3">
        <v>51995</v>
      </c>
    </row>
    <row r="2142" spans="1:14" x14ac:dyDescent="0.2">
      <c r="A2142" s="5" t="str">
        <f>HYPERLINK("http://www.ncbi.nlm.nih.gov/protein/257153445","Elac2")</f>
        <v>Elac2</v>
      </c>
      <c r="B2142" s="4"/>
      <c r="C2142" s="3">
        <v>0</v>
      </c>
      <c r="D2142" s="3">
        <v>140</v>
      </c>
      <c r="E2142" s="3">
        <v>40</v>
      </c>
      <c r="F2142" s="3">
        <v>295</v>
      </c>
      <c r="G2142" s="3">
        <v>2859</v>
      </c>
      <c r="H2142" s="2">
        <f t="shared" si="66"/>
        <v>3334</v>
      </c>
      <c r="I2142" t="str">
        <f t="shared" si="67"/>
        <v>Elac2_3334</v>
      </c>
      <c r="J2142" s="3">
        <v>0</v>
      </c>
      <c r="K2142" s="3">
        <v>140</v>
      </c>
      <c r="L2142" s="3">
        <v>40</v>
      </c>
      <c r="M2142" s="3">
        <v>295</v>
      </c>
      <c r="N2142" s="3">
        <v>2859</v>
      </c>
    </row>
    <row r="2143" spans="1:14" x14ac:dyDescent="0.2">
      <c r="A2143" s="5" t="str">
        <f>HYPERLINK("http://www.ncbi.nlm.nih.gov/protein/31542602","Elavl1")</f>
        <v>Elavl1</v>
      </c>
      <c r="B2143" s="4"/>
      <c r="C2143" s="3">
        <v>340748</v>
      </c>
      <c r="D2143" s="3">
        <v>12517</v>
      </c>
      <c r="E2143" s="3">
        <v>26992</v>
      </c>
      <c r="F2143" s="3">
        <v>71837</v>
      </c>
      <c r="G2143" s="3">
        <v>0</v>
      </c>
      <c r="H2143" s="2">
        <f t="shared" si="66"/>
        <v>452094</v>
      </c>
      <c r="I2143" t="str">
        <f t="shared" si="67"/>
        <v>Elavl1_452094</v>
      </c>
      <c r="J2143" s="3">
        <v>340748</v>
      </c>
      <c r="K2143" s="3">
        <v>12517</v>
      </c>
      <c r="L2143" s="3">
        <v>26992</v>
      </c>
      <c r="M2143" s="3">
        <v>71837</v>
      </c>
      <c r="N2143" s="3">
        <v>0</v>
      </c>
    </row>
    <row r="2144" spans="1:14" x14ac:dyDescent="0.2">
      <c r="A2144" s="5" t="str">
        <f>HYPERLINK("http://www.ncbi.nlm.nih.gov/protein/124358953","Ell")</f>
        <v>Ell</v>
      </c>
      <c r="B2144" s="4"/>
      <c r="C2144" s="3">
        <v>0</v>
      </c>
      <c r="D2144" s="3">
        <v>0</v>
      </c>
      <c r="E2144" s="3">
        <v>234</v>
      </c>
      <c r="F2144" s="3">
        <v>0</v>
      </c>
      <c r="G2144" s="3">
        <v>193</v>
      </c>
      <c r="H2144" s="2">
        <f t="shared" si="66"/>
        <v>427</v>
      </c>
      <c r="I2144" t="str">
        <f t="shared" si="67"/>
        <v>Ell_427</v>
      </c>
      <c r="J2144" s="3">
        <v>0</v>
      </c>
      <c r="K2144" s="3">
        <v>0</v>
      </c>
      <c r="L2144" s="3">
        <v>234</v>
      </c>
      <c r="M2144" s="3">
        <v>0</v>
      </c>
      <c r="N2144" s="3">
        <v>193</v>
      </c>
    </row>
    <row r="2145" spans="1:14" x14ac:dyDescent="0.2">
      <c r="A2145" s="5" t="str">
        <f>HYPERLINK("http://www.ncbi.nlm.nih.gov/protein/46877043","Elmo2")</f>
        <v>Elmo2</v>
      </c>
      <c r="B2145" s="4"/>
      <c r="C2145" s="3">
        <v>0</v>
      </c>
      <c r="D2145" s="3">
        <v>0</v>
      </c>
      <c r="E2145" s="3">
        <v>0</v>
      </c>
      <c r="F2145" s="3">
        <v>4928</v>
      </c>
      <c r="G2145" s="3">
        <v>0</v>
      </c>
      <c r="H2145" s="2">
        <f t="shared" si="66"/>
        <v>4928</v>
      </c>
      <c r="I2145" t="str">
        <f t="shared" si="67"/>
        <v>Elmo2_4928</v>
      </c>
      <c r="J2145" s="3">
        <v>0</v>
      </c>
      <c r="K2145" s="3">
        <v>0</v>
      </c>
      <c r="L2145" s="3">
        <v>0</v>
      </c>
      <c r="M2145" s="3">
        <v>4928</v>
      </c>
      <c r="N2145" s="3">
        <v>0</v>
      </c>
    </row>
    <row r="2146" spans="1:14" x14ac:dyDescent="0.2">
      <c r="A2146" s="5" t="str">
        <f>HYPERLINK("http://www.ncbi.nlm.nih.gov/protein/46877050","Elmo2")</f>
        <v>Elmo2</v>
      </c>
      <c r="B2146" s="4"/>
      <c r="C2146" s="3">
        <v>0</v>
      </c>
      <c r="D2146" s="3">
        <v>0</v>
      </c>
      <c r="E2146" s="3">
        <v>0</v>
      </c>
      <c r="F2146" s="3">
        <v>3332</v>
      </c>
      <c r="G2146" s="3">
        <v>0</v>
      </c>
      <c r="H2146" s="2">
        <f t="shared" si="66"/>
        <v>3332</v>
      </c>
      <c r="I2146" t="str">
        <f t="shared" si="67"/>
        <v>Elmo2_3332</v>
      </c>
      <c r="J2146" s="3">
        <v>0</v>
      </c>
      <c r="K2146" s="3">
        <v>0</v>
      </c>
      <c r="L2146" s="3">
        <v>0</v>
      </c>
      <c r="M2146" s="3">
        <v>3332</v>
      </c>
      <c r="N2146" s="3">
        <v>0</v>
      </c>
    </row>
    <row r="2147" spans="1:14" x14ac:dyDescent="0.2">
      <c r="A2147" s="5" t="str">
        <f>HYPERLINK("http://www.ncbi.nlm.nih.gov/protein/46877052","Elmo2")</f>
        <v>Elmo2</v>
      </c>
      <c r="B2147" s="4"/>
      <c r="C2147" s="3">
        <v>0</v>
      </c>
      <c r="D2147" s="3">
        <v>0</v>
      </c>
      <c r="E2147" s="3">
        <v>0</v>
      </c>
      <c r="F2147" s="3">
        <v>4928</v>
      </c>
      <c r="G2147" s="3">
        <v>0</v>
      </c>
      <c r="H2147" s="2">
        <f t="shared" si="66"/>
        <v>4928</v>
      </c>
      <c r="I2147" t="str">
        <f t="shared" si="67"/>
        <v>Elmo2_4928</v>
      </c>
      <c r="J2147" s="3">
        <v>0</v>
      </c>
      <c r="K2147" s="3">
        <v>0</v>
      </c>
      <c r="L2147" s="3">
        <v>0</v>
      </c>
      <c r="M2147" s="3">
        <v>4928</v>
      </c>
      <c r="N2147" s="3">
        <v>0</v>
      </c>
    </row>
    <row r="2148" spans="1:14" x14ac:dyDescent="0.2">
      <c r="A2148" s="5" t="str">
        <f>HYPERLINK("http://www.ncbi.nlm.nih.gov/protein/255683297","Elmo3")</f>
        <v>Elmo3</v>
      </c>
      <c r="B2148" s="4"/>
      <c r="C2148" s="3">
        <v>0</v>
      </c>
      <c r="D2148" s="3">
        <v>1165</v>
      </c>
      <c r="E2148" s="3">
        <v>1517</v>
      </c>
      <c r="F2148" s="3">
        <v>31416</v>
      </c>
      <c r="G2148" s="3">
        <v>1885</v>
      </c>
      <c r="H2148" s="2">
        <f t="shared" si="66"/>
        <v>35983</v>
      </c>
      <c r="I2148" t="str">
        <f t="shared" si="67"/>
        <v>Elmo3_35983</v>
      </c>
      <c r="J2148" s="3">
        <v>0</v>
      </c>
      <c r="K2148" s="3">
        <v>1165</v>
      </c>
      <c r="L2148" s="3">
        <v>1517</v>
      </c>
      <c r="M2148" s="3">
        <v>31416</v>
      </c>
      <c r="N2148" s="3">
        <v>1885</v>
      </c>
    </row>
    <row r="2149" spans="1:14" x14ac:dyDescent="0.2">
      <c r="A2149" s="5" t="str">
        <f>HYPERLINK("http://www.ncbi.nlm.nih.gov/protein/283436077","Elmod2")</f>
        <v>Elmod2</v>
      </c>
      <c r="B2149" s="4"/>
      <c r="C2149" s="3">
        <v>0</v>
      </c>
      <c r="D2149" s="3">
        <v>1163</v>
      </c>
      <c r="E2149" s="3">
        <v>57</v>
      </c>
      <c r="F2149" s="3">
        <v>0</v>
      </c>
      <c r="G2149" s="3">
        <v>0</v>
      </c>
      <c r="H2149" s="2">
        <f t="shared" si="66"/>
        <v>1220</v>
      </c>
      <c r="I2149" t="str">
        <f t="shared" si="67"/>
        <v>Elmod2_1220</v>
      </c>
      <c r="J2149" s="3">
        <v>0</v>
      </c>
      <c r="K2149" s="3">
        <v>1163</v>
      </c>
      <c r="L2149" s="3">
        <v>57</v>
      </c>
      <c r="M2149" s="3">
        <v>0</v>
      </c>
      <c r="N2149" s="3">
        <v>0</v>
      </c>
    </row>
    <row r="2150" spans="1:14" x14ac:dyDescent="0.2">
      <c r="A2150" s="5" t="str">
        <f>HYPERLINK("http://www.ncbi.nlm.nih.gov/protein/25140989","Elof1")</f>
        <v>Elof1</v>
      </c>
      <c r="B2150" s="4"/>
      <c r="C2150" s="3">
        <v>0</v>
      </c>
      <c r="D2150" s="3">
        <v>0</v>
      </c>
      <c r="E2150" s="3">
        <v>0</v>
      </c>
      <c r="F2150" s="3">
        <v>417</v>
      </c>
      <c r="G2150" s="3">
        <v>493</v>
      </c>
      <c r="H2150" s="2">
        <f t="shared" si="66"/>
        <v>910</v>
      </c>
      <c r="I2150" t="str">
        <f t="shared" si="67"/>
        <v>Elof1_910</v>
      </c>
      <c r="J2150" s="3">
        <v>0</v>
      </c>
      <c r="K2150" s="3">
        <v>0</v>
      </c>
      <c r="L2150" s="3">
        <v>0</v>
      </c>
      <c r="M2150" s="3">
        <v>417</v>
      </c>
      <c r="N2150" s="3">
        <v>493</v>
      </c>
    </row>
    <row r="2151" spans="1:14" x14ac:dyDescent="0.2">
      <c r="A2151" s="5" t="str">
        <f>HYPERLINK("http://www.ncbi.nlm.nih.gov/protein/85702351","Elovl1")</f>
        <v>Elovl1</v>
      </c>
      <c r="B2151" s="4"/>
      <c r="C2151" s="3">
        <v>0</v>
      </c>
      <c r="D2151" s="3">
        <v>580</v>
      </c>
      <c r="E2151" s="3">
        <v>19</v>
      </c>
      <c r="F2151" s="3">
        <v>0</v>
      </c>
      <c r="G2151" s="3">
        <v>0</v>
      </c>
      <c r="H2151" s="2">
        <f t="shared" si="66"/>
        <v>599</v>
      </c>
      <c r="I2151" t="str">
        <f t="shared" si="67"/>
        <v>Elovl1_599</v>
      </c>
      <c r="J2151" s="3">
        <v>0</v>
      </c>
      <c r="K2151" s="3">
        <v>580</v>
      </c>
      <c r="L2151" s="3">
        <v>19</v>
      </c>
      <c r="M2151" s="3">
        <v>0</v>
      </c>
      <c r="N2151" s="3">
        <v>0</v>
      </c>
    </row>
    <row r="2152" spans="1:14" x14ac:dyDescent="0.2">
      <c r="A2152" s="5" t="str">
        <f>HYPERLINK("http://www.ncbi.nlm.nih.gov/protein/9507145","Elovl1")</f>
        <v>Elovl1</v>
      </c>
      <c r="B2152" s="4"/>
      <c r="C2152" s="3">
        <v>0</v>
      </c>
      <c r="D2152" s="3">
        <v>580</v>
      </c>
      <c r="E2152" s="3">
        <v>19</v>
      </c>
      <c r="F2152" s="3">
        <v>0</v>
      </c>
      <c r="G2152" s="3">
        <v>0</v>
      </c>
      <c r="H2152" s="2">
        <f t="shared" si="66"/>
        <v>599</v>
      </c>
      <c r="I2152" t="str">
        <f t="shared" si="67"/>
        <v>Elovl1_599</v>
      </c>
      <c r="J2152" s="3">
        <v>0</v>
      </c>
      <c r="K2152" s="3">
        <v>580</v>
      </c>
      <c r="L2152" s="3">
        <v>19</v>
      </c>
      <c r="M2152" s="3">
        <v>0</v>
      </c>
      <c r="N2152" s="3">
        <v>0</v>
      </c>
    </row>
    <row r="2153" spans="1:14" x14ac:dyDescent="0.2">
      <c r="A2153" s="5" t="str">
        <f>HYPERLINK("http://www.ncbi.nlm.nih.gov/protein/148540000","Elovl7")</f>
        <v>Elovl7</v>
      </c>
      <c r="B2153" s="4"/>
      <c r="C2153" s="3">
        <v>0</v>
      </c>
      <c r="D2153" s="3">
        <v>543</v>
      </c>
      <c r="E2153" s="3">
        <v>0</v>
      </c>
      <c r="F2153" s="3">
        <v>0</v>
      </c>
      <c r="G2153" s="3">
        <v>0</v>
      </c>
      <c r="H2153" s="2">
        <f t="shared" si="66"/>
        <v>543</v>
      </c>
      <c r="I2153" t="str">
        <f t="shared" si="67"/>
        <v>Elovl7_543</v>
      </c>
      <c r="J2153" s="3">
        <v>0</v>
      </c>
      <c r="K2153" s="3">
        <v>543</v>
      </c>
      <c r="L2153" s="3">
        <v>0</v>
      </c>
      <c r="M2153" s="3">
        <v>0</v>
      </c>
      <c r="N2153" s="3">
        <v>0</v>
      </c>
    </row>
    <row r="2154" spans="1:14" x14ac:dyDescent="0.2">
      <c r="A2154" s="5" t="str">
        <f>HYPERLINK("http://www.ncbi.nlm.nih.gov/protein/134032030","Elp2")</f>
        <v>Elp2</v>
      </c>
      <c r="B2154" s="4"/>
      <c r="C2154" s="3">
        <v>0</v>
      </c>
      <c r="D2154" s="3">
        <v>0</v>
      </c>
      <c r="E2154" s="3">
        <v>0</v>
      </c>
      <c r="F2154" s="3">
        <v>14709</v>
      </c>
      <c r="G2154" s="3">
        <v>1092</v>
      </c>
      <c r="H2154" s="2">
        <f t="shared" si="66"/>
        <v>15801</v>
      </c>
      <c r="I2154" t="str">
        <f t="shared" si="67"/>
        <v>Elp2_15801</v>
      </c>
      <c r="J2154" s="3">
        <v>0</v>
      </c>
      <c r="K2154" s="3">
        <v>0</v>
      </c>
      <c r="L2154" s="3">
        <v>0</v>
      </c>
      <c r="M2154" s="3">
        <v>14709</v>
      </c>
      <c r="N2154" s="3">
        <v>1092</v>
      </c>
    </row>
    <row r="2155" spans="1:14" x14ac:dyDescent="0.2">
      <c r="A2155" s="5" t="str">
        <f>HYPERLINK("http://www.ncbi.nlm.nih.gov/protein/33469023","Elp3")</f>
        <v>Elp3</v>
      </c>
      <c r="B2155" s="4"/>
      <c r="C2155" s="3">
        <v>0</v>
      </c>
      <c r="D2155" s="3">
        <v>150</v>
      </c>
      <c r="E2155" s="3">
        <v>97</v>
      </c>
      <c r="F2155" s="3">
        <v>42418</v>
      </c>
      <c r="G2155" s="3">
        <v>0</v>
      </c>
      <c r="H2155" s="2">
        <f t="shared" si="66"/>
        <v>42665</v>
      </c>
      <c r="I2155" t="str">
        <f t="shared" si="67"/>
        <v>Elp3_42665</v>
      </c>
      <c r="J2155" s="3">
        <v>0</v>
      </c>
      <c r="K2155" s="3">
        <v>150</v>
      </c>
      <c r="L2155" s="3">
        <v>97</v>
      </c>
      <c r="M2155" s="3">
        <v>42418</v>
      </c>
      <c r="N2155" s="3">
        <v>0</v>
      </c>
    </row>
    <row r="2156" spans="1:14" x14ac:dyDescent="0.2">
      <c r="A2156" s="5" t="str">
        <f>HYPERLINK("http://www.ncbi.nlm.nih.gov/protein/359465533","Elp3")</f>
        <v>Elp3</v>
      </c>
      <c r="B2156" s="4"/>
      <c r="C2156" s="3">
        <v>0</v>
      </c>
      <c r="D2156" s="3">
        <v>150</v>
      </c>
      <c r="E2156" s="3">
        <v>97</v>
      </c>
      <c r="F2156" s="3">
        <v>42418</v>
      </c>
      <c r="G2156" s="3">
        <v>0</v>
      </c>
      <c r="H2156" s="2">
        <f t="shared" si="66"/>
        <v>42665</v>
      </c>
      <c r="I2156" t="str">
        <f t="shared" si="67"/>
        <v>Elp3_42665</v>
      </c>
      <c r="J2156" s="3">
        <v>0</v>
      </c>
      <c r="K2156" s="3">
        <v>150</v>
      </c>
      <c r="L2156" s="3">
        <v>97</v>
      </c>
      <c r="M2156" s="3">
        <v>42418</v>
      </c>
      <c r="N2156" s="3">
        <v>0</v>
      </c>
    </row>
    <row r="2157" spans="1:14" x14ac:dyDescent="0.2">
      <c r="A2157" s="5" t="str">
        <f>HYPERLINK("http://www.ncbi.nlm.nih.gov/protein/31542608","Elp4")</f>
        <v>Elp4</v>
      </c>
      <c r="B2157" s="4"/>
      <c r="C2157" s="3">
        <v>0</v>
      </c>
      <c r="D2157" s="3">
        <v>0</v>
      </c>
      <c r="E2157" s="3">
        <v>104</v>
      </c>
      <c r="F2157" s="3">
        <v>12802</v>
      </c>
      <c r="G2157" s="3">
        <v>3448</v>
      </c>
      <c r="H2157" s="2">
        <f t="shared" si="66"/>
        <v>16354</v>
      </c>
      <c r="I2157" t="str">
        <f t="shared" si="67"/>
        <v>Elp4_16354</v>
      </c>
      <c r="J2157" s="3">
        <v>0</v>
      </c>
      <c r="K2157" s="3">
        <v>0</v>
      </c>
      <c r="L2157" s="3">
        <v>104</v>
      </c>
      <c r="M2157" s="3">
        <v>12802</v>
      </c>
      <c r="N2157" s="3">
        <v>3448</v>
      </c>
    </row>
    <row r="2158" spans="1:14" x14ac:dyDescent="0.2">
      <c r="A2158" s="5" t="str">
        <f>HYPERLINK("http://www.ncbi.nlm.nih.gov/protein/244790025","Elp5")</f>
        <v>Elp5</v>
      </c>
      <c r="B2158" s="4"/>
      <c r="C2158" s="3">
        <v>0</v>
      </c>
      <c r="D2158" s="3">
        <v>0</v>
      </c>
      <c r="E2158" s="3">
        <v>98</v>
      </c>
      <c r="F2158" s="3">
        <v>12860</v>
      </c>
      <c r="G2158" s="3">
        <v>0</v>
      </c>
      <c r="H2158" s="2">
        <f t="shared" si="66"/>
        <v>12958</v>
      </c>
      <c r="I2158" t="str">
        <f t="shared" si="67"/>
        <v>Elp5_12958</v>
      </c>
      <c r="J2158" s="3">
        <v>0</v>
      </c>
      <c r="K2158" s="3">
        <v>0</v>
      </c>
      <c r="L2158" s="3">
        <v>98</v>
      </c>
      <c r="M2158" s="3">
        <v>12860</v>
      </c>
      <c r="N2158" s="3">
        <v>0</v>
      </c>
    </row>
    <row r="2159" spans="1:14" x14ac:dyDescent="0.2">
      <c r="A2159" s="5" t="str">
        <f>HYPERLINK("http://www.ncbi.nlm.nih.gov/protein/358498583","Elp5")</f>
        <v>Elp5</v>
      </c>
      <c r="B2159" s="4"/>
      <c r="C2159" s="3">
        <v>0</v>
      </c>
      <c r="D2159" s="3">
        <v>0</v>
      </c>
      <c r="E2159" s="3">
        <v>98</v>
      </c>
      <c r="F2159" s="3">
        <v>7727</v>
      </c>
      <c r="G2159" s="3">
        <v>0</v>
      </c>
      <c r="H2159" s="2">
        <f t="shared" si="66"/>
        <v>7825</v>
      </c>
      <c r="I2159" t="str">
        <f t="shared" si="67"/>
        <v>Elp5_7825</v>
      </c>
      <c r="J2159" s="3">
        <v>0</v>
      </c>
      <c r="K2159" s="3">
        <v>0</v>
      </c>
      <c r="L2159" s="3">
        <v>98</v>
      </c>
      <c r="M2159" s="3">
        <v>7727</v>
      </c>
      <c r="N2159" s="3">
        <v>0</v>
      </c>
    </row>
    <row r="2160" spans="1:14" x14ac:dyDescent="0.2">
      <c r="A2160" s="5" t="str">
        <f>HYPERLINK("http://www.ncbi.nlm.nih.gov/protein/145587074","Elp6")</f>
        <v>Elp6</v>
      </c>
      <c r="B2160" s="4"/>
      <c r="C2160" s="3">
        <v>0</v>
      </c>
      <c r="D2160" s="3">
        <v>0</v>
      </c>
      <c r="E2160" s="3">
        <v>40</v>
      </c>
      <c r="F2160" s="3">
        <v>9446</v>
      </c>
      <c r="G2160" s="3">
        <v>0</v>
      </c>
      <c r="H2160" s="2">
        <f t="shared" si="66"/>
        <v>9486</v>
      </c>
      <c r="I2160" t="str">
        <f t="shared" si="67"/>
        <v>Elp6_9486</v>
      </c>
      <c r="J2160" s="3">
        <v>0</v>
      </c>
      <c r="K2160" s="3">
        <v>0</v>
      </c>
      <c r="L2160" s="3">
        <v>40</v>
      </c>
      <c r="M2160" s="3">
        <v>9446</v>
      </c>
      <c r="N2160" s="3">
        <v>0</v>
      </c>
    </row>
    <row r="2161" spans="1:14" x14ac:dyDescent="0.2">
      <c r="A2161" s="5" t="str">
        <f>HYPERLINK("http://www.ncbi.nlm.nih.gov/protein/31542273","Emc1")</f>
        <v>Emc1</v>
      </c>
      <c r="B2161" s="4"/>
      <c r="C2161" s="3">
        <v>28631</v>
      </c>
      <c r="D2161" s="3">
        <v>157</v>
      </c>
      <c r="E2161" s="3">
        <v>5269</v>
      </c>
      <c r="F2161" s="3">
        <v>0</v>
      </c>
      <c r="G2161" s="3">
        <v>0</v>
      </c>
      <c r="H2161" s="2">
        <f t="shared" si="66"/>
        <v>34057</v>
      </c>
      <c r="I2161" t="str">
        <f t="shared" si="67"/>
        <v>Emc1_34057</v>
      </c>
      <c r="J2161" s="3">
        <v>28631</v>
      </c>
      <c r="K2161" s="3">
        <v>157</v>
      </c>
      <c r="L2161" s="3">
        <v>5269</v>
      </c>
      <c r="M2161" s="3">
        <v>0</v>
      </c>
      <c r="N2161" s="3">
        <v>0</v>
      </c>
    </row>
    <row r="2162" spans="1:14" x14ac:dyDescent="0.2">
      <c r="A2162" s="5" t="str">
        <f>HYPERLINK("http://www.ncbi.nlm.nih.gov/protein/85861260","Emc1")</f>
        <v>Emc1</v>
      </c>
      <c r="B2162" s="4"/>
      <c r="C2162" s="3">
        <v>28631</v>
      </c>
      <c r="D2162" s="3">
        <v>157</v>
      </c>
      <c r="E2162" s="3">
        <v>5315</v>
      </c>
      <c r="F2162" s="3">
        <v>0</v>
      </c>
      <c r="G2162" s="3">
        <v>0</v>
      </c>
      <c r="H2162" s="2">
        <f t="shared" si="66"/>
        <v>34103</v>
      </c>
      <c r="I2162" t="str">
        <f t="shared" si="67"/>
        <v>Emc1_34103</v>
      </c>
      <c r="J2162" s="3">
        <v>28631</v>
      </c>
      <c r="K2162" s="3">
        <v>157</v>
      </c>
      <c r="L2162" s="3">
        <v>5315</v>
      </c>
      <c r="M2162" s="3">
        <v>0</v>
      </c>
      <c r="N2162" s="3">
        <v>0</v>
      </c>
    </row>
    <row r="2163" spans="1:14" x14ac:dyDescent="0.2">
      <c r="A2163" s="5" t="str">
        <f>HYPERLINK("http://www.ncbi.nlm.nih.gov/protein/13385196","Emc2")</f>
        <v>Emc2</v>
      </c>
      <c r="B2163" s="4"/>
      <c r="C2163" s="3">
        <v>32090</v>
      </c>
      <c r="D2163" s="3">
        <v>10667</v>
      </c>
      <c r="E2163" s="3">
        <v>4918</v>
      </c>
      <c r="F2163" s="3">
        <v>679</v>
      </c>
      <c r="G2163" s="3">
        <v>0</v>
      </c>
      <c r="H2163" s="2">
        <f t="shared" si="66"/>
        <v>48354</v>
      </c>
      <c r="I2163" t="str">
        <f t="shared" si="67"/>
        <v>Emc2_48354</v>
      </c>
      <c r="J2163" s="3">
        <v>32090</v>
      </c>
      <c r="K2163" s="3">
        <v>10667</v>
      </c>
      <c r="L2163" s="3">
        <v>4918</v>
      </c>
      <c r="M2163" s="3">
        <v>679</v>
      </c>
      <c r="N2163" s="3">
        <v>0</v>
      </c>
    </row>
    <row r="2164" spans="1:14" x14ac:dyDescent="0.2">
      <c r="A2164" s="5" t="str">
        <f>HYPERLINK("http://www.ncbi.nlm.nih.gov/protein/28827824","Emc3")</f>
        <v>Emc3</v>
      </c>
      <c r="B2164" s="4"/>
      <c r="C2164" s="3">
        <v>8421</v>
      </c>
      <c r="D2164" s="3">
        <v>4701</v>
      </c>
      <c r="E2164" s="3">
        <v>956</v>
      </c>
      <c r="F2164" s="3">
        <v>0</v>
      </c>
      <c r="G2164" s="3">
        <v>0</v>
      </c>
      <c r="H2164" s="2">
        <f t="shared" si="66"/>
        <v>14078</v>
      </c>
      <c r="I2164" t="str">
        <f t="shared" si="67"/>
        <v>Emc3_14078</v>
      </c>
      <c r="J2164" s="3">
        <v>8421</v>
      </c>
      <c r="K2164" s="3">
        <v>4701</v>
      </c>
      <c r="L2164" s="3">
        <v>956</v>
      </c>
      <c r="M2164" s="3">
        <v>0</v>
      </c>
      <c r="N2164" s="3">
        <v>0</v>
      </c>
    </row>
    <row r="2165" spans="1:14" x14ac:dyDescent="0.2">
      <c r="A2165" s="5" t="str">
        <f>HYPERLINK("http://www.ncbi.nlm.nih.gov/protein/13386014","Emc4")</f>
        <v>Emc4</v>
      </c>
      <c r="B2165" s="4"/>
      <c r="C2165" s="3">
        <v>5583</v>
      </c>
      <c r="D2165" s="3">
        <v>2983</v>
      </c>
      <c r="E2165" s="3">
        <v>1485</v>
      </c>
      <c r="F2165" s="3">
        <v>0</v>
      </c>
      <c r="G2165" s="3">
        <v>0</v>
      </c>
      <c r="H2165" s="2">
        <f t="shared" si="66"/>
        <v>10051</v>
      </c>
      <c r="I2165" t="str">
        <f t="shared" si="67"/>
        <v>Emc4_10051</v>
      </c>
      <c r="J2165" s="3">
        <v>5583</v>
      </c>
      <c r="K2165" s="3">
        <v>2983</v>
      </c>
      <c r="L2165" s="3">
        <v>1485</v>
      </c>
      <c r="M2165" s="3">
        <v>0</v>
      </c>
      <c r="N2165" s="3">
        <v>0</v>
      </c>
    </row>
    <row r="2166" spans="1:14" x14ac:dyDescent="0.2">
      <c r="A2166" s="5" t="str">
        <f>HYPERLINK("http://www.ncbi.nlm.nih.gov/protein/13384684","Emc6")</f>
        <v>Emc6</v>
      </c>
      <c r="B2166" s="4"/>
      <c r="C2166" s="3">
        <v>4851</v>
      </c>
      <c r="D2166" s="3">
        <v>3052</v>
      </c>
      <c r="E2166" s="3">
        <v>1149</v>
      </c>
      <c r="F2166" s="3">
        <v>98</v>
      </c>
      <c r="G2166" s="3">
        <v>0</v>
      </c>
      <c r="H2166" s="2">
        <f t="shared" si="66"/>
        <v>9150</v>
      </c>
      <c r="I2166" t="str">
        <f t="shared" si="67"/>
        <v>Emc6_9150</v>
      </c>
      <c r="J2166" s="3">
        <v>4851</v>
      </c>
      <c r="K2166" s="3">
        <v>3052</v>
      </c>
      <c r="L2166" s="3">
        <v>1149</v>
      </c>
      <c r="M2166" s="3">
        <v>98</v>
      </c>
      <c r="N2166" s="3">
        <v>0</v>
      </c>
    </row>
    <row r="2167" spans="1:14" x14ac:dyDescent="0.2">
      <c r="A2167" s="5" t="str">
        <f>HYPERLINK("http://www.ncbi.nlm.nih.gov/protein/19526956","Emc7")</f>
        <v>Emc7</v>
      </c>
      <c r="B2167" s="4"/>
      <c r="C2167" s="3">
        <v>439</v>
      </c>
      <c r="D2167" s="3">
        <v>735</v>
      </c>
      <c r="E2167" s="3">
        <v>922</v>
      </c>
      <c r="F2167" s="3">
        <v>0</v>
      </c>
      <c r="G2167" s="3">
        <v>0</v>
      </c>
      <c r="H2167" s="2">
        <f t="shared" si="66"/>
        <v>2096</v>
      </c>
      <c r="I2167" t="str">
        <f t="shared" si="67"/>
        <v>Emc7_2096</v>
      </c>
      <c r="J2167" s="3">
        <v>439</v>
      </c>
      <c r="K2167" s="3">
        <v>735</v>
      </c>
      <c r="L2167" s="3">
        <v>922</v>
      </c>
      <c r="M2167" s="3">
        <v>0</v>
      </c>
      <c r="N2167" s="3">
        <v>0</v>
      </c>
    </row>
    <row r="2168" spans="1:14" x14ac:dyDescent="0.2">
      <c r="A2168" s="5" t="str">
        <f>HYPERLINK("http://www.ncbi.nlm.nih.gov/protein/6754870","Emc8")</f>
        <v>Emc8</v>
      </c>
      <c r="B2168" s="4"/>
      <c r="C2168" s="3">
        <v>567</v>
      </c>
      <c r="D2168" s="3">
        <v>2937</v>
      </c>
      <c r="E2168" s="3">
        <v>2567</v>
      </c>
      <c r="F2168" s="3">
        <v>0</v>
      </c>
      <c r="G2168" s="3">
        <v>1810</v>
      </c>
      <c r="H2168" s="2">
        <f t="shared" si="66"/>
        <v>7881</v>
      </c>
      <c r="I2168" t="str">
        <f t="shared" si="67"/>
        <v>Emc8_7881</v>
      </c>
      <c r="J2168" s="3">
        <v>567</v>
      </c>
      <c r="K2168" s="3">
        <v>2937</v>
      </c>
      <c r="L2168" s="3">
        <v>2567</v>
      </c>
      <c r="M2168" s="3">
        <v>0</v>
      </c>
      <c r="N2168" s="3">
        <v>1810</v>
      </c>
    </row>
    <row r="2169" spans="1:14" x14ac:dyDescent="0.2">
      <c r="A2169" s="5" t="str">
        <f>HYPERLINK("http://www.ncbi.nlm.nih.gov/protein/6679641","Emd")</f>
        <v>Emd</v>
      </c>
      <c r="B2169" s="4"/>
      <c r="C2169" s="3">
        <v>14132</v>
      </c>
      <c r="D2169" s="3">
        <v>1271</v>
      </c>
      <c r="E2169" s="3">
        <v>1256</v>
      </c>
      <c r="F2169" s="3">
        <v>0</v>
      </c>
      <c r="G2169" s="3">
        <v>0</v>
      </c>
      <c r="H2169" s="2">
        <f t="shared" si="66"/>
        <v>16659</v>
      </c>
      <c r="I2169" t="str">
        <f t="shared" si="67"/>
        <v>Emd_16659</v>
      </c>
      <c r="J2169" s="3">
        <v>14132</v>
      </c>
      <c r="K2169" s="3">
        <v>1271</v>
      </c>
      <c r="L2169" s="3">
        <v>1256</v>
      </c>
      <c r="M2169" s="3">
        <v>0</v>
      </c>
      <c r="N2169" s="3">
        <v>0</v>
      </c>
    </row>
    <row r="2170" spans="1:14" x14ac:dyDescent="0.2">
      <c r="A2170" s="5" t="str">
        <f>HYPERLINK("http://www.ncbi.nlm.nih.gov/protein/7305109","Emg1")</f>
        <v>Emg1</v>
      </c>
      <c r="B2170" s="4"/>
      <c r="C2170" s="3">
        <v>0</v>
      </c>
      <c r="D2170" s="3">
        <v>0</v>
      </c>
      <c r="E2170" s="3">
        <v>123</v>
      </c>
      <c r="F2170" s="3">
        <v>90</v>
      </c>
      <c r="G2170" s="3">
        <v>0</v>
      </c>
      <c r="H2170" s="2">
        <f t="shared" si="66"/>
        <v>213</v>
      </c>
      <c r="I2170" t="str">
        <f t="shared" si="67"/>
        <v>Emg1_213</v>
      </c>
      <c r="J2170" s="3">
        <v>0</v>
      </c>
      <c r="K2170" s="3">
        <v>0</v>
      </c>
      <c r="L2170" s="3">
        <v>123</v>
      </c>
      <c r="M2170" s="3">
        <v>90</v>
      </c>
      <c r="N2170" s="3">
        <v>0</v>
      </c>
    </row>
    <row r="2171" spans="1:14" x14ac:dyDescent="0.2">
      <c r="A2171" s="5" t="str">
        <f>HYPERLINK("http://www.ncbi.nlm.nih.gov/protein/244790233","Eml2")</f>
        <v>Eml2</v>
      </c>
      <c r="B2171" s="4"/>
      <c r="C2171" s="3">
        <v>0</v>
      </c>
      <c r="D2171" s="3">
        <v>5970</v>
      </c>
      <c r="E2171" s="3">
        <v>4636</v>
      </c>
      <c r="F2171" s="3">
        <v>8300</v>
      </c>
      <c r="G2171" s="3">
        <v>31614</v>
      </c>
      <c r="H2171" s="2">
        <f t="shared" si="66"/>
        <v>50520</v>
      </c>
      <c r="I2171" t="str">
        <f t="shared" si="67"/>
        <v>Eml2_50520</v>
      </c>
      <c r="J2171" s="3">
        <v>0</v>
      </c>
      <c r="K2171" s="3">
        <v>5970</v>
      </c>
      <c r="L2171" s="3">
        <v>4636</v>
      </c>
      <c r="M2171" s="3">
        <v>8300</v>
      </c>
      <c r="N2171" s="3">
        <v>31614</v>
      </c>
    </row>
    <row r="2172" spans="1:14" x14ac:dyDescent="0.2">
      <c r="A2172" s="5" t="str">
        <f>HYPERLINK("http://www.ncbi.nlm.nih.gov/protein/244790299","Eml2")</f>
        <v>Eml2</v>
      </c>
      <c r="B2172" s="4"/>
      <c r="C2172" s="3">
        <v>0</v>
      </c>
      <c r="D2172" s="3">
        <v>6682</v>
      </c>
      <c r="E2172" s="3">
        <v>4636</v>
      </c>
      <c r="F2172" s="3">
        <v>8300</v>
      </c>
      <c r="G2172" s="3">
        <v>31775</v>
      </c>
      <c r="H2172" s="2">
        <f t="shared" si="66"/>
        <v>51393</v>
      </c>
      <c r="I2172" t="str">
        <f t="shared" si="67"/>
        <v>Eml2_51393</v>
      </c>
      <c r="J2172" s="3">
        <v>0</v>
      </c>
      <c r="K2172" s="3">
        <v>6682</v>
      </c>
      <c r="L2172" s="3">
        <v>4636</v>
      </c>
      <c r="M2172" s="3">
        <v>8300</v>
      </c>
      <c r="N2172" s="3">
        <v>31775</v>
      </c>
    </row>
    <row r="2173" spans="1:14" x14ac:dyDescent="0.2">
      <c r="A2173" s="5" t="str">
        <f>HYPERLINK("http://www.ncbi.nlm.nih.gov/protein/21450111","Eml3")</f>
        <v>Eml3</v>
      </c>
      <c r="B2173" s="4"/>
      <c r="C2173" s="3">
        <v>0</v>
      </c>
      <c r="D2173" s="3">
        <v>0</v>
      </c>
      <c r="E2173" s="3">
        <v>0</v>
      </c>
      <c r="F2173" s="3">
        <v>8292</v>
      </c>
      <c r="G2173" s="3">
        <v>0</v>
      </c>
      <c r="H2173" s="2">
        <f t="shared" si="66"/>
        <v>8292</v>
      </c>
      <c r="I2173" t="str">
        <f t="shared" si="67"/>
        <v>Eml3_8292</v>
      </c>
      <c r="J2173" s="3">
        <v>0</v>
      </c>
      <c r="K2173" s="3">
        <v>0</v>
      </c>
      <c r="L2173" s="3">
        <v>0</v>
      </c>
      <c r="M2173" s="3">
        <v>8292</v>
      </c>
      <c r="N2173" s="3">
        <v>0</v>
      </c>
    </row>
    <row r="2174" spans="1:14" x14ac:dyDescent="0.2">
      <c r="A2174" s="5" t="str">
        <f>HYPERLINK("http://www.ncbi.nlm.nih.gov/protein/167234433","Eml4")</f>
        <v>Eml4</v>
      </c>
      <c r="B2174" s="4"/>
      <c r="C2174" s="3">
        <v>0</v>
      </c>
      <c r="D2174" s="3">
        <v>503</v>
      </c>
      <c r="E2174" s="3">
        <v>33034</v>
      </c>
      <c r="F2174" s="3">
        <v>104112</v>
      </c>
      <c r="G2174" s="3">
        <v>4037</v>
      </c>
      <c r="H2174" s="2">
        <f t="shared" si="66"/>
        <v>141686</v>
      </c>
      <c r="I2174" t="str">
        <f t="shared" si="67"/>
        <v>Eml4_141686</v>
      </c>
      <c r="J2174" s="3">
        <v>0</v>
      </c>
      <c r="K2174" s="3">
        <v>503</v>
      </c>
      <c r="L2174" s="3">
        <v>33034</v>
      </c>
      <c r="M2174" s="3">
        <v>104112</v>
      </c>
      <c r="N2174" s="3">
        <v>4037</v>
      </c>
    </row>
    <row r="2175" spans="1:14" x14ac:dyDescent="0.2">
      <c r="A2175" s="5" t="str">
        <f>HYPERLINK("http://www.ncbi.nlm.nih.gov/protein/167234435","Eml4")</f>
        <v>Eml4</v>
      </c>
      <c r="B2175" s="4"/>
      <c r="C2175" s="3">
        <v>0</v>
      </c>
      <c r="D2175" s="3">
        <v>509</v>
      </c>
      <c r="E2175" s="3">
        <v>35768</v>
      </c>
      <c r="F2175" s="3">
        <v>120655</v>
      </c>
      <c r="G2175" s="3">
        <v>4037</v>
      </c>
      <c r="H2175" s="2">
        <f t="shared" si="66"/>
        <v>160969</v>
      </c>
      <c r="I2175" t="str">
        <f t="shared" si="67"/>
        <v>Eml4_160969</v>
      </c>
      <c r="J2175" s="3">
        <v>0</v>
      </c>
      <c r="K2175" s="3">
        <v>509</v>
      </c>
      <c r="L2175" s="3">
        <v>35768</v>
      </c>
      <c r="M2175" s="3">
        <v>120655</v>
      </c>
      <c r="N2175" s="3">
        <v>4037</v>
      </c>
    </row>
    <row r="2176" spans="1:14" x14ac:dyDescent="0.2">
      <c r="A2176" s="5" t="str">
        <f>HYPERLINK("http://www.ncbi.nlm.nih.gov/protein/167234437","Eml4")</f>
        <v>Eml4</v>
      </c>
      <c r="B2176" s="4"/>
      <c r="C2176" s="3">
        <v>0</v>
      </c>
      <c r="D2176" s="3">
        <v>503</v>
      </c>
      <c r="E2176" s="3">
        <v>33034</v>
      </c>
      <c r="F2176" s="3">
        <v>104112</v>
      </c>
      <c r="G2176" s="3">
        <v>4037</v>
      </c>
      <c r="H2176" s="2">
        <f t="shared" si="66"/>
        <v>141686</v>
      </c>
      <c r="I2176" t="str">
        <f t="shared" si="67"/>
        <v>Eml4_141686</v>
      </c>
      <c r="J2176" s="3">
        <v>0</v>
      </c>
      <c r="K2176" s="3">
        <v>503</v>
      </c>
      <c r="L2176" s="3">
        <v>33034</v>
      </c>
      <c r="M2176" s="3">
        <v>104112</v>
      </c>
      <c r="N2176" s="3">
        <v>4037</v>
      </c>
    </row>
    <row r="2177" spans="1:14" x14ac:dyDescent="0.2">
      <c r="A2177" s="5" t="str">
        <f>HYPERLINK("http://www.ncbi.nlm.nih.gov/protein/133778926","Enah")</f>
        <v>Enah</v>
      </c>
      <c r="B2177" s="4"/>
      <c r="C2177" s="3">
        <v>0</v>
      </c>
      <c r="D2177" s="3">
        <v>0</v>
      </c>
      <c r="E2177" s="3">
        <v>541</v>
      </c>
      <c r="F2177" s="3">
        <v>0</v>
      </c>
      <c r="G2177" s="3">
        <v>0</v>
      </c>
      <c r="H2177" s="2">
        <f t="shared" si="66"/>
        <v>541</v>
      </c>
      <c r="I2177" t="str">
        <f t="shared" si="67"/>
        <v>Enah_541</v>
      </c>
      <c r="J2177" s="3">
        <v>0</v>
      </c>
      <c r="K2177" s="3">
        <v>0</v>
      </c>
      <c r="L2177" s="3">
        <v>541</v>
      </c>
      <c r="M2177" s="3">
        <v>0</v>
      </c>
      <c r="N2177" s="3">
        <v>0</v>
      </c>
    </row>
    <row r="2178" spans="1:14" x14ac:dyDescent="0.2">
      <c r="A2178" s="5" t="str">
        <f>HYPERLINK("http://www.ncbi.nlm.nih.gov/protein/133778939","Enah")</f>
        <v>Enah</v>
      </c>
      <c r="B2178" s="4"/>
      <c r="C2178" s="3">
        <v>0</v>
      </c>
      <c r="D2178" s="3">
        <v>0</v>
      </c>
      <c r="E2178" s="3">
        <v>541</v>
      </c>
      <c r="F2178" s="3">
        <v>0</v>
      </c>
      <c r="G2178" s="3">
        <v>0</v>
      </c>
      <c r="H2178" s="2">
        <f t="shared" ref="H2178:H2241" si="68">SUM(C2178:G2178)</f>
        <v>541</v>
      </c>
      <c r="I2178" t="str">
        <f t="shared" ref="I2178:I2241" si="69">A2178&amp;"_"&amp;H2178</f>
        <v>Enah_541</v>
      </c>
      <c r="J2178" s="3">
        <v>0</v>
      </c>
      <c r="K2178" s="3">
        <v>0</v>
      </c>
      <c r="L2178" s="3">
        <v>541</v>
      </c>
      <c r="M2178" s="3">
        <v>0</v>
      </c>
      <c r="N2178" s="3">
        <v>0</v>
      </c>
    </row>
    <row r="2179" spans="1:14" x14ac:dyDescent="0.2">
      <c r="A2179" s="5" t="str">
        <f>HYPERLINK("http://www.ncbi.nlm.nih.gov/protein/133778997","Enah")</f>
        <v>Enah</v>
      </c>
      <c r="B2179" s="4"/>
      <c r="C2179" s="3">
        <v>0</v>
      </c>
      <c r="D2179" s="3">
        <v>0</v>
      </c>
      <c r="E2179" s="3">
        <v>541</v>
      </c>
      <c r="F2179" s="3">
        <v>8</v>
      </c>
      <c r="G2179" s="3">
        <v>0</v>
      </c>
      <c r="H2179" s="2">
        <f t="shared" si="68"/>
        <v>549</v>
      </c>
      <c r="I2179" t="str">
        <f t="shared" si="69"/>
        <v>Enah_549</v>
      </c>
      <c r="J2179" s="3">
        <v>0</v>
      </c>
      <c r="K2179" s="3">
        <v>0</v>
      </c>
      <c r="L2179" s="3">
        <v>541</v>
      </c>
      <c r="M2179" s="3">
        <v>8</v>
      </c>
      <c r="N2179" s="3">
        <v>0</v>
      </c>
    </row>
    <row r="2180" spans="1:14" x14ac:dyDescent="0.2">
      <c r="A2180" s="5" t="str">
        <f>HYPERLINK("http://www.ncbi.nlm.nih.gov/protein/133779002","Enah")</f>
        <v>Enah</v>
      </c>
      <c r="B2180" s="4"/>
      <c r="C2180" s="3">
        <v>0</v>
      </c>
      <c r="D2180" s="3">
        <v>0</v>
      </c>
      <c r="E2180" s="3">
        <v>541</v>
      </c>
      <c r="F2180" s="3">
        <v>8</v>
      </c>
      <c r="G2180" s="3">
        <v>0</v>
      </c>
      <c r="H2180" s="2">
        <f t="shared" si="68"/>
        <v>549</v>
      </c>
      <c r="I2180" t="str">
        <f t="shared" si="69"/>
        <v>Enah_549</v>
      </c>
      <c r="J2180" s="3">
        <v>0</v>
      </c>
      <c r="K2180" s="3">
        <v>0</v>
      </c>
      <c r="L2180" s="3">
        <v>541</v>
      </c>
      <c r="M2180" s="3">
        <v>8</v>
      </c>
      <c r="N2180" s="3">
        <v>0</v>
      </c>
    </row>
    <row r="2181" spans="1:14" x14ac:dyDescent="0.2">
      <c r="A2181" s="5" t="str">
        <f>HYPERLINK("http://www.ncbi.nlm.nih.gov/protein/160333729","Endod1")</f>
        <v>Endod1</v>
      </c>
      <c r="B2181" s="4"/>
      <c r="C2181" s="3">
        <v>1556</v>
      </c>
      <c r="D2181" s="3">
        <v>1708</v>
      </c>
      <c r="E2181" s="3">
        <v>1157</v>
      </c>
      <c r="F2181" s="3">
        <v>0</v>
      </c>
      <c r="G2181" s="3">
        <v>0</v>
      </c>
      <c r="H2181" s="2">
        <f t="shared" si="68"/>
        <v>4421</v>
      </c>
      <c r="I2181" t="str">
        <f t="shared" si="69"/>
        <v>Endod1_4421</v>
      </c>
      <c r="J2181" s="3">
        <v>1556</v>
      </c>
      <c r="K2181" s="3">
        <v>1708</v>
      </c>
      <c r="L2181" s="3">
        <v>1157</v>
      </c>
      <c r="M2181" s="3">
        <v>0</v>
      </c>
      <c r="N2181" s="3">
        <v>0</v>
      </c>
    </row>
    <row r="2182" spans="1:14" x14ac:dyDescent="0.2">
      <c r="A2182" s="5" t="str">
        <f>HYPERLINK("http://www.ncbi.nlm.nih.gov/protein/27369816","Engase")</f>
        <v>Engase</v>
      </c>
      <c r="B2182" s="4"/>
      <c r="C2182" s="3">
        <v>0</v>
      </c>
      <c r="D2182" s="3">
        <v>0</v>
      </c>
      <c r="E2182" s="3">
        <v>88</v>
      </c>
      <c r="F2182" s="3">
        <v>0</v>
      </c>
      <c r="G2182" s="3">
        <v>0</v>
      </c>
      <c r="H2182" s="2">
        <f t="shared" si="68"/>
        <v>88</v>
      </c>
      <c r="I2182" t="str">
        <f t="shared" si="69"/>
        <v>Engase_88</v>
      </c>
      <c r="J2182" s="3">
        <v>0</v>
      </c>
      <c r="K2182" s="3">
        <v>0</v>
      </c>
      <c r="L2182" s="3">
        <v>88</v>
      </c>
      <c r="M2182" s="3">
        <v>0</v>
      </c>
      <c r="N2182" s="3">
        <v>0</v>
      </c>
    </row>
    <row r="2183" spans="1:14" x14ac:dyDescent="0.2">
      <c r="A2183" s="5" t="str">
        <f>HYPERLINK("http://www.ncbi.nlm.nih.gov/protein/158853992;70794816","Eno1")</f>
        <v>Eno1</v>
      </c>
      <c r="B2183" s="4"/>
      <c r="C2183" s="3">
        <v>0</v>
      </c>
      <c r="D2183" s="3">
        <v>0</v>
      </c>
      <c r="E2183" s="3">
        <v>349748</v>
      </c>
      <c r="F2183" s="3">
        <v>0</v>
      </c>
      <c r="G2183" s="3">
        <v>0</v>
      </c>
      <c r="H2183" s="2">
        <f t="shared" si="68"/>
        <v>349748</v>
      </c>
      <c r="I2183" t="str">
        <f t="shared" si="69"/>
        <v>Eno1_349748</v>
      </c>
      <c r="J2183" s="3">
        <v>0</v>
      </c>
      <c r="K2183" s="3">
        <v>0</v>
      </c>
      <c r="L2183" s="3">
        <v>349748</v>
      </c>
      <c r="M2183" s="3">
        <v>0</v>
      </c>
      <c r="N2183" s="3">
        <v>0</v>
      </c>
    </row>
    <row r="2184" spans="1:14" x14ac:dyDescent="0.2">
      <c r="A2184" s="5" t="str">
        <f>HYPERLINK("http://www.ncbi.nlm.nih.gov/protein/7305027","Eno2")</f>
        <v>Eno2</v>
      </c>
      <c r="B2184" s="4"/>
      <c r="C2184" s="3">
        <v>116847</v>
      </c>
      <c r="D2184" s="3">
        <v>20846</v>
      </c>
      <c r="E2184" s="3">
        <v>4406</v>
      </c>
      <c r="F2184" s="3">
        <v>81103</v>
      </c>
      <c r="G2184" s="3">
        <v>97778</v>
      </c>
      <c r="H2184" s="2">
        <f t="shared" si="68"/>
        <v>320980</v>
      </c>
      <c r="I2184" t="str">
        <f t="shared" si="69"/>
        <v>Eno2_320980</v>
      </c>
      <c r="J2184" s="3">
        <v>116847</v>
      </c>
      <c r="K2184" s="3">
        <v>20846</v>
      </c>
      <c r="L2184" s="3">
        <v>4406</v>
      </c>
      <c r="M2184" s="3">
        <v>81103</v>
      </c>
      <c r="N2184" s="3">
        <v>97778</v>
      </c>
    </row>
    <row r="2185" spans="1:14" x14ac:dyDescent="0.2">
      <c r="A2185" s="5" t="str">
        <f>HYPERLINK("http://www.ncbi.nlm.nih.gov/protein/6679651","Eno3")</f>
        <v>Eno3</v>
      </c>
      <c r="B2185" s="4"/>
      <c r="C2185" s="3">
        <v>306003</v>
      </c>
      <c r="D2185" s="3">
        <v>0</v>
      </c>
      <c r="E2185" s="3">
        <v>0</v>
      </c>
      <c r="F2185" s="3">
        <v>0</v>
      </c>
      <c r="G2185" s="3">
        <v>0</v>
      </c>
      <c r="H2185" s="2">
        <f t="shared" si="68"/>
        <v>306003</v>
      </c>
      <c r="I2185" t="str">
        <f t="shared" si="69"/>
        <v>Eno3_306003</v>
      </c>
      <c r="J2185" s="3">
        <v>306003</v>
      </c>
      <c r="K2185" s="3">
        <v>0</v>
      </c>
      <c r="L2185" s="3">
        <v>0</v>
      </c>
      <c r="M2185" s="3">
        <v>0</v>
      </c>
      <c r="N2185" s="3">
        <v>0</v>
      </c>
    </row>
    <row r="2186" spans="1:14" x14ac:dyDescent="0.2">
      <c r="A2186" s="5" t="str">
        <f>HYPERLINK("http://www.ncbi.nlm.nih.gov/protein/6679651;209862931","Eno3")</f>
        <v>Eno3</v>
      </c>
      <c r="B2186" s="4"/>
      <c r="C2186" s="3">
        <v>0</v>
      </c>
      <c r="D2186" s="3">
        <v>0</v>
      </c>
      <c r="E2186" s="3">
        <v>104962</v>
      </c>
      <c r="F2186" s="3">
        <v>0</v>
      </c>
      <c r="G2186" s="3">
        <v>0</v>
      </c>
      <c r="H2186" s="2">
        <f t="shared" si="68"/>
        <v>104962</v>
      </c>
      <c r="I2186" t="str">
        <f t="shared" si="69"/>
        <v>Eno3_104962</v>
      </c>
      <c r="J2186" s="3">
        <v>0</v>
      </c>
      <c r="K2186" s="3">
        <v>0</v>
      </c>
      <c r="L2186" s="3">
        <v>104962</v>
      </c>
      <c r="M2186" s="3">
        <v>0</v>
      </c>
      <c r="N2186" s="3">
        <v>0</v>
      </c>
    </row>
    <row r="2187" spans="1:14" x14ac:dyDescent="0.2">
      <c r="A2187" s="5" t="str">
        <f>HYPERLINK("http://www.ncbi.nlm.nih.gov/protein/209862931;6679651","Eno3")</f>
        <v>Eno3</v>
      </c>
      <c r="B2187" s="4"/>
      <c r="C2187" s="3">
        <v>0</v>
      </c>
      <c r="D2187" s="3">
        <v>38216</v>
      </c>
      <c r="E2187" s="3">
        <v>0</v>
      </c>
      <c r="F2187" s="3">
        <v>175654</v>
      </c>
      <c r="G2187" s="3">
        <v>514613</v>
      </c>
      <c r="H2187" s="2">
        <f t="shared" si="68"/>
        <v>728483</v>
      </c>
      <c r="I2187" t="str">
        <f t="shared" si="69"/>
        <v>Eno3_728483</v>
      </c>
      <c r="J2187" s="3">
        <v>0</v>
      </c>
      <c r="K2187" s="3">
        <v>38216</v>
      </c>
      <c r="L2187" s="3">
        <v>0</v>
      </c>
      <c r="M2187" s="3">
        <v>175654</v>
      </c>
      <c r="N2187" s="3">
        <v>514613</v>
      </c>
    </row>
    <row r="2188" spans="1:14" x14ac:dyDescent="0.2">
      <c r="A2188" s="5" t="str">
        <f>HYPERLINK("http://www.ncbi.nlm.nih.gov/protein/251823872","Enoph1")</f>
        <v>Enoph1</v>
      </c>
      <c r="B2188" s="4"/>
      <c r="C2188" s="3">
        <v>0</v>
      </c>
      <c r="D2188" s="3">
        <v>109</v>
      </c>
      <c r="E2188" s="3">
        <v>0</v>
      </c>
      <c r="F2188" s="3">
        <v>0</v>
      </c>
      <c r="G2188" s="3">
        <v>4734</v>
      </c>
      <c r="H2188" s="2">
        <f t="shared" si="68"/>
        <v>4843</v>
      </c>
      <c r="I2188" t="str">
        <f t="shared" si="69"/>
        <v>Enoph1_4843</v>
      </c>
      <c r="J2188" s="3">
        <v>0</v>
      </c>
      <c r="K2188" s="3">
        <v>109</v>
      </c>
      <c r="L2188" s="3">
        <v>0</v>
      </c>
      <c r="M2188" s="3">
        <v>0</v>
      </c>
      <c r="N2188" s="3">
        <v>4734</v>
      </c>
    </row>
    <row r="2189" spans="1:14" x14ac:dyDescent="0.2">
      <c r="A2189" s="5" t="str">
        <f>HYPERLINK("http://www.ncbi.nlm.nih.gov/protein/84872231","Enpp4")</f>
        <v>Enpp4</v>
      </c>
      <c r="B2189" s="4"/>
      <c r="C2189" s="3">
        <v>0</v>
      </c>
      <c r="D2189" s="3">
        <v>401</v>
      </c>
      <c r="E2189" s="3">
        <v>59</v>
      </c>
      <c r="F2189" s="3">
        <v>0</v>
      </c>
      <c r="G2189" s="3">
        <v>0</v>
      </c>
      <c r="H2189" s="2">
        <f t="shared" si="68"/>
        <v>460</v>
      </c>
      <c r="I2189" t="str">
        <f t="shared" si="69"/>
        <v>Enpp4_460</v>
      </c>
      <c r="J2189" s="3">
        <v>0</v>
      </c>
      <c r="K2189" s="3">
        <v>401</v>
      </c>
      <c r="L2189" s="3">
        <v>59</v>
      </c>
      <c r="M2189" s="3">
        <v>0</v>
      </c>
      <c r="N2189" s="3">
        <v>0</v>
      </c>
    </row>
    <row r="2190" spans="1:14" x14ac:dyDescent="0.2">
      <c r="A2190" s="5" t="str">
        <f>HYPERLINK("http://www.ncbi.nlm.nih.gov/protein/14030779","Enpp5")</f>
        <v>Enpp5</v>
      </c>
      <c r="B2190" s="4"/>
      <c r="C2190" s="3">
        <v>6755</v>
      </c>
      <c r="D2190" s="3">
        <v>5298</v>
      </c>
      <c r="E2190" s="3">
        <v>38</v>
      </c>
      <c r="F2190" s="3">
        <v>0</v>
      </c>
      <c r="G2190" s="3">
        <v>182</v>
      </c>
      <c r="H2190" s="2">
        <f t="shared" si="68"/>
        <v>12273</v>
      </c>
      <c r="I2190" t="str">
        <f t="shared" si="69"/>
        <v>Enpp5_12273</v>
      </c>
      <c r="J2190" s="3">
        <v>6755</v>
      </c>
      <c r="K2190" s="3">
        <v>5298</v>
      </c>
      <c r="L2190" s="3">
        <v>38</v>
      </c>
      <c r="M2190" s="3">
        <v>0</v>
      </c>
      <c r="N2190" s="3">
        <v>182</v>
      </c>
    </row>
    <row r="2191" spans="1:14" x14ac:dyDescent="0.2">
      <c r="A2191" s="5" t="str">
        <f>HYPERLINK("http://www.ncbi.nlm.nih.gov/protein/71892414","Enpp7")</f>
        <v>Enpp7</v>
      </c>
      <c r="B2191" s="4"/>
      <c r="C2191" s="3">
        <v>0</v>
      </c>
      <c r="D2191" s="3">
        <v>265</v>
      </c>
      <c r="E2191" s="3">
        <v>0</v>
      </c>
      <c r="F2191" s="3">
        <v>0</v>
      </c>
      <c r="G2191" s="3">
        <v>0</v>
      </c>
      <c r="H2191" s="2">
        <f t="shared" si="68"/>
        <v>265</v>
      </c>
      <c r="I2191" t="str">
        <f t="shared" si="69"/>
        <v>Enpp7_265</v>
      </c>
      <c r="J2191" s="3">
        <v>0</v>
      </c>
      <c r="K2191" s="3">
        <v>265</v>
      </c>
      <c r="L2191" s="3">
        <v>0</v>
      </c>
      <c r="M2191" s="3">
        <v>0</v>
      </c>
      <c r="N2191" s="3">
        <v>0</v>
      </c>
    </row>
    <row r="2192" spans="1:14" x14ac:dyDescent="0.2">
      <c r="A2192" s="5" t="str">
        <f>HYPERLINK("http://www.ncbi.nlm.nih.gov/protein/71061466","Ensa")</f>
        <v>Ensa</v>
      </c>
      <c r="B2192" s="4"/>
      <c r="C2192" s="3">
        <v>0</v>
      </c>
      <c r="D2192" s="3">
        <v>10</v>
      </c>
      <c r="E2192" s="3">
        <v>0</v>
      </c>
      <c r="F2192" s="3">
        <v>0</v>
      </c>
      <c r="G2192" s="3">
        <v>3406</v>
      </c>
      <c r="H2192" s="2">
        <f t="shared" si="68"/>
        <v>3416</v>
      </c>
      <c r="I2192" t="str">
        <f t="shared" si="69"/>
        <v>Ensa_3416</v>
      </c>
      <c r="J2192" s="3">
        <v>0</v>
      </c>
      <c r="K2192" s="3">
        <v>10</v>
      </c>
      <c r="L2192" s="3">
        <v>0</v>
      </c>
      <c r="M2192" s="3">
        <v>0</v>
      </c>
      <c r="N2192" s="3">
        <v>3406</v>
      </c>
    </row>
    <row r="2193" spans="1:14" x14ac:dyDescent="0.2">
      <c r="A2193" s="5" t="str">
        <f>HYPERLINK("http://www.ncbi.nlm.nih.gov/protein/9624979","Ensa")</f>
        <v>Ensa</v>
      </c>
      <c r="B2193" s="4"/>
      <c r="C2193" s="3">
        <v>0</v>
      </c>
      <c r="D2193" s="3">
        <v>10</v>
      </c>
      <c r="E2193" s="3">
        <v>0</v>
      </c>
      <c r="F2193" s="3">
        <v>0</v>
      </c>
      <c r="G2193" s="3">
        <v>3406</v>
      </c>
      <c r="H2193" s="2">
        <f t="shared" si="68"/>
        <v>3416</v>
      </c>
      <c r="I2193" t="str">
        <f t="shared" si="69"/>
        <v>Ensa_3416</v>
      </c>
      <c r="J2193" s="3">
        <v>0</v>
      </c>
      <c r="K2193" s="3">
        <v>10</v>
      </c>
      <c r="L2193" s="3">
        <v>0</v>
      </c>
      <c r="M2193" s="3">
        <v>0</v>
      </c>
      <c r="N2193" s="3">
        <v>3406</v>
      </c>
    </row>
    <row r="2194" spans="1:14" x14ac:dyDescent="0.2">
      <c r="A2194" s="5" t="str">
        <f>HYPERLINK("http://www.ncbi.nlm.nih.gov/protein/161484610","Entpd2")</f>
        <v>Entpd2</v>
      </c>
      <c r="B2194" s="4"/>
      <c r="C2194" s="3">
        <v>0</v>
      </c>
      <c r="D2194" s="3">
        <v>2144</v>
      </c>
      <c r="E2194" s="3">
        <v>2138</v>
      </c>
      <c r="F2194" s="3">
        <v>0</v>
      </c>
      <c r="G2194" s="3">
        <v>0</v>
      </c>
      <c r="H2194" s="2">
        <f t="shared" si="68"/>
        <v>4282</v>
      </c>
      <c r="I2194" t="str">
        <f t="shared" si="69"/>
        <v>Entpd2_4282</v>
      </c>
      <c r="J2194" s="3">
        <v>0</v>
      </c>
      <c r="K2194" s="3">
        <v>2144</v>
      </c>
      <c r="L2194" s="3">
        <v>2138</v>
      </c>
      <c r="M2194" s="3">
        <v>0</v>
      </c>
      <c r="N2194" s="3">
        <v>0</v>
      </c>
    </row>
    <row r="2195" spans="1:14" x14ac:dyDescent="0.2">
      <c r="A2195" s="5" t="str">
        <f>HYPERLINK("http://www.ncbi.nlm.nih.gov/protein/71061460","Entpd5")</f>
        <v>Entpd5</v>
      </c>
      <c r="B2195" s="4"/>
      <c r="C2195" s="3">
        <v>0</v>
      </c>
      <c r="D2195" s="3">
        <v>378</v>
      </c>
      <c r="E2195" s="3">
        <v>0</v>
      </c>
      <c r="F2195" s="3">
        <v>0</v>
      </c>
      <c r="G2195" s="3">
        <v>257</v>
      </c>
      <c r="H2195" s="2">
        <f t="shared" si="68"/>
        <v>635</v>
      </c>
      <c r="I2195" t="str">
        <f t="shared" si="69"/>
        <v>Entpd5_635</v>
      </c>
      <c r="J2195" s="3">
        <v>0</v>
      </c>
      <c r="K2195" s="3">
        <v>378</v>
      </c>
      <c r="L2195" s="3">
        <v>0</v>
      </c>
      <c r="M2195" s="3">
        <v>0</v>
      </c>
      <c r="N2195" s="3">
        <v>257</v>
      </c>
    </row>
    <row r="2196" spans="1:14" x14ac:dyDescent="0.2">
      <c r="A2196" s="5" t="str">
        <f>HYPERLINK("http://www.ncbi.nlm.nih.gov/protein/71061462","Entpd5")</f>
        <v>Entpd5</v>
      </c>
      <c r="B2196" s="4"/>
      <c r="C2196" s="3">
        <v>0</v>
      </c>
      <c r="D2196" s="3">
        <v>378</v>
      </c>
      <c r="E2196" s="3">
        <v>0</v>
      </c>
      <c r="F2196" s="3">
        <v>0</v>
      </c>
      <c r="G2196" s="3">
        <v>257</v>
      </c>
      <c r="H2196" s="2">
        <f t="shared" si="68"/>
        <v>635</v>
      </c>
      <c r="I2196" t="str">
        <f t="shared" si="69"/>
        <v>Entpd5_635</v>
      </c>
      <c r="J2196" s="3">
        <v>0</v>
      </c>
      <c r="K2196" s="3">
        <v>378</v>
      </c>
      <c r="L2196" s="3">
        <v>0</v>
      </c>
      <c r="M2196" s="3">
        <v>0</v>
      </c>
      <c r="N2196" s="3">
        <v>257</v>
      </c>
    </row>
    <row r="2197" spans="1:14" x14ac:dyDescent="0.2">
      <c r="A2197" s="5" t="str">
        <f>HYPERLINK("http://www.ncbi.nlm.nih.gov/protein/30023855","Eny2")</f>
        <v>Eny2</v>
      </c>
      <c r="B2197" s="4"/>
      <c r="C2197" s="3">
        <v>0</v>
      </c>
      <c r="D2197" s="3">
        <v>0</v>
      </c>
      <c r="E2197" s="3">
        <v>32</v>
      </c>
      <c r="F2197" s="3">
        <v>0</v>
      </c>
      <c r="G2197" s="3">
        <v>0</v>
      </c>
      <c r="H2197" s="2">
        <f t="shared" si="68"/>
        <v>32</v>
      </c>
      <c r="I2197" t="str">
        <f t="shared" si="69"/>
        <v>Eny2_32</v>
      </c>
      <c r="J2197" s="3">
        <v>0</v>
      </c>
      <c r="K2197" s="3">
        <v>0</v>
      </c>
      <c r="L2197" s="3">
        <v>32</v>
      </c>
      <c r="M2197" s="3">
        <v>0</v>
      </c>
      <c r="N2197" s="3">
        <v>0</v>
      </c>
    </row>
    <row r="2198" spans="1:14" x14ac:dyDescent="0.2">
      <c r="A2198" s="5" t="str">
        <f>HYPERLINK("http://www.ncbi.nlm.nih.gov/protein/94421034","Ep300")</f>
        <v>Ep300</v>
      </c>
      <c r="B2198" s="4"/>
      <c r="C2198" s="3">
        <v>0</v>
      </c>
      <c r="D2198" s="3">
        <v>31</v>
      </c>
      <c r="E2198" s="3">
        <v>89</v>
      </c>
      <c r="F2198" s="3">
        <v>1040</v>
      </c>
      <c r="G2198" s="3">
        <v>750</v>
      </c>
      <c r="H2198" s="2">
        <f t="shared" si="68"/>
        <v>1910</v>
      </c>
      <c r="I2198" t="str">
        <f t="shared" si="69"/>
        <v>Ep300_1910</v>
      </c>
      <c r="J2198" s="3">
        <v>0</v>
      </c>
      <c r="K2198" s="3">
        <v>31</v>
      </c>
      <c r="L2198" s="3">
        <v>89</v>
      </c>
      <c r="M2198" s="3">
        <v>1040</v>
      </c>
      <c r="N2198" s="3">
        <v>750</v>
      </c>
    </row>
    <row r="2199" spans="1:14" x14ac:dyDescent="0.2">
      <c r="A2199" s="5" t="str">
        <f>HYPERLINK("http://www.ncbi.nlm.nih.gov/protein/190684669","Epb4.1")</f>
        <v>Epb4.1</v>
      </c>
      <c r="B2199" s="4"/>
      <c r="C2199" s="3">
        <v>458</v>
      </c>
      <c r="D2199" s="3">
        <v>230</v>
      </c>
      <c r="E2199" s="3">
        <v>2463</v>
      </c>
      <c r="F2199" s="3">
        <v>0</v>
      </c>
      <c r="G2199" s="3">
        <v>0</v>
      </c>
      <c r="H2199" s="2">
        <f t="shared" si="68"/>
        <v>3151</v>
      </c>
      <c r="I2199" t="str">
        <f t="shared" si="69"/>
        <v>Epb4.1_3151</v>
      </c>
      <c r="J2199" s="3">
        <v>458</v>
      </c>
      <c r="K2199" s="3">
        <v>230</v>
      </c>
      <c r="L2199" s="3">
        <v>2463</v>
      </c>
      <c r="M2199" s="3">
        <v>0</v>
      </c>
      <c r="N2199" s="3">
        <v>0</v>
      </c>
    </row>
    <row r="2200" spans="1:14" x14ac:dyDescent="0.2">
      <c r="A2200" s="5" t="str">
        <f>HYPERLINK("http://www.ncbi.nlm.nih.gov/protein/190684673","Epb4.1")</f>
        <v>Epb4.1</v>
      </c>
      <c r="B2200" s="4"/>
      <c r="C2200" s="3">
        <v>403</v>
      </c>
      <c r="D2200" s="3">
        <v>230</v>
      </c>
      <c r="E2200" s="3">
        <v>2268</v>
      </c>
      <c r="F2200" s="3">
        <v>0</v>
      </c>
      <c r="G2200" s="3">
        <v>0</v>
      </c>
      <c r="H2200" s="2">
        <f t="shared" si="68"/>
        <v>2901</v>
      </c>
      <c r="I2200" t="str">
        <f t="shared" si="69"/>
        <v>Epb4.1_2901</v>
      </c>
      <c r="J2200" s="3">
        <v>403</v>
      </c>
      <c r="K2200" s="3">
        <v>230</v>
      </c>
      <c r="L2200" s="3">
        <v>2268</v>
      </c>
      <c r="M2200" s="3">
        <v>0</v>
      </c>
      <c r="N2200" s="3">
        <v>0</v>
      </c>
    </row>
    <row r="2201" spans="1:14" x14ac:dyDescent="0.2">
      <c r="A2201" s="5" t="str">
        <f>HYPERLINK("http://www.ncbi.nlm.nih.gov/protein/190881478","Epb4.1")</f>
        <v>Epb4.1</v>
      </c>
      <c r="B2201" s="4"/>
      <c r="C2201" s="3">
        <v>458</v>
      </c>
      <c r="D2201" s="3">
        <v>230</v>
      </c>
      <c r="E2201" s="3">
        <v>2463</v>
      </c>
      <c r="F2201" s="3">
        <v>0</v>
      </c>
      <c r="G2201" s="3">
        <v>0</v>
      </c>
      <c r="H2201" s="2">
        <f t="shared" si="68"/>
        <v>3151</v>
      </c>
      <c r="I2201" t="str">
        <f t="shared" si="69"/>
        <v>Epb4.1_3151</v>
      </c>
      <c r="J2201" s="3">
        <v>458</v>
      </c>
      <c r="K2201" s="3">
        <v>230</v>
      </c>
      <c r="L2201" s="3">
        <v>2463</v>
      </c>
      <c r="M2201" s="3">
        <v>0</v>
      </c>
      <c r="N2201" s="3">
        <v>0</v>
      </c>
    </row>
    <row r="2202" spans="1:14" x14ac:dyDescent="0.2">
      <c r="A2202" s="5" t="str">
        <f>HYPERLINK("http://www.ncbi.nlm.nih.gov/protein/54873604","Epb4.1l1")</f>
        <v>Epb4.1l1</v>
      </c>
      <c r="B2202" s="4"/>
      <c r="C2202" s="3">
        <v>2105</v>
      </c>
      <c r="D2202" s="3">
        <v>1096</v>
      </c>
      <c r="E2202" s="3">
        <v>6125</v>
      </c>
      <c r="F2202" s="3">
        <v>0</v>
      </c>
      <c r="G2202" s="3">
        <v>22351</v>
      </c>
      <c r="H2202" s="2">
        <f t="shared" si="68"/>
        <v>31677</v>
      </c>
      <c r="I2202" t="str">
        <f t="shared" si="69"/>
        <v>Epb4.1l1_31677</v>
      </c>
      <c r="J2202" s="3">
        <v>2105</v>
      </c>
      <c r="K2202" s="3">
        <v>1096</v>
      </c>
      <c r="L2202" s="3">
        <v>6125</v>
      </c>
      <c r="M2202" s="3">
        <v>0</v>
      </c>
      <c r="N2202" s="3">
        <v>22351</v>
      </c>
    </row>
    <row r="2203" spans="1:14" x14ac:dyDescent="0.2">
      <c r="A2203" s="5" t="str">
        <f>HYPERLINK("http://www.ncbi.nlm.nih.gov/protein/7305029","Epb4.1l1")</f>
        <v>Epb4.1l1</v>
      </c>
      <c r="B2203" s="4"/>
      <c r="C2203" s="3">
        <v>2105</v>
      </c>
      <c r="D2203" s="3">
        <v>1096</v>
      </c>
      <c r="E2203" s="3">
        <v>5631</v>
      </c>
      <c r="F2203" s="3">
        <v>0</v>
      </c>
      <c r="G2203" s="3">
        <v>21494</v>
      </c>
      <c r="H2203" s="2">
        <f t="shared" si="68"/>
        <v>30326</v>
      </c>
      <c r="I2203" t="str">
        <f t="shared" si="69"/>
        <v>Epb4.1l1_30326</v>
      </c>
      <c r="J2203" s="3">
        <v>2105</v>
      </c>
      <c r="K2203" s="3">
        <v>1096</v>
      </c>
      <c r="L2203" s="3">
        <v>5631</v>
      </c>
      <c r="M2203" s="3">
        <v>0</v>
      </c>
      <c r="N2203" s="3">
        <v>21494</v>
      </c>
    </row>
    <row r="2204" spans="1:14" x14ac:dyDescent="0.2">
      <c r="A2204" s="5" t="str">
        <f>HYPERLINK("http://www.ncbi.nlm.nih.gov/protein/312922373","Epb4.1l2")</f>
        <v>Epb4.1l2</v>
      </c>
      <c r="B2204" s="4"/>
      <c r="C2204" s="3">
        <v>10196</v>
      </c>
      <c r="D2204" s="3">
        <v>3236</v>
      </c>
      <c r="E2204" s="3">
        <v>10353</v>
      </c>
      <c r="F2204" s="3">
        <v>0</v>
      </c>
      <c r="G2204" s="3">
        <v>889</v>
      </c>
      <c r="H2204" s="2">
        <f t="shared" si="68"/>
        <v>24674</v>
      </c>
      <c r="I2204" t="str">
        <f t="shared" si="69"/>
        <v>Epb4.1l2_24674</v>
      </c>
      <c r="J2204" s="3">
        <v>10196</v>
      </c>
      <c r="K2204" s="3">
        <v>3236</v>
      </c>
      <c r="L2204" s="3">
        <v>10353</v>
      </c>
      <c r="M2204" s="3">
        <v>0</v>
      </c>
      <c r="N2204" s="3">
        <v>889</v>
      </c>
    </row>
    <row r="2205" spans="1:14" x14ac:dyDescent="0.2">
      <c r="A2205" s="5" t="str">
        <f>HYPERLINK("http://www.ncbi.nlm.nih.gov/protein/7305031","Epb4.1l3")</f>
        <v>Epb4.1l3</v>
      </c>
      <c r="B2205" s="4"/>
      <c r="C2205" s="3">
        <v>0</v>
      </c>
      <c r="D2205" s="3">
        <v>4</v>
      </c>
      <c r="E2205" s="3">
        <v>2114</v>
      </c>
      <c r="F2205" s="3">
        <v>115</v>
      </c>
      <c r="G2205" s="3">
        <v>0</v>
      </c>
      <c r="H2205" s="2">
        <f t="shared" si="68"/>
        <v>2233</v>
      </c>
      <c r="I2205" t="str">
        <f t="shared" si="69"/>
        <v>Epb4.1l3_2233</v>
      </c>
      <c r="J2205" s="3">
        <v>0</v>
      </c>
      <c r="K2205" s="3">
        <v>4</v>
      </c>
      <c r="L2205" s="3">
        <v>2114</v>
      </c>
      <c r="M2205" s="3">
        <v>115</v>
      </c>
      <c r="N2205" s="3">
        <v>0</v>
      </c>
    </row>
    <row r="2206" spans="1:14" x14ac:dyDescent="0.2">
      <c r="A2206" s="5" t="str">
        <f>HYPERLINK("http://www.ncbi.nlm.nih.gov/protein/87042272","Epb4.1l4a")</f>
        <v>Epb4.1l4a</v>
      </c>
      <c r="B2206" s="4"/>
      <c r="C2206" s="3">
        <v>0</v>
      </c>
      <c r="D2206" s="3">
        <v>0</v>
      </c>
      <c r="E2206" s="3">
        <v>164</v>
      </c>
      <c r="F2206" s="3">
        <v>0</v>
      </c>
      <c r="G2206" s="3">
        <v>0</v>
      </c>
      <c r="H2206" s="2">
        <f t="shared" si="68"/>
        <v>164</v>
      </c>
      <c r="I2206" t="str">
        <f t="shared" si="69"/>
        <v>Epb4.1l4a_164</v>
      </c>
      <c r="J2206" s="3">
        <v>0</v>
      </c>
      <c r="K2206" s="3">
        <v>0</v>
      </c>
      <c r="L2206" s="3">
        <v>164</v>
      </c>
      <c r="M2206" s="3">
        <v>0</v>
      </c>
      <c r="N2206" s="3">
        <v>0</v>
      </c>
    </row>
    <row r="2207" spans="1:14" x14ac:dyDescent="0.2">
      <c r="A2207" s="5" t="str">
        <f>HYPERLINK("http://www.ncbi.nlm.nih.gov/protein/169234799","Epb4.1l4b")</f>
        <v>Epb4.1l4b</v>
      </c>
      <c r="B2207" s="4"/>
      <c r="C2207" s="3">
        <v>23633</v>
      </c>
      <c r="D2207" s="3">
        <v>7663</v>
      </c>
      <c r="E2207" s="3">
        <v>3404</v>
      </c>
      <c r="F2207" s="3">
        <v>5141</v>
      </c>
      <c r="G2207" s="3">
        <v>0</v>
      </c>
      <c r="H2207" s="2">
        <f t="shared" si="68"/>
        <v>39841</v>
      </c>
      <c r="I2207" t="str">
        <f t="shared" si="69"/>
        <v>Epb4.1l4b_39841</v>
      </c>
      <c r="J2207" s="3">
        <v>23633</v>
      </c>
      <c r="K2207" s="3">
        <v>7663</v>
      </c>
      <c r="L2207" s="3">
        <v>3404</v>
      </c>
      <c r="M2207" s="3">
        <v>5141</v>
      </c>
      <c r="N2207" s="3">
        <v>0</v>
      </c>
    </row>
    <row r="2208" spans="1:14" x14ac:dyDescent="0.2">
      <c r="A2208" s="5" t="str">
        <f>HYPERLINK("http://www.ncbi.nlm.nih.gov/protein/164663872","Epb4.1l5")</f>
        <v>Epb4.1l5</v>
      </c>
      <c r="B2208" s="4"/>
      <c r="C2208" s="3">
        <v>58158</v>
      </c>
      <c r="D2208" s="3">
        <v>18270</v>
      </c>
      <c r="E2208" s="3">
        <v>27073</v>
      </c>
      <c r="F2208" s="3">
        <v>16879</v>
      </c>
      <c r="G2208" s="3">
        <v>0</v>
      </c>
      <c r="H2208" s="2">
        <f t="shared" si="68"/>
        <v>120380</v>
      </c>
      <c r="I2208" t="str">
        <f t="shared" si="69"/>
        <v>Epb4.1l5_120380</v>
      </c>
      <c r="J2208" s="3">
        <v>58158</v>
      </c>
      <c r="K2208" s="3">
        <v>18270</v>
      </c>
      <c r="L2208" s="3">
        <v>27073</v>
      </c>
      <c r="M2208" s="3">
        <v>16879</v>
      </c>
      <c r="N2208" s="3">
        <v>0</v>
      </c>
    </row>
    <row r="2209" spans="1:14" x14ac:dyDescent="0.2">
      <c r="A2209" s="5" t="str">
        <f>HYPERLINK("http://www.ncbi.nlm.nih.gov/protein/30841014","Epb4.1l5")</f>
        <v>Epb4.1l5</v>
      </c>
      <c r="B2209" s="4"/>
      <c r="C2209" s="3">
        <v>58158</v>
      </c>
      <c r="D2209" s="3">
        <v>18270</v>
      </c>
      <c r="E2209" s="3">
        <v>25779</v>
      </c>
      <c r="F2209" s="3">
        <v>16879</v>
      </c>
      <c r="G2209" s="3">
        <v>0</v>
      </c>
      <c r="H2209" s="2">
        <f t="shared" si="68"/>
        <v>119086</v>
      </c>
      <c r="I2209" t="str">
        <f t="shared" si="69"/>
        <v>Epb4.1l5_119086</v>
      </c>
      <c r="J2209" s="3">
        <v>58158</v>
      </c>
      <c r="K2209" s="3">
        <v>18270</v>
      </c>
      <c r="L2209" s="3">
        <v>25779</v>
      </c>
      <c r="M2209" s="3">
        <v>16879</v>
      </c>
      <c r="N2209" s="3">
        <v>0</v>
      </c>
    </row>
    <row r="2210" spans="1:14" x14ac:dyDescent="0.2">
      <c r="A2210" s="5" t="str">
        <f>HYPERLINK("http://www.ncbi.nlm.nih.gov/protein/112293275","Epcam")</f>
        <v>Epcam</v>
      </c>
      <c r="B2210" s="4"/>
      <c r="C2210" s="3">
        <v>146851</v>
      </c>
      <c r="D2210" s="3">
        <v>10325</v>
      </c>
      <c r="E2210" s="3">
        <v>23334</v>
      </c>
      <c r="F2210" s="3">
        <v>13334</v>
      </c>
      <c r="G2210" s="3">
        <v>0</v>
      </c>
      <c r="H2210" s="2">
        <f t="shared" si="68"/>
        <v>193844</v>
      </c>
      <c r="I2210" t="str">
        <f t="shared" si="69"/>
        <v>Epcam_193844</v>
      </c>
      <c r="J2210" s="3">
        <v>146851</v>
      </c>
      <c r="K2210" s="3">
        <v>10325</v>
      </c>
      <c r="L2210" s="3">
        <v>23334</v>
      </c>
      <c r="M2210" s="3">
        <v>13334</v>
      </c>
      <c r="N2210" s="3">
        <v>0</v>
      </c>
    </row>
    <row r="2211" spans="1:14" x14ac:dyDescent="0.2">
      <c r="A2211" s="5" t="str">
        <f>HYPERLINK("http://www.ncbi.nlm.nih.gov/protein/282165729","Epdr1")</f>
        <v>Epdr1</v>
      </c>
      <c r="B2211" s="4"/>
      <c r="C2211" s="3">
        <v>0</v>
      </c>
      <c r="D2211" s="3">
        <v>326</v>
      </c>
      <c r="E2211" s="3">
        <v>0</v>
      </c>
      <c r="F2211" s="3">
        <v>0</v>
      </c>
      <c r="G2211" s="3">
        <v>0</v>
      </c>
      <c r="H2211" s="2">
        <f t="shared" si="68"/>
        <v>326</v>
      </c>
      <c r="I2211" t="str">
        <f t="shared" si="69"/>
        <v>Epdr1_326</v>
      </c>
      <c r="J2211" s="3">
        <v>0</v>
      </c>
      <c r="K2211" s="3">
        <v>326</v>
      </c>
      <c r="L2211" s="3">
        <v>0</v>
      </c>
      <c r="M2211" s="3">
        <v>0</v>
      </c>
      <c r="N2211" s="3">
        <v>0</v>
      </c>
    </row>
    <row r="2212" spans="1:14" x14ac:dyDescent="0.2">
      <c r="A2212" s="5" t="str">
        <f>HYPERLINK("http://www.ncbi.nlm.nih.gov/protein/32484983","Epha2")</f>
        <v>Epha2</v>
      </c>
      <c r="B2212" s="4"/>
      <c r="C2212" s="3">
        <v>0</v>
      </c>
      <c r="D2212" s="3">
        <v>315</v>
      </c>
      <c r="E2212" s="3">
        <v>530</v>
      </c>
      <c r="F2212" s="3">
        <v>0</v>
      </c>
      <c r="G2212" s="3">
        <v>0</v>
      </c>
      <c r="H2212" s="2">
        <f t="shared" si="68"/>
        <v>845</v>
      </c>
      <c r="I2212" t="str">
        <f t="shared" si="69"/>
        <v>Epha2_845</v>
      </c>
      <c r="J2212" s="3">
        <v>0</v>
      </c>
      <c r="K2212" s="3">
        <v>315</v>
      </c>
      <c r="L2212" s="3">
        <v>530</v>
      </c>
      <c r="M2212" s="3">
        <v>0</v>
      </c>
      <c r="N2212" s="3">
        <v>0</v>
      </c>
    </row>
    <row r="2213" spans="1:14" x14ac:dyDescent="0.2">
      <c r="A2213" s="5" t="str">
        <f>HYPERLINK("http://www.ncbi.nlm.nih.gov/protein/34328113","Epha4")</f>
        <v>Epha4</v>
      </c>
      <c r="B2213" s="4"/>
      <c r="C2213" s="3">
        <v>0</v>
      </c>
      <c r="D2213" s="3">
        <v>315</v>
      </c>
      <c r="E2213" s="3">
        <v>471</v>
      </c>
      <c r="F2213" s="3">
        <v>0</v>
      </c>
      <c r="G2213" s="3">
        <v>0</v>
      </c>
      <c r="H2213" s="2">
        <f t="shared" si="68"/>
        <v>786</v>
      </c>
      <c r="I2213" t="str">
        <f t="shared" si="69"/>
        <v>Epha4_786</v>
      </c>
      <c r="J2213" s="3">
        <v>0</v>
      </c>
      <c r="K2213" s="3">
        <v>315</v>
      </c>
      <c r="L2213" s="3">
        <v>471</v>
      </c>
      <c r="M2213" s="3">
        <v>0</v>
      </c>
      <c r="N2213" s="3">
        <v>0</v>
      </c>
    </row>
    <row r="2214" spans="1:14" x14ac:dyDescent="0.2">
      <c r="A2214" s="5" t="str">
        <f>HYPERLINK("http://www.ncbi.nlm.nih.gov/protein/145312274","Epha6")</f>
        <v>Epha6</v>
      </c>
      <c r="B2214" s="4"/>
      <c r="C2214" s="3">
        <v>0</v>
      </c>
      <c r="D2214" s="3">
        <v>315</v>
      </c>
      <c r="E2214" s="3">
        <v>471</v>
      </c>
      <c r="F2214" s="3">
        <v>0</v>
      </c>
      <c r="G2214" s="3">
        <v>0</v>
      </c>
      <c r="H2214" s="2">
        <f t="shared" si="68"/>
        <v>786</v>
      </c>
      <c r="I2214" t="str">
        <f t="shared" si="69"/>
        <v>Epha6_786</v>
      </c>
      <c r="J2214" s="3">
        <v>0</v>
      </c>
      <c r="K2214" s="3">
        <v>315</v>
      </c>
      <c r="L2214" s="3">
        <v>471</v>
      </c>
      <c r="M2214" s="3">
        <v>0</v>
      </c>
      <c r="N2214" s="3">
        <v>0</v>
      </c>
    </row>
    <row r="2215" spans="1:14" x14ac:dyDescent="0.2">
      <c r="A2215" s="5" t="str">
        <f>HYPERLINK("http://www.ncbi.nlm.nih.gov/protein/171541811","Epha7")</f>
        <v>Epha7</v>
      </c>
      <c r="B2215" s="4"/>
      <c r="C2215" s="3">
        <v>0</v>
      </c>
      <c r="D2215" s="3">
        <v>315</v>
      </c>
      <c r="E2215" s="3">
        <v>471</v>
      </c>
      <c r="F2215" s="3">
        <v>0</v>
      </c>
      <c r="G2215" s="3">
        <v>0</v>
      </c>
      <c r="H2215" s="2">
        <f t="shared" si="68"/>
        <v>786</v>
      </c>
      <c r="I2215" t="str">
        <f t="shared" si="69"/>
        <v>Epha7_786</v>
      </c>
      <c r="J2215" s="3">
        <v>0</v>
      </c>
      <c r="K2215" s="3">
        <v>315</v>
      </c>
      <c r="L2215" s="3">
        <v>471</v>
      </c>
      <c r="M2215" s="3">
        <v>0</v>
      </c>
      <c r="N2215" s="3">
        <v>0</v>
      </c>
    </row>
    <row r="2216" spans="1:14" x14ac:dyDescent="0.2">
      <c r="A2216" s="5" t="str">
        <f>HYPERLINK("http://www.ncbi.nlm.nih.gov/protein/269973846","Ephb1")</f>
        <v>Ephb1</v>
      </c>
      <c r="B2216" s="4"/>
      <c r="C2216" s="3">
        <v>0</v>
      </c>
      <c r="D2216" s="3">
        <v>315</v>
      </c>
      <c r="E2216" s="3">
        <v>508</v>
      </c>
      <c r="F2216" s="3">
        <v>0</v>
      </c>
      <c r="G2216" s="3">
        <v>0</v>
      </c>
      <c r="H2216" s="2">
        <f t="shared" si="68"/>
        <v>823</v>
      </c>
      <c r="I2216" t="str">
        <f t="shared" si="69"/>
        <v>Ephb1_823</v>
      </c>
      <c r="J2216" s="3">
        <v>0</v>
      </c>
      <c r="K2216" s="3">
        <v>315</v>
      </c>
      <c r="L2216" s="3">
        <v>508</v>
      </c>
      <c r="M2216" s="3">
        <v>0</v>
      </c>
      <c r="N2216" s="3">
        <v>0</v>
      </c>
    </row>
    <row r="2217" spans="1:14" x14ac:dyDescent="0.2">
      <c r="A2217" s="5" t="str">
        <f>HYPERLINK("http://www.ncbi.nlm.nih.gov/protein/269973848","Ephb1")</f>
        <v>Ephb1</v>
      </c>
      <c r="B2217" s="4"/>
      <c r="C2217" s="3">
        <v>0</v>
      </c>
      <c r="D2217" s="3">
        <v>315</v>
      </c>
      <c r="E2217" s="3">
        <v>471</v>
      </c>
      <c r="F2217" s="3">
        <v>0</v>
      </c>
      <c r="G2217" s="3">
        <v>0</v>
      </c>
      <c r="H2217" s="2">
        <f t="shared" si="68"/>
        <v>786</v>
      </c>
      <c r="I2217" t="str">
        <f t="shared" si="69"/>
        <v>Ephb1_786</v>
      </c>
      <c r="J2217" s="3">
        <v>0</v>
      </c>
      <c r="K2217" s="3">
        <v>315</v>
      </c>
      <c r="L2217" s="3">
        <v>471</v>
      </c>
      <c r="M2217" s="3">
        <v>0</v>
      </c>
      <c r="N2217" s="3">
        <v>0</v>
      </c>
    </row>
    <row r="2218" spans="1:14" x14ac:dyDescent="0.2">
      <c r="A2218" s="5" t="str">
        <f>HYPERLINK("http://www.ncbi.nlm.nih.gov/protein/47777351","Ephb2")</f>
        <v>Ephb2</v>
      </c>
      <c r="B2218" s="4"/>
      <c r="C2218" s="3">
        <v>0</v>
      </c>
      <c r="D2218" s="3">
        <v>1428</v>
      </c>
      <c r="E2218" s="3">
        <v>1397</v>
      </c>
      <c r="F2218" s="3">
        <v>0</v>
      </c>
      <c r="G2218" s="3">
        <v>0</v>
      </c>
      <c r="H2218" s="2">
        <f t="shared" si="68"/>
        <v>2825</v>
      </c>
      <c r="I2218" t="str">
        <f t="shared" si="69"/>
        <v>Ephb2_2825</v>
      </c>
      <c r="J2218" s="3">
        <v>0</v>
      </c>
      <c r="K2218" s="3">
        <v>1428</v>
      </c>
      <c r="L2218" s="3">
        <v>1397</v>
      </c>
      <c r="M2218" s="3">
        <v>0</v>
      </c>
      <c r="N2218" s="3">
        <v>0</v>
      </c>
    </row>
    <row r="2219" spans="1:14" x14ac:dyDescent="0.2">
      <c r="A2219" s="5" t="str">
        <f>HYPERLINK("http://www.ncbi.nlm.nih.gov/protein/33859548","Ephb3")</f>
        <v>Ephb3</v>
      </c>
      <c r="B2219" s="4"/>
      <c r="C2219" s="3">
        <v>0</v>
      </c>
      <c r="D2219" s="3">
        <v>315</v>
      </c>
      <c r="E2219" s="3">
        <v>531</v>
      </c>
      <c r="F2219" s="3">
        <v>0</v>
      </c>
      <c r="G2219" s="3">
        <v>0</v>
      </c>
      <c r="H2219" s="2">
        <f t="shared" si="68"/>
        <v>846</v>
      </c>
      <c r="I2219" t="str">
        <f t="shared" si="69"/>
        <v>Ephb3_846</v>
      </c>
      <c r="J2219" s="3">
        <v>0</v>
      </c>
      <c r="K2219" s="3">
        <v>315</v>
      </c>
      <c r="L2219" s="3">
        <v>531</v>
      </c>
      <c r="M2219" s="3">
        <v>0</v>
      </c>
      <c r="N2219" s="3">
        <v>0</v>
      </c>
    </row>
    <row r="2220" spans="1:14" x14ac:dyDescent="0.2">
      <c r="A2220" s="5" t="str">
        <f>HYPERLINK("http://www.ncbi.nlm.nih.gov/protein/227330573","Ephb4")</f>
        <v>Ephb4</v>
      </c>
      <c r="B2220" s="4"/>
      <c r="C2220" s="3">
        <v>0</v>
      </c>
      <c r="D2220" s="3">
        <v>315</v>
      </c>
      <c r="E2220" s="3">
        <v>618</v>
      </c>
      <c r="F2220" s="3">
        <v>0</v>
      </c>
      <c r="G2220" s="3">
        <v>0</v>
      </c>
      <c r="H2220" s="2">
        <f t="shared" si="68"/>
        <v>933</v>
      </c>
      <c r="I2220" t="str">
        <f t="shared" si="69"/>
        <v>Ephb4_933</v>
      </c>
      <c r="J2220" s="3">
        <v>0</v>
      </c>
      <c r="K2220" s="3">
        <v>315</v>
      </c>
      <c r="L2220" s="3">
        <v>618</v>
      </c>
      <c r="M2220" s="3">
        <v>0</v>
      </c>
      <c r="N2220" s="3">
        <v>0</v>
      </c>
    </row>
    <row r="2221" spans="1:14" x14ac:dyDescent="0.2">
      <c r="A2221" s="5" t="str">
        <f>HYPERLINK("http://www.ncbi.nlm.nih.gov/protein/227330575","Ephb4")</f>
        <v>Ephb4</v>
      </c>
      <c r="B2221" s="4"/>
      <c r="C2221" s="3">
        <v>0</v>
      </c>
      <c r="D2221" s="3">
        <v>315</v>
      </c>
      <c r="E2221" s="3">
        <v>618</v>
      </c>
      <c r="F2221" s="3">
        <v>0</v>
      </c>
      <c r="G2221" s="3">
        <v>0</v>
      </c>
      <c r="H2221" s="2">
        <f t="shared" si="68"/>
        <v>933</v>
      </c>
      <c r="I2221" t="str">
        <f t="shared" si="69"/>
        <v>Ephb4_933</v>
      </c>
      <c r="J2221" s="3">
        <v>0</v>
      </c>
      <c r="K2221" s="3">
        <v>315</v>
      </c>
      <c r="L2221" s="3">
        <v>618</v>
      </c>
      <c r="M2221" s="3">
        <v>0</v>
      </c>
      <c r="N2221" s="3">
        <v>0</v>
      </c>
    </row>
    <row r="2222" spans="1:14" x14ac:dyDescent="0.2">
      <c r="A2222" s="5" t="str">
        <f>HYPERLINK("http://www.ncbi.nlm.nih.gov/protein/226437667","Ephb6")</f>
        <v>Ephb6</v>
      </c>
      <c r="B2222" s="4"/>
      <c r="C2222" s="3">
        <v>0</v>
      </c>
      <c r="D2222" s="3">
        <v>0</v>
      </c>
      <c r="E2222" s="3">
        <v>0</v>
      </c>
      <c r="F2222" s="3">
        <v>0</v>
      </c>
      <c r="G2222" s="3">
        <v>107</v>
      </c>
      <c r="H2222" s="2">
        <f t="shared" si="68"/>
        <v>107</v>
      </c>
      <c r="I2222" t="str">
        <f t="shared" si="69"/>
        <v>Ephb6_107</v>
      </c>
      <c r="J2222" s="3">
        <v>0</v>
      </c>
      <c r="K2222" s="3">
        <v>0</v>
      </c>
      <c r="L2222" s="3">
        <v>0</v>
      </c>
      <c r="M2222" s="3">
        <v>0</v>
      </c>
      <c r="N2222" s="3">
        <v>107</v>
      </c>
    </row>
    <row r="2223" spans="1:14" x14ac:dyDescent="0.2">
      <c r="A2223" s="5" t="str">
        <f>HYPERLINK("http://www.ncbi.nlm.nih.gov/protein/6753762","Ephx1")</f>
        <v>Ephx1</v>
      </c>
      <c r="B2223" s="4"/>
      <c r="C2223" s="3">
        <v>23468</v>
      </c>
      <c r="D2223" s="3">
        <v>26706</v>
      </c>
      <c r="E2223" s="3">
        <v>16989</v>
      </c>
      <c r="F2223" s="3">
        <v>0</v>
      </c>
      <c r="G2223" s="3">
        <v>0</v>
      </c>
      <c r="H2223" s="2">
        <f t="shared" si="68"/>
        <v>67163</v>
      </c>
      <c r="I2223" t="str">
        <f t="shared" si="69"/>
        <v>Ephx1_67163</v>
      </c>
      <c r="J2223" s="3">
        <v>23468</v>
      </c>
      <c r="K2223" s="3">
        <v>26706</v>
      </c>
      <c r="L2223" s="3">
        <v>16989</v>
      </c>
      <c r="M2223" s="3">
        <v>0</v>
      </c>
      <c r="N2223" s="3">
        <v>0</v>
      </c>
    </row>
    <row r="2224" spans="1:14" x14ac:dyDescent="0.2">
      <c r="A2224" s="5" t="str">
        <f>HYPERLINK("http://www.ncbi.nlm.nih.gov/protein/30424918","Epm2aip1")</f>
        <v>Epm2aip1</v>
      </c>
      <c r="B2224" s="4"/>
      <c r="C2224" s="3">
        <v>0</v>
      </c>
      <c r="D2224" s="3">
        <v>142</v>
      </c>
      <c r="E2224" s="3">
        <v>0</v>
      </c>
      <c r="F2224" s="3">
        <v>6679</v>
      </c>
      <c r="G2224" s="3">
        <v>2677</v>
      </c>
      <c r="H2224" s="2">
        <f t="shared" si="68"/>
        <v>9498</v>
      </c>
      <c r="I2224" t="str">
        <f t="shared" si="69"/>
        <v>Epm2aip1_9498</v>
      </c>
      <c r="J2224" s="3">
        <v>0</v>
      </c>
      <c r="K2224" s="3">
        <v>142</v>
      </c>
      <c r="L2224" s="3">
        <v>0</v>
      </c>
      <c r="M2224" s="3">
        <v>6679</v>
      </c>
      <c r="N2224" s="3">
        <v>2677</v>
      </c>
    </row>
    <row r="2225" spans="1:14" x14ac:dyDescent="0.2">
      <c r="A2225" s="5" t="str">
        <f>HYPERLINK("http://www.ncbi.nlm.nih.gov/protein/356995862;46195711","Epn1")</f>
        <v>Epn1</v>
      </c>
      <c r="B2225" s="4"/>
      <c r="C2225" s="3">
        <v>0</v>
      </c>
      <c r="D2225" s="3">
        <v>0</v>
      </c>
      <c r="E2225" s="3">
        <v>792</v>
      </c>
      <c r="F2225" s="3">
        <v>0</v>
      </c>
      <c r="G2225" s="3">
        <v>0</v>
      </c>
      <c r="H2225" s="2">
        <f t="shared" si="68"/>
        <v>792</v>
      </c>
      <c r="I2225" t="str">
        <f t="shared" si="69"/>
        <v>Epn1_792</v>
      </c>
      <c r="J2225" s="3">
        <v>0</v>
      </c>
      <c r="K2225" s="3">
        <v>0</v>
      </c>
      <c r="L2225" s="3">
        <v>792</v>
      </c>
      <c r="M2225" s="3">
        <v>0</v>
      </c>
      <c r="N2225" s="3">
        <v>0</v>
      </c>
    </row>
    <row r="2226" spans="1:14" x14ac:dyDescent="0.2">
      <c r="A2226" s="5" t="str">
        <f>HYPERLINK("http://www.ncbi.nlm.nih.gov/protein/46195711","Epn1")</f>
        <v>Epn1</v>
      </c>
      <c r="B2226" s="4"/>
      <c r="C2226" s="3">
        <v>0</v>
      </c>
      <c r="D2226" s="3">
        <v>0</v>
      </c>
      <c r="E2226" s="3">
        <v>0</v>
      </c>
      <c r="F2226" s="3">
        <v>0</v>
      </c>
      <c r="G2226" s="3">
        <v>1328</v>
      </c>
      <c r="H2226" s="2">
        <f t="shared" si="68"/>
        <v>1328</v>
      </c>
      <c r="I2226" t="str">
        <f t="shared" si="69"/>
        <v>Epn1_1328</v>
      </c>
      <c r="J2226" s="3">
        <v>0</v>
      </c>
      <c r="K2226" s="3">
        <v>0</v>
      </c>
      <c r="L2226" s="3">
        <v>0</v>
      </c>
      <c r="M2226" s="3">
        <v>0</v>
      </c>
      <c r="N2226" s="3">
        <v>1328</v>
      </c>
    </row>
    <row r="2227" spans="1:14" x14ac:dyDescent="0.2">
      <c r="A2227" s="5" t="str">
        <f>HYPERLINK("http://www.ncbi.nlm.nih.gov/protein/33468893","Epn2")</f>
        <v>Epn2</v>
      </c>
      <c r="B2227" s="4"/>
      <c r="C2227" s="3">
        <v>0</v>
      </c>
      <c r="D2227" s="3">
        <v>0</v>
      </c>
      <c r="E2227" s="3">
        <v>0</v>
      </c>
      <c r="F2227" s="3">
        <v>0</v>
      </c>
      <c r="G2227" s="3">
        <v>1028</v>
      </c>
      <c r="H2227" s="2">
        <f t="shared" si="68"/>
        <v>1028</v>
      </c>
      <c r="I2227" t="str">
        <f t="shared" si="69"/>
        <v>Epn2_1028</v>
      </c>
      <c r="J2227" s="3">
        <v>0</v>
      </c>
      <c r="K2227" s="3">
        <v>0</v>
      </c>
      <c r="L2227" s="3">
        <v>0</v>
      </c>
      <c r="M2227" s="3">
        <v>0</v>
      </c>
      <c r="N2227" s="3">
        <v>1028</v>
      </c>
    </row>
    <row r="2228" spans="1:14" x14ac:dyDescent="0.2">
      <c r="A2228" s="5" t="str">
        <f>HYPERLINK("http://www.ncbi.nlm.nih.gov/protein/356582234","Epn2")</f>
        <v>Epn2</v>
      </c>
      <c r="B2228" s="4"/>
      <c r="C2228" s="3">
        <v>0</v>
      </c>
      <c r="D2228" s="3">
        <v>0</v>
      </c>
      <c r="E2228" s="3">
        <v>0</v>
      </c>
      <c r="F2228" s="3">
        <v>0</v>
      </c>
      <c r="G2228" s="3">
        <v>878</v>
      </c>
      <c r="H2228" s="2">
        <f t="shared" si="68"/>
        <v>878</v>
      </c>
      <c r="I2228" t="str">
        <f t="shared" si="69"/>
        <v>Epn2_878</v>
      </c>
      <c r="J2228" s="3">
        <v>0</v>
      </c>
      <c r="K2228" s="3">
        <v>0</v>
      </c>
      <c r="L2228" s="3">
        <v>0</v>
      </c>
      <c r="M2228" s="3">
        <v>0</v>
      </c>
      <c r="N2228" s="3">
        <v>878</v>
      </c>
    </row>
    <row r="2229" spans="1:14" x14ac:dyDescent="0.2">
      <c r="A2229" s="5" t="str">
        <f>HYPERLINK("http://www.ncbi.nlm.nih.gov/protein/356582238","Epn2")</f>
        <v>Epn2</v>
      </c>
      <c r="B2229" s="4"/>
      <c r="C2229" s="3">
        <v>0</v>
      </c>
      <c r="D2229" s="3">
        <v>0</v>
      </c>
      <c r="E2229" s="3">
        <v>0</v>
      </c>
      <c r="F2229" s="3">
        <v>0</v>
      </c>
      <c r="G2229" s="3">
        <v>878</v>
      </c>
      <c r="H2229" s="2">
        <f t="shared" si="68"/>
        <v>878</v>
      </c>
      <c r="I2229" t="str">
        <f t="shared" si="69"/>
        <v>Epn2_878</v>
      </c>
      <c r="J2229" s="3">
        <v>0</v>
      </c>
      <c r="K2229" s="3">
        <v>0</v>
      </c>
      <c r="L2229" s="3">
        <v>0</v>
      </c>
      <c r="M2229" s="3">
        <v>0</v>
      </c>
      <c r="N2229" s="3">
        <v>878</v>
      </c>
    </row>
    <row r="2230" spans="1:14" x14ac:dyDescent="0.2">
      <c r="A2230" s="5" t="str">
        <f>HYPERLINK("http://www.ncbi.nlm.nih.gov/protein/30794400","Epn3")</f>
        <v>Epn3</v>
      </c>
      <c r="B2230" s="4"/>
      <c r="C2230" s="3">
        <v>0</v>
      </c>
      <c r="D2230" s="3">
        <v>0</v>
      </c>
      <c r="E2230" s="3">
        <v>1397</v>
      </c>
      <c r="F2230" s="3">
        <v>0</v>
      </c>
      <c r="G2230" s="3">
        <v>3459</v>
      </c>
      <c r="H2230" s="2">
        <f t="shared" si="68"/>
        <v>4856</v>
      </c>
      <c r="I2230" t="str">
        <f t="shared" si="69"/>
        <v>Epn3_4856</v>
      </c>
      <c r="J2230" s="3">
        <v>0</v>
      </c>
      <c r="K2230" s="3">
        <v>0</v>
      </c>
      <c r="L2230" s="3">
        <v>1397</v>
      </c>
      <c r="M2230" s="3">
        <v>0</v>
      </c>
      <c r="N2230" s="3">
        <v>3459</v>
      </c>
    </row>
    <row r="2231" spans="1:14" x14ac:dyDescent="0.2">
      <c r="A2231" s="5" t="str">
        <f>HYPERLINK("http://www.ncbi.nlm.nih.gov/protein/37537522","Eppk1")</f>
        <v>Eppk1</v>
      </c>
      <c r="B2231" s="4"/>
      <c r="C2231" s="3">
        <v>33445</v>
      </c>
      <c r="D2231" s="3">
        <v>1294</v>
      </c>
      <c r="E2231" s="3">
        <v>729</v>
      </c>
      <c r="F2231" s="3">
        <v>21880</v>
      </c>
      <c r="G2231" s="3">
        <v>514</v>
      </c>
      <c r="H2231" s="2">
        <f t="shared" si="68"/>
        <v>57862</v>
      </c>
      <c r="I2231" t="str">
        <f t="shared" si="69"/>
        <v>Eppk1_57862</v>
      </c>
      <c r="J2231" s="3">
        <v>33445</v>
      </c>
      <c r="K2231" s="3">
        <v>1294</v>
      </c>
      <c r="L2231" s="3">
        <v>729</v>
      </c>
      <c r="M2231" s="3">
        <v>21880</v>
      </c>
      <c r="N2231" s="3">
        <v>514</v>
      </c>
    </row>
    <row r="2232" spans="1:14" x14ac:dyDescent="0.2">
      <c r="A2232" s="5" t="str">
        <f>HYPERLINK("http://www.ncbi.nlm.nih.gov/protein/82617575","Eprs")</f>
        <v>Eprs</v>
      </c>
      <c r="B2232" s="4"/>
      <c r="C2232" s="3">
        <v>2673</v>
      </c>
      <c r="D2232" s="3">
        <v>806</v>
      </c>
      <c r="E2232" s="3">
        <v>20849</v>
      </c>
      <c r="F2232" s="3">
        <v>1164184</v>
      </c>
      <c r="G2232" s="3">
        <v>27952</v>
      </c>
      <c r="H2232" s="2">
        <f t="shared" si="68"/>
        <v>1216464</v>
      </c>
      <c r="I2232" t="str">
        <f t="shared" si="69"/>
        <v>Eprs_1216464</v>
      </c>
      <c r="J2232" s="3">
        <v>2673</v>
      </c>
      <c r="K2232" s="3">
        <v>806</v>
      </c>
      <c r="L2232" s="3">
        <v>20849</v>
      </c>
      <c r="M2232" s="3">
        <v>1164184</v>
      </c>
      <c r="N2232" s="3">
        <v>27952</v>
      </c>
    </row>
    <row r="2233" spans="1:14" x14ac:dyDescent="0.2">
      <c r="A2233" s="5" t="str">
        <f>HYPERLINK("http://www.ncbi.nlm.nih.gov/protein/229577163","Eps15")</f>
        <v>Eps15</v>
      </c>
      <c r="B2233" s="4"/>
      <c r="C2233" s="3">
        <v>0</v>
      </c>
      <c r="D2233" s="3">
        <v>58</v>
      </c>
      <c r="E2233" s="3">
        <v>69</v>
      </c>
      <c r="F2233" s="3">
        <v>0</v>
      </c>
      <c r="G2233" s="3">
        <v>19299</v>
      </c>
      <c r="H2233" s="2">
        <f t="shared" si="68"/>
        <v>19426</v>
      </c>
      <c r="I2233" t="str">
        <f t="shared" si="69"/>
        <v>Eps15_19426</v>
      </c>
      <c r="J2233" s="3">
        <v>0</v>
      </c>
      <c r="K2233" s="3">
        <v>58</v>
      </c>
      <c r="L2233" s="3">
        <v>69</v>
      </c>
      <c r="M2233" s="3">
        <v>0</v>
      </c>
      <c r="N2233" s="3">
        <v>19299</v>
      </c>
    </row>
    <row r="2234" spans="1:14" x14ac:dyDescent="0.2">
      <c r="A2234" s="5" t="str">
        <f>HYPERLINK("http://www.ncbi.nlm.nih.gov/protein/6679671","Eps15")</f>
        <v>Eps15</v>
      </c>
      <c r="B2234" s="4"/>
      <c r="C2234" s="3">
        <v>0</v>
      </c>
      <c r="D2234" s="3">
        <v>255</v>
      </c>
      <c r="E2234" s="3">
        <v>69</v>
      </c>
      <c r="F2234" s="3">
        <v>0</v>
      </c>
      <c r="G2234" s="3">
        <v>20348</v>
      </c>
      <c r="H2234" s="2">
        <f t="shared" si="68"/>
        <v>20672</v>
      </c>
      <c r="I2234" t="str">
        <f t="shared" si="69"/>
        <v>Eps15_20672</v>
      </c>
      <c r="J2234" s="3">
        <v>0</v>
      </c>
      <c r="K2234" s="3">
        <v>255</v>
      </c>
      <c r="L2234" s="3">
        <v>69</v>
      </c>
      <c r="M2234" s="3">
        <v>0</v>
      </c>
      <c r="N2234" s="3">
        <v>20348</v>
      </c>
    </row>
    <row r="2235" spans="1:14" x14ac:dyDescent="0.2">
      <c r="A2235" s="5" t="str">
        <f>HYPERLINK("http://www.ncbi.nlm.nih.gov/protein/170784834","Eps15l1")</f>
        <v>Eps15l1</v>
      </c>
      <c r="B2235" s="4"/>
      <c r="C2235" s="3">
        <v>0</v>
      </c>
      <c r="D2235" s="3">
        <v>192</v>
      </c>
      <c r="E2235" s="3">
        <v>451</v>
      </c>
      <c r="F2235" s="3">
        <v>0</v>
      </c>
      <c r="G2235" s="3">
        <v>15122</v>
      </c>
      <c r="H2235" s="2">
        <f t="shared" si="68"/>
        <v>15765</v>
      </c>
      <c r="I2235" t="str">
        <f t="shared" si="69"/>
        <v>Eps15l1_15765</v>
      </c>
      <c r="J2235" s="3">
        <v>0</v>
      </c>
      <c r="K2235" s="3">
        <v>192</v>
      </c>
      <c r="L2235" s="3">
        <v>451</v>
      </c>
      <c r="M2235" s="3">
        <v>0</v>
      </c>
      <c r="N2235" s="3">
        <v>15122</v>
      </c>
    </row>
    <row r="2236" spans="1:14" x14ac:dyDescent="0.2">
      <c r="A2236" s="5" t="str">
        <f>HYPERLINK("http://www.ncbi.nlm.nih.gov/protein/170784836","Eps15l1")</f>
        <v>Eps15l1</v>
      </c>
      <c r="B2236" s="4"/>
      <c r="C2236" s="3">
        <v>0</v>
      </c>
      <c r="D2236" s="3">
        <v>192</v>
      </c>
      <c r="E2236" s="3">
        <v>451</v>
      </c>
      <c r="F2236" s="3">
        <v>0</v>
      </c>
      <c r="G2236" s="3">
        <v>12659</v>
      </c>
      <c r="H2236" s="2">
        <f t="shared" si="68"/>
        <v>13302</v>
      </c>
      <c r="I2236" t="str">
        <f t="shared" si="69"/>
        <v>Eps15l1_13302</v>
      </c>
      <c r="J2236" s="3">
        <v>0</v>
      </c>
      <c r="K2236" s="3">
        <v>192</v>
      </c>
      <c r="L2236" s="3">
        <v>451</v>
      </c>
      <c r="M2236" s="3">
        <v>0</v>
      </c>
      <c r="N2236" s="3">
        <v>12659</v>
      </c>
    </row>
    <row r="2237" spans="1:14" x14ac:dyDescent="0.2">
      <c r="A2237" s="5" t="str">
        <f>HYPERLINK("http://www.ncbi.nlm.nih.gov/protein/18874094","Eps8l1")</f>
        <v>Eps8l1</v>
      </c>
      <c r="B2237" s="4"/>
      <c r="C2237" s="3">
        <v>0</v>
      </c>
      <c r="D2237" s="3">
        <v>1616</v>
      </c>
      <c r="E2237" s="3">
        <v>23835</v>
      </c>
      <c r="F2237" s="3">
        <v>1858</v>
      </c>
      <c r="G2237" s="3">
        <v>43181</v>
      </c>
      <c r="H2237" s="2">
        <f t="shared" si="68"/>
        <v>70490</v>
      </c>
      <c r="I2237" t="str">
        <f t="shared" si="69"/>
        <v>Eps8l1_70490</v>
      </c>
      <c r="J2237" s="3">
        <v>0</v>
      </c>
      <c r="K2237" s="3">
        <v>1616</v>
      </c>
      <c r="L2237" s="3">
        <v>23835</v>
      </c>
      <c r="M2237" s="3">
        <v>1858</v>
      </c>
      <c r="N2237" s="3">
        <v>43181</v>
      </c>
    </row>
    <row r="2238" spans="1:14" x14ac:dyDescent="0.2">
      <c r="A2238" s="5" t="str">
        <f>HYPERLINK("http://www.ncbi.nlm.nih.gov/protein/21040233","Eps8l2")</f>
        <v>Eps8l2</v>
      </c>
      <c r="B2238" s="4"/>
      <c r="C2238" s="3">
        <v>2984</v>
      </c>
      <c r="D2238" s="3">
        <v>12051</v>
      </c>
      <c r="E2238" s="3">
        <v>39428</v>
      </c>
      <c r="F2238" s="3">
        <v>8349</v>
      </c>
      <c r="G2238" s="3">
        <v>42388</v>
      </c>
      <c r="H2238" s="2">
        <f t="shared" si="68"/>
        <v>105200</v>
      </c>
      <c r="I2238" t="str">
        <f t="shared" si="69"/>
        <v>Eps8l2_105200</v>
      </c>
      <c r="J2238" s="3">
        <v>2984</v>
      </c>
      <c r="K2238" s="3">
        <v>12051</v>
      </c>
      <c r="L2238" s="3">
        <v>39428</v>
      </c>
      <c r="M2238" s="3">
        <v>8349</v>
      </c>
      <c r="N2238" s="3">
        <v>42388</v>
      </c>
    </row>
    <row r="2239" spans="1:14" x14ac:dyDescent="0.2">
      <c r="A2239" s="5" t="str">
        <f>HYPERLINK("http://www.ncbi.nlm.nih.gov/protein/19527082","Eps8l3")</f>
        <v>Eps8l3</v>
      </c>
      <c r="B2239" s="4"/>
      <c r="C2239" s="3">
        <v>0</v>
      </c>
      <c r="D2239" s="3">
        <v>48</v>
      </c>
      <c r="E2239" s="3">
        <v>0</v>
      </c>
      <c r="F2239" s="3">
        <v>0</v>
      </c>
      <c r="G2239" s="3">
        <v>0</v>
      </c>
      <c r="H2239" s="2">
        <f t="shared" si="68"/>
        <v>48</v>
      </c>
      <c r="I2239" t="str">
        <f t="shared" si="69"/>
        <v>Eps8l3_48</v>
      </c>
      <c r="J2239" s="3">
        <v>0</v>
      </c>
      <c r="K2239" s="3">
        <v>48</v>
      </c>
      <c r="L2239" s="3">
        <v>0</v>
      </c>
      <c r="M2239" s="3">
        <v>0</v>
      </c>
      <c r="N2239" s="3">
        <v>0</v>
      </c>
    </row>
    <row r="2240" spans="1:14" x14ac:dyDescent="0.2">
      <c r="A2240" s="5" t="str">
        <f>HYPERLINK("http://www.ncbi.nlm.nih.gov/protein/165377197","Eral1")</f>
        <v>Eral1</v>
      </c>
      <c r="B2240" s="4"/>
      <c r="C2240" s="3">
        <v>659</v>
      </c>
      <c r="D2240" s="3">
        <v>1668</v>
      </c>
      <c r="E2240" s="3">
        <v>0</v>
      </c>
      <c r="F2240" s="3">
        <v>0</v>
      </c>
      <c r="G2240" s="3">
        <v>0</v>
      </c>
      <c r="H2240" s="2">
        <f t="shared" si="68"/>
        <v>2327</v>
      </c>
      <c r="I2240" t="str">
        <f t="shared" si="69"/>
        <v>Eral1_2327</v>
      </c>
      <c r="J2240" s="3">
        <v>659</v>
      </c>
      <c r="K2240" s="3">
        <v>1668</v>
      </c>
      <c r="L2240" s="3">
        <v>0</v>
      </c>
      <c r="M2240" s="3">
        <v>0</v>
      </c>
      <c r="N2240" s="3">
        <v>0</v>
      </c>
    </row>
    <row r="2241" spans="1:14" x14ac:dyDescent="0.2">
      <c r="A2241" s="5" t="str">
        <f>HYPERLINK("http://www.ncbi.nlm.nih.gov/protein/13507656","Erap1")</f>
        <v>Erap1</v>
      </c>
      <c r="B2241" s="4"/>
      <c r="C2241" s="3">
        <v>458</v>
      </c>
      <c r="D2241" s="3">
        <v>1956</v>
      </c>
      <c r="E2241" s="3">
        <v>1438</v>
      </c>
      <c r="F2241" s="3">
        <v>0</v>
      </c>
      <c r="G2241" s="3">
        <v>910</v>
      </c>
      <c r="H2241" s="2">
        <f t="shared" si="68"/>
        <v>4762</v>
      </c>
      <c r="I2241" t="str">
        <f t="shared" si="69"/>
        <v>Erap1_4762</v>
      </c>
      <c r="J2241" s="3">
        <v>458</v>
      </c>
      <c r="K2241" s="3">
        <v>1956</v>
      </c>
      <c r="L2241" s="3">
        <v>1438</v>
      </c>
      <c r="M2241" s="3">
        <v>0</v>
      </c>
      <c r="N2241" s="3">
        <v>910</v>
      </c>
    </row>
    <row r="2242" spans="1:14" x14ac:dyDescent="0.2">
      <c r="A2242" s="5" t="str">
        <f>HYPERLINK("http://www.ncbi.nlm.nih.gov/protein/54873610","Erbb2")</f>
        <v>Erbb2</v>
      </c>
      <c r="B2242" s="4"/>
      <c r="C2242" s="3">
        <v>0</v>
      </c>
      <c r="D2242" s="3">
        <v>2914</v>
      </c>
      <c r="E2242" s="3">
        <v>13821</v>
      </c>
      <c r="F2242" s="3">
        <v>0</v>
      </c>
      <c r="G2242" s="3">
        <v>0</v>
      </c>
      <c r="H2242" s="2">
        <f t="shared" ref="H2242:H2305" si="70">SUM(C2242:G2242)</f>
        <v>16735</v>
      </c>
      <c r="I2242" t="str">
        <f t="shared" ref="I2242:I2305" si="71">A2242&amp;"_"&amp;H2242</f>
        <v>Erbb2_16735</v>
      </c>
      <c r="J2242" s="3">
        <v>0</v>
      </c>
      <c r="K2242" s="3">
        <v>2914</v>
      </c>
      <c r="L2242" s="3">
        <v>13821</v>
      </c>
      <c r="M2242" s="3">
        <v>0</v>
      </c>
      <c r="N2242" s="3">
        <v>0</v>
      </c>
    </row>
    <row r="2243" spans="1:14" x14ac:dyDescent="0.2">
      <c r="A2243" s="5" t="str">
        <f>HYPERLINK("http://www.ncbi.nlm.nih.gov/protein/54607112","Erbb2ip")</f>
        <v>Erbb2ip</v>
      </c>
      <c r="B2243" s="4"/>
      <c r="C2243" s="3">
        <v>92</v>
      </c>
      <c r="D2243" s="3">
        <v>0</v>
      </c>
      <c r="E2243" s="3">
        <v>312</v>
      </c>
      <c r="F2243" s="3">
        <v>0</v>
      </c>
      <c r="G2243" s="3">
        <v>0</v>
      </c>
      <c r="H2243" s="2">
        <f t="shared" si="70"/>
        <v>404</v>
      </c>
      <c r="I2243" t="str">
        <f t="shared" si="71"/>
        <v>Erbb2ip_404</v>
      </c>
      <c r="J2243" s="3">
        <v>92</v>
      </c>
      <c r="K2243" s="3">
        <v>0</v>
      </c>
      <c r="L2243" s="3">
        <v>312</v>
      </c>
      <c r="M2243" s="3">
        <v>0</v>
      </c>
      <c r="N2243" s="3">
        <v>0</v>
      </c>
    </row>
    <row r="2244" spans="1:14" x14ac:dyDescent="0.2">
      <c r="A2244" s="5" t="str">
        <f>HYPERLINK("http://www.ncbi.nlm.nih.gov/protein/54607114","Erbb2ip")</f>
        <v>Erbb2ip</v>
      </c>
      <c r="B2244" s="4"/>
      <c r="C2244" s="3">
        <v>92</v>
      </c>
      <c r="D2244" s="3">
        <v>0</v>
      </c>
      <c r="E2244" s="3">
        <v>312</v>
      </c>
      <c r="F2244" s="3">
        <v>0</v>
      </c>
      <c r="G2244" s="3">
        <v>0</v>
      </c>
      <c r="H2244" s="2">
        <f t="shared" si="70"/>
        <v>404</v>
      </c>
      <c r="I2244" t="str">
        <f t="shared" si="71"/>
        <v>Erbb2ip_404</v>
      </c>
      <c r="J2244" s="3">
        <v>92</v>
      </c>
      <c r="K2244" s="3">
        <v>0</v>
      </c>
      <c r="L2244" s="3">
        <v>312</v>
      </c>
      <c r="M2244" s="3">
        <v>0</v>
      </c>
      <c r="N2244" s="3">
        <v>0</v>
      </c>
    </row>
    <row r="2245" spans="1:14" x14ac:dyDescent="0.2">
      <c r="A2245" s="5" t="str">
        <f>HYPERLINK("http://www.ncbi.nlm.nih.gov/protein/146134398","Erbb4")</f>
        <v>Erbb4</v>
      </c>
      <c r="B2245" s="4"/>
      <c r="C2245" s="3">
        <v>0</v>
      </c>
      <c r="D2245" s="3">
        <v>1455</v>
      </c>
      <c r="E2245" s="3">
        <v>7087</v>
      </c>
      <c r="F2245" s="3">
        <v>0</v>
      </c>
      <c r="G2245" s="3">
        <v>0</v>
      </c>
      <c r="H2245" s="2">
        <f t="shared" si="70"/>
        <v>8542</v>
      </c>
      <c r="I2245" t="str">
        <f t="shared" si="71"/>
        <v>Erbb4_8542</v>
      </c>
      <c r="J2245" s="3">
        <v>0</v>
      </c>
      <c r="K2245" s="3">
        <v>1455</v>
      </c>
      <c r="L2245" s="3">
        <v>7087</v>
      </c>
      <c r="M2245" s="3">
        <v>0</v>
      </c>
      <c r="N2245" s="3">
        <v>0</v>
      </c>
    </row>
    <row r="2246" spans="1:14" x14ac:dyDescent="0.2">
      <c r="A2246" s="5" t="str">
        <f>HYPERLINK("http://www.ncbi.nlm.nih.gov/protein/120300971","Erc1")</f>
        <v>Erc1</v>
      </c>
      <c r="B2246" s="4"/>
      <c r="C2246" s="3">
        <v>0</v>
      </c>
      <c r="D2246" s="3">
        <v>822</v>
      </c>
      <c r="E2246" s="3">
        <v>4002</v>
      </c>
      <c r="F2246" s="3">
        <v>0</v>
      </c>
      <c r="G2246" s="3">
        <v>20809</v>
      </c>
      <c r="H2246" s="2">
        <f t="shared" si="70"/>
        <v>25633</v>
      </c>
      <c r="I2246" t="str">
        <f t="shared" si="71"/>
        <v>Erc1_25633</v>
      </c>
      <c r="J2246" s="3">
        <v>0</v>
      </c>
      <c r="K2246" s="3">
        <v>822</v>
      </c>
      <c r="L2246" s="3">
        <v>4002</v>
      </c>
      <c r="M2246" s="3">
        <v>0</v>
      </c>
      <c r="N2246" s="3">
        <v>20809</v>
      </c>
    </row>
    <row r="2247" spans="1:14" x14ac:dyDescent="0.2">
      <c r="A2247" s="5" t="str">
        <f>HYPERLINK("http://www.ncbi.nlm.nih.gov/protein/30017397","Erc1")</f>
        <v>Erc1</v>
      </c>
      <c r="B2247" s="4"/>
      <c r="C2247" s="3">
        <v>0</v>
      </c>
      <c r="D2247" s="3">
        <v>440</v>
      </c>
      <c r="E2247" s="3">
        <v>1316</v>
      </c>
      <c r="F2247" s="3">
        <v>0</v>
      </c>
      <c r="G2247" s="3">
        <v>7390</v>
      </c>
      <c r="H2247" s="2">
        <f t="shared" si="70"/>
        <v>9146</v>
      </c>
      <c r="I2247" t="str">
        <f t="shared" si="71"/>
        <v>Erc1_9146</v>
      </c>
      <c r="J2247" s="3">
        <v>0</v>
      </c>
      <c r="K2247" s="3">
        <v>440</v>
      </c>
      <c r="L2247" s="3">
        <v>1316</v>
      </c>
      <c r="M2247" s="3">
        <v>0</v>
      </c>
      <c r="N2247" s="3">
        <v>7390</v>
      </c>
    </row>
    <row r="2248" spans="1:14" x14ac:dyDescent="0.2">
      <c r="A2248" s="5" t="str">
        <f>HYPERLINK("http://www.ncbi.nlm.nih.gov/protein/37360977","Erc2")</f>
        <v>Erc2</v>
      </c>
      <c r="B2248" s="4"/>
      <c r="C2248" s="3">
        <v>0</v>
      </c>
      <c r="D2248" s="3">
        <v>317</v>
      </c>
      <c r="E2248" s="3">
        <v>1536</v>
      </c>
      <c r="F2248" s="3">
        <v>0</v>
      </c>
      <c r="G2248" s="3">
        <v>2335</v>
      </c>
      <c r="H2248" s="2">
        <f t="shared" si="70"/>
        <v>4188</v>
      </c>
      <c r="I2248" t="str">
        <f t="shared" si="71"/>
        <v>Erc2_4188</v>
      </c>
      <c r="J2248" s="3">
        <v>0</v>
      </c>
      <c r="K2248" s="3">
        <v>317</v>
      </c>
      <c r="L2248" s="3">
        <v>1536</v>
      </c>
      <c r="M2248" s="3">
        <v>0</v>
      </c>
      <c r="N2248" s="3">
        <v>2335</v>
      </c>
    </row>
    <row r="2249" spans="1:14" x14ac:dyDescent="0.2">
      <c r="A2249" s="5" t="str">
        <f>HYPERLINK("http://www.ncbi.nlm.nih.gov/protein/31542614","Ercc2")</f>
        <v>Ercc2</v>
      </c>
      <c r="B2249" s="4"/>
      <c r="C2249" s="3">
        <v>0</v>
      </c>
      <c r="D2249" s="3">
        <v>0</v>
      </c>
      <c r="E2249" s="3">
        <v>0</v>
      </c>
      <c r="F2249" s="3">
        <v>737</v>
      </c>
      <c r="G2249" s="3">
        <v>0</v>
      </c>
      <c r="H2249" s="2">
        <f t="shared" si="70"/>
        <v>737</v>
      </c>
      <c r="I2249" t="str">
        <f t="shared" si="71"/>
        <v>Ercc2_737</v>
      </c>
      <c r="J2249" s="3">
        <v>0</v>
      </c>
      <c r="K2249" s="3">
        <v>0</v>
      </c>
      <c r="L2249" s="3">
        <v>0</v>
      </c>
      <c r="M2249" s="3">
        <v>737</v>
      </c>
      <c r="N2249" s="3">
        <v>0</v>
      </c>
    </row>
    <row r="2250" spans="1:14" x14ac:dyDescent="0.2">
      <c r="A2250" s="5" t="str">
        <f>HYPERLINK("http://www.ncbi.nlm.nih.gov/protein/241666402","Ercc4")</f>
        <v>Ercc4</v>
      </c>
      <c r="B2250" s="4"/>
      <c r="C2250" s="3">
        <v>0</v>
      </c>
      <c r="D2250" s="3">
        <v>0</v>
      </c>
      <c r="E2250" s="3">
        <v>89</v>
      </c>
      <c r="F2250" s="3">
        <v>0</v>
      </c>
      <c r="G2250" s="3">
        <v>0</v>
      </c>
      <c r="H2250" s="2">
        <f t="shared" si="70"/>
        <v>89</v>
      </c>
      <c r="I2250" t="str">
        <f t="shared" si="71"/>
        <v>Ercc4_89</v>
      </c>
      <c r="J2250" s="3">
        <v>0</v>
      </c>
      <c r="K2250" s="3">
        <v>0</v>
      </c>
      <c r="L2250" s="3">
        <v>89</v>
      </c>
      <c r="M2250" s="3">
        <v>0</v>
      </c>
      <c r="N2250" s="3">
        <v>0</v>
      </c>
    </row>
    <row r="2251" spans="1:14" x14ac:dyDescent="0.2">
      <c r="A2251" s="5" t="str">
        <f>HYPERLINK("http://www.ncbi.nlm.nih.gov/protein/27414501","Ercc6l")</f>
        <v>Ercc6l</v>
      </c>
      <c r="B2251" s="4"/>
      <c r="C2251" s="3">
        <v>0</v>
      </c>
      <c r="D2251" s="3">
        <v>0</v>
      </c>
      <c r="E2251" s="3">
        <v>0</v>
      </c>
      <c r="F2251" s="3">
        <v>0</v>
      </c>
      <c r="G2251" s="3">
        <v>439</v>
      </c>
      <c r="H2251" s="2">
        <f t="shared" si="70"/>
        <v>439</v>
      </c>
      <c r="I2251" t="str">
        <f t="shared" si="71"/>
        <v>Ercc6l_439</v>
      </c>
      <c r="J2251" s="3">
        <v>0</v>
      </c>
      <c r="K2251" s="3">
        <v>0</v>
      </c>
      <c r="L2251" s="3">
        <v>0</v>
      </c>
      <c r="M2251" s="3">
        <v>0</v>
      </c>
      <c r="N2251" s="3">
        <v>439</v>
      </c>
    </row>
    <row r="2252" spans="1:14" x14ac:dyDescent="0.2">
      <c r="A2252" s="5" t="str">
        <f>HYPERLINK("http://www.ncbi.nlm.nih.gov/protein/13385678","Ergic1")</f>
        <v>Ergic1</v>
      </c>
      <c r="B2252" s="4"/>
      <c r="C2252" s="3">
        <v>9245</v>
      </c>
      <c r="D2252" s="3">
        <v>4632</v>
      </c>
      <c r="E2252" s="3">
        <v>4962</v>
      </c>
      <c r="F2252" s="3">
        <v>4363</v>
      </c>
      <c r="G2252" s="3">
        <v>0</v>
      </c>
      <c r="H2252" s="2">
        <f t="shared" si="70"/>
        <v>23202</v>
      </c>
      <c r="I2252" t="str">
        <f t="shared" si="71"/>
        <v>Ergic1_23202</v>
      </c>
      <c r="J2252" s="3">
        <v>9245</v>
      </c>
      <c r="K2252" s="3">
        <v>4632</v>
      </c>
      <c r="L2252" s="3">
        <v>4962</v>
      </c>
      <c r="M2252" s="3">
        <v>4363</v>
      </c>
      <c r="N2252" s="3">
        <v>0</v>
      </c>
    </row>
    <row r="2253" spans="1:14" x14ac:dyDescent="0.2">
      <c r="A2253" s="5" t="str">
        <f>HYPERLINK("http://www.ncbi.nlm.nih.gov/protein/21312962","Ergic2")</f>
        <v>Ergic2</v>
      </c>
      <c r="B2253" s="4"/>
      <c r="C2253" s="3">
        <v>0</v>
      </c>
      <c r="D2253" s="3">
        <v>1797</v>
      </c>
      <c r="E2253" s="3">
        <v>300</v>
      </c>
      <c r="F2253" s="3">
        <v>0</v>
      </c>
      <c r="G2253" s="3">
        <v>0</v>
      </c>
      <c r="H2253" s="2">
        <f t="shared" si="70"/>
        <v>2097</v>
      </c>
      <c r="I2253" t="str">
        <f t="shared" si="71"/>
        <v>Ergic2_2097</v>
      </c>
      <c r="J2253" s="3">
        <v>0</v>
      </c>
      <c r="K2253" s="3">
        <v>1797</v>
      </c>
      <c r="L2253" s="3">
        <v>300</v>
      </c>
      <c r="M2253" s="3">
        <v>0</v>
      </c>
      <c r="N2253" s="3">
        <v>0</v>
      </c>
    </row>
    <row r="2254" spans="1:14" x14ac:dyDescent="0.2">
      <c r="A2254" s="5" t="str">
        <f>HYPERLINK("http://www.ncbi.nlm.nih.gov/protein/66773206","Ergic2")</f>
        <v>Ergic2</v>
      </c>
      <c r="B2254" s="4"/>
      <c r="C2254" s="3">
        <v>0</v>
      </c>
      <c r="D2254" s="3">
        <v>1797</v>
      </c>
      <c r="E2254" s="3">
        <v>300</v>
      </c>
      <c r="F2254" s="3">
        <v>0</v>
      </c>
      <c r="G2254" s="3">
        <v>0</v>
      </c>
      <c r="H2254" s="2">
        <f t="shared" si="70"/>
        <v>2097</v>
      </c>
      <c r="I2254" t="str">
        <f t="shared" si="71"/>
        <v>Ergic2_2097</v>
      </c>
      <c r="J2254" s="3">
        <v>0</v>
      </c>
      <c r="K2254" s="3">
        <v>1797</v>
      </c>
      <c r="L2254" s="3">
        <v>300</v>
      </c>
      <c r="M2254" s="3">
        <v>0</v>
      </c>
      <c r="N2254" s="3">
        <v>0</v>
      </c>
    </row>
    <row r="2255" spans="1:14" x14ac:dyDescent="0.2">
      <c r="A2255" s="5" t="str">
        <f>HYPERLINK("http://www.ncbi.nlm.nih.gov/protein/13384938","Ergic3")</f>
        <v>Ergic3</v>
      </c>
      <c r="B2255" s="4"/>
      <c r="C2255" s="3">
        <v>0</v>
      </c>
      <c r="D2255" s="3">
        <v>2338</v>
      </c>
      <c r="E2255" s="3">
        <v>1743</v>
      </c>
      <c r="F2255" s="3">
        <v>0</v>
      </c>
      <c r="G2255" s="3">
        <v>0</v>
      </c>
      <c r="H2255" s="2">
        <f t="shared" si="70"/>
        <v>4081</v>
      </c>
      <c r="I2255" t="str">
        <f t="shared" si="71"/>
        <v>Ergic3_4081</v>
      </c>
      <c r="J2255" s="3">
        <v>0</v>
      </c>
      <c r="K2255" s="3">
        <v>2338</v>
      </c>
      <c r="L2255" s="3">
        <v>1743</v>
      </c>
      <c r="M2255" s="3">
        <v>0</v>
      </c>
      <c r="N2255" s="3">
        <v>0</v>
      </c>
    </row>
    <row r="2256" spans="1:14" x14ac:dyDescent="0.2">
      <c r="A2256" s="5" t="str">
        <f>HYPERLINK("http://www.ncbi.nlm.nih.gov/protein/6679685","Erh")</f>
        <v>Erh</v>
      </c>
      <c r="B2256" s="4"/>
      <c r="C2256" s="3">
        <v>33610</v>
      </c>
      <c r="D2256" s="3">
        <v>503</v>
      </c>
      <c r="E2256" s="3">
        <v>5228</v>
      </c>
      <c r="F2256" s="3">
        <v>0</v>
      </c>
      <c r="G2256" s="3">
        <v>3020</v>
      </c>
      <c r="H2256" s="2">
        <f t="shared" si="70"/>
        <v>42361</v>
      </c>
      <c r="I2256" t="str">
        <f t="shared" si="71"/>
        <v>Erh_42361</v>
      </c>
      <c r="J2256" s="3">
        <v>33610</v>
      </c>
      <c r="K2256" s="3">
        <v>503</v>
      </c>
      <c r="L2256" s="3">
        <v>5228</v>
      </c>
      <c r="M2256" s="3">
        <v>0</v>
      </c>
      <c r="N2256" s="3">
        <v>3020</v>
      </c>
    </row>
    <row r="2257" spans="1:14" x14ac:dyDescent="0.2">
      <c r="A2257" s="5" t="str">
        <f>HYPERLINK("http://www.ncbi.nlm.nih.gov/protein/165905605","Eri1")</f>
        <v>Eri1</v>
      </c>
      <c r="B2257" s="4"/>
      <c r="C2257" s="3">
        <v>0</v>
      </c>
      <c r="D2257" s="3">
        <v>0</v>
      </c>
      <c r="E2257" s="3">
        <v>4558</v>
      </c>
      <c r="F2257" s="3">
        <v>7915</v>
      </c>
      <c r="G2257" s="3">
        <v>0</v>
      </c>
      <c r="H2257" s="2">
        <f t="shared" si="70"/>
        <v>12473</v>
      </c>
      <c r="I2257" t="str">
        <f t="shared" si="71"/>
        <v>Eri1_12473</v>
      </c>
      <c r="J2257" s="3">
        <v>0</v>
      </c>
      <c r="K2257" s="3">
        <v>0</v>
      </c>
      <c r="L2257" s="3">
        <v>4558</v>
      </c>
      <c r="M2257" s="3">
        <v>7915</v>
      </c>
      <c r="N2257" s="3">
        <v>0</v>
      </c>
    </row>
    <row r="2258" spans="1:14" x14ac:dyDescent="0.2">
      <c r="A2258" s="5" t="str">
        <f>HYPERLINK("http://www.ncbi.nlm.nih.gov/protein/114205437","Erlec1")</f>
        <v>Erlec1</v>
      </c>
      <c r="B2258" s="4"/>
      <c r="C2258" s="3">
        <v>0</v>
      </c>
      <c r="D2258" s="3">
        <v>8</v>
      </c>
      <c r="E2258" s="3">
        <v>160</v>
      </c>
      <c r="F2258" s="3">
        <v>0</v>
      </c>
      <c r="G2258" s="3">
        <v>0</v>
      </c>
      <c r="H2258" s="2">
        <f t="shared" si="70"/>
        <v>168</v>
      </c>
      <c r="I2258" t="str">
        <f t="shared" si="71"/>
        <v>Erlec1_168</v>
      </c>
      <c r="J2258" s="3">
        <v>0</v>
      </c>
      <c r="K2258" s="3">
        <v>8</v>
      </c>
      <c r="L2258" s="3">
        <v>160</v>
      </c>
      <c r="M2258" s="3">
        <v>0</v>
      </c>
      <c r="N2258" s="3">
        <v>0</v>
      </c>
    </row>
    <row r="2259" spans="1:14" x14ac:dyDescent="0.2">
      <c r="A2259" s="5" t="str">
        <f>HYPERLINK("http://www.ncbi.nlm.nih.gov/protein/256355015;256355012","Erlin1")</f>
        <v>Erlin1</v>
      </c>
      <c r="B2259" s="4"/>
      <c r="C2259" s="3">
        <v>49152</v>
      </c>
      <c r="D2259" s="3">
        <v>11047</v>
      </c>
      <c r="E2259" s="3">
        <v>13395</v>
      </c>
      <c r="F2259" s="3">
        <v>2382</v>
      </c>
      <c r="G2259" s="3">
        <v>0</v>
      </c>
      <c r="H2259" s="2">
        <f t="shared" si="70"/>
        <v>75976</v>
      </c>
      <c r="I2259" t="str">
        <f t="shared" si="71"/>
        <v>Erlin1_75976</v>
      </c>
      <c r="J2259" s="3">
        <v>49152</v>
      </c>
      <c r="K2259" s="3">
        <v>11047</v>
      </c>
      <c r="L2259" s="3">
        <v>13395</v>
      </c>
      <c r="M2259" s="3">
        <v>2382</v>
      </c>
      <c r="N2259" s="3">
        <v>0</v>
      </c>
    </row>
    <row r="2260" spans="1:14" x14ac:dyDescent="0.2">
      <c r="A2260" s="5" t="str">
        <f>HYPERLINK("http://www.ncbi.nlm.nih.gov/protein/23956396","Erlin2")</f>
        <v>Erlin2</v>
      </c>
      <c r="B2260" s="4"/>
      <c r="C2260" s="3">
        <v>108683</v>
      </c>
      <c r="D2260" s="3">
        <v>29647</v>
      </c>
      <c r="E2260" s="3">
        <v>24426</v>
      </c>
      <c r="F2260" s="3">
        <v>2382</v>
      </c>
      <c r="G2260" s="3">
        <v>0</v>
      </c>
      <c r="H2260" s="2">
        <f t="shared" si="70"/>
        <v>165138</v>
      </c>
      <c r="I2260" t="str">
        <f t="shared" si="71"/>
        <v>Erlin2_165138</v>
      </c>
      <c r="J2260" s="3">
        <v>108683</v>
      </c>
      <c r="K2260" s="3">
        <v>29647</v>
      </c>
      <c r="L2260" s="3">
        <v>24426</v>
      </c>
      <c r="M2260" s="3">
        <v>2382</v>
      </c>
      <c r="N2260" s="3">
        <v>0</v>
      </c>
    </row>
    <row r="2261" spans="1:14" x14ac:dyDescent="0.2">
      <c r="A2261" s="5" t="str">
        <f>HYPERLINK("http://www.ncbi.nlm.nih.gov/protein/124487057","Ermp1")</f>
        <v>Ermp1</v>
      </c>
      <c r="B2261" s="4"/>
      <c r="C2261" s="3">
        <v>68886</v>
      </c>
      <c r="D2261" s="3">
        <v>17794</v>
      </c>
      <c r="E2261" s="3">
        <v>23488</v>
      </c>
      <c r="F2261" s="3">
        <v>0</v>
      </c>
      <c r="G2261" s="3">
        <v>0</v>
      </c>
      <c r="H2261" s="2">
        <f t="shared" si="70"/>
        <v>110168</v>
      </c>
      <c r="I2261" t="str">
        <f t="shared" si="71"/>
        <v>Ermp1_110168</v>
      </c>
      <c r="J2261" s="3">
        <v>68886</v>
      </c>
      <c r="K2261" s="3">
        <v>17794</v>
      </c>
      <c r="L2261" s="3">
        <v>23488</v>
      </c>
      <c r="M2261" s="3">
        <v>0</v>
      </c>
      <c r="N2261" s="3">
        <v>0</v>
      </c>
    </row>
    <row r="2262" spans="1:14" x14ac:dyDescent="0.2">
      <c r="A2262" s="5" t="str">
        <f>HYPERLINK("http://www.ncbi.nlm.nih.gov/protein/7657067","Ero1l")</f>
        <v>Ero1l</v>
      </c>
      <c r="B2262" s="4"/>
      <c r="C2262" s="3">
        <v>13162</v>
      </c>
      <c r="D2262" s="3">
        <v>3572</v>
      </c>
      <c r="E2262" s="3">
        <v>7331</v>
      </c>
      <c r="F2262" s="3">
        <v>0</v>
      </c>
      <c r="G2262" s="3">
        <v>16011</v>
      </c>
      <c r="H2262" s="2">
        <f t="shared" si="70"/>
        <v>40076</v>
      </c>
      <c r="I2262" t="str">
        <f t="shared" si="71"/>
        <v>Ero1l_40076</v>
      </c>
      <c r="J2262" s="3">
        <v>13162</v>
      </c>
      <c r="K2262" s="3">
        <v>3572</v>
      </c>
      <c r="L2262" s="3">
        <v>7331</v>
      </c>
      <c r="M2262" s="3">
        <v>0</v>
      </c>
      <c r="N2262" s="3">
        <v>16011</v>
      </c>
    </row>
    <row r="2263" spans="1:14" x14ac:dyDescent="0.2">
      <c r="A2263" s="5" t="str">
        <f>HYPERLINK("http://www.ncbi.nlm.nih.gov/protein/38348230","Ero1lb")</f>
        <v>Ero1lb</v>
      </c>
      <c r="B2263" s="4"/>
      <c r="C2263" s="3">
        <v>0</v>
      </c>
      <c r="D2263" s="3">
        <v>0</v>
      </c>
      <c r="E2263" s="3">
        <v>1175</v>
      </c>
      <c r="F2263" s="3">
        <v>0</v>
      </c>
      <c r="G2263" s="3">
        <v>1424</v>
      </c>
      <c r="H2263" s="2">
        <f t="shared" si="70"/>
        <v>2599</v>
      </c>
      <c r="I2263" t="str">
        <f t="shared" si="71"/>
        <v>Ero1lb_2599</v>
      </c>
      <c r="J2263" s="3">
        <v>0</v>
      </c>
      <c r="K2263" s="3">
        <v>0</v>
      </c>
      <c r="L2263" s="3">
        <v>1175</v>
      </c>
      <c r="M2263" s="3">
        <v>0</v>
      </c>
      <c r="N2263" s="3">
        <v>1424</v>
      </c>
    </row>
    <row r="2264" spans="1:14" x14ac:dyDescent="0.2">
      <c r="A2264" s="5" t="str">
        <f>HYPERLINK("http://www.ncbi.nlm.nih.gov/protein/19526463","Erp29")</f>
        <v>Erp29</v>
      </c>
      <c r="B2264" s="4"/>
      <c r="C2264" s="3">
        <v>39358</v>
      </c>
      <c r="D2264" s="3">
        <v>13323</v>
      </c>
      <c r="E2264" s="3">
        <v>4697</v>
      </c>
      <c r="F2264" s="3">
        <v>139</v>
      </c>
      <c r="G2264" s="3">
        <v>39861</v>
      </c>
      <c r="H2264" s="2">
        <f t="shared" si="70"/>
        <v>97378</v>
      </c>
      <c r="I2264" t="str">
        <f t="shared" si="71"/>
        <v>Erp29_97378</v>
      </c>
      <c r="J2264" s="3">
        <v>39358</v>
      </c>
      <c r="K2264" s="3">
        <v>13323</v>
      </c>
      <c r="L2264" s="3">
        <v>4697</v>
      </c>
      <c r="M2264" s="3">
        <v>139</v>
      </c>
      <c r="N2264" s="3">
        <v>39861</v>
      </c>
    </row>
    <row r="2265" spans="1:14" x14ac:dyDescent="0.2">
      <c r="A2265" s="5" t="str">
        <f>HYPERLINK("http://www.ncbi.nlm.nih.gov/protein/19072792","Erp44")</f>
        <v>Erp44</v>
      </c>
      <c r="B2265" s="4"/>
      <c r="C2265" s="3">
        <v>6224</v>
      </c>
      <c r="D2265" s="3">
        <v>10079</v>
      </c>
      <c r="E2265" s="3">
        <v>6722</v>
      </c>
      <c r="F2265" s="3">
        <v>0</v>
      </c>
      <c r="G2265" s="3">
        <v>6629</v>
      </c>
      <c r="H2265" s="2">
        <f t="shared" si="70"/>
        <v>29654</v>
      </c>
      <c r="I2265" t="str">
        <f t="shared" si="71"/>
        <v>Erp44_29654</v>
      </c>
      <c r="J2265" s="3">
        <v>6224</v>
      </c>
      <c r="K2265" s="3">
        <v>10079</v>
      </c>
      <c r="L2265" s="3">
        <v>6722</v>
      </c>
      <c r="M2265" s="3">
        <v>0</v>
      </c>
      <c r="N2265" s="3">
        <v>6629</v>
      </c>
    </row>
    <row r="2266" spans="1:14" x14ac:dyDescent="0.2">
      <c r="A2266" s="5" t="str">
        <f>HYPERLINK("http://www.ncbi.nlm.nih.gov/protein/550544230","Esd")</f>
        <v>Esd</v>
      </c>
      <c r="B2266" s="4"/>
      <c r="C2266" s="3">
        <v>2801</v>
      </c>
      <c r="D2266" s="3">
        <v>0</v>
      </c>
      <c r="E2266" s="3">
        <v>0</v>
      </c>
      <c r="F2266" s="3">
        <v>0</v>
      </c>
      <c r="G2266" s="3">
        <v>0</v>
      </c>
      <c r="H2266" s="2">
        <f t="shared" si="70"/>
        <v>2801</v>
      </c>
      <c r="I2266" t="str">
        <f t="shared" si="71"/>
        <v>Esd_2801</v>
      </c>
      <c r="J2266" s="3">
        <v>2801</v>
      </c>
      <c r="K2266" s="3">
        <v>0</v>
      </c>
      <c r="L2266" s="3">
        <v>0</v>
      </c>
      <c r="M2266" s="3">
        <v>0</v>
      </c>
      <c r="N2266" s="3">
        <v>0</v>
      </c>
    </row>
    <row r="2267" spans="1:14" x14ac:dyDescent="0.2">
      <c r="A2267" s="5" t="str">
        <f>HYPERLINK("http://www.ncbi.nlm.nih.gov/protein/13937355","Esd")</f>
        <v>Esd</v>
      </c>
      <c r="B2267" s="4"/>
      <c r="C2267" s="3">
        <v>5565</v>
      </c>
      <c r="D2267" s="3">
        <v>2941</v>
      </c>
      <c r="E2267" s="3">
        <v>8433</v>
      </c>
      <c r="F2267" s="3">
        <v>8906</v>
      </c>
      <c r="G2267" s="3">
        <v>122613</v>
      </c>
      <c r="H2267" s="2">
        <f t="shared" si="70"/>
        <v>148458</v>
      </c>
      <c r="I2267" t="str">
        <f t="shared" si="71"/>
        <v>Esd_148458</v>
      </c>
      <c r="J2267" s="3">
        <v>5565</v>
      </c>
      <c r="K2267" s="3">
        <v>2941</v>
      </c>
      <c r="L2267" s="3">
        <v>8433</v>
      </c>
      <c r="M2267" s="3">
        <v>8906</v>
      </c>
      <c r="N2267" s="3">
        <v>122613</v>
      </c>
    </row>
    <row r="2268" spans="1:14" x14ac:dyDescent="0.2">
      <c r="A2268" s="5" t="str">
        <f>HYPERLINK("http://www.ncbi.nlm.nih.gov/protein/165972311","Esrp1")</f>
        <v>Esrp1</v>
      </c>
      <c r="B2268" s="4"/>
      <c r="C2268" s="3">
        <v>0</v>
      </c>
      <c r="D2268" s="3">
        <v>1935</v>
      </c>
      <c r="E2268" s="3">
        <v>4372</v>
      </c>
      <c r="F2268" s="3">
        <v>1424</v>
      </c>
      <c r="G2268" s="3">
        <v>3106</v>
      </c>
      <c r="H2268" s="2">
        <f t="shared" si="70"/>
        <v>10837</v>
      </c>
      <c r="I2268" t="str">
        <f t="shared" si="71"/>
        <v>Esrp1_10837</v>
      </c>
      <c r="J2268" s="3">
        <v>0</v>
      </c>
      <c r="K2268" s="3">
        <v>1935</v>
      </c>
      <c r="L2268" s="3">
        <v>4372</v>
      </c>
      <c r="M2268" s="3">
        <v>1424</v>
      </c>
      <c r="N2268" s="3">
        <v>3106</v>
      </c>
    </row>
    <row r="2269" spans="1:14" x14ac:dyDescent="0.2">
      <c r="A2269" s="5" t="str">
        <f>HYPERLINK("http://www.ncbi.nlm.nih.gov/protein/28849887","Esrp2")</f>
        <v>Esrp2</v>
      </c>
      <c r="B2269" s="4"/>
      <c r="C2269" s="3">
        <v>0</v>
      </c>
      <c r="D2269" s="3">
        <v>0</v>
      </c>
      <c r="E2269" s="3">
        <v>2589</v>
      </c>
      <c r="F2269" s="3">
        <v>1318</v>
      </c>
      <c r="G2269" s="3">
        <v>13987</v>
      </c>
      <c r="H2269" s="2">
        <f t="shared" si="70"/>
        <v>17894</v>
      </c>
      <c r="I2269" t="str">
        <f t="shared" si="71"/>
        <v>Esrp2_17894</v>
      </c>
      <c r="J2269" s="3">
        <v>0</v>
      </c>
      <c r="K2269" s="3">
        <v>0</v>
      </c>
      <c r="L2269" s="3">
        <v>2589</v>
      </c>
      <c r="M2269" s="3">
        <v>1318</v>
      </c>
      <c r="N2269" s="3">
        <v>13987</v>
      </c>
    </row>
    <row r="2270" spans="1:14" x14ac:dyDescent="0.2">
      <c r="A2270" s="5" t="str">
        <f>HYPERLINK("http://www.ncbi.nlm.nih.gov/protein/112293262","Esrra")</f>
        <v>Esrra</v>
      </c>
      <c r="B2270" s="4"/>
      <c r="C2270" s="3">
        <v>16091</v>
      </c>
      <c r="D2270" s="3">
        <v>488</v>
      </c>
      <c r="E2270" s="3">
        <v>45</v>
      </c>
      <c r="F2270" s="3">
        <v>614</v>
      </c>
      <c r="G2270" s="3">
        <v>0</v>
      </c>
      <c r="H2270" s="2">
        <f t="shared" si="70"/>
        <v>17238</v>
      </c>
      <c r="I2270" t="str">
        <f t="shared" si="71"/>
        <v>Esrra_17238</v>
      </c>
      <c r="J2270" s="3">
        <v>16091</v>
      </c>
      <c r="K2270" s="3">
        <v>488</v>
      </c>
      <c r="L2270" s="3">
        <v>45</v>
      </c>
      <c r="M2270" s="3">
        <v>614</v>
      </c>
      <c r="N2270" s="3">
        <v>0</v>
      </c>
    </row>
    <row r="2271" spans="1:14" x14ac:dyDescent="0.2">
      <c r="A2271" s="5" t="str">
        <f>HYPERLINK("http://www.ncbi.nlm.nih.gov/protein/226958365","Esrrb")</f>
        <v>Esrrb</v>
      </c>
      <c r="B2271" s="4"/>
      <c r="C2271" s="3">
        <v>18086</v>
      </c>
      <c r="D2271" s="3">
        <v>488</v>
      </c>
      <c r="E2271" s="3">
        <v>133</v>
      </c>
      <c r="F2271" s="3">
        <v>614</v>
      </c>
      <c r="G2271" s="3">
        <v>2174</v>
      </c>
      <c r="H2271" s="2">
        <f t="shared" si="70"/>
        <v>21495</v>
      </c>
      <c r="I2271" t="str">
        <f t="shared" si="71"/>
        <v>Esrrb_21495</v>
      </c>
      <c r="J2271" s="3">
        <v>18086</v>
      </c>
      <c r="K2271" s="3">
        <v>488</v>
      </c>
      <c r="L2271" s="3">
        <v>133</v>
      </c>
      <c r="M2271" s="3">
        <v>614</v>
      </c>
      <c r="N2271" s="3">
        <v>2174</v>
      </c>
    </row>
    <row r="2272" spans="1:14" x14ac:dyDescent="0.2">
      <c r="A2272" s="5" t="str">
        <f>HYPERLINK("http://www.ncbi.nlm.nih.gov/protein/226958367","Esrrb")</f>
        <v>Esrrb</v>
      </c>
      <c r="B2272" s="4"/>
      <c r="C2272" s="3">
        <v>18086</v>
      </c>
      <c r="D2272" s="3">
        <v>488</v>
      </c>
      <c r="E2272" s="3">
        <v>133</v>
      </c>
      <c r="F2272" s="3">
        <v>614</v>
      </c>
      <c r="G2272" s="3">
        <v>2174</v>
      </c>
      <c r="H2272" s="2">
        <f t="shared" si="70"/>
        <v>21495</v>
      </c>
      <c r="I2272" t="str">
        <f t="shared" si="71"/>
        <v>Esrrb_21495</v>
      </c>
      <c r="J2272" s="3">
        <v>18086</v>
      </c>
      <c r="K2272" s="3">
        <v>488</v>
      </c>
      <c r="L2272" s="3">
        <v>133</v>
      </c>
      <c r="M2272" s="3">
        <v>614</v>
      </c>
      <c r="N2272" s="3">
        <v>2174</v>
      </c>
    </row>
    <row r="2273" spans="1:14" x14ac:dyDescent="0.2">
      <c r="A2273" s="5" t="str">
        <f>HYPERLINK("http://www.ncbi.nlm.nih.gov/protein/344925886","Esrrg")</f>
        <v>Esrrg</v>
      </c>
      <c r="B2273" s="4"/>
      <c r="C2273" s="3">
        <v>0</v>
      </c>
      <c r="D2273" s="3">
        <v>0</v>
      </c>
      <c r="E2273" s="3">
        <v>35</v>
      </c>
      <c r="F2273" s="3">
        <v>0</v>
      </c>
      <c r="G2273" s="3">
        <v>0</v>
      </c>
      <c r="H2273" s="2">
        <f t="shared" si="70"/>
        <v>35</v>
      </c>
      <c r="I2273" t="str">
        <f t="shared" si="71"/>
        <v>Esrrg_35</v>
      </c>
      <c r="J2273" s="3">
        <v>0</v>
      </c>
      <c r="K2273" s="3">
        <v>0</v>
      </c>
      <c r="L2273" s="3">
        <v>35</v>
      </c>
      <c r="M2273" s="3">
        <v>0</v>
      </c>
      <c r="N2273" s="3">
        <v>0</v>
      </c>
    </row>
    <row r="2274" spans="1:14" x14ac:dyDescent="0.2">
      <c r="A2274" s="5" t="str">
        <f>HYPERLINK("http://www.ncbi.nlm.nih.gov/protein/6753774","Esrrg")</f>
        <v>Esrrg</v>
      </c>
      <c r="B2274" s="4"/>
      <c r="C2274" s="3">
        <v>0</v>
      </c>
      <c r="D2274" s="3">
        <v>0</v>
      </c>
      <c r="E2274" s="3">
        <v>35</v>
      </c>
      <c r="F2274" s="3">
        <v>0</v>
      </c>
      <c r="G2274" s="3">
        <v>0</v>
      </c>
      <c r="H2274" s="2">
        <f t="shared" si="70"/>
        <v>35</v>
      </c>
      <c r="I2274" t="str">
        <f t="shared" si="71"/>
        <v>Esrrg_35</v>
      </c>
      <c r="J2274" s="3">
        <v>0</v>
      </c>
      <c r="K2274" s="3">
        <v>0</v>
      </c>
      <c r="L2274" s="3">
        <v>35</v>
      </c>
      <c r="M2274" s="3">
        <v>0</v>
      </c>
      <c r="N2274" s="3">
        <v>0</v>
      </c>
    </row>
    <row r="2275" spans="1:14" x14ac:dyDescent="0.2">
      <c r="A2275" s="5" t="str">
        <f>HYPERLINK("http://www.ncbi.nlm.nih.gov/protein/33859650","Esyt1")</f>
        <v>Esyt1</v>
      </c>
      <c r="B2275" s="4"/>
      <c r="C2275" s="3">
        <v>41518</v>
      </c>
      <c r="D2275" s="3">
        <v>2321</v>
      </c>
      <c r="E2275" s="3">
        <v>10362</v>
      </c>
      <c r="F2275" s="3">
        <v>1989</v>
      </c>
      <c r="G2275" s="3">
        <v>0</v>
      </c>
      <c r="H2275" s="2">
        <f t="shared" si="70"/>
        <v>56190</v>
      </c>
      <c r="I2275" t="str">
        <f t="shared" si="71"/>
        <v>Esyt1_56190</v>
      </c>
      <c r="J2275" s="3">
        <v>41518</v>
      </c>
      <c r="K2275" s="3">
        <v>2321</v>
      </c>
      <c r="L2275" s="3">
        <v>10362</v>
      </c>
      <c r="M2275" s="3">
        <v>1989</v>
      </c>
      <c r="N2275" s="3">
        <v>0</v>
      </c>
    </row>
    <row r="2276" spans="1:14" x14ac:dyDescent="0.2">
      <c r="A2276" s="5" t="str">
        <f>HYPERLINK("http://www.ncbi.nlm.nih.gov/protein/67782360","Esyt2")</f>
        <v>Esyt2</v>
      </c>
      <c r="B2276" s="4"/>
      <c r="C2276" s="3">
        <v>14132</v>
      </c>
      <c r="D2276" s="3">
        <v>3060</v>
      </c>
      <c r="E2276" s="3">
        <v>4688</v>
      </c>
      <c r="F2276" s="3">
        <v>0</v>
      </c>
      <c r="G2276" s="3">
        <v>0</v>
      </c>
      <c r="H2276" s="2">
        <f t="shared" si="70"/>
        <v>21880</v>
      </c>
      <c r="I2276" t="str">
        <f t="shared" si="71"/>
        <v>Esyt2_21880</v>
      </c>
      <c r="J2276" s="3">
        <v>14132</v>
      </c>
      <c r="K2276" s="3">
        <v>3060</v>
      </c>
      <c r="L2276" s="3">
        <v>4688</v>
      </c>
      <c r="M2276" s="3">
        <v>0</v>
      </c>
      <c r="N2276" s="3">
        <v>0</v>
      </c>
    </row>
    <row r="2277" spans="1:14" x14ac:dyDescent="0.2">
      <c r="A2277" s="5" t="str">
        <f>HYPERLINK("http://www.ncbi.nlm.nih.gov/protein/124286826","Etf1")</f>
        <v>Etf1</v>
      </c>
      <c r="B2277" s="4"/>
      <c r="C2277" s="3">
        <v>2746</v>
      </c>
      <c r="D2277" s="3">
        <v>8542</v>
      </c>
      <c r="E2277" s="3">
        <v>24569</v>
      </c>
      <c r="F2277" s="3">
        <v>45274</v>
      </c>
      <c r="G2277" s="3">
        <v>61805</v>
      </c>
      <c r="H2277" s="2">
        <f t="shared" si="70"/>
        <v>142936</v>
      </c>
      <c r="I2277" t="str">
        <f t="shared" si="71"/>
        <v>Etf1_142936</v>
      </c>
      <c r="J2277" s="3">
        <v>2746</v>
      </c>
      <c r="K2277" s="3">
        <v>8542</v>
      </c>
      <c r="L2277" s="3">
        <v>24569</v>
      </c>
      <c r="M2277" s="3">
        <v>45274</v>
      </c>
      <c r="N2277" s="3">
        <v>61805</v>
      </c>
    </row>
    <row r="2278" spans="1:14" x14ac:dyDescent="0.2">
      <c r="A2278" s="5" t="str">
        <f>HYPERLINK("http://www.ncbi.nlm.nih.gov/protein/227500281","Etfa")</f>
        <v>Etfa</v>
      </c>
      <c r="B2278" s="4"/>
      <c r="C2278" s="3">
        <v>532614</v>
      </c>
      <c r="D2278" s="3">
        <v>57361</v>
      </c>
      <c r="E2278" s="3">
        <v>3644</v>
      </c>
      <c r="F2278" s="3">
        <v>377</v>
      </c>
      <c r="G2278" s="3">
        <v>18945</v>
      </c>
      <c r="H2278" s="2">
        <f t="shared" si="70"/>
        <v>612941</v>
      </c>
      <c r="I2278" t="str">
        <f t="shared" si="71"/>
        <v>Etfa_612941</v>
      </c>
      <c r="J2278" s="3">
        <v>532614</v>
      </c>
      <c r="K2278" s="3">
        <v>57361</v>
      </c>
      <c r="L2278" s="3">
        <v>3644</v>
      </c>
      <c r="M2278" s="3">
        <v>377</v>
      </c>
      <c r="N2278" s="3">
        <v>18945</v>
      </c>
    </row>
    <row r="2279" spans="1:14" x14ac:dyDescent="0.2">
      <c r="A2279" s="5" t="str">
        <f>HYPERLINK("http://www.ncbi.nlm.nih.gov/protein/38142460","Etfb")</f>
        <v>Etfb</v>
      </c>
      <c r="B2279" s="4"/>
      <c r="C2279" s="3">
        <v>414357</v>
      </c>
      <c r="D2279" s="3">
        <v>84870</v>
      </c>
      <c r="E2279" s="3">
        <v>594</v>
      </c>
      <c r="F2279" s="3">
        <v>0</v>
      </c>
      <c r="G2279" s="3">
        <v>25971</v>
      </c>
      <c r="H2279" s="2">
        <f t="shared" si="70"/>
        <v>525792</v>
      </c>
      <c r="I2279" t="str">
        <f t="shared" si="71"/>
        <v>Etfb_525792</v>
      </c>
      <c r="J2279" s="3">
        <v>414357</v>
      </c>
      <c r="K2279" s="3">
        <v>84870</v>
      </c>
      <c r="L2279" s="3">
        <v>594</v>
      </c>
      <c r="M2279" s="3">
        <v>0</v>
      </c>
      <c r="N2279" s="3">
        <v>25971</v>
      </c>
    </row>
    <row r="2280" spans="1:14" x14ac:dyDescent="0.2">
      <c r="A2280" s="5" t="str">
        <f>HYPERLINK("http://www.ncbi.nlm.nih.gov/protein/254588014","Etfdh")</f>
        <v>Etfdh</v>
      </c>
      <c r="B2280" s="4"/>
      <c r="C2280" s="3">
        <v>18837</v>
      </c>
      <c r="D2280" s="3">
        <v>10886</v>
      </c>
      <c r="E2280" s="3">
        <v>1408</v>
      </c>
      <c r="F2280" s="3">
        <v>0</v>
      </c>
      <c r="G2280" s="3">
        <v>0</v>
      </c>
      <c r="H2280" s="2">
        <f t="shared" si="70"/>
        <v>31131</v>
      </c>
      <c r="I2280" t="str">
        <f t="shared" si="71"/>
        <v>Etfdh_31131</v>
      </c>
      <c r="J2280" s="3">
        <v>18837</v>
      </c>
      <c r="K2280" s="3">
        <v>10886</v>
      </c>
      <c r="L2280" s="3">
        <v>1408</v>
      </c>
      <c r="M2280" s="3">
        <v>0</v>
      </c>
      <c r="N2280" s="3">
        <v>0</v>
      </c>
    </row>
    <row r="2281" spans="1:14" x14ac:dyDescent="0.2">
      <c r="A2281" s="5" t="str">
        <f>HYPERLINK("http://www.ncbi.nlm.nih.gov/protein/12963539","Ethe1")</f>
        <v>Ethe1</v>
      </c>
      <c r="B2281" s="4"/>
      <c r="C2281" s="3">
        <v>6828</v>
      </c>
      <c r="D2281" s="3">
        <v>5699</v>
      </c>
      <c r="E2281" s="3">
        <v>0</v>
      </c>
      <c r="F2281" s="3">
        <v>0</v>
      </c>
      <c r="G2281" s="3">
        <v>825</v>
      </c>
      <c r="H2281" s="2">
        <f t="shared" si="70"/>
        <v>13352</v>
      </c>
      <c r="I2281" t="str">
        <f t="shared" si="71"/>
        <v>Ethe1_13352</v>
      </c>
      <c r="J2281" s="3">
        <v>6828</v>
      </c>
      <c r="K2281" s="3">
        <v>5699</v>
      </c>
      <c r="L2281" s="3">
        <v>0</v>
      </c>
      <c r="M2281" s="3">
        <v>0</v>
      </c>
      <c r="N2281" s="3">
        <v>825</v>
      </c>
    </row>
    <row r="2282" spans="1:14" x14ac:dyDescent="0.2">
      <c r="A2282" s="5" t="str">
        <f>HYPERLINK("http://www.ncbi.nlm.nih.gov/protein/226371696","Etnk1")</f>
        <v>Etnk1</v>
      </c>
      <c r="B2282" s="4"/>
      <c r="C2282" s="3">
        <v>0</v>
      </c>
      <c r="D2282" s="3">
        <v>0</v>
      </c>
      <c r="E2282" s="3">
        <v>0</v>
      </c>
      <c r="F2282" s="3">
        <v>0</v>
      </c>
      <c r="G2282" s="3">
        <v>1756</v>
      </c>
      <c r="H2282" s="2">
        <f t="shared" si="70"/>
        <v>1756</v>
      </c>
      <c r="I2282" t="str">
        <f t="shared" si="71"/>
        <v>Etnk1_1756</v>
      </c>
      <c r="J2282" s="3">
        <v>0</v>
      </c>
      <c r="K2282" s="3">
        <v>0</v>
      </c>
      <c r="L2282" s="3">
        <v>0</v>
      </c>
      <c r="M2282" s="3">
        <v>0</v>
      </c>
      <c r="N2282" s="3">
        <v>1756</v>
      </c>
    </row>
    <row r="2283" spans="1:14" x14ac:dyDescent="0.2">
      <c r="A2283" s="5" t="str">
        <f>HYPERLINK("http://www.ncbi.nlm.nih.gov/protein/84370337","Etv6")</f>
        <v>Etv6</v>
      </c>
      <c r="B2283" s="4"/>
      <c r="C2283" s="3">
        <v>0</v>
      </c>
      <c r="D2283" s="3">
        <v>0</v>
      </c>
      <c r="E2283" s="3">
        <v>0</v>
      </c>
      <c r="F2283" s="3">
        <v>0</v>
      </c>
      <c r="G2283" s="3">
        <v>118</v>
      </c>
      <c r="H2283" s="2">
        <f t="shared" si="70"/>
        <v>118</v>
      </c>
      <c r="I2283" t="str">
        <f t="shared" si="71"/>
        <v>Etv6_118</v>
      </c>
      <c r="J2283" s="3">
        <v>0</v>
      </c>
      <c r="K2283" s="3">
        <v>0</v>
      </c>
      <c r="L2283" s="3">
        <v>0</v>
      </c>
      <c r="M2283" s="3">
        <v>0</v>
      </c>
      <c r="N2283" s="3">
        <v>118</v>
      </c>
    </row>
    <row r="2284" spans="1:14" x14ac:dyDescent="0.2">
      <c r="A2284" s="5" t="str">
        <f>HYPERLINK("http://www.ncbi.nlm.nih.gov/protein/254281243","Evl")</f>
        <v>Evl</v>
      </c>
      <c r="B2284" s="4"/>
      <c r="C2284" s="3">
        <v>0</v>
      </c>
      <c r="D2284" s="3">
        <v>0</v>
      </c>
      <c r="E2284" s="3">
        <v>4</v>
      </c>
      <c r="F2284" s="3">
        <v>0</v>
      </c>
      <c r="G2284" s="3">
        <v>0</v>
      </c>
      <c r="H2284" s="2">
        <f t="shared" si="70"/>
        <v>4</v>
      </c>
      <c r="I2284" t="str">
        <f t="shared" si="71"/>
        <v>Evl_4</v>
      </c>
      <c r="J2284" s="3">
        <v>0</v>
      </c>
      <c r="K2284" s="3">
        <v>0</v>
      </c>
      <c r="L2284" s="3">
        <v>4</v>
      </c>
      <c r="M2284" s="3">
        <v>0</v>
      </c>
      <c r="N2284" s="3">
        <v>0</v>
      </c>
    </row>
    <row r="2285" spans="1:14" x14ac:dyDescent="0.2">
      <c r="A2285" s="5" t="str">
        <f>HYPERLINK("http://www.ncbi.nlm.nih.gov/protein/254281245","Evl")</f>
        <v>Evl</v>
      </c>
      <c r="B2285" s="4"/>
      <c r="C2285" s="3">
        <v>0</v>
      </c>
      <c r="D2285" s="3">
        <v>0</v>
      </c>
      <c r="E2285" s="3">
        <v>4</v>
      </c>
      <c r="F2285" s="3">
        <v>0</v>
      </c>
      <c r="G2285" s="3">
        <v>0</v>
      </c>
      <c r="H2285" s="2">
        <f t="shared" si="70"/>
        <v>4</v>
      </c>
      <c r="I2285" t="str">
        <f t="shared" si="71"/>
        <v>Evl_4</v>
      </c>
      <c r="J2285" s="3">
        <v>0</v>
      </c>
      <c r="K2285" s="3">
        <v>0</v>
      </c>
      <c r="L2285" s="3">
        <v>4</v>
      </c>
      <c r="M2285" s="3">
        <v>0</v>
      </c>
      <c r="N2285" s="3">
        <v>0</v>
      </c>
    </row>
    <row r="2286" spans="1:14" x14ac:dyDescent="0.2">
      <c r="A2286" s="5" t="str">
        <f>HYPERLINK("http://www.ncbi.nlm.nih.gov/protein/254281247","Evl")</f>
        <v>Evl</v>
      </c>
      <c r="B2286" s="4"/>
      <c r="C2286" s="3">
        <v>0</v>
      </c>
      <c r="D2286" s="3">
        <v>0</v>
      </c>
      <c r="E2286" s="3">
        <v>4</v>
      </c>
      <c r="F2286" s="3">
        <v>0</v>
      </c>
      <c r="G2286" s="3">
        <v>0</v>
      </c>
      <c r="H2286" s="2">
        <f t="shared" si="70"/>
        <v>4</v>
      </c>
      <c r="I2286" t="str">
        <f t="shared" si="71"/>
        <v>Evl_4</v>
      </c>
      <c r="J2286" s="3">
        <v>0</v>
      </c>
      <c r="K2286" s="3">
        <v>0</v>
      </c>
      <c r="L2286" s="3">
        <v>4</v>
      </c>
      <c r="M2286" s="3">
        <v>0</v>
      </c>
      <c r="N2286" s="3">
        <v>0</v>
      </c>
    </row>
    <row r="2287" spans="1:14" x14ac:dyDescent="0.2">
      <c r="A2287" s="5" t="str">
        <f>HYPERLINK("http://www.ncbi.nlm.nih.gov/protein/254281249","Evl")</f>
        <v>Evl</v>
      </c>
      <c r="B2287" s="4"/>
      <c r="C2287" s="3">
        <v>0</v>
      </c>
      <c r="D2287" s="3">
        <v>0</v>
      </c>
      <c r="E2287" s="3">
        <v>4</v>
      </c>
      <c r="F2287" s="3">
        <v>0</v>
      </c>
      <c r="G2287" s="3">
        <v>0</v>
      </c>
      <c r="H2287" s="2">
        <f t="shared" si="70"/>
        <v>4</v>
      </c>
      <c r="I2287" t="str">
        <f t="shared" si="71"/>
        <v>Evl_4</v>
      </c>
      <c r="J2287" s="3">
        <v>0</v>
      </c>
      <c r="K2287" s="3">
        <v>0</v>
      </c>
      <c r="L2287" s="3">
        <v>4</v>
      </c>
      <c r="M2287" s="3">
        <v>0</v>
      </c>
      <c r="N2287" s="3">
        <v>0</v>
      </c>
    </row>
    <row r="2288" spans="1:14" x14ac:dyDescent="0.2">
      <c r="A2288" s="5" t="str">
        <f>HYPERLINK("http://www.ncbi.nlm.nih.gov/protein/111185907","Evpl")</f>
        <v>Evpl</v>
      </c>
      <c r="B2288" s="4"/>
      <c r="C2288" s="3">
        <v>1098</v>
      </c>
      <c r="D2288" s="3">
        <v>238</v>
      </c>
      <c r="E2288" s="3">
        <v>4792</v>
      </c>
      <c r="F2288" s="3">
        <v>0</v>
      </c>
      <c r="G2288" s="3">
        <v>161</v>
      </c>
      <c r="H2288" s="2">
        <f t="shared" si="70"/>
        <v>6289</v>
      </c>
      <c r="I2288" t="str">
        <f t="shared" si="71"/>
        <v>Evpl_6289</v>
      </c>
      <c r="J2288" s="3">
        <v>1098</v>
      </c>
      <c r="K2288" s="3">
        <v>238</v>
      </c>
      <c r="L2288" s="3">
        <v>4792</v>
      </c>
      <c r="M2288" s="3">
        <v>0</v>
      </c>
      <c r="N2288" s="3">
        <v>161</v>
      </c>
    </row>
    <row r="2289" spans="1:14" x14ac:dyDescent="0.2">
      <c r="A2289" s="5" t="str">
        <f>HYPERLINK("http://www.ncbi.nlm.nih.gov/protein/545687694","Ewsr1")</f>
        <v>Ewsr1</v>
      </c>
      <c r="B2289" s="4"/>
      <c r="C2289" s="3">
        <v>10068</v>
      </c>
      <c r="D2289" s="3">
        <v>0</v>
      </c>
      <c r="E2289" s="3">
        <v>0</v>
      </c>
      <c r="F2289" s="3">
        <v>0</v>
      </c>
      <c r="G2289" s="3">
        <v>0</v>
      </c>
      <c r="H2289" s="2">
        <f t="shared" si="70"/>
        <v>10068</v>
      </c>
      <c r="I2289" t="str">
        <f t="shared" si="71"/>
        <v>Ewsr1_10068</v>
      </c>
      <c r="J2289" s="3">
        <v>10068</v>
      </c>
      <c r="K2289" s="3">
        <v>0</v>
      </c>
      <c r="L2289" s="3">
        <v>0</v>
      </c>
      <c r="M2289" s="3">
        <v>0</v>
      </c>
      <c r="N2289" s="3">
        <v>0</v>
      </c>
    </row>
    <row r="2290" spans="1:14" x14ac:dyDescent="0.2">
      <c r="A2290" s="5" t="str">
        <f>HYPERLINK("http://www.ncbi.nlm.nih.gov/protein/545688864","Ewsr1")</f>
        <v>Ewsr1</v>
      </c>
      <c r="B2290" s="4"/>
      <c r="C2290" s="3">
        <v>10068</v>
      </c>
      <c r="D2290" s="3">
        <v>0</v>
      </c>
      <c r="E2290" s="3">
        <v>0</v>
      </c>
      <c r="F2290" s="3">
        <v>0</v>
      </c>
      <c r="G2290" s="3">
        <v>0</v>
      </c>
      <c r="H2290" s="2">
        <f t="shared" si="70"/>
        <v>10068</v>
      </c>
      <c r="I2290" t="str">
        <f t="shared" si="71"/>
        <v>Ewsr1_10068</v>
      </c>
      <c r="J2290" s="3">
        <v>10068</v>
      </c>
      <c r="K2290" s="3">
        <v>0</v>
      </c>
      <c r="L2290" s="3">
        <v>0</v>
      </c>
      <c r="M2290" s="3">
        <v>0</v>
      </c>
      <c r="N2290" s="3">
        <v>0</v>
      </c>
    </row>
    <row r="2291" spans="1:14" x14ac:dyDescent="0.2">
      <c r="A2291" s="5" t="str">
        <f>HYPERLINK("http://www.ncbi.nlm.nih.gov/protein/88853581","Ewsr1")</f>
        <v>Ewsr1</v>
      </c>
      <c r="B2291" s="4"/>
      <c r="C2291" s="3">
        <v>14443</v>
      </c>
      <c r="D2291" s="3">
        <v>1943</v>
      </c>
      <c r="E2291" s="3">
        <v>19566</v>
      </c>
      <c r="F2291" s="3">
        <v>13081</v>
      </c>
      <c r="G2291" s="3">
        <v>5676</v>
      </c>
      <c r="H2291" s="2">
        <f t="shared" si="70"/>
        <v>54709</v>
      </c>
      <c r="I2291" t="str">
        <f t="shared" si="71"/>
        <v>Ewsr1_54709</v>
      </c>
      <c r="J2291" s="3">
        <v>14443</v>
      </c>
      <c r="K2291" s="3">
        <v>1943</v>
      </c>
      <c r="L2291" s="3">
        <v>19566</v>
      </c>
      <c r="M2291" s="3">
        <v>13081</v>
      </c>
      <c r="N2291" s="3">
        <v>5676</v>
      </c>
    </row>
    <row r="2292" spans="1:14" x14ac:dyDescent="0.2">
      <c r="A2292" s="5" t="str">
        <f>HYPERLINK("http://www.ncbi.nlm.nih.gov/protein/237681098","Exd2")</f>
        <v>Exd2</v>
      </c>
      <c r="B2292" s="4"/>
      <c r="C2292" s="3">
        <v>0</v>
      </c>
      <c r="D2292" s="3">
        <v>44</v>
      </c>
      <c r="E2292" s="3">
        <v>0</v>
      </c>
      <c r="F2292" s="3">
        <v>0</v>
      </c>
      <c r="G2292" s="3">
        <v>0</v>
      </c>
      <c r="H2292" s="2">
        <f t="shared" si="70"/>
        <v>44</v>
      </c>
      <c r="I2292" t="str">
        <f t="shared" si="71"/>
        <v>Exd2_44</v>
      </c>
      <c r="J2292" s="3">
        <v>0</v>
      </c>
      <c r="K2292" s="3">
        <v>44</v>
      </c>
      <c r="L2292" s="3">
        <v>0</v>
      </c>
      <c r="M2292" s="3">
        <v>0</v>
      </c>
      <c r="N2292" s="3">
        <v>0</v>
      </c>
    </row>
    <row r="2293" spans="1:14" x14ac:dyDescent="0.2">
      <c r="A2293" s="5" t="str">
        <f>HYPERLINK("http://www.ncbi.nlm.nih.gov/protein/89111939","Exoc1")</f>
        <v>Exoc1</v>
      </c>
      <c r="B2293" s="4"/>
      <c r="C2293" s="3">
        <v>0</v>
      </c>
      <c r="D2293" s="3">
        <v>134</v>
      </c>
      <c r="E2293" s="3">
        <v>148</v>
      </c>
      <c r="F2293" s="3">
        <v>65</v>
      </c>
      <c r="G2293" s="3">
        <v>439</v>
      </c>
      <c r="H2293" s="2">
        <f t="shared" si="70"/>
        <v>786</v>
      </c>
      <c r="I2293" t="str">
        <f t="shared" si="71"/>
        <v>Exoc1_786</v>
      </c>
      <c r="J2293" s="3">
        <v>0</v>
      </c>
      <c r="K2293" s="3">
        <v>134</v>
      </c>
      <c r="L2293" s="3">
        <v>148</v>
      </c>
      <c r="M2293" s="3">
        <v>65</v>
      </c>
      <c r="N2293" s="3">
        <v>439</v>
      </c>
    </row>
    <row r="2294" spans="1:14" x14ac:dyDescent="0.2">
      <c r="A2294" s="5" t="str">
        <f>HYPERLINK("http://www.ncbi.nlm.nih.gov/protein/21313438","Exoc2")</f>
        <v>Exoc2</v>
      </c>
      <c r="B2294" s="4"/>
      <c r="C2294" s="3">
        <v>0</v>
      </c>
      <c r="D2294" s="3">
        <v>129</v>
      </c>
      <c r="E2294" s="3">
        <v>138</v>
      </c>
      <c r="F2294" s="3">
        <v>10027</v>
      </c>
      <c r="G2294" s="3">
        <v>835</v>
      </c>
      <c r="H2294" s="2">
        <f t="shared" si="70"/>
        <v>11129</v>
      </c>
      <c r="I2294" t="str">
        <f t="shared" si="71"/>
        <v>Exoc2_11129</v>
      </c>
      <c r="J2294" s="3">
        <v>0</v>
      </c>
      <c r="K2294" s="3">
        <v>129</v>
      </c>
      <c r="L2294" s="3">
        <v>138</v>
      </c>
      <c r="M2294" s="3">
        <v>10027</v>
      </c>
      <c r="N2294" s="3">
        <v>835</v>
      </c>
    </row>
    <row r="2295" spans="1:14" x14ac:dyDescent="0.2">
      <c r="A2295" s="5" t="str">
        <f>HYPERLINK("http://www.ncbi.nlm.nih.gov/protein/84579825","Exoc3")</f>
        <v>Exoc3</v>
      </c>
      <c r="B2295" s="4"/>
      <c r="C2295" s="3">
        <v>0</v>
      </c>
      <c r="D2295" s="3">
        <v>0</v>
      </c>
      <c r="E2295" s="3">
        <v>407</v>
      </c>
      <c r="F2295" s="3">
        <v>4617</v>
      </c>
      <c r="G2295" s="3">
        <v>0</v>
      </c>
      <c r="H2295" s="2">
        <f t="shared" si="70"/>
        <v>5024</v>
      </c>
      <c r="I2295" t="str">
        <f t="shared" si="71"/>
        <v>Exoc3_5024</v>
      </c>
      <c r="J2295" s="3">
        <v>0</v>
      </c>
      <c r="K2295" s="3">
        <v>0</v>
      </c>
      <c r="L2295" s="3">
        <v>407</v>
      </c>
      <c r="M2295" s="3">
        <v>4617</v>
      </c>
      <c r="N2295" s="3">
        <v>0</v>
      </c>
    </row>
    <row r="2296" spans="1:14" x14ac:dyDescent="0.2">
      <c r="A2296" s="5" t="str">
        <f>HYPERLINK("http://www.ncbi.nlm.nih.gov/protein/309265796","Exoc3l2")</f>
        <v>Exoc3l2</v>
      </c>
      <c r="B2296" s="4"/>
      <c r="C2296" s="3">
        <v>0</v>
      </c>
      <c r="D2296" s="3">
        <v>405</v>
      </c>
      <c r="E2296" s="3">
        <v>414</v>
      </c>
      <c r="F2296" s="3">
        <v>0</v>
      </c>
      <c r="G2296" s="3">
        <v>0</v>
      </c>
      <c r="H2296" s="2">
        <f t="shared" si="70"/>
        <v>819</v>
      </c>
      <c r="I2296" t="str">
        <f t="shared" si="71"/>
        <v>Exoc3l2_819</v>
      </c>
      <c r="J2296" s="3">
        <v>0</v>
      </c>
      <c r="K2296" s="3">
        <v>405</v>
      </c>
      <c r="L2296" s="3">
        <v>414</v>
      </c>
      <c r="M2296" s="3">
        <v>0</v>
      </c>
      <c r="N2296" s="3">
        <v>0</v>
      </c>
    </row>
    <row r="2297" spans="1:14" x14ac:dyDescent="0.2">
      <c r="A2297" s="5" t="str">
        <f>HYPERLINK("http://www.ncbi.nlm.nih.gov/protein/83921574","Exoc4")</f>
        <v>Exoc4</v>
      </c>
      <c r="B2297" s="4"/>
      <c r="C2297" s="3">
        <v>0</v>
      </c>
      <c r="D2297" s="3">
        <v>0</v>
      </c>
      <c r="E2297" s="3">
        <v>1910</v>
      </c>
      <c r="F2297" s="3">
        <v>10928</v>
      </c>
      <c r="G2297" s="3">
        <v>3823</v>
      </c>
      <c r="H2297" s="2">
        <f t="shared" si="70"/>
        <v>16661</v>
      </c>
      <c r="I2297" t="str">
        <f t="shared" si="71"/>
        <v>Exoc4_16661</v>
      </c>
      <c r="J2297" s="3">
        <v>0</v>
      </c>
      <c r="K2297" s="3">
        <v>0</v>
      </c>
      <c r="L2297" s="3">
        <v>1910</v>
      </c>
      <c r="M2297" s="3">
        <v>10928</v>
      </c>
      <c r="N2297" s="3">
        <v>3823</v>
      </c>
    </row>
    <row r="2298" spans="1:14" x14ac:dyDescent="0.2">
      <c r="A2298" s="5" t="str">
        <f>HYPERLINK("http://www.ncbi.nlm.nih.gov/protein/46402177","Exoc5")</f>
        <v>Exoc5</v>
      </c>
      <c r="B2298" s="4"/>
      <c r="C2298" s="3">
        <v>0</v>
      </c>
      <c r="D2298" s="3">
        <v>0</v>
      </c>
      <c r="E2298" s="3">
        <v>904</v>
      </c>
      <c r="F2298" s="3">
        <v>6688</v>
      </c>
      <c r="G2298" s="3">
        <v>0</v>
      </c>
      <c r="H2298" s="2">
        <f t="shared" si="70"/>
        <v>7592</v>
      </c>
      <c r="I2298" t="str">
        <f t="shared" si="71"/>
        <v>Exoc5_7592</v>
      </c>
      <c r="J2298" s="3">
        <v>0</v>
      </c>
      <c r="K2298" s="3">
        <v>0</v>
      </c>
      <c r="L2298" s="3">
        <v>904</v>
      </c>
      <c r="M2298" s="3">
        <v>6688</v>
      </c>
      <c r="N2298" s="3">
        <v>0</v>
      </c>
    </row>
    <row r="2299" spans="1:14" x14ac:dyDescent="0.2">
      <c r="A2299" s="5" t="str">
        <f>HYPERLINK("http://www.ncbi.nlm.nih.gov/protein/62526126","Exoc6")</f>
        <v>Exoc6</v>
      </c>
      <c r="B2299" s="4"/>
      <c r="C2299" s="3">
        <v>8897</v>
      </c>
      <c r="D2299" s="3">
        <v>474</v>
      </c>
      <c r="E2299" s="3">
        <v>2388</v>
      </c>
      <c r="F2299" s="3">
        <v>5263</v>
      </c>
      <c r="G2299" s="3">
        <v>5483</v>
      </c>
      <c r="H2299" s="2">
        <f t="shared" si="70"/>
        <v>22505</v>
      </c>
      <c r="I2299" t="str">
        <f t="shared" si="71"/>
        <v>Exoc6_22505</v>
      </c>
      <c r="J2299" s="3">
        <v>8897</v>
      </c>
      <c r="K2299" s="3">
        <v>474</v>
      </c>
      <c r="L2299" s="3">
        <v>2388</v>
      </c>
      <c r="M2299" s="3">
        <v>5263</v>
      </c>
      <c r="N2299" s="3">
        <v>5483</v>
      </c>
    </row>
    <row r="2300" spans="1:14" x14ac:dyDescent="0.2">
      <c r="A2300" s="5" t="str">
        <f>HYPERLINK("http://www.ncbi.nlm.nih.gov/protein/226371698","Exoc6b")</f>
        <v>Exoc6b</v>
      </c>
      <c r="B2300" s="4"/>
      <c r="C2300" s="3">
        <v>0</v>
      </c>
      <c r="D2300" s="3">
        <v>470</v>
      </c>
      <c r="E2300" s="3">
        <v>225</v>
      </c>
      <c r="F2300" s="3">
        <v>0</v>
      </c>
      <c r="G2300" s="3">
        <v>0</v>
      </c>
      <c r="H2300" s="2">
        <f t="shared" si="70"/>
        <v>695</v>
      </c>
      <c r="I2300" t="str">
        <f t="shared" si="71"/>
        <v>Exoc6b_695</v>
      </c>
      <c r="J2300" s="3">
        <v>0</v>
      </c>
      <c r="K2300" s="3">
        <v>470</v>
      </c>
      <c r="L2300" s="3">
        <v>225</v>
      </c>
      <c r="M2300" s="3">
        <v>0</v>
      </c>
      <c r="N2300" s="3">
        <v>0</v>
      </c>
    </row>
    <row r="2301" spans="1:14" x14ac:dyDescent="0.2">
      <c r="A2301" s="5" t="str">
        <f>HYPERLINK("http://www.ncbi.nlm.nih.gov/protein/247269408","Exoc7")</f>
        <v>Exoc7</v>
      </c>
      <c r="B2301" s="4"/>
      <c r="C2301" s="3">
        <v>0</v>
      </c>
      <c r="D2301" s="3">
        <v>61</v>
      </c>
      <c r="E2301" s="3">
        <v>51</v>
      </c>
      <c r="F2301" s="3">
        <v>7482</v>
      </c>
      <c r="G2301" s="3">
        <v>0</v>
      </c>
      <c r="H2301" s="2">
        <f t="shared" si="70"/>
        <v>7594</v>
      </c>
      <c r="I2301" t="str">
        <f t="shared" si="71"/>
        <v>Exoc7_7594</v>
      </c>
      <c r="J2301" s="3">
        <v>0</v>
      </c>
      <c r="K2301" s="3">
        <v>61</v>
      </c>
      <c r="L2301" s="3">
        <v>51</v>
      </c>
      <c r="M2301" s="3">
        <v>7482</v>
      </c>
      <c r="N2301" s="3">
        <v>0</v>
      </c>
    </row>
    <row r="2302" spans="1:14" x14ac:dyDescent="0.2">
      <c r="A2302" s="5" t="str">
        <f>HYPERLINK("http://www.ncbi.nlm.nih.gov/protein/247269443","Exoc7")</f>
        <v>Exoc7</v>
      </c>
      <c r="B2302" s="4"/>
      <c r="C2302" s="3">
        <v>0</v>
      </c>
      <c r="D2302" s="3">
        <v>61</v>
      </c>
      <c r="E2302" s="3">
        <v>51</v>
      </c>
      <c r="F2302" s="3">
        <v>7482</v>
      </c>
      <c r="G2302" s="3">
        <v>0</v>
      </c>
      <c r="H2302" s="2">
        <f t="shared" si="70"/>
        <v>7594</v>
      </c>
      <c r="I2302" t="str">
        <f t="shared" si="71"/>
        <v>Exoc7_7594</v>
      </c>
      <c r="J2302" s="3">
        <v>0</v>
      </c>
      <c r="K2302" s="3">
        <v>61</v>
      </c>
      <c r="L2302" s="3">
        <v>51</v>
      </c>
      <c r="M2302" s="3">
        <v>7482</v>
      </c>
      <c r="N2302" s="3">
        <v>0</v>
      </c>
    </row>
    <row r="2303" spans="1:14" x14ac:dyDescent="0.2">
      <c r="A2303" s="5" t="str">
        <f>HYPERLINK("http://www.ncbi.nlm.nih.gov/protein/37674218","Exoc8")</f>
        <v>Exoc8</v>
      </c>
      <c r="B2303" s="4"/>
      <c r="C2303" s="3">
        <v>0</v>
      </c>
      <c r="D2303" s="3">
        <v>430</v>
      </c>
      <c r="E2303" s="3">
        <v>464</v>
      </c>
      <c r="F2303" s="3">
        <v>9127</v>
      </c>
      <c r="G2303" s="3">
        <v>2195</v>
      </c>
      <c r="H2303" s="2">
        <f t="shared" si="70"/>
        <v>12216</v>
      </c>
      <c r="I2303" t="str">
        <f t="shared" si="71"/>
        <v>Exoc8_12216</v>
      </c>
      <c r="J2303" s="3">
        <v>0</v>
      </c>
      <c r="K2303" s="3">
        <v>430</v>
      </c>
      <c r="L2303" s="3">
        <v>464</v>
      </c>
      <c r="M2303" s="3">
        <v>9127</v>
      </c>
      <c r="N2303" s="3">
        <v>2195</v>
      </c>
    </row>
    <row r="2304" spans="1:14" x14ac:dyDescent="0.2">
      <c r="A2304" s="5" t="str">
        <f>HYPERLINK("http://www.ncbi.nlm.nih.gov/protein/27369613","Exog")</f>
        <v>Exog</v>
      </c>
      <c r="B2304" s="4"/>
      <c r="C2304" s="3">
        <v>0</v>
      </c>
      <c r="D2304" s="3">
        <v>0</v>
      </c>
      <c r="E2304" s="3">
        <v>67</v>
      </c>
      <c r="F2304" s="3">
        <v>0</v>
      </c>
      <c r="G2304" s="3">
        <v>0</v>
      </c>
      <c r="H2304" s="2">
        <f t="shared" si="70"/>
        <v>67</v>
      </c>
      <c r="I2304" t="str">
        <f t="shared" si="71"/>
        <v>Exog_67</v>
      </c>
      <c r="J2304" s="3">
        <v>0</v>
      </c>
      <c r="K2304" s="3">
        <v>0</v>
      </c>
      <c r="L2304" s="3">
        <v>67</v>
      </c>
      <c r="M2304" s="3">
        <v>0</v>
      </c>
      <c r="N2304" s="3">
        <v>0</v>
      </c>
    </row>
    <row r="2305" spans="1:14" x14ac:dyDescent="0.2">
      <c r="A2305" s="5" t="str">
        <f>HYPERLINK("http://www.ncbi.nlm.nih.gov/protein/287327708","Exog")</f>
        <v>Exog</v>
      </c>
      <c r="B2305" s="4"/>
      <c r="C2305" s="3">
        <v>0</v>
      </c>
      <c r="D2305" s="3">
        <v>0</v>
      </c>
      <c r="E2305" s="3">
        <v>67</v>
      </c>
      <c r="F2305" s="3">
        <v>0</v>
      </c>
      <c r="G2305" s="3">
        <v>0</v>
      </c>
      <c r="H2305" s="2">
        <f t="shared" si="70"/>
        <v>67</v>
      </c>
      <c r="I2305" t="str">
        <f t="shared" si="71"/>
        <v>Exog_67</v>
      </c>
      <c r="J2305" s="3">
        <v>0</v>
      </c>
      <c r="K2305" s="3">
        <v>0</v>
      </c>
      <c r="L2305" s="3">
        <v>67</v>
      </c>
      <c r="M2305" s="3">
        <v>0</v>
      </c>
      <c r="N2305" s="3">
        <v>0</v>
      </c>
    </row>
    <row r="2306" spans="1:14" x14ac:dyDescent="0.2">
      <c r="A2306" s="5" t="str">
        <f>HYPERLINK("http://www.ncbi.nlm.nih.gov/protein/22267446","Exosc1")</f>
        <v>Exosc1</v>
      </c>
      <c r="B2306" s="4"/>
      <c r="C2306" s="3">
        <v>0</v>
      </c>
      <c r="D2306" s="3">
        <v>729</v>
      </c>
      <c r="E2306" s="3">
        <v>1834</v>
      </c>
      <c r="F2306" s="3">
        <v>18409</v>
      </c>
      <c r="G2306" s="3">
        <v>1692</v>
      </c>
      <c r="H2306" s="2">
        <f t="shared" ref="H2306:H2369" si="72">SUM(C2306:G2306)</f>
        <v>22664</v>
      </c>
      <c r="I2306" t="str">
        <f t="shared" ref="I2306:I2369" si="73">A2306&amp;"_"&amp;H2306</f>
        <v>Exosc1_22664</v>
      </c>
      <c r="J2306" s="3">
        <v>0</v>
      </c>
      <c r="K2306" s="3">
        <v>729</v>
      </c>
      <c r="L2306" s="3">
        <v>1834</v>
      </c>
      <c r="M2306" s="3">
        <v>18409</v>
      </c>
      <c r="N2306" s="3">
        <v>1692</v>
      </c>
    </row>
    <row r="2307" spans="1:14" x14ac:dyDescent="0.2">
      <c r="A2307" s="5" t="str">
        <f>HYPERLINK("http://www.ncbi.nlm.nih.gov/protein/257096005","Exosc1")</f>
        <v>Exosc1</v>
      </c>
      <c r="B2307" s="4"/>
      <c r="C2307" s="3">
        <v>0</v>
      </c>
      <c r="D2307" s="3">
        <v>729</v>
      </c>
      <c r="E2307" s="3">
        <v>1715</v>
      </c>
      <c r="F2307" s="3">
        <v>15798</v>
      </c>
      <c r="G2307" s="3">
        <v>1692</v>
      </c>
      <c r="H2307" s="2">
        <f t="shared" si="72"/>
        <v>19934</v>
      </c>
      <c r="I2307" t="str">
        <f t="shared" si="73"/>
        <v>Exosc1_19934</v>
      </c>
      <c r="J2307" s="3">
        <v>0</v>
      </c>
      <c r="K2307" s="3">
        <v>729</v>
      </c>
      <c r="L2307" s="3">
        <v>1715</v>
      </c>
      <c r="M2307" s="3">
        <v>15798</v>
      </c>
      <c r="N2307" s="3">
        <v>1692</v>
      </c>
    </row>
    <row r="2308" spans="1:14" x14ac:dyDescent="0.2">
      <c r="A2308" s="5" t="str">
        <f>HYPERLINK("http://www.ncbi.nlm.nih.gov/protein/227116266","Exosc10")</f>
        <v>Exosc10</v>
      </c>
      <c r="B2308" s="4"/>
      <c r="C2308" s="3">
        <v>0</v>
      </c>
      <c r="D2308" s="3">
        <v>0</v>
      </c>
      <c r="E2308" s="3">
        <v>359</v>
      </c>
      <c r="F2308" s="3">
        <v>13580</v>
      </c>
      <c r="G2308" s="3">
        <v>0</v>
      </c>
      <c r="H2308" s="2">
        <f t="shared" si="72"/>
        <v>13939</v>
      </c>
      <c r="I2308" t="str">
        <f t="shared" si="73"/>
        <v>Exosc10_13939</v>
      </c>
      <c r="J2308" s="3">
        <v>0</v>
      </c>
      <c r="K2308" s="3">
        <v>0</v>
      </c>
      <c r="L2308" s="3">
        <v>359</v>
      </c>
      <c r="M2308" s="3">
        <v>13580</v>
      </c>
      <c r="N2308" s="3">
        <v>0</v>
      </c>
    </row>
    <row r="2309" spans="1:14" x14ac:dyDescent="0.2">
      <c r="A2309" s="5" t="str">
        <f>HYPERLINK("http://www.ncbi.nlm.nih.gov/protein/21450259","Exosc2")</f>
        <v>Exosc2</v>
      </c>
      <c r="B2309" s="4"/>
      <c r="C2309" s="3">
        <v>0</v>
      </c>
      <c r="D2309" s="3">
        <v>409</v>
      </c>
      <c r="E2309" s="3">
        <v>918</v>
      </c>
      <c r="F2309" s="3">
        <v>38186</v>
      </c>
      <c r="G2309" s="3">
        <v>0</v>
      </c>
      <c r="H2309" s="2">
        <f t="shared" si="72"/>
        <v>39513</v>
      </c>
      <c r="I2309" t="str">
        <f t="shared" si="73"/>
        <v>Exosc2_39513</v>
      </c>
      <c r="J2309" s="3">
        <v>0</v>
      </c>
      <c r="K2309" s="3">
        <v>409</v>
      </c>
      <c r="L2309" s="3">
        <v>918</v>
      </c>
      <c r="M2309" s="3">
        <v>38186</v>
      </c>
      <c r="N2309" s="3">
        <v>0</v>
      </c>
    </row>
    <row r="2310" spans="1:14" x14ac:dyDescent="0.2">
      <c r="A2310" s="5" t="str">
        <f>HYPERLINK("http://www.ncbi.nlm.nih.gov/protein/39930417","Exosc3")</f>
        <v>Exosc3</v>
      </c>
      <c r="B2310" s="4"/>
      <c r="C2310" s="3">
        <v>0</v>
      </c>
      <c r="D2310" s="3">
        <v>0</v>
      </c>
      <c r="E2310" s="3">
        <v>307</v>
      </c>
      <c r="F2310" s="3">
        <v>22412</v>
      </c>
      <c r="G2310" s="3">
        <v>11</v>
      </c>
      <c r="H2310" s="2">
        <f t="shared" si="72"/>
        <v>22730</v>
      </c>
      <c r="I2310" t="str">
        <f t="shared" si="73"/>
        <v>Exosc3_22730</v>
      </c>
      <c r="J2310" s="3">
        <v>0</v>
      </c>
      <c r="K2310" s="3">
        <v>0</v>
      </c>
      <c r="L2310" s="3">
        <v>307</v>
      </c>
      <c r="M2310" s="3">
        <v>22412</v>
      </c>
      <c r="N2310" s="3">
        <v>11</v>
      </c>
    </row>
    <row r="2311" spans="1:14" x14ac:dyDescent="0.2">
      <c r="A2311" s="5" t="str">
        <f>HYPERLINK("http://www.ncbi.nlm.nih.gov/protein/29611663","Exosc4")</f>
        <v>Exosc4</v>
      </c>
      <c r="B2311" s="4"/>
      <c r="C2311" s="3">
        <v>0</v>
      </c>
      <c r="D2311" s="3">
        <v>0</v>
      </c>
      <c r="E2311" s="3">
        <v>438</v>
      </c>
      <c r="F2311" s="3">
        <v>7654</v>
      </c>
      <c r="G2311" s="3">
        <v>0</v>
      </c>
      <c r="H2311" s="2">
        <f t="shared" si="72"/>
        <v>8092</v>
      </c>
      <c r="I2311" t="str">
        <f t="shared" si="73"/>
        <v>Exosc4_8092</v>
      </c>
      <c r="J2311" s="3">
        <v>0</v>
      </c>
      <c r="K2311" s="3">
        <v>0</v>
      </c>
      <c r="L2311" s="3">
        <v>438</v>
      </c>
      <c r="M2311" s="3">
        <v>7654</v>
      </c>
      <c r="N2311" s="3">
        <v>0</v>
      </c>
    </row>
    <row r="2312" spans="1:14" x14ac:dyDescent="0.2">
      <c r="A2312" s="5" t="str">
        <f>HYPERLINK("http://www.ncbi.nlm.nih.gov/protein/20070392","Exosc5")</f>
        <v>Exosc5</v>
      </c>
      <c r="B2312" s="4"/>
      <c r="C2312" s="3">
        <v>0</v>
      </c>
      <c r="D2312" s="3">
        <v>44</v>
      </c>
      <c r="E2312" s="3">
        <v>170</v>
      </c>
      <c r="F2312" s="3">
        <v>10093</v>
      </c>
      <c r="G2312" s="3">
        <v>0</v>
      </c>
      <c r="H2312" s="2">
        <f t="shared" si="72"/>
        <v>10307</v>
      </c>
      <c r="I2312" t="str">
        <f t="shared" si="73"/>
        <v>Exosc5_10307</v>
      </c>
      <c r="J2312" s="3">
        <v>0</v>
      </c>
      <c r="K2312" s="3">
        <v>44</v>
      </c>
      <c r="L2312" s="3">
        <v>170</v>
      </c>
      <c r="M2312" s="3">
        <v>10093</v>
      </c>
      <c r="N2312" s="3">
        <v>0</v>
      </c>
    </row>
    <row r="2313" spans="1:14" x14ac:dyDescent="0.2">
      <c r="A2313" s="5" t="str">
        <f>HYPERLINK("http://www.ncbi.nlm.nih.gov/protein/30794378","Exosc6")</f>
        <v>Exosc6</v>
      </c>
      <c r="B2313" s="4"/>
      <c r="C2313" s="3">
        <v>1721</v>
      </c>
      <c r="D2313" s="3">
        <v>522</v>
      </c>
      <c r="E2313" s="3">
        <v>1835</v>
      </c>
      <c r="F2313" s="3">
        <v>34027</v>
      </c>
      <c r="G2313" s="3">
        <v>4070</v>
      </c>
      <c r="H2313" s="2">
        <f t="shared" si="72"/>
        <v>42175</v>
      </c>
      <c r="I2313" t="str">
        <f t="shared" si="73"/>
        <v>Exosc6_42175</v>
      </c>
      <c r="J2313" s="3">
        <v>1721</v>
      </c>
      <c r="K2313" s="3">
        <v>522</v>
      </c>
      <c r="L2313" s="3">
        <v>1835</v>
      </c>
      <c r="M2313" s="3">
        <v>34027</v>
      </c>
      <c r="N2313" s="3">
        <v>4070</v>
      </c>
    </row>
    <row r="2314" spans="1:14" x14ac:dyDescent="0.2">
      <c r="A2314" s="5" t="str">
        <f>HYPERLINK("http://www.ncbi.nlm.nih.gov/protein/124487127","Exosc7")</f>
        <v>Exosc7</v>
      </c>
      <c r="B2314" s="4"/>
      <c r="C2314" s="3">
        <v>0</v>
      </c>
      <c r="D2314" s="3">
        <v>1503</v>
      </c>
      <c r="E2314" s="3">
        <v>2114</v>
      </c>
      <c r="F2314" s="3">
        <v>24557</v>
      </c>
      <c r="G2314" s="3">
        <v>0</v>
      </c>
      <c r="H2314" s="2">
        <f t="shared" si="72"/>
        <v>28174</v>
      </c>
      <c r="I2314" t="str">
        <f t="shared" si="73"/>
        <v>Exosc7_28174</v>
      </c>
      <c r="J2314" s="3">
        <v>0</v>
      </c>
      <c r="K2314" s="3">
        <v>1503</v>
      </c>
      <c r="L2314" s="3">
        <v>2114</v>
      </c>
      <c r="M2314" s="3">
        <v>24557</v>
      </c>
      <c r="N2314" s="3">
        <v>0</v>
      </c>
    </row>
    <row r="2315" spans="1:14" x14ac:dyDescent="0.2">
      <c r="A2315" s="5" t="str">
        <f>HYPERLINK("http://www.ncbi.nlm.nih.gov/protein/254675240","Exosc8")</f>
        <v>Exosc8</v>
      </c>
      <c r="B2315" s="4"/>
      <c r="C2315" s="3">
        <v>0</v>
      </c>
      <c r="D2315" s="3">
        <v>104</v>
      </c>
      <c r="E2315" s="3">
        <v>1949</v>
      </c>
      <c r="F2315" s="3">
        <v>18884</v>
      </c>
      <c r="G2315" s="3">
        <v>2410</v>
      </c>
      <c r="H2315" s="2">
        <f t="shared" si="72"/>
        <v>23347</v>
      </c>
      <c r="I2315" t="str">
        <f t="shared" si="73"/>
        <v>Exosc8_23347</v>
      </c>
      <c r="J2315" s="3">
        <v>0</v>
      </c>
      <c r="K2315" s="3">
        <v>104</v>
      </c>
      <c r="L2315" s="3">
        <v>1949</v>
      </c>
      <c r="M2315" s="3">
        <v>18884</v>
      </c>
      <c r="N2315" s="3">
        <v>2410</v>
      </c>
    </row>
    <row r="2316" spans="1:14" x14ac:dyDescent="0.2">
      <c r="A2316" s="5" t="str">
        <f>HYPERLINK("http://www.ncbi.nlm.nih.gov/protein/254692991","Exosc8")</f>
        <v>Exosc8</v>
      </c>
      <c r="B2316" s="4"/>
      <c r="C2316" s="3">
        <v>0</v>
      </c>
      <c r="D2316" s="3">
        <v>104</v>
      </c>
      <c r="E2316" s="3">
        <v>2240</v>
      </c>
      <c r="F2316" s="3">
        <v>20971</v>
      </c>
      <c r="G2316" s="3">
        <v>2410</v>
      </c>
      <c r="H2316" s="2">
        <f t="shared" si="72"/>
        <v>25725</v>
      </c>
      <c r="I2316" t="str">
        <f t="shared" si="73"/>
        <v>Exosc8_25725</v>
      </c>
      <c r="J2316" s="3">
        <v>0</v>
      </c>
      <c r="K2316" s="3">
        <v>104</v>
      </c>
      <c r="L2316" s="3">
        <v>2240</v>
      </c>
      <c r="M2316" s="3">
        <v>20971</v>
      </c>
      <c r="N2316" s="3">
        <v>2410</v>
      </c>
    </row>
    <row r="2317" spans="1:14" x14ac:dyDescent="0.2">
      <c r="A2317" s="5" t="str">
        <f>HYPERLINK("http://www.ncbi.nlm.nih.gov/protein/9506981","Exosc9")</f>
        <v>Exosc9</v>
      </c>
      <c r="B2317" s="4"/>
      <c r="C2317" s="3">
        <v>0</v>
      </c>
      <c r="D2317" s="3">
        <v>1436</v>
      </c>
      <c r="E2317" s="3">
        <v>4928</v>
      </c>
      <c r="F2317" s="3">
        <v>80988</v>
      </c>
      <c r="G2317" s="3">
        <v>278</v>
      </c>
      <c r="H2317" s="2">
        <f t="shared" si="72"/>
        <v>87630</v>
      </c>
      <c r="I2317" t="str">
        <f t="shared" si="73"/>
        <v>Exosc9_87630</v>
      </c>
      <c r="J2317" s="3">
        <v>0</v>
      </c>
      <c r="K2317" s="3">
        <v>1436</v>
      </c>
      <c r="L2317" s="3">
        <v>4928</v>
      </c>
      <c r="M2317" s="3">
        <v>80988</v>
      </c>
      <c r="N2317" s="3">
        <v>278</v>
      </c>
    </row>
    <row r="2318" spans="1:14" x14ac:dyDescent="0.2">
      <c r="A2318" s="5" t="str">
        <f>HYPERLINK("http://www.ncbi.nlm.nih.gov/protein/254553481","Extl2")</f>
        <v>Extl2</v>
      </c>
      <c r="B2318" s="4"/>
      <c r="C2318" s="3">
        <v>0</v>
      </c>
      <c r="D2318" s="3">
        <v>6</v>
      </c>
      <c r="E2318" s="3">
        <v>0</v>
      </c>
      <c r="F2318" s="3">
        <v>0</v>
      </c>
      <c r="G2318" s="3">
        <v>0</v>
      </c>
      <c r="H2318" s="2">
        <f t="shared" si="72"/>
        <v>6</v>
      </c>
      <c r="I2318" t="str">
        <f t="shared" si="73"/>
        <v>Extl2_6</v>
      </c>
      <c r="J2318" s="3">
        <v>0</v>
      </c>
      <c r="K2318" s="3">
        <v>6</v>
      </c>
      <c r="L2318" s="3">
        <v>0</v>
      </c>
      <c r="M2318" s="3">
        <v>0</v>
      </c>
      <c r="N2318" s="3">
        <v>0</v>
      </c>
    </row>
    <row r="2319" spans="1:14" x14ac:dyDescent="0.2">
      <c r="A2319" s="5" t="str">
        <f>HYPERLINK("http://www.ncbi.nlm.nih.gov/protein/254553485","Extl2")</f>
        <v>Extl2</v>
      </c>
      <c r="B2319" s="4"/>
      <c r="C2319" s="3">
        <v>0</v>
      </c>
      <c r="D2319" s="3">
        <v>6</v>
      </c>
      <c r="E2319" s="3">
        <v>0</v>
      </c>
      <c r="F2319" s="3">
        <v>0</v>
      </c>
      <c r="G2319" s="3">
        <v>0</v>
      </c>
      <c r="H2319" s="2">
        <f t="shared" si="72"/>
        <v>6</v>
      </c>
      <c r="I2319" t="str">
        <f t="shared" si="73"/>
        <v>Extl2_6</v>
      </c>
      <c r="J2319" s="3">
        <v>0</v>
      </c>
      <c r="K2319" s="3">
        <v>6</v>
      </c>
      <c r="L2319" s="3">
        <v>0</v>
      </c>
      <c r="M2319" s="3">
        <v>0</v>
      </c>
      <c r="N2319" s="3">
        <v>0</v>
      </c>
    </row>
    <row r="2320" spans="1:14" x14ac:dyDescent="0.2">
      <c r="A2320" s="5" t="str">
        <f>HYPERLINK("http://www.ncbi.nlm.nih.gov/protein/46877074","Eya3")</f>
        <v>Eya3</v>
      </c>
      <c r="B2320" s="4"/>
      <c r="C2320" s="3">
        <v>0</v>
      </c>
      <c r="D2320" s="3">
        <v>0</v>
      </c>
      <c r="E2320" s="3">
        <v>0</v>
      </c>
      <c r="F2320" s="3">
        <v>0</v>
      </c>
      <c r="G2320" s="3">
        <v>129</v>
      </c>
      <c r="H2320" s="2">
        <f t="shared" si="72"/>
        <v>129</v>
      </c>
      <c r="I2320" t="str">
        <f t="shared" si="73"/>
        <v>Eya3_129</v>
      </c>
      <c r="J2320" s="3">
        <v>0</v>
      </c>
      <c r="K2320" s="3">
        <v>0</v>
      </c>
      <c r="L2320" s="3">
        <v>0</v>
      </c>
      <c r="M2320" s="3">
        <v>0</v>
      </c>
      <c r="N2320" s="3">
        <v>129</v>
      </c>
    </row>
    <row r="2321" spans="1:14" x14ac:dyDescent="0.2">
      <c r="A2321" s="5" t="str">
        <f>HYPERLINK("http://www.ncbi.nlm.nih.gov/protein/46877076","Eya3")</f>
        <v>Eya3</v>
      </c>
      <c r="B2321" s="4"/>
      <c r="C2321" s="3">
        <v>0</v>
      </c>
      <c r="D2321" s="3">
        <v>0</v>
      </c>
      <c r="E2321" s="3">
        <v>0</v>
      </c>
      <c r="F2321" s="3">
        <v>0</v>
      </c>
      <c r="G2321" s="3">
        <v>129</v>
      </c>
      <c r="H2321" s="2">
        <f t="shared" si="72"/>
        <v>129</v>
      </c>
      <c r="I2321" t="str">
        <f t="shared" si="73"/>
        <v>Eya3_129</v>
      </c>
      <c r="J2321" s="3">
        <v>0</v>
      </c>
      <c r="K2321" s="3">
        <v>0</v>
      </c>
      <c r="L2321" s="3">
        <v>0</v>
      </c>
      <c r="M2321" s="3">
        <v>0</v>
      </c>
      <c r="N2321" s="3">
        <v>129</v>
      </c>
    </row>
    <row r="2322" spans="1:14" x14ac:dyDescent="0.2">
      <c r="A2322" s="5" t="str">
        <f>HYPERLINK("http://www.ncbi.nlm.nih.gov/protein/46877080","Eya3")</f>
        <v>Eya3</v>
      </c>
      <c r="B2322" s="4"/>
      <c r="C2322" s="3">
        <v>0</v>
      </c>
      <c r="D2322" s="3">
        <v>0</v>
      </c>
      <c r="E2322" s="3">
        <v>0</v>
      </c>
      <c r="F2322" s="3">
        <v>0</v>
      </c>
      <c r="G2322" s="3">
        <v>129</v>
      </c>
      <c r="H2322" s="2">
        <f t="shared" si="72"/>
        <v>129</v>
      </c>
      <c r="I2322" t="str">
        <f t="shared" si="73"/>
        <v>Eya3_129</v>
      </c>
      <c r="J2322" s="3">
        <v>0</v>
      </c>
      <c r="K2322" s="3">
        <v>0</v>
      </c>
      <c r="L2322" s="3">
        <v>0</v>
      </c>
      <c r="M2322" s="3">
        <v>0</v>
      </c>
      <c r="N2322" s="3">
        <v>129</v>
      </c>
    </row>
    <row r="2323" spans="1:14" x14ac:dyDescent="0.2">
      <c r="A2323" s="5" t="str">
        <f>HYPERLINK("http://www.ncbi.nlm.nih.gov/protein/83921618","Ezr")</f>
        <v>Ezr</v>
      </c>
      <c r="B2323" s="4"/>
      <c r="C2323" s="3">
        <v>1191978</v>
      </c>
      <c r="D2323" s="3">
        <v>133282</v>
      </c>
      <c r="E2323" s="3">
        <v>400380</v>
      </c>
      <c r="F2323" s="3">
        <v>185951</v>
      </c>
      <c r="G2323" s="3">
        <v>248557</v>
      </c>
      <c r="H2323" s="2">
        <f t="shared" si="72"/>
        <v>2160148</v>
      </c>
      <c r="I2323" t="str">
        <f t="shared" si="73"/>
        <v>Ezr_2160148</v>
      </c>
      <c r="J2323" s="3">
        <v>1191978</v>
      </c>
      <c r="K2323" s="3">
        <v>133282</v>
      </c>
      <c r="L2323" s="3">
        <v>400380</v>
      </c>
      <c r="M2323" s="3">
        <v>185951</v>
      </c>
      <c r="N2323" s="3">
        <v>248557</v>
      </c>
    </row>
    <row r="2324" spans="1:14" x14ac:dyDescent="0.2">
      <c r="A2324" s="5" t="str">
        <f>HYPERLINK("http://www.ncbi.nlm.nih.gov/protein/27734847","F11r")</f>
        <v>F11r</v>
      </c>
      <c r="B2324" s="4"/>
      <c r="C2324" s="3">
        <v>49609</v>
      </c>
      <c r="D2324" s="3">
        <v>17118</v>
      </c>
      <c r="E2324" s="3">
        <v>27266</v>
      </c>
      <c r="F2324" s="3">
        <v>729</v>
      </c>
      <c r="G2324" s="3">
        <v>4509</v>
      </c>
      <c r="H2324" s="2">
        <f t="shared" si="72"/>
        <v>99231</v>
      </c>
      <c r="I2324" t="str">
        <f t="shared" si="73"/>
        <v>F11r_99231</v>
      </c>
      <c r="J2324" s="3">
        <v>49609</v>
      </c>
      <c r="K2324" s="3">
        <v>17118</v>
      </c>
      <c r="L2324" s="3">
        <v>27266</v>
      </c>
      <c r="M2324" s="3">
        <v>729</v>
      </c>
      <c r="N2324" s="3">
        <v>4509</v>
      </c>
    </row>
    <row r="2325" spans="1:14" x14ac:dyDescent="0.2">
      <c r="A2325" s="5" t="str">
        <f>HYPERLINK("http://www.ncbi.nlm.nih.gov/protein/6753798","F2")</f>
        <v>F2</v>
      </c>
      <c r="B2325" s="4"/>
      <c r="C2325" s="3">
        <v>0</v>
      </c>
      <c r="D2325" s="3">
        <v>0</v>
      </c>
      <c r="E2325" s="3">
        <v>0</v>
      </c>
      <c r="F2325" s="3">
        <v>974</v>
      </c>
      <c r="G2325" s="3">
        <v>0</v>
      </c>
      <c r="H2325" s="2">
        <f t="shared" si="72"/>
        <v>974</v>
      </c>
      <c r="I2325" t="str">
        <f t="shared" si="73"/>
        <v>F2_974</v>
      </c>
      <c r="J2325" s="3">
        <v>0</v>
      </c>
      <c r="K2325" s="3">
        <v>0</v>
      </c>
      <c r="L2325" s="3">
        <v>0</v>
      </c>
      <c r="M2325" s="3">
        <v>974</v>
      </c>
      <c r="N2325" s="3">
        <v>0</v>
      </c>
    </row>
    <row r="2326" spans="1:14" x14ac:dyDescent="0.2">
      <c r="A2326" s="5" t="str">
        <f>HYPERLINK("http://www.ncbi.nlm.nih.gov/protein/170172540","F3")</f>
        <v>F3</v>
      </c>
      <c r="B2326" s="4"/>
      <c r="C2326" s="3">
        <v>13290</v>
      </c>
      <c r="D2326" s="3">
        <v>19921</v>
      </c>
      <c r="E2326" s="3">
        <v>19145</v>
      </c>
      <c r="F2326" s="3">
        <v>0</v>
      </c>
      <c r="G2326" s="3">
        <v>0</v>
      </c>
      <c r="H2326" s="2">
        <f t="shared" si="72"/>
        <v>52356</v>
      </c>
      <c r="I2326" t="str">
        <f t="shared" si="73"/>
        <v>F3_52356</v>
      </c>
      <c r="J2326" s="3">
        <v>13290</v>
      </c>
      <c r="K2326" s="3">
        <v>19921</v>
      </c>
      <c r="L2326" s="3">
        <v>19145</v>
      </c>
      <c r="M2326" s="3">
        <v>0</v>
      </c>
      <c r="N2326" s="3">
        <v>0</v>
      </c>
    </row>
    <row r="2327" spans="1:14" x14ac:dyDescent="0.2">
      <c r="A2327" s="5" t="str">
        <f>HYPERLINK("http://www.ncbi.nlm.nih.gov/protein/83921576","F8a")</f>
        <v>F8a</v>
      </c>
      <c r="B2327" s="4"/>
      <c r="C2327" s="3">
        <v>0</v>
      </c>
      <c r="D2327" s="3">
        <v>0</v>
      </c>
      <c r="E2327" s="3">
        <v>9</v>
      </c>
      <c r="F2327" s="3">
        <v>1252</v>
      </c>
      <c r="G2327" s="3">
        <v>0</v>
      </c>
      <c r="H2327" s="2">
        <f t="shared" si="72"/>
        <v>1261</v>
      </c>
      <c r="I2327" t="str">
        <f t="shared" si="73"/>
        <v>F8a_1261</v>
      </c>
      <c r="J2327" s="3">
        <v>0</v>
      </c>
      <c r="K2327" s="3">
        <v>0</v>
      </c>
      <c r="L2327" s="3">
        <v>9</v>
      </c>
      <c r="M2327" s="3">
        <v>1252</v>
      </c>
      <c r="N2327" s="3">
        <v>0</v>
      </c>
    </row>
    <row r="2328" spans="1:14" x14ac:dyDescent="0.2">
      <c r="A2328" s="5" t="str">
        <f>HYPERLINK("http://www.ncbi.nlm.nih.gov/protein/226443015","Faah")</f>
        <v>Faah</v>
      </c>
      <c r="B2328" s="4"/>
      <c r="C2328" s="3">
        <v>1940</v>
      </c>
      <c r="D2328" s="3">
        <v>2133</v>
      </c>
      <c r="E2328" s="3">
        <v>1014</v>
      </c>
      <c r="F2328" s="3">
        <v>0</v>
      </c>
      <c r="G2328" s="3">
        <v>0</v>
      </c>
      <c r="H2328" s="2">
        <f t="shared" si="72"/>
        <v>5087</v>
      </c>
      <c r="I2328" t="str">
        <f t="shared" si="73"/>
        <v>Faah_5087</v>
      </c>
      <c r="J2328" s="3">
        <v>1940</v>
      </c>
      <c r="K2328" s="3">
        <v>2133</v>
      </c>
      <c r="L2328" s="3">
        <v>1014</v>
      </c>
      <c r="M2328" s="3">
        <v>0</v>
      </c>
      <c r="N2328" s="3">
        <v>0</v>
      </c>
    </row>
    <row r="2329" spans="1:14" x14ac:dyDescent="0.2">
      <c r="A2329" s="5" t="str">
        <f>HYPERLINK("http://www.ncbi.nlm.nih.gov/protein/22164784","Fads1")</f>
        <v>Fads1</v>
      </c>
      <c r="B2329" s="4"/>
      <c r="C2329" s="3">
        <v>1831</v>
      </c>
      <c r="D2329" s="3">
        <v>8060</v>
      </c>
      <c r="E2329" s="3">
        <v>5921</v>
      </c>
      <c r="F2329" s="3">
        <v>0</v>
      </c>
      <c r="G2329" s="3">
        <v>0</v>
      </c>
      <c r="H2329" s="2">
        <f t="shared" si="72"/>
        <v>15812</v>
      </c>
      <c r="I2329" t="str">
        <f t="shared" si="73"/>
        <v>Fads1_15812</v>
      </c>
      <c r="J2329" s="3">
        <v>1831</v>
      </c>
      <c r="K2329" s="3">
        <v>8060</v>
      </c>
      <c r="L2329" s="3">
        <v>5921</v>
      </c>
      <c r="M2329" s="3">
        <v>0</v>
      </c>
      <c r="N2329" s="3">
        <v>0</v>
      </c>
    </row>
    <row r="2330" spans="1:14" x14ac:dyDescent="0.2">
      <c r="A2330" s="5" t="str">
        <f>HYPERLINK("http://www.ncbi.nlm.nih.gov/protein/9790071","Fads2")</f>
        <v>Fads2</v>
      </c>
      <c r="B2330" s="4"/>
      <c r="C2330" s="3">
        <v>3606</v>
      </c>
      <c r="D2330" s="3">
        <v>10914</v>
      </c>
      <c r="E2330" s="3">
        <v>5407</v>
      </c>
      <c r="F2330" s="3">
        <v>0</v>
      </c>
      <c r="G2330" s="3">
        <v>0</v>
      </c>
      <c r="H2330" s="2">
        <f t="shared" si="72"/>
        <v>19927</v>
      </c>
      <c r="I2330" t="str">
        <f t="shared" si="73"/>
        <v>Fads2_19927</v>
      </c>
      <c r="J2330" s="3">
        <v>3606</v>
      </c>
      <c r="K2330" s="3">
        <v>10914</v>
      </c>
      <c r="L2330" s="3">
        <v>5407</v>
      </c>
      <c r="M2330" s="3">
        <v>0</v>
      </c>
      <c r="N2330" s="3">
        <v>0</v>
      </c>
    </row>
    <row r="2331" spans="1:14" x14ac:dyDescent="0.2">
      <c r="A2331" s="5" t="str">
        <f>HYPERLINK("http://www.ncbi.nlm.nih.gov/protein/40789280","Faf1")</f>
        <v>Faf1</v>
      </c>
      <c r="B2331" s="4"/>
      <c r="C2331" s="3">
        <v>0</v>
      </c>
      <c r="D2331" s="3">
        <v>572</v>
      </c>
      <c r="E2331" s="3">
        <v>426</v>
      </c>
      <c r="F2331" s="3">
        <v>1670</v>
      </c>
      <c r="G2331" s="3">
        <v>13944</v>
      </c>
      <c r="H2331" s="2">
        <f t="shared" si="72"/>
        <v>16612</v>
      </c>
      <c r="I2331" t="str">
        <f t="shared" si="73"/>
        <v>Faf1_16612</v>
      </c>
      <c r="J2331" s="3">
        <v>0</v>
      </c>
      <c r="K2331" s="3">
        <v>572</v>
      </c>
      <c r="L2331" s="3">
        <v>426</v>
      </c>
      <c r="M2331" s="3">
        <v>1670</v>
      </c>
      <c r="N2331" s="3">
        <v>13944</v>
      </c>
    </row>
    <row r="2332" spans="1:14" x14ac:dyDescent="0.2">
      <c r="A2332" s="5" t="str">
        <f>HYPERLINK("http://www.ncbi.nlm.nih.gov/protein/158533976","Faf2")</f>
        <v>Faf2</v>
      </c>
      <c r="B2332" s="4"/>
      <c r="C2332" s="3">
        <v>11990</v>
      </c>
      <c r="D2332" s="3">
        <v>12502</v>
      </c>
      <c r="E2332" s="3">
        <v>3254</v>
      </c>
      <c r="F2332" s="3">
        <v>0</v>
      </c>
      <c r="G2332" s="3">
        <v>0</v>
      </c>
      <c r="H2332" s="2">
        <f t="shared" si="72"/>
        <v>27746</v>
      </c>
      <c r="I2332" t="str">
        <f t="shared" si="73"/>
        <v>Faf2_27746</v>
      </c>
      <c r="J2332" s="3">
        <v>11990</v>
      </c>
      <c r="K2332" s="3">
        <v>12502</v>
      </c>
      <c r="L2332" s="3">
        <v>3254</v>
      </c>
      <c r="M2332" s="3">
        <v>0</v>
      </c>
      <c r="N2332" s="3">
        <v>0</v>
      </c>
    </row>
    <row r="2333" spans="1:14" x14ac:dyDescent="0.2">
      <c r="A2333" s="5" t="str">
        <f>HYPERLINK("http://www.ncbi.nlm.nih.gov/protein/240120112","Fah")</f>
        <v>Fah</v>
      </c>
      <c r="B2333" s="4"/>
      <c r="C2333" s="3">
        <v>0</v>
      </c>
      <c r="D2333" s="3">
        <v>0</v>
      </c>
      <c r="E2333" s="3">
        <v>0</v>
      </c>
      <c r="F2333" s="3">
        <v>0</v>
      </c>
      <c r="G2333" s="3">
        <v>5548</v>
      </c>
      <c r="H2333" s="2">
        <f t="shared" si="72"/>
        <v>5548</v>
      </c>
      <c r="I2333" t="str">
        <f t="shared" si="73"/>
        <v>Fah_5548</v>
      </c>
      <c r="J2333" s="3">
        <v>0</v>
      </c>
      <c r="K2333" s="3">
        <v>0</v>
      </c>
      <c r="L2333" s="3">
        <v>0</v>
      </c>
      <c r="M2333" s="3">
        <v>0</v>
      </c>
      <c r="N2333" s="3">
        <v>5548</v>
      </c>
    </row>
    <row r="2334" spans="1:14" x14ac:dyDescent="0.2">
      <c r="A2334" s="5" t="str">
        <f>HYPERLINK("http://www.ncbi.nlm.nih.gov/protein/12963697","Fahd1")</f>
        <v>Fahd1</v>
      </c>
      <c r="B2334" s="4"/>
      <c r="C2334" s="3">
        <v>659</v>
      </c>
      <c r="D2334" s="3">
        <v>2267</v>
      </c>
      <c r="E2334" s="3">
        <v>0</v>
      </c>
      <c r="F2334" s="3">
        <v>0</v>
      </c>
      <c r="G2334" s="3">
        <v>5483</v>
      </c>
      <c r="H2334" s="2">
        <f t="shared" si="72"/>
        <v>8409</v>
      </c>
      <c r="I2334" t="str">
        <f t="shared" si="73"/>
        <v>Fahd1_8409</v>
      </c>
      <c r="J2334" s="3">
        <v>659</v>
      </c>
      <c r="K2334" s="3">
        <v>2267</v>
      </c>
      <c r="L2334" s="3">
        <v>0</v>
      </c>
      <c r="M2334" s="3">
        <v>0</v>
      </c>
      <c r="N2334" s="3">
        <v>5483</v>
      </c>
    </row>
    <row r="2335" spans="1:14" x14ac:dyDescent="0.2">
      <c r="A2335" s="5" t="str">
        <f>HYPERLINK("http://www.ncbi.nlm.nih.gov/protein/29366814","Fahd2a")</f>
        <v>Fahd2a</v>
      </c>
      <c r="B2335" s="4"/>
      <c r="C2335" s="3">
        <v>1300</v>
      </c>
      <c r="D2335" s="3">
        <v>3142</v>
      </c>
      <c r="E2335" s="3">
        <v>0</v>
      </c>
      <c r="F2335" s="3">
        <v>0</v>
      </c>
      <c r="G2335" s="3">
        <v>0</v>
      </c>
      <c r="H2335" s="2">
        <f t="shared" si="72"/>
        <v>4442</v>
      </c>
      <c r="I2335" t="str">
        <f t="shared" si="73"/>
        <v>Fahd2a_4442</v>
      </c>
      <c r="J2335" s="3">
        <v>1300</v>
      </c>
      <c r="K2335" s="3">
        <v>3142</v>
      </c>
      <c r="L2335" s="3">
        <v>0</v>
      </c>
      <c r="M2335" s="3">
        <v>0</v>
      </c>
      <c r="N2335" s="3">
        <v>0</v>
      </c>
    </row>
    <row r="2336" spans="1:14" x14ac:dyDescent="0.2">
      <c r="A2336" s="5" t="str">
        <f>HYPERLINK("http://www.ncbi.nlm.nih.gov/protein/171184428","Faim")</f>
        <v>Faim</v>
      </c>
      <c r="B2336" s="4"/>
      <c r="C2336" s="3">
        <v>0</v>
      </c>
      <c r="D2336" s="3">
        <v>0</v>
      </c>
      <c r="E2336" s="3">
        <v>19</v>
      </c>
      <c r="F2336" s="3">
        <v>442</v>
      </c>
      <c r="G2336" s="3">
        <v>1510</v>
      </c>
      <c r="H2336" s="2">
        <f t="shared" si="72"/>
        <v>1971</v>
      </c>
      <c r="I2336" t="str">
        <f t="shared" si="73"/>
        <v>Faim_1971</v>
      </c>
      <c r="J2336" s="3">
        <v>0</v>
      </c>
      <c r="K2336" s="3">
        <v>0</v>
      </c>
      <c r="L2336" s="3">
        <v>19</v>
      </c>
      <c r="M2336" s="3">
        <v>442</v>
      </c>
      <c r="N2336" s="3">
        <v>1510</v>
      </c>
    </row>
    <row r="2337" spans="1:14" x14ac:dyDescent="0.2">
      <c r="A2337" s="5" t="str">
        <f>HYPERLINK("http://www.ncbi.nlm.nih.gov/protein/171184430","Faim")</f>
        <v>Faim</v>
      </c>
      <c r="B2337" s="4"/>
      <c r="C2337" s="3">
        <v>0</v>
      </c>
      <c r="D2337" s="3">
        <v>0</v>
      </c>
      <c r="E2337" s="3">
        <v>19</v>
      </c>
      <c r="F2337" s="3">
        <v>442</v>
      </c>
      <c r="G2337" s="3">
        <v>1510</v>
      </c>
      <c r="H2337" s="2">
        <f t="shared" si="72"/>
        <v>1971</v>
      </c>
      <c r="I2337" t="str">
        <f t="shared" si="73"/>
        <v>Faim_1971</v>
      </c>
      <c r="J2337" s="3">
        <v>0</v>
      </c>
      <c r="K2337" s="3">
        <v>0</v>
      </c>
      <c r="L2337" s="3">
        <v>19</v>
      </c>
      <c r="M2337" s="3">
        <v>442</v>
      </c>
      <c r="N2337" s="3">
        <v>1510</v>
      </c>
    </row>
    <row r="2338" spans="1:14" x14ac:dyDescent="0.2">
      <c r="A2338" s="5" t="str">
        <f>HYPERLINK("http://www.ncbi.nlm.nih.gov/protein/254675227","Fam102b")</f>
        <v>Fam102b</v>
      </c>
      <c r="B2338" s="4"/>
      <c r="C2338" s="3">
        <v>0</v>
      </c>
      <c r="D2338" s="3">
        <v>0</v>
      </c>
      <c r="E2338" s="3">
        <v>0</v>
      </c>
      <c r="F2338" s="3">
        <v>0</v>
      </c>
      <c r="G2338" s="3">
        <v>482</v>
      </c>
      <c r="H2338" s="2">
        <f t="shared" si="72"/>
        <v>482</v>
      </c>
      <c r="I2338" t="str">
        <f t="shared" si="73"/>
        <v>Fam102b_482</v>
      </c>
      <c r="J2338" s="3">
        <v>0</v>
      </c>
      <c r="K2338" s="3">
        <v>0</v>
      </c>
      <c r="L2338" s="3">
        <v>0</v>
      </c>
      <c r="M2338" s="3">
        <v>0</v>
      </c>
      <c r="N2338" s="3">
        <v>482</v>
      </c>
    </row>
    <row r="2339" spans="1:14" x14ac:dyDescent="0.2">
      <c r="A2339" s="5" t="str">
        <f>HYPERLINK("http://www.ncbi.nlm.nih.gov/protein/149588667","Fam104a")</f>
        <v>Fam104a</v>
      </c>
      <c r="B2339" s="4"/>
      <c r="C2339" s="3">
        <v>0</v>
      </c>
      <c r="D2339" s="3">
        <v>15</v>
      </c>
      <c r="E2339" s="3">
        <v>0</v>
      </c>
      <c r="F2339" s="3">
        <v>57</v>
      </c>
      <c r="G2339" s="3">
        <v>0</v>
      </c>
      <c r="H2339" s="2">
        <f t="shared" si="72"/>
        <v>72</v>
      </c>
      <c r="I2339" t="str">
        <f t="shared" si="73"/>
        <v>Fam104a_72</v>
      </c>
      <c r="J2339" s="3">
        <v>0</v>
      </c>
      <c r="K2339" s="3">
        <v>15</v>
      </c>
      <c r="L2339" s="3">
        <v>0</v>
      </c>
      <c r="M2339" s="3">
        <v>57</v>
      </c>
      <c r="N2339" s="3">
        <v>0</v>
      </c>
    </row>
    <row r="2340" spans="1:14" x14ac:dyDescent="0.2">
      <c r="A2340" s="5" t="str">
        <f>HYPERLINK("http://www.ncbi.nlm.nih.gov/protein/13385088","Fam107b")</f>
        <v>Fam107b</v>
      </c>
      <c r="B2340" s="4"/>
      <c r="C2340" s="3">
        <v>0</v>
      </c>
      <c r="D2340" s="3">
        <v>0</v>
      </c>
      <c r="E2340" s="3">
        <v>0</v>
      </c>
      <c r="F2340" s="3">
        <v>0</v>
      </c>
      <c r="G2340" s="3">
        <v>20894</v>
      </c>
      <c r="H2340" s="2">
        <f t="shared" si="72"/>
        <v>20894</v>
      </c>
      <c r="I2340" t="str">
        <f t="shared" si="73"/>
        <v>Fam107b_20894</v>
      </c>
      <c r="J2340" s="3">
        <v>0</v>
      </c>
      <c r="K2340" s="3">
        <v>0</v>
      </c>
      <c r="L2340" s="3">
        <v>0</v>
      </c>
      <c r="M2340" s="3">
        <v>0</v>
      </c>
      <c r="N2340" s="3">
        <v>20894</v>
      </c>
    </row>
    <row r="2341" spans="1:14" x14ac:dyDescent="0.2">
      <c r="A2341" s="5" t="str">
        <f>HYPERLINK("http://www.ncbi.nlm.nih.gov/protein/170650597","Fam114a1")</f>
        <v>Fam114a1</v>
      </c>
      <c r="B2341" s="4"/>
      <c r="C2341" s="3">
        <v>0</v>
      </c>
      <c r="D2341" s="3">
        <v>0</v>
      </c>
      <c r="E2341" s="3">
        <v>332</v>
      </c>
      <c r="F2341" s="3">
        <v>974</v>
      </c>
      <c r="G2341" s="3">
        <v>0</v>
      </c>
      <c r="H2341" s="2">
        <f t="shared" si="72"/>
        <v>1306</v>
      </c>
      <c r="I2341" t="str">
        <f t="shared" si="73"/>
        <v>Fam114a1_1306</v>
      </c>
      <c r="J2341" s="3">
        <v>0</v>
      </c>
      <c r="K2341" s="3">
        <v>0</v>
      </c>
      <c r="L2341" s="3">
        <v>332</v>
      </c>
      <c r="M2341" s="3">
        <v>974</v>
      </c>
      <c r="N2341" s="3">
        <v>0</v>
      </c>
    </row>
    <row r="2342" spans="1:14" x14ac:dyDescent="0.2">
      <c r="A2342" s="5" t="str">
        <f>HYPERLINK("http://www.ncbi.nlm.nih.gov/protein/21312816","Fam114a2")</f>
        <v>Fam114a2</v>
      </c>
      <c r="B2342" s="4"/>
      <c r="C2342" s="3">
        <v>0</v>
      </c>
      <c r="D2342" s="3">
        <v>2040</v>
      </c>
      <c r="E2342" s="3">
        <v>1282</v>
      </c>
      <c r="F2342" s="3">
        <v>278</v>
      </c>
      <c r="G2342" s="3">
        <v>4273</v>
      </c>
      <c r="H2342" s="2">
        <f t="shared" si="72"/>
        <v>7873</v>
      </c>
      <c r="I2342" t="str">
        <f t="shared" si="73"/>
        <v>Fam114a2_7873</v>
      </c>
      <c r="J2342" s="3">
        <v>0</v>
      </c>
      <c r="K2342" s="3">
        <v>2040</v>
      </c>
      <c r="L2342" s="3">
        <v>1282</v>
      </c>
      <c r="M2342" s="3">
        <v>278</v>
      </c>
      <c r="N2342" s="3">
        <v>4273</v>
      </c>
    </row>
    <row r="2343" spans="1:14" x14ac:dyDescent="0.2">
      <c r="A2343" s="5" t="str">
        <f>HYPERLINK("http://www.ncbi.nlm.nih.gov/protein/281183372","Fam114a2")</f>
        <v>Fam114a2</v>
      </c>
      <c r="B2343" s="4"/>
      <c r="C2343" s="3">
        <v>0</v>
      </c>
      <c r="D2343" s="3">
        <v>2040</v>
      </c>
      <c r="E2343" s="3">
        <v>1282</v>
      </c>
      <c r="F2343" s="3">
        <v>278</v>
      </c>
      <c r="G2343" s="3">
        <v>4273</v>
      </c>
      <c r="H2343" s="2">
        <f t="shared" si="72"/>
        <v>7873</v>
      </c>
      <c r="I2343" t="str">
        <f t="shared" si="73"/>
        <v>Fam114a2_7873</v>
      </c>
      <c r="J2343" s="3">
        <v>0</v>
      </c>
      <c r="K2343" s="3">
        <v>2040</v>
      </c>
      <c r="L2343" s="3">
        <v>1282</v>
      </c>
      <c r="M2343" s="3">
        <v>278</v>
      </c>
      <c r="N2343" s="3">
        <v>4273</v>
      </c>
    </row>
    <row r="2344" spans="1:14" x14ac:dyDescent="0.2">
      <c r="A2344" s="5" t="str">
        <f>HYPERLINK("http://www.ncbi.nlm.nih.gov/protein/19526958","Fam118a")</f>
        <v>Fam118a</v>
      </c>
      <c r="B2344" s="4"/>
      <c r="C2344" s="3">
        <v>0</v>
      </c>
      <c r="D2344" s="3">
        <v>0</v>
      </c>
      <c r="E2344" s="3">
        <v>0</v>
      </c>
      <c r="F2344" s="3">
        <v>0</v>
      </c>
      <c r="G2344" s="3">
        <v>289</v>
      </c>
      <c r="H2344" s="2">
        <f t="shared" si="72"/>
        <v>289</v>
      </c>
      <c r="I2344" t="str">
        <f t="shared" si="73"/>
        <v>Fam118a_289</v>
      </c>
      <c r="J2344" s="3">
        <v>0</v>
      </c>
      <c r="K2344" s="3">
        <v>0</v>
      </c>
      <c r="L2344" s="3">
        <v>0</v>
      </c>
      <c r="M2344" s="3">
        <v>0</v>
      </c>
      <c r="N2344" s="3">
        <v>289</v>
      </c>
    </row>
    <row r="2345" spans="1:14" x14ac:dyDescent="0.2">
      <c r="A2345" s="5" t="str">
        <f>HYPERLINK("http://www.ncbi.nlm.nih.gov/protein/30425122","Fam118b")</f>
        <v>Fam118b</v>
      </c>
      <c r="B2345" s="4"/>
      <c r="C2345" s="3">
        <v>0</v>
      </c>
      <c r="D2345" s="3">
        <v>0</v>
      </c>
      <c r="E2345" s="3">
        <v>0</v>
      </c>
      <c r="F2345" s="3">
        <v>0</v>
      </c>
      <c r="G2345" s="3">
        <v>225</v>
      </c>
      <c r="H2345" s="2">
        <f t="shared" si="72"/>
        <v>225</v>
      </c>
      <c r="I2345" t="str">
        <f t="shared" si="73"/>
        <v>Fam118b_225</v>
      </c>
      <c r="J2345" s="3">
        <v>0</v>
      </c>
      <c r="K2345" s="3">
        <v>0</v>
      </c>
      <c r="L2345" s="3">
        <v>0</v>
      </c>
      <c r="M2345" s="3">
        <v>0</v>
      </c>
      <c r="N2345" s="3">
        <v>225</v>
      </c>
    </row>
    <row r="2346" spans="1:14" x14ac:dyDescent="0.2">
      <c r="A2346" s="5" t="str">
        <f>HYPERLINK("http://www.ncbi.nlm.nih.gov/protein/34787417","Fam118b")</f>
        <v>Fam118b</v>
      </c>
      <c r="B2346" s="4"/>
      <c r="C2346" s="3">
        <v>0</v>
      </c>
      <c r="D2346" s="3">
        <v>0</v>
      </c>
      <c r="E2346" s="3">
        <v>0</v>
      </c>
      <c r="F2346" s="3">
        <v>0</v>
      </c>
      <c r="G2346" s="3">
        <v>225</v>
      </c>
      <c r="H2346" s="2">
        <f t="shared" si="72"/>
        <v>225</v>
      </c>
      <c r="I2346" t="str">
        <f t="shared" si="73"/>
        <v>Fam118b_225</v>
      </c>
      <c r="J2346" s="3">
        <v>0</v>
      </c>
      <c r="K2346" s="3">
        <v>0</v>
      </c>
      <c r="L2346" s="3">
        <v>0</v>
      </c>
      <c r="M2346" s="3">
        <v>0</v>
      </c>
      <c r="N2346" s="3">
        <v>225</v>
      </c>
    </row>
    <row r="2347" spans="1:14" x14ac:dyDescent="0.2">
      <c r="A2347" s="5" t="str">
        <f>HYPERLINK("http://www.ncbi.nlm.nih.gov/protein/126090857","Fam120a")</f>
        <v>Fam120a</v>
      </c>
      <c r="B2347" s="4"/>
      <c r="C2347" s="3">
        <v>9958</v>
      </c>
      <c r="D2347" s="3">
        <v>11020</v>
      </c>
      <c r="E2347" s="3">
        <v>104718</v>
      </c>
      <c r="F2347" s="3">
        <v>84483</v>
      </c>
      <c r="G2347" s="3">
        <v>985</v>
      </c>
      <c r="H2347" s="2">
        <f t="shared" si="72"/>
        <v>211164</v>
      </c>
      <c r="I2347" t="str">
        <f t="shared" si="73"/>
        <v>Fam120a_211164</v>
      </c>
      <c r="J2347" s="3">
        <v>9958</v>
      </c>
      <c r="K2347" s="3">
        <v>11020</v>
      </c>
      <c r="L2347" s="3">
        <v>104718</v>
      </c>
      <c r="M2347" s="3">
        <v>84483</v>
      </c>
      <c r="N2347" s="3">
        <v>985</v>
      </c>
    </row>
    <row r="2348" spans="1:14" x14ac:dyDescent="0.2">
      <c r="A2348" s="5" t="str">
        <f>HYPERLINK("http://www.ncbi.nlm.nih.gov/protein/126723307","Fam120c")</f>
        <v>Fam120c</v>
      </c>
      <c r="B2348" s="4"/>
      <c r="C2348" s="3">
        <v>0</v>
      </c>
      <c r="D2348" s="3">
        <v>0</v>
      </c>
      <c r="E2348" s="3">
        <v>1127</v>
      </c>
      <c r="F2348" s="3">
        <v>0</v>
      </c>
      <c r="G2348" s="3">
        <v>0</v>
      </c>
      <c r="H2348" s="2">
        <f t="shared" si="72"/>
        <v>1127</v>
      </c>
      <c r="I2348" t="str">
        <f t="shared" si="73"/>
        <v>Fam120c_1127</v>
      </c>
      <c r="J2348" s="3">
        <v>0</v>
      </c>
      <c r="K2348" s="3">
        <v>0</v>
      </c>
      <c r="L2348" s="3">
        <v>1127</v>
      </c>
      <c r="M2348" s="3">
        <v>0</v>
      </c>
      <c r="N2348" s="3">
        <v>0</v>
      </c>
    </row>
    <row r="2349" spans="1:14" x14ac:dyDescent="0.2">
      <c r="A2349" s="5" t="str">
        <f>HYPERLINK("http://www.ncbi.nlm.nih.gov/protein/117940063","Fam126a")</f>
        <v>Fam126a</v>
      </c>
      <c r="B2349" s="4"/>
      <c r="C2349" s="3">
        <v>0</v>
      </c>
      <c r="D2349" s="3">
        <v>0</v>
      </c>
      <c r="E2349" s="3">
        <v>38</v>
      </c>
      <c r="F2349" s="3">
        <v>0</v>
      </c>
      <c r="G2349" s="3">
        <v>0</v>
      </c>
      <c r="H2349" s="2">
        <f t="shared" si="72"/>
        <v>38</v>
      </c>
      <c r="I2349" t="str">
        <f t="shared" si="73"/>
        <v>Fam126a_38</v>
      </c>
      <c r="J2349" s="3">
        <v>0</v>
      </c>
      <c r="K2349" s="3">
        <v>0</v>
      </c>
      <c r="L2349" s="3">
        <v>38</v>
      </c>
      <c r="M2349" s="3">
        <v>0</v>
      </c>
      <c r="N2349" s="3">
        <v>0</v>
      </c>
    </row>
    <row r="2350" spans="1:14" x14ac:dyDescent="0.2">
      <c r="A2350" s="5" t="str">
        <f>HYPERLINK("http://www.ncbi.nlm.nih.gov/protein/241982745","Fam129a")</f>
        <v>Fam129a</v>
      </c>
      <c r="B2350" s="4"/>
      <c r="C2350" s="3">
        <v>9592</v>
      </c>
      <c r="D2350" s="3">
        <v>24925</v>
      </c>
      <c r="E2350" s="3">
        <v>42410</v>
      </c>
      <c r="F2350" s="3">
        <v>48737</v>
      </c>
      <c r="G2350" s="3">
        <v>133258</v>
      </c>
      <c r="H2350" s="2">
        <f t="shared" si="72"/>
        <v>258922</v>
      </c>
      <c r="I2350" t="str">
        <f t="shared" si="73"/>
        <v>Fam129a_258922</v>
      </c>
      <c r="J2350" s="3">
        <v>9592</v>
      </c>
      <c r="K2350" s="3">
        <v>24925</v>
      </c>
      <c r="L2350" s="3">
        <v>42410</v>
      </c>
      <c r="M2350" s="3">
        <v>48737</v>
      </c>
      <c r="N2350" s="3">
        <v>133258</v>
      </c>
    </row>
    <row r="2351" spans="1:14" x14ac:dyDescent="0.2">
      <c r="A2351" s="5" t="str">
        <f>HYPERLINK("http://www.ncbi.nlm.nih.gov/protein/22122641","Fam129b")</f>
        <v>Fam129b</v>
      </c>
      <c r="B2351" s="4"/>
      <c r="C2351" s="3">
        <v>0</v>
      </c>
      <c r="D2351" s="3">
        <v>3851</v>
      </c>
      <c r="E2351" s="3">
        <v>12803</v>
      </c>
      <c r="F2351" s="3">
        <v>18712</v>
      </c>
      <c r="G2351" s="3">
        <v>45087</v>
      </c>
      <c r="H2351" s="2">
        <f t="shared" si="72"/>
        <v>80453</v>
      </c>
      <c r="I2351" t="str">
        <f t="shared" si="73"/>
        <v>Fam129b_80453</v>
      </c>
      <c r="J2351" s="3">
        <v>0</v>
      </c>
      <c r="K2351" s="3">
        <v>3851</v>
      </c>
      <c r="L2351" s="3">
        <v>12803</v>
      </c>
      <c r="M2351" s="3">
        <v>18712</v>
      </c>
      <c r="N2351" s="3">
        <v>45087</v>
      </c>
    </row>
    <row r="2352" spans="1:14" x14ac:dyDescent="0.2">
      <c r="A2352" s="5" t="str">
        <f>HYPERLINK("http://www.ncbi.nlm.nih.gov/protein/109948295","Fam133b")</f>
        <v>Fam133b</v>
      </c>
      <c r="B2352" s="4"/>
      <c r="C2352" s="3">
        <v>0</v>
      </c>
      <c r="D2352" s="3">
        <v>200</v>
      </c>
      <c r="E2352" s="3">
        <v>42</v>
      </c>
      <c r="F2352" s="3">
        <v>0</v>
      </c>
      <c r="G2352" s="3">
        <v>0</v>
      </c>
      <c r="H2352" s="2">
        <f t="shared" si="72"/>
        <v>242</v>
      </c>
      <c r="I2352" t="str">
        <f t="shared" si="73"/>
        <v>Fam133b_242</v>
      </c>
      <c r="J2352" s="3">
        <v>0</v>
      </c>
      <c r="K2352" s="3">
        <v>200</v>
      </c>
      <c r="L2352" s="3">
        <v>42</v>
      </c>
      <c r="M2352" s="3">
        <v>0</v>
      </c>
      <c r="N2352" s="3">
        <v>0</v>
      </c>
    </row>
    <row r="2353" spans="1:14" x14ac:dyDescent="0.2">
      <c r="A2353" s="5" t="str">
        <f>HYPERLINK("http://www.ncbi.nlm.nih.gov/protein/28077025","Fam134c")</f>
        <v>Fam134c</v>
      </c>
      <c r="B2353" s="4"/>
      <c r="C2353" s="3">
        <v>0</v>
      </c>
      <c r="D2353" s="3">
        <v>0</v>
      </c>
      <c r="E2353" s="3">
        <v>316</v>
      </c>
      <c r="F2353" s="3">
        <v>0</v>
      </c>
      <c r="G2353" s="3">
        <v>0</v>
      </c>
      <c r="H2353" s="2">
        <f t="shared" si="72"/>
        <v>316</v>
      </c>
      <c r="I2353" t="str">
        <f t="shared" si="73"/>
        <v>Fam134c_316</v>
      </c>
      <c r="J2353" s="3">
        <v>0</v>
      </c>
      <c r="K2353" s="3">
        <v>0</v>
      </c>
      <c r="L2353" s="3">
        <v>316</v>
      </c>
      <c r="M2353" s="3">
        <v>0</v>
      </c>
      <c r="N2353" s="3">
        <v>0</v>
      </c>
    </row>
    <row r="2354" spans="1:14" x14ac:dyDescent="0.2">
      <c r="A2354" s="5" t="str">
        <f>HYPERLINK("http://www.ncbi.nlm.nih.gov/protein/21312666","Fam134c")</f>
        <v>Fam134c</v>
      </c>
      <c r="B2354" s="4"/>
      <c r="C2354" s="3">
        <v>0</v>
      </c>
      <c r="D2354" s="3">
        <v>236</v>
      </c>
      <c r="E2354" s="3">
        <v>316</v>
      </c>
      <c r="F2354" s="3">
        <v>0</v>
      </c>
      <c r="G2354" s="3">
        <v>0</v>
      </c>
      <c r="H2354" s="2">
        <f t="shared" si="72"/>
        <v>552</v>
      </c>
      <c r="I2354" t="str">
        <f t="shared" si="73"/>
        <v>Fam134c_552</v>
      </c>
      <c r="J2354" s="3">
        <v>0</v>
      </c>
      <c r="K2354" s="3">
        <v>236</v>
      </c>
      <c r="L2354" s="3">
        <v>316</v>
      </c>
      <c r="M2354" s="3">
        <v>0</v>
      </c>
      <c r="N2354" s="3">
        <v>0</v>
      </c>
    </row>
    <row r="2355" spans="1:14" x14ac:dyDescent="0.2">
      <c r="A2355" s="5" t="str">
        <f>HYPERLINK("http://www.ncbi.nlm.nih.gov/protein/13385042","Fam136a")</f>
        <v>Fam136a</v>
      </c>
      <c r="B2355" s="4"/>
      <c r="C2355" s="3">
        <v>0</v>
      </c>
      <c r="D2355" s="3">
        <v>0</v>
      </c>
      <c r="E2355" s="3">
        <v>0</v>
      </c>
      <c r="F2355" s="3">
        <v>0</v>
      </c>
      <c r="G2355" s="3">
        <v>793</v>
      </c>
      <c r="H2355" s="2">
        <f t="shared" si="72"/>
        <v>793</v>
      </c>
      <c r="I2355" t="str">
        <f t="shared" si="73"/>
        <v>Fam136a_793</v>
      </c>
      <c r="J2355" s="3">
        <v>0</v>
      </c>
      <c r="K2355" s="3">
        <v>0</v>
      </c>
      <c r="L2355" s="3">
        <v>0</v>
      </c>
      <c r="M2355" s="3">
        <v>0</v>
      </c>
      <c r="N2355" s="3">
        <v>793</v>
      </c>
    </row>
    <row r="2356" spans="1:14" x14ac:dyDescent="0.2">
      <c r="A2356" s="5" t="str">
        <f>HYPERLINK("http://www.ncbi.nlm.nih.gov/protein/158341634","Fam160a1")</f>
        <v>Fam160a1</v>
      </c>
      <c r="B2356" s="4"/>
      <c r="C2356" s="3">
        <v>0</v>
      </c>
      <c r="D2356" s="3">
        <v>0</v>
      </c>
      <c r="E2356" s="3">
        <v>0</v>
      </c>
      <c r="F2356" s="3">
        <v>0</v>
      </c>
      <c r="G2356" s="3">
        <v>2892</v>
      </c>
      <c r="H2356" s="2">
        <f t="shared" si="72"/>
        <v>2892</v>
      </c>
      <c r="I2356" t="str">
        <f t="shared" si="73"/>
        <v>Fam160a1_2892</v>
      </c>
      <c r="J2356" s="3">
        <v>0</v>
      </c>
      <c r="K2356" s="3">
        <v>0</v>
      </c>
      <c r="L2356" s="3">
        <v>0</v>
      </c>
      <c r="M2356" s="3">
        <v>0</v>
      </c>
      <c r="N2356" s="3">
        <v>2892</v>
      </c>
    </row>
    <row r="2357" spans="1:14" x14ac:dyDescent="0.2">
      <c r="A2357" s="5" t="str">
        <f>HYPERLINK("http://www.ncbi.nlm.nih.gov/protein/166706907","Fam160b1")</f>
        <v>Fam160b1</v>
      </c>
      <c r="B2357" s="4"/>
      <c r="C2357" s="3">
        <v>0</v>
      </c>
      <c r="D2357" s="3">
        <v>67</v>
      </c>
      <c r="E2357" s="3">
        <v>597</v>
      </c>
      <c r="F2357" s="3">
        <v>0</v>
      </c>
      <c r="G2357" s="3">
        <v>600</v>
      </c>
      <c r="H2357" s="2">
        <f t="shared" si="72"/>
        <v>1264</v>
      </c>
      <c r="I2357" t="str">
        <f t="shared" si="73"/>
        <v>Fam160b1_1264</v>
      </c>
      <c r="J2357" s="3">
        <v>0</v>
      </c>
      <c r="K2357" s="3">
        <v>67</v>
      </c>
      <c r="L2357" s="3">
        <v>597</v>
      </c>
      <c r="M2357" s="3">
        <v>0</v>
      </c>
      <c r="N2357" s="3">
        <v>600</v>
      </c>
    </row>
    <row r="2358" spans="1:14" x14ac:dyDescent="0.2">
      <c r="A2358" s="5" t="str">
        <f>HYPERLINK("http://www.ncbi.nlm.nih.gov/protein/257196165","Fam160b2")</f>
        <v>Fam160b2</v>
      </c>
      <c r="B2358" s="4"/>
      <c r="C2358" s="3">
        <v>0</v>
      </c>
      <c r="D2358" s="3">
        <v>0</v>
      </c>
      <c r="E2358" s="3">
        <v>597</v>
      </c>
      <c r="F2358" s="3">
        <v>0</v>
      </c>
      <c r="G2358" s="3">
        <v>0</v>
      </c>
      <c r="H2358" s="2">
        <f t="shared" si="72"/>
        <v>597</v>
      </c>
      <c r="I2358" t="str">
        <f t="shared" si="73"/>
        <v>Fam160b2_597</v>
      </c>
      <c r="J2358" s="3">
        <v>0</v>
      </c>
      <c r="K2358" s="3">
        <v>0</v>
      </c>
      <c r="L2358" s="3">
        <v>597</v>
      </c>
      <c r="M2358" s="3">
        <v>0</v>
      </c>
      <c r="N2358" s="3">
        <v>0</v>
      </c>
    </row>
    <row r="2359" spans="1:14" x14ac:dyDescent="0.2">
      <c r="A2359" s="5" t="str">
        <f>HYPERLINK("http://www.ncbi.nlm.nih.gov/protein/21312546","Fam162a")</f>
        <v>Fam162a</v>
      </c>
      <c r="B2359" s="4"/>
      <c r="C2359" s="3">
        <v>35038</v>
      </c>
      <c r="D2359" s="3">
        <v>9275</v>
      </c>
      <c r="E2359" s="3">
        <v>1374</v>
      </c>
      <c r="F2359" s="3">
        <v>0</v>
      </c>
      <c r="G2359" s="3">
        <v>0</v>
      </c>
      <c r="H2359" s="2">
        <f t="shared" si="72"/>
        <v>45687</v>
      </c>
      <c r="I2359" t="str">
        <f t="shared" si="73"/>
        <v>Fam162a_45687</v>
      </c>
      <c r="J2359" s="3">
        <v>35038</v>
      </c>
      <c r="K2359" s="3">
        <v>9275</v>
      </c>
      <c r="L2359" s="3">
        <v>1374</v>
      </c>
      <c r="M2359" s="3">
        <v>0</v>
      </c>
      <c r="N2359" s="3">
        <v>0</v>
      </c>
    </row>
    <row r="2360" spans="1:14" x14ac:dyDescent="0.2">
      <c r="A2360" s="5" t="str">
        <f>HYPERLINK("http://www.ncbi.nlm.nih.gov/protein/66955879","Fam173a")</f>
        <v>Fam173a</v>
      </c>
      <c r="B2360" s="4"/>
      <c r="C2360" s="3">
        <v>0</v>
      </c>
      <c r="D2360" s="3">
        <v>1722</v>
      </c>
      <c r="E2360" s="3">
        <v>7</v>
      </c>
      <c r="F2360" s="3">
        <v>0</v>
      </c>
      <c r="G2360" s="3">
        <v>0</v>
      </c>
      <c r="H2360" s="2">
        <f t="shared" si="72"/>
        <v>1729</v>
      </c>
      <c r="I2360" t="str">
        <f t="shared" si="73"/>
        <v>Fam173a_1729</v>
      </c>
      <c r="J2360" s="3">
        <v>0</v>
      </c>
      <c r="K2360" s="3">
        <v>1722</v>
      </c>
      <c r="L2360" s="3">
        <v>7</v>
      </c>
      <c r="M2360" s="3">
        <v>0</v>
      </c>
      <c r="N2360" s="3">
        <v>0</v>
      </c>
    </row>
    <row r="2361" spans="1:14" x14ac:dyDescent="0.2">
      <c r="A2361" s="5" t="str">
        <f>HYPERLINK("http://www.ncbi.nlm.nih.gov/protein/21312640","Fam173b")</f>
        <v>Fam173b</v>
      </c>
      <c r="B2361" s="4"/>
      <c r="C2361" s="3">
        <v>0</v>
      </c>
      <c r="D2361" s="3">
        <v>35</v>
      </c>
      <c r="E2361" s="3">
        <v>0</v>
      </c>
      <c r="F2361" s="3">
        <v>0</v>
      </c>
      <c r="G2361" s="3">
        <v>0</v>
      </c>
      <c r="H2361" s="2">
        <f t="shared" si="72"/>
        <v>35</v>
      </c>
      <c r="I2361" t="str">
        <f t="shared" si="73"/>
        <v>Fam173b_35</v>
      </c>
      <c r="J2361" s="3">
        <v>0</v>
      </c>
      <c r="K2361" s="3">
        <v>35</v>
      </c>
      <c r="L2361" s="3">
        <v>0</v>
      </c>
      <c r="M2361" s="3">
        <v>0</v>
      </c>
      <c r="N2361" s="3">
        <v>0</v>
      </c>
    </row>
    <row r="2362" spans="1:14" x14ac:dyDescent="0.2">
      <c r="A2362" s="5" t="str">
        <f>HYPERLINK("http://www.ncbi.nlm.nih.gov/protein/347582639","Fam175b")</f>
        <v>Fam175b</v>
      </c>
      <c r="B2362" s="4"/>
      <c r="C2362" s="3">
        <v>0</v>
      </c>
      <c r="D2362" s="3">
        <v>0</v>
      </c>
      <c r="E2362" s="3">
        <v>421</v>
      </c>
      <c r="F2362" s="3">
        <v>2930</v>
      </c>
      <c r="G2362" s="3">
        <v>4959</v>
      </c>
      <c r="H2362" s="2">
        <f t="shared" si="72"/>
        <v>8310</v>
      </c>
      <c r="I2362" t="str">
        <f t="shared" si="73"/>
        <v>Fam175b_8310</v>
      </c>
      <c r="J2362" s="3">
        <v>0</v>
      </c>
      <c r="K2362" s="3">
        <v>0</v>
      </c>
      <c r="L2362" s="3">
        <v>421</v>
      </c>
      <c r="M2362" s="3">
        <v>2930</v>
      </c>
      <c r="N2362" s="3">
        <v>4959</v>
      </c>
    </row>
    <row r="2363" spans="1:14" x14ac:dyDescent="0.2">
      <c r="A2363" s="5" t="str">
        <f>HYPERLINK("http://www.ncbi.nlm.nih.gov/protein/37537562;153945763","Fam177a")</f>
        <v>Fam177a</v>
      </c>
      <c r="B2363" s="4"/>
      <c r="C2363" s="3">
        <v>0</v>
      </c>
      <c r="D2363" s="3">
        <v>5275</v>
      </c>
      <c r="E2363" s="3">
        <v>572</v>
      </c>
      <c r="F2363" s="3">
        <v>851</v>
      </c>
      <c r="G2363" s="3">
        <v>1082</v>
      </c>
      <c r="H2363" s="2">
        <f t="shared" si="72"/>
        <v>7780</v>
      </c>
      <c r="I2363" t="str">
        <f t="shared" si="73"/>
        <v>Fam177a_7780</v>
      </c>
      <c r="J2363" s="3">
        <v>0</v>
      </c>
      <c r="K2363" s="3">
        <v>5275</v>
      </c>
      <c r="L2363" s="3">
        <v>572</v>
      </c>
      <c r="M2363" s="3">
        <v>851</v>
      </c>
      <c r="N2363" s="3">
        <v>1082</v>
      </c>
    </row>
    <row r="2364" spans="1:14" x14ac:dyDescent="0.2">
      <c r="A2364" s="5" t="str">
        <f>HYPERLINK("http://www.ncbi.nlm.nih.gov/protein/254939685","Fam179b")</f>
        <v>Fam179b</v>
      </c>
      <c r="B2364" s="4"/>
      <c r="C2364" s="3">
        <v>0</v>
      </c>
      <c r="D2364" s="3">
        <v>0</v>
      </c>
      <c r="E2364" s="3">
        <v>0</v>
      </c>
      <c r="F2364" s="3">
        <v>1613</v>
      </c>
      <c r="G2364" s="3">
        <v>0</v>
      </c>
      <c r="H2364" s="2">
        <f t="shared" si="72"/>
        <v>1613</v>
      </c>
      <c r="I2364" t="str">
        <f t="shared" si="73"/>
        <v>Fam179b_1613</v>
      </c>
      <c r="J2364" s="3">
        <v>0</v>
      </c>
      <c r="K2364" s="3">
        <v>0</v>
      </c>
      <c r="L2364" s="3">
        <v>0</v>
      </c>
      <c r="M2364" s="3">
        <v>1613</v>
      </c>
      <c r="N2364" s="3">
        <v>0</v>
      </c>
    </row>
    <row r="2365" spans="1:14" x14ac:dyDescent="0.2">
      <c r="A2365" s="5" t="str">
        <f>HYPERLINK("http://www.ncbi.nlm.nih.gov/protein/15277329","Fam188a")</f>
        <v>Fam188a</v>
      </c>
      <c r="B2365" s="4"/>
      <c r="C2365" s="3">
        <v>0</v>
      </c>
      <c r="D2365" s="3">
        <v>0</v>
      </c>
      <c r="E2365" s="3">
        <v>0</v>
      </c>
      <c r="F2365" s="3">
        <v>0</v>
      </c>
      <c r="G2365" s="3">
        <v>3159</v>
      </c>
      <c r="H2365" s="2">
        <f t="shared" si="72"/>
        <v>3159</v>
      </c>
      <c r="I2365" t="str">
        <f t="shared" si="73"/>
        <v>Fam188a_3159</v>
      </c>
      <c r="J2365" s="3">
        <v>0</v>
      </c>
      <c r="K2365" s="3">
        <v>0</v>
      </c>
      <c r="L2365" s="3">
        <v>0</v>
      </c>
      <c r="M2365" s="3">
        <v>0</v>
      </c>
      <c r="N2365" s="3">
        <v>3159</v>
      </c>
    </row>
    <row r="2366" spans="1:14" x14ac:dyDescent="0.2">
      <c r="A2366" s="5" t="str">
        <f>HYPERLINK("http://www.ncbi.nlm.nih.gov/protein/31560083","Fam192a")</f>
        <v>Fam192a</v>
      </c>
      <c r="B2366" s="4"/>
      <c r="C2366" s="3">
        <v>0</v>
      </c>
      <c r="D2366" s="3">
        <v>0</v>
      </c>
      <c r="E2366" s="3">
        <v>0</v>
      </c>
      <c r="F2366" s="3">
        <v>0</v>
      </c>
      <c r="G2366" s="3">
        <v>10892</v>
      </c>
      <c r="H2366" s="2">
        <f t="shared" si="72"/>
        <v>10892</v>
      </c>
      <c r="I2366" t="str">
        <f t="shared" si="73"/>
        <v>Fam192a_10892</v>
      </c>
      <c r="J2366" s="3">
        <v>0</v>
      </c>
      <c r="K2366" s="3">
        <v>0</v>
      </c>
      <c r="L2366" s="3">
        <v>0</v>
      </c>
      <c r="M2366" s="3">
        <v>0</v>
      </c>
      <c r="N2366" s="3">
        <v>10892</v>
      </c>
    </row>
    <row r="2367" spans="1:14" x14ac:dyDescent="0.2">
      <c r="A2367" s="5" t="str">
        <f>HYPERLINK("http://www.ncbi.nlm.nih.gov/protein/85701732","Fam195b")</f>
        <v>Fam195b</v>
      </c>
      <c r="B2367" s="4"/>
      <c r="C2367" s="3">
        <v>0</v>
      </c>
      <c r="D2367" s="3">
        <v>0</v>
      </c>
      <c r="E2367" s="3">
        <v>9</v>
      </c>
      <c r="F2367" s="3">
        <v>0</v>
      </c>
      <c r="G2367" s="3">
        <v>782</v>
      </c>
      <c r="H2367" s="2">
        <f t="shared" si="72"/>
        <v>791</v>
      </c>
      <c r="I2367" t="str">
        <f t="shared" si="73"/>
        <v>Fam195b_791</v>
      </c>
      <c r="J2367" s="3">
        <v>0</v>
      </c>
      <c r="K2367" s="3">
        <v>0</v>
      </c>
      <c r="L2367" s="3">
        <v>9</v>
      </c>
      <c r="M2367" s="3">
        <v>0</v>
      </c>
      <c r="N2367" s="3">
        <v>782</v>
      </c>
    </row>
    <row r="2368" spans="1:14" x14ac:dyDescent="0.2">
      <c r="A2368" s="5" t="str">
        <f>HYPERLINK("http://www.ncbi.nlm.nih.gov/protein/225903450","Fam203a")</f>
        <v>Fam203a</v>
      </c>
      <c r="B2368" s="4"/>
      <c r="C2368" s="3">
        <v>0</v>
      </c>
      <c r="D2368" s="3">
        <v>0</v>
      </c>
      <c r="E2368" s="3">
        <v>231</v>
      </c>
      <c r="F2368" s="3">
        <v>0</v>
      </c>
      <c r="G2368" s="3">
        <v>2635</v>
      </c>
      <c r="H2368" s="2">
        <f t="shared" si="72"/>
        <v>2866</v>
      </c>
      <c r="I2368" t="str">
        <f t="shared" si="73"/>
        <v>Fam203a_2866</v>
      </c>
      <c r="J2368" s="3">
        <v>0</v>
      </c>
      <c r="K2368" s="3">
        <v>0</v>
      </c>
      <c r="L2368" s="3">
        <v>231</v>
      </c>
      <c r="M2368" s="3">
        <v>0</v>
      </c>
      <c r="N2368" s="3">
        <v>2635</v>
      </c>
    </row>
    <row r="2369" spans="1:14" x14ac:dyDescent="0.2">
      <c r="A2369" s="5" t="str">
        <f>HYPERLINK("http://www.ncbi.nlm.nih.gov/protein/19527218","Fam207a")</f>
        <v>Fam207a</v>
      </c>
      <c r="B2369" s="4"/>
      <c r="C2369" s="3">
        <v>0</v>
      </c>
      <c r="D2369" s="3">
        <v>0</v>
      </c>
      <c r="E2369" s="3">
        <v>0</v>
      </c>
      <c r="F2369" s="3">
        <v>1064</v>
      </c>
      <c r="G2369" s="3">
        <v>2849</v>
      </c>
      <c r="H2369" s="2">
        <f t="shared" si="72"/>
        <v>3913</v>
      </c>
      <c r="I2369" t="str">
        <f t="shared" si="73"/>
        <v>Fam207a_3913</v>
      </c>
      <c r="J2369" s="3">
        <v>0</v>
      </c>
      <c r="K2369" s="3">
        <v>0</v>
      </c>
      <c r="L2369" s="3">
        <v>0</v>
      </c>
      <c r="M2369" s="3">
        <v>1064</v>
      </c>
      <c r="N2369" s="3">
        <v>2849</v>
      </c>
    </row>
    <row r="2370" spans="1:14" x14ac:dyDescent="0.2">
      <c r="A2370" s="5" t="str">
        <f>HYPERLINK("http://www.ncbi.nlm.nih.gov/protein/21703824","Fam20b")</f>
        <v>Fam20b</v>
      </c>
      <c r="B2370" s="4"/>
      <c r="C2370" s="3">
        <v>0</v>
      </c>
      <c r="D2370" s="3">
        <v>5557</v>
      </c>
      <c r="E2370" s="3">
        <v>0</v>
      </c>
      <c r="F2370" s="3">
        <v>0</v>
      </c>
      <c r="G2370" s="3">
        <v>0</v>
      </c>
      <c r="H2370" s="2">
        <f t="shared" ref="H2370:H2433" si="74">SUM(C2370:G2370)</f>
        <v>5557</v>
      </c>
      <c r="I2370" t="str">
        <f t="shared" ref="I2370:I2433" si="75">A2370&amp;"_"&amp;H2370</f>
        <v>Fam20b_5557</v>
      </c>
      <c r="J2370" s="3">
        <v>0</v>
      </c>
      <c r="K2370" s="3">
        <v>5557</v>
      </c>
      <c r="L2370" s="3">
        <v>0</v>
      </c>
      <c r="M2370" s="3">
        <v>0</v>
      </c>
      <c r="N2370" s="3">
        <v>0</v>
      </c>
    </row>
    <row r="2371" spans="1:14" x14ac:dyDescent="0.2">
      <c r="A2371" s="5" t="str">
        <f>HYPERLINK("http://www.ncbi.nlm.nih.gov/protein/167234439","Fam20c")</f>
        <v>Fam20c</v>
      </c>
      <c r="B2371" s="4"/>
      <c r="C2371" s="3">
        <v>0</v>
      </c>
      <c r="D2371" s="3">
        <v>17</v>
      </c>
      <c r="E2371" s="3">
        <v>0</v>
      </c>
      <c r="F2371" s="3">
        <v>0</v>
      </c>
      <c r="G2371" s="3">
        <v>0</v>
      </c>
      <c r="H2371" s="2">
        <f t="shared" si="74"/>
        <v>17</v>
      </c>
      <c r="I2371" t="str">
        <f t="shared" si="75"/>
        <v>Fam20c_17</v>
      </c>
      <c r="J2371" s="3">
        <v>0</v>
      </c>
      <c r="K2371" s="3">
        <v>17</v>
      </c>
      <c r="L2371" s="3">
        <v>0</v>
      </c>
      <c r="M2371" s="3">
        <v>0</v>
      </c>
      <c r="N2371" s="3">
        <v>0</v>
      </c>
    </row>
    <row r="2372" spans="1:14" x14ac:dyDescent="0.2">
      <c r="A2372" s="5" t="str">
        <f>HYPERLINK("http://www.ncbi.nlm.nih.gov/protein/267844902","Fam21")</f>
        <v>Fam21</v>
      </c>
      <c r="B2372" s="4"/>
      <c r="C2372" s="3">
        <v>0</v>
      </c>
      <c r="D2372" s="3">
        <v>234</v>
      </c>
      <c r="E2372" s="3">
        <v>0</v>
      </c>
      <c r="F2372" s="3">
        <v>8</v>
      </c>
      <c r="G2372" s="3">
        <v>2303</v>
      </c>
      <c r="H2372" s="2">
        <f t="shared" si="74"/>
        <v>2545</v>
      </c>
      <c r="I2372" t="str">
        <f t="shared" si="75"/>
        <v>Fam21_2545</v>
      </c>
      <c r="J2372" s="3">
        <v>0</v>
      </c>
      <c r="K2372" s="3">
        <v>234</v>
      </c>
      <c r="L2372" s="3">
        <v>0</v>
      </c>
      <c r="M2372" s="3">
        <v>8</v>
      </c>
      <c r="N2372" s="3">
        <v>2303</v>
      </c>
    </row>
    <row r="2373" spans="1:14" x14ac:dyDescent="0.2">
      <c r="A2373" s="5" t="str">
        <f>HYPERLINK("http://www.ncbi.nlm.nih.gov/protein/24418876","Fam210a")</f>
        <v>Fam210a</v>
      </c>
      <c r="B2373" s="4"/>
      <c r="C2373" s="3">
        <v>0</v>
      </c>
      <c r="D2373" s="3">
        <v>29</v>
      </c>
      <c r="E2373" s="3">
        <v>0</v>
      </c>
      <c r="F2373" s="3">
        <v>0</v>
      </c>
      <c r="G2373" s="3">
        <v>0</v>
      </c>
      <c r="H2373" s="2">
        <f t="shared" si="74"/>
        <v>29</v>
      </c>
      <c r="I2373" t="str">
        <f t="shared" si="75"/>
        <v>Fam210a_29</v>
      </c>
      <c r="J2373" s="3">
        <v>0</v>
      </c>
      <c r="K2373" s="3">
        <v>29</v>
      </c>
      <c r="L2373" s="3">
        <v>0</v>
      </c>
      <c r="M2373" s="3">
        <v>0</v>
      </c>
      <c r="N2373" s="3">
        <v>0</v>
      </c>
    </row>
    <row r="2374" spans="1:14" x14ac:dyDescent="0.2">
      <c r="A2374" s="5" t="str">
        <f>HYPERLINK("http://www.ncbi.nlm.nih.gov/protein/224967102","Fam210b")</f>
        <v>Fam210b</v>
      </c>
      <c r="B2374" s="4"/>
      <c r="C2374" s="3">
        <v>293</v>
      </c>
      <c r="D2374" s="3">
        <v>33</v>
      </c>
      <c r="E2374" s="3">
        <v>6</v>
      </c>
      <c r="F2374" s="3">
        <v>0</v>
      </c>
      <c r="G2374" s="3">
        <v>0</v>
      </c>
      <c r="H2374" s="2">
        <f t="shared" si="74"/>
        <v>332</v>
      </c>
      <c r="I2374" t="str">
        <f t="shared" si="75"/>
        <v>Fam210b_332</v>
      </c>
      <c r="J2374" s="3">
        <v>293</v>
      </c>
      <c r="K2374" s="3">
        <v>33</v>
      </c>
      <c r="L2374" s="3">
        <v>6</v>
      </c>
      <c r="M2374" s="3">
        <v>0</v>
      </c>
      <c r="N2374" s="3">
        <v>0</v>
      </c>
    </row>
    <row r="2375" spans="1:14" x14ac:dyDescent="0.2">
      <c r="A2375" s="5" t="str">
        <f>HYPERLINK("http://www.ncbi.nlm.nih.gov/protein/27229101","Fam213a")</f>
        <v>Fam213a</v>
      </c>
      <c r="B2375" s="4"/>
      <c r="C2375" s="3">
        <v>61984</v>
      </c>
      <c r="D2375" s="3">
        <v>13249</v>
      </c>
      <c r="E2375" s="3">
        <v>2763</v>
      </c>
      <c r="F2375" s="3">
        <v>336</v>
      </c>
      <c r="G2375" s="3">
        <v>0</v>
      </c>
      <c r="H2375" s="2">
        <f t="shared" si="74"/>
        <v>78332</v>
      </c>
      <c r="I2375" t="str">
        <f t="shared" si="75"/>
        <v>Fam213a_78332</v>
      </c>
      <c r="J2375" s="3">
        <v>61984</v>
      </c>
      <c r="K2375" s="3">
        <v>13249</v>
      </c>
      <c r="L2375" s="3">
        <v>2763</v>
      </c>
      <c r="M2375" s="3">
        <v>336</v>
      </c>
      <c r="N2375" s="3">
        <v>0</v>
      </c>
    </row>
    <row r="2376" spans="1:14" x14ac:dyDescent="0.2">
      <c r="A2376" s="5" t="str">
        <f>HYPERLINK("http://www.ncbi.nlm.nih.gov/protein/13385950","Fam32a")</f>
        <v>Fam32a</v>
      </c>
      <c r="B2376" s="4"/>
      <c r="C2376" s="3">
        <v>0</v>
      </c>
      <c r="D2376" s="3">
        <v>56</v>
      </c>
      <c r="E2376" s="3">
        <v>212</v>
      </c>
      <c r="F2376" s="3">
        <v>0</v>
      </c>
      <c r="G2376" s="3">
        <v>0</v>
      </c>
      <c r="H2376" s="2">
        <f t="shared" si="74"/>
        <v>268</v>
      </c>
      <c r="I2376" t="str">
        <f t="shared" si="75"/>
        <v>Fam32a_268</v>
      </c>
      <c r="J2376" s="3">
        <v>0</v>
      </c>
      <c r="K2376" s="3">
        <v>56</v>
      </c>
      <c r="L2376" s="3">
        <v>212</v>
      </c>
      <c r="M2376" s="3">
        <v>0</v>
      </c>
      <c r="N2376" s="3">
        <v>0</v>
      </c>
    </row>
    <row r="2377" spans="1:14" x14ac:dyDescent="0.2">
      <c r="A2377" s="5" t="str">
        <f>HYPERLINK("http://www.ncbi.nlm.nih.gov/protein/21313538","Fam3a")</f>
        <v>Fam3a</v>
      </c>
      <c r="B2377" s="4"/>
      <c r="C2377" s="3">
        <v>0</v>
      </c>
      <c r="D2377" s="3">
        <v>0</v>
      </c>
      <c r="E2377" s="3">
        <v>250</v>
      </c>
      <c r="F2377" s="3">
        <v>0</v>
      </c>
      <c r="G2377" s="3">
        <v>0</v>
      </c>
      <c r="H2377" s="2">
        <f t="shared" si="74"/>
        <v>250</v>
      </c>
      <c r="I2377" t="str">
        <f t="shared" si="75"/>
        <v>Fam3a_250</v>
      </c>
      <c r="J2377" s="3">
        <v>0</v>
      </c>
      <c r="K2377" s="3">
        <v>0</v>
      </c>
      <c r="L2377" s="3">
        <v>250</v>
      </c>
      <c r="M2377" s="3">
        <v>0</v>
      </c>
      <c r="N2377" s="3">
        <v>0</v>
      </c>
    </row>
    <row r="2378" spans="1:14" x14ac:dyDescent="0.2">
      <c r="A2378" s="5" t="str">
        <f>HYPERLINK("http://www.ncbi.nlm.nih.gov/protein/42734496","Fam3c")</f>
        <v>Fam3c</v>
      </c>
      <c r="B2378" s="4"/>
      <c r="C2378" s="3">
        <v>24988</v>
      </c>
      <c r="D2378" s="3">
        <v>16585</v>
      </c>
      <c r="E2378" s="3">
        <v>20671</v>
      </c>
      <c r="F2378" s="3">
        <v>6417</v>
      </c>
      <c r="G2378" s="3">
        <v>0</v>
      </c>
      <c r="H2378" s="2">
        <f t="shared" si="74"/>
        <v>68661</v>
      </c>
      <c r="I2378" t="str">
        <f t="shared" si="75"/>
        <v>Fam3c_68661</v>
      </c>
      <c r="J2378" s="3">
        <v>24988</v>
      </c>
      <c r="K2378" s="3">
        <v>16585</v>
      </c>
      <c r="L2378" s="3">
        <v>20671</v>
      </c>
      <c r="M2378" s="3">
        <v>6417</v>
      </c>
      <c r="N2378" s="3">
        <v>0</v>
      </c>
    </row>
    <row r="2379" spans="1:14" x14ac:dyDescent="0.2">
      <c r="A2379" s="5" t="str">
        <f>HYPERLINK("http://www.ncbi.nlm.nih.gov/protein/268370235","Fam45a")</f>
        <v>Fam45a</v>
      </c>
      <c r="B2379" s="4"/>
      <c r="C2379" s="3">
        <v>0</v>
      </c>
      <c r="D2379" s="3">
        <v>4400</v>
      </c>
      <c r="E2379" s="3">
        <v>2262</v>
      </c>
      <c r="F2379" s="3">
        <v>10748</v>
      </c>
      <c r="G2379" s="3">
        <v>2720</v>
      </c>
      <c r="H2379" s="2">
        <f t="shared" si="74"/>
        <v>20130</v>
      </c>
      <c r="I2379" t="str">
        <f t="shared" si="75"/>
        <v>Fam45a_20130</v>
      </c>
      <c r="J2379" s="3">
        <v>0</v>
      </c>
      <c r="K2379" s="3">
        <v>4400</v>
      </c>
      <c r="L2379" s="3">
        <v>2262</v>
      </c>
      <c r="M2379" s="3">
        <v>10748</v>
      </c>
      <c r="N2379" s="3">
        <v>2720</v>
      </c>
    </row>
    <row r="2380" spans="1:14" x14ac:dyDescent="0.2">
      <c r="A2380" s="5" t="str">
        <f>HYPERLINK("http://www.ncbi.nlm.nih.gov/protein/268370237","Fam45a")</f>
        <v>Fam45a</v>
      </c>
      <c r="B2380" s="4"/>
      <c r="C2380" s="3">
        <v>0</v>
      </c>
      <c r="D2380" s="3">
        <v>4400</v>
      </c>
      <c r="E2380" s="3">
        <v>2262</v>
      </c>
      <c r="F2380" s="3">
        <v>10748</v>
      </c>
      <c r="G2380" s="3">
        <v>2720</v>
      </c>
      <c r="H2380" s="2">
        <f t="shared" si="74"/>
        <v>20130</v>
      </c>
      <c r="I2380" t="str">
        <f t="shared" si="75"/>
        <v>Fam45a_20130</v>
      </c>
      <c r="J2380" s="3">
        <v>0</v>
      </c>
      <c r="K2380" s="3">
        <v>4400</v>
      </c>
      <c r="L2380" s="3">
        <v>2262</v>
      </c>
      <c r="M2380" s="3">
        <v>10748</v>
      </c>
      <c r="N2380" s="3">
        <v>2720</v>
      </c>
    </row>
    <row r="2381" spans="1:14" x14ac:dyDescent="0.2">
      <c r="A2381" s="5" t="str">
        <f>HYPERLINK("http://www.ncbi.nlm.nih.gov/protein/31981350","Fam49a")</f>
        <v>Fam49a</v>
      </c>
      <c r="B2381" s="4"/>
      <c r="C2381" s="3">
        <v>0</v>
      </c>
      <c r="D2381" s="3">
        <v>1689</v>
      </c>
      <c r="E2381" s="3">
        <v>610</v>
      </c>
      <c r="F2381" s="3">
        <v>0</v>
      </c>
      <c r="G2381" s="3">
        <v>40825</v>
      </c>
      <c r="H2381" s="2">
        <f t="shared" si="74"/>
        <v>43124</v>
      </c>
      <c r="I2381" t="str">
        <f t="shared" si="75"/>
        <v>Fam49a_43124</v>
      </c>
      <c r="J2381" s="3">
        <v>0</v>
      </c>
      <c r="K2381" s="3">
        <v>1689</v>
      </c>
      <c r="L2381" s="3">
        <v>610</v>
      </c>
      <c r="M2381" s="3">
        <v>0</v>
      </c>
      <c r="N2381" s="3">
        <v>40825</v>
      </c>
    </row>
    <row r="2382" spans="1:14" x14ac:dyDescent="0.2">
      <c r="A2382" s="5" t="str">
        <f>HYPERLINK("http://www.ncbi.nlm.nih.gov/protein/21450053","Fam49b")</f>
        <v>Fam49b</v>
      </c>
      <c r="B2382" s="4"/>
      <c r="C2382" s="3">
        <v>384</v>
      </c>
      <c r="D2382" s="3">
        <v>11895</v>
      </c>
      <c r="E2382" s="3">
        <v>2676</v>
      </c>
      <c r="F2382" s="3">
        <v>1432</v>
      </c>
      <c r="G2382" s="3">
        <v>97071</v>
      </c>
      <c r="H2382" s="2">
        <f t="shared" si="74"/>
        <v>113458</v>
      </c>
      <c r="I2382" t="str">
        <f t="shared" si="75"/>
        <v>Fam49b_113458</v>
      </c>
      <c r="J2382" s="3">
        <v>384</v>
      </c>
      <c r="K2382" s="3">
        <v>11895</v>
      </c>
      <c r="L2382" s="3">
        <v>2676</v>
      </c>
      <c r="M2382" s="3">
        <v>1432</v>
      </c>
      <c r="N2382" s="3">
        <v>97071</v>
      </c>
    </row>
    <row r="2383" spans="1:14" x14ac:dyDescent="0.2">
      <c r="A2383" s="5" t="str">
        <f>HYPERLINK("http://www.ncbi.nlm.nih.gov/protein/262073031","Fam50a")</f>
        <v>Fam50a</v>
      </c>
      <c r="B2383" s="4"/>
      <c r="C2383" s="3">
        <v>0</v>
      </c>
      <c r="D2383" s="3">
        <v>0</v>
      </c>
      <c r="E2383" s="3">
        <v>795</v>
      </c>
      <c r="F2383" s="3">
        <v>966</v>
      </c>
      <c r="G2383" s="3">
        <v>17821</v>
      </c>
      <c r="H2383" s="2">
        <f t="shared" si="74"/>
        <v>19582</v>
      </c>
      <c r="I2383" t="str">
        <f t="shared" si="75"/>
        <v>Fam50a_19582</v>
      </c>
      <c r="J2383" s="3">
        <v>0</v>
      </c>
      <c r="K2383" s="3">
        <v>0</v>
      </c>
      <c r="L2383" s="3">
        <v>795</v>
      </c>
      <c r="M2383" s="3">
        <v>966</v>
      </c>
      <c r="N2383" s="3">
        <v>17821</v>
      </c>
    </row>
    <row r="2384" spans="1:14" x14ac:dyDescent="0.2">
      <c r="A2384" s="5" t="str">
        <f>HYPERLINK("http://www.ncbi.nlm.nih.gov/protein/227908825","Fam50b")</f>
        <v>Fam50b</v>
      </c>
      <c r="B2384" s="4"/>
      <c r="C2384" s="3">
        <v>0</v>
      </c>
      <c r="D2384" s="3">
        <v>0</v>
      </c>
      <c r="E2384" s="3">
        <v>45</v>
      </c>
      <c r="F2384" s="3">
        <v>720</v>
      </c>
      <c r="G2384" s="3">
        <v>11663</v>
      </c>
      <c r="H2384" s="2">
        <f t="shared" si="74"/>
        <v>12428</v>
      </c>
      <c r="I2384" t="str">
        <f t="shared" si="75"/>
        <v>Fam50b_12428</v>
      </c>
      <c r="J2384" s="3">
        <v>0</v>
      </c>
      <c r="K2384" s="3">
        <v>0</v>
      </c>
      <c r="L2384" s="3">
        <v>45</v>
      </c>
      <c r="M2384" s="3">
        <v>720</v>
      </c>
      <c r="N2384" s="3">
        <v>11663</v>
      </c>
    </row>
    <row r="2385" spans="1:14" x14ac:dyDescent="0.2">
      <c r="A2385" s="5" t="str">
        <f>HYPERLINK("http://www.ncbi.nlm.nih.gov/protein/300934856","Fam63a")</f>
        <v>Fam63a</v>
      </c>
      <c r="B2385" s="4"/>
      <c r="C2385" s="3">
        <v>0</v>
      </c>
      <c r="D2385" s="3">
        <v>0</v>
      </c>
      <c r="E2385" s="3">
        <v>260</v>
      </c>
      <c r="F2385" s="3">
        <v>0</v>
      </c>
      <c r="G2385" s="3">
        <v>1596</v>
      </c>
      <c r="H2385" s="2">
        <f t="shared" si="74"/>
        <v>1856</v>
      </c>
      <c r="I2385" t="str">
        <f t="shared" si="75"/>
        <v>Fam63a_1856</v>
      </c>
      <c r="J2385" s="3">
        <v>0</v>
      </c>
      <c r="K2385" s="3">
        <v>0</v>
      </c>
      <c r="L2385" s="3">
        <v>260</v>
      </c>
      <c r="M2385" s="3">
        <v>0</v>
      </c>
      <c r="N2385" s="3">
        <v>1596</v>
      </c>
    </row>
    <row r="2386" spans="1:14" x14ac:dyDescent="0.2">
      <c r="A2386" s="5" t="str">
        <f>HYPERLINK("http://www.ncbi.nlm.nih.gov/protein/41680647","Fam63a")</f>
        <v>Fam63a</v>
      </c>
      <c r="B2386" s="4"/>
      <c r="C2386" s="3">
        <v>0</v>
      </c>
      <c r="D2386" s="3">
        <v>0</v>
      </c>
      <c r="E2386" s="3">
        <v>260</v>
      </c>
      <c r="F2386" s="3">
        <v>0</v>
      </c>
      <c r="G2386" s="3">
        <v>1596</v>
      </c>
      <c r="H2386" s="2">
        <f t="shared" si="74"/>
        <v>1856</v>
      </c>
      <c r="I2386" t="str">
        <f t="shared" si="75"/>
        <v>Fam63a_1856</v>
      </c>
      <c r="J2386" s="3">
        <v>0</v>
      </c>
      <c r="K2386" s="3">
        <v>0</v>
      </c>
      <c r="L2386" s="3">
        <v>260</v>
      </c>
      <c r="M2386" s="3">
        <v>0</v>
      </c>
      <c r="N2386" s="3">
        <v>1596</v>
      </c>
    </row>
    <row r="2387" spans="1:14" x14ac:dyDescent="0.2">
      <c r="A2387" s="5" t="str">
        <f>HYPERLINK("http://www.ncbi.nlm.nih.gov/protein/118403316","Fam63b")</f>
        <v>Fam63b</v>
      </c>
      <c r="B2387" s="4"/>
      <c r="C2387" s="3">
        <v>0</v>
      </c>
      <c r="D2387" s="3">
        <v>0</v>
      </c>
      <c r="E2387" s="3">
        <v>0</v>
      </c>
      <c r="F2387" s="3">
        <v>0</v>
      </c>
      <c r="G2387" s="3">
        <v>64</v>
      </c>
      <c r="H2387" s="2">
        <f t="shared" si="74"/>
        <v>64</v>
      </c>
      <c r="I2387" t="str">
        <f t="shared" si="75"/>
        <v>Fam63b_64</v>
      </c>
      <c r="J2387" s="3">
        <v>0</v>
      </c>
      <c r="K2387" s="3">
        <v>0</v>
      </c>
      <c r="L2387" s="3">
        <v>0</v>
      </c>
      <c r="M2387" s="3">
        <v>0</v>
      </c>
      <c r="N2387" s="3">
        <v>64</v>
      </c>
    </row>
    <row r="2388" spans="1:14" x14ac:dyDescent="0.2">
      <c r="A2388" s="5" t="str">
        <f>HYPERLINK("http://www.ncbi.nlm.nih.gov/protein/145301546","Fam65a")</f>
        <v>Fam65a</v>
      </c>
      <c r="B2388" s="4"/>
      <c r="C2388" s="3">
        <v>0</v>
      </c>
      <c r="D2388" s="3">
        <v>0</v>
      </c>
      <c r="E2388" s="3">
        <v>47</v>
      </c>
      <c r="F2388" s="3">
        <v>0</v>
      </c>
      <c r="G2388" s="3">
        <v>1349</v>
      </c>
      <c r="H2388" s="2">
        <f t="shared" si="74"/>
        <v>1396</v>
      </c>
      <c r="I2388" t="str">
        <f t="shared" si="75"/>
        <v>Fam65a_1396</v>
      </c>
      <c r="J2388" s="3">
        <v>0</v>
      </c>
      <c r="K2388" s="3">
        <v>0</v>
      </c>
      <c r="L2388" s="3">
        <v>47</v>
      </c>
      <c r="M2388" s="3">
        <v>0</v>
      </c>
      <c r="N2388" s="3">
        <v>1349</v>
      </c>
    </row>
    <row r="2389" spans="1:14" x14ac:dyDescent="0.2">
      <c r="A2389" s="5" t="str">
        <f>HYPERLINK("http://www.ncbi.nlm.nih.gov/protein/28849885","Fam76b")</f>
        <v>Fam76b</v>
      </c>
      <c r="B2389" s="4"/>
      <c r="C2389" s="3">
        <v>0</v>
      </c>
      <c r="D2389" s="3">
        <v>0</v>
      </c>
      <c r="E2389" s="3">
        <v>132</v>
      </c>
      <c r="F2389" s="3">
        <v>0</v>
      </c>
      <c r="G2389" s="3">
        <v>1296</v>
      </c>
      <c r="H2389" s="2">
        <f t="shared" si="74"/>
        <v>1428</v>
      </c>
      <c r="I2389" t="str">
        <f t="shared" si="75"/>
        <v>Fam76b_1428</v>
      </c>
      <c r="J2389" s="3">
        <v>0</v>
      </c>
      <c r="K2389" s="3">
        <v>0</v>
      </c>
      <c r="L2389" s="3">
        <v>132</v>
      </c>
      <c r="M2389" s="3">
        <v>0</v>
      </c>
      <c r="N2389" s="3">
        <v>1296</v>
      </c>
    </row>
    <row r="2390" spans="1:14" x14ac:dyDescent="0.2">
      <c r="A2390" s="5" t="str">
        <f>HYPERLINK("http://www.ncbi.nlm.nih.gov/protein/269914116","Fam83h")</f>
        <v>Fam83h</v>
      </c>
      <c r="B2390" s="4"/>
      <c r="C2390" s="3">
        <v>18</v>
      </c>
      <c r="D2390" s="3">
        <v>144</v>
      </c>
      <c r="E2390" s="3">
        <v>240</v>
      </c>
      <c r="F2390" s="3">
        <v>2734</v>
      </c>
      <c r="G2390" s="3">
        <v>0</v>
      </c>
      <c r="H2390" s="2">
        <f t="shared" si="74"/>
        <v>3136</v>
      </c>
      <c r="I2390" t="str">
        <f t="shared" si="75"/>
        <v>Fam83h_3136</v>
      </c>
      <c r="J2390" s="3">
        <v>18</v>
      </c>
      <c r="K2390" s="3">
        <v>144</v>
      </c>
      <c r="L2390" s="3">
        <v>240</v>
      </c>
      <c r="M2390" s="3">
        <v>2734</v>
      </c>
      <c r="N2390" s="3">
        <v>0</v>
      </c>
    </row>
    <row r="2391" spans="1:14" x14ac:dyDescent="0.2">
      <c r="A2391" s="5" t="str">
        <f>HYPERLINK("http://www.ncbi.nlm.nih.gov/protein/242397444","Fam84b")</f>
        <v>Fam84b</v>
      </c>
      <c r="B2391" s="4"/>
      <c r="C2391" s="3">
        <v>0</v>
      </c>
      <c r="D2391" s="3">
        <v>0</v>
      </c>
      <c r="E2391" s="3">
        <v>874</v>
      </c>
      <c r="F2391" s="3">
        <v>0</v>
      </c>
      <c r="G2391" s="3">
        <v>0</v>
      </c>
      <c r="H2391" s="2">
        <f t="shared" si="74"/>
        <v>874</v>
      </c>
      <c r="I2391" t="str">
        <f t="shared" si="75"/>
        <v>Fam84b_874</v>
      </c>
      <c r="J2391" s="3">
        <v>0</v>
      </c>
      <c r="K2391" s="3">
        <v>0</v>
      </c>
      <c r="L2391" s="3">
        <v>874</v>
      </c>
      <c r="M2391" s="3">
        <v>0</v>
      </c>
      <c r="N2391" s="3">
        <v>0</v>
      </c>
    </row>
    <row r="2392" spans="1:14" x14ac:dyDescent="0.2">
      <c r="A2392" s="5" t="str">
        <f>HYPERLINK("http://www.ncbi.nlm.nih.gov/protein/74315977","Fam86")</f>
        <v>Fam86</v>
      </c>
      <c r="B2392" s="4"/>
      <c r="C2392" s="3">
        <v>0</v>
      </c>
      <c r="D2392" s="3">
        <v>0</v>
      </c>
      <c r="E2392" s="3">
        <v>0</v>
      </c>
      <c r="F2392" s="3">
        <v>827</v>
      </c>
      <c r="G2392" s="3">
        <v>0</v>
      </c>
      <c r="H2392" s="2">
        <f t="shared" si="74"/>
        <v>827</v>
      </c>
      <c r="I2392" t="str">
        <f t="shared" si="75"/>
        <v>Fam86_827</v>
      </c>
      <c r="J2392" s="3">
        <v>0</v>
      </c>
      <c r="K2392" s="3">
        <v>0</v>
      </c>
      <c r="L2392" s="3">
        <v>0</v>
      </c>
      <c r="M2392" s="3">
        <v>827</v>
      </c>
      <c r="N2392" s="3">
        <v>0</v>
      </c>
    </row>
    <row r="2393" spans="1:14" x14ac:dyDescent="0.2">
      <c r="A2393" s="5" t="str">
        <f>HYPERLINK("http://www.ncbi.nlm.nih.gov/protein/13386128","Fam96a")</f>
        <v>Fam96a</v>
      </c>
      <c r="B2393" s="4"/>
      <c r="C2393" s="3">
        <v>0</v>
      </c>
      <c r="D2393" s="3">
        <v>0</v>
      </c>
      <c r="E2393" s="3">
        <v>0</v>
      </c>
      <c r="F2393" s="3">
        <v>0</v>
      </c>
      <c r="G2393" s="3">
        <v>1831</v>
      </c>
      <c r="H2393" s="2">
        <f t="shared" si="74"/>
        <v>1831</v>
      </c>
      <c r="I2393" t="str">
        <f t="shared" si="75"/>
        <v>Fam96a_1831</v>
      </c>
      <c r="J2393" s="3">
        <v>0</v>
      </c>
      <c r="K2393" s="3">
        <v>0</v>
      </c>
      <c r="L2393" s="3">
        <v>0</v>
      </c>
      <c r="M2393" s="3">
        <v>0</v>
      </c>
      <c r="N2393" s="3">
        <v>1831</v>
      </c>
    </row>
    <row r="2394" spans="1:14" x14ac:dyDescent="0.2">
      <c r="A2394" s="5" t="str">
        <f>HYPERLINK("http://www.ncbi.nlm.nih.gov/protein/21312046","Fam96b")</f>
        <v>Fam96b</v>
      </c>
      <c r="B2394" s="4"/>
      <c r="C2394" s="3">
        <v>0</v>
      </c>
      <c r="D2394" s="3">
        <v>580</v>
      </c>
      <c r="E2394" s="3">
        <v>25</v>
      </c>
      <c r="F2394" s="3">
        <v>11239</v>
      </c>
      <c r="G2394" s="3">
        <v>182</v>
      </c>
      <c r="H2394" s="2">
        <f t="shared" si="74"/>
        <v>12026</v>
      </c>
      <c r="I2394" t="str">
        <f t="shared" si="75"/>
        <v>Fam96b_12026</v>
      </c>
      <c r="J2394" s="3">
        <v>0</v>
      </c>
      <c r="K2394" s="3">
        <v>580</v>
      </c>
      <c r="L2394" s="3">
        <v>25</v>
      </c>
      <c r="M2394" s="3">
        <v>11239</v>
      </c>
      <c r="N2394" s="3">
        <v>182</v>
      </c>
    </row>
    <row r="2395" spans="1:14" x14ac:dyDescent="0.2">
      <c r="A2395" s="5" t="str">
        <f>HYPERLINK("http://www.ncbi.nlm.nih.gov/protein/139948818","Fam98a")</f>
        <v>Fam98a</v>
      </c>
      <c r="B2395" s="4"/>
      <c r="C2395" s="3">
        <v>0</v>
      </c>
      <c r="D2395" s="3">
        <v>923</v>
      </c>
      <c r="E2395" s="3">
        <v>13547</v>
      </c>
      <c r="F2395" s="3">
        <v>8439</v>
      </c>
      <c r="G2395" s="3">
        <v>0</v>
      </c>
      <c r="H2395" s="2">
        <f t="shared" si="74"/>
        <v>22909</v>
      </c>
      <c r="I2395" t="str">
        <f t="shared" si="75"/>
        <v>Fam98a_22909</v>
      </c>
      <c r="J2395" s="3">
        <v>0</v>
      </c>
      <c r="K2395" s="3">
        <v>923</v>
      </c>
      <c r="L2395" s="3">
        <v>13547</v>
      </c>
      <c r="M2395" s="3">
        <v>8439</v>
      </c>
      <c r="N2395" s="3">
        <v>0</v>
      </c>
    </row>
    <row r="2396" spans="1:14" x14ac:dyDescent="0.2">
      <c r="A2396" s="5" t="str">
        <f>HYPERLINK("http://www.ncbi.nlm.nih.gov/protein/61098124","Fam98b")</f>
        <v>Fam98b</v>
      </c>
      <c r="B2396" s="4"/>
      <c r="C2396" s="3">
        <v>0</v>
      </c>
      <c r="D2396" s="3">
        <v>10312</v>
      </c>
      <c r="E2396" s="3">
        <v>3592</v>
      </c>
      <c r="F2396" s="3">
        <v>7866</v>
      </c>
      <c r="G2396" s="3">
        <v>15400</v>
      </c>
      <c r="H2396" s="2">
        <f t="shared" si="74"/>
        <v>37170</v>
      </c>
      <c r="I2396" t="str">
        <f t="shared" si="75"/>
        <v>Fam98b_37170</v>
      </c>
      <c r="J2396" s="3">
        <v>0</v>
      </c>
      <c r="K2396" s="3">
        <v>10312</v>
      </c>
      <c r="L2396" s="3">
        <v>3592</v>
      </c>
      <c r="M2396" s="3">
        <v>7866</v>
      </c>
      <c r="N2396" s="3">
        <v>15400</v>
      </c>
    </row>
    <row r="2397" spans="1:14" x14ac:dyDescent="0.2">
      <c r="A2397" s="5" t="str">
        <f>HYPERLINK("http://www.ncbi.nlm.nih.gov/protein/225637492","Fam98c")</f>
        <v>Fam98c</v>
      </c>
      <c r="B2397" s="4"/>
      <c r="C2397" s="3">
        <v>0</v>
      </c>
      <c r="D2397" s="3">
        <v>0</v>
      </c>
      <c r="E2397" s="3">
        <v>0</v>
      </c>
      <c r="F2397" s="3">
        <v>0</v>
      </c>
      <c r="G2397" s="3">
        <v>846</v>
      </c>
      <c r="H2397" s="2">
        <f t="shared" si="74"/>
        <v>846</v>
      </c>
      <c r="I2397" t="str">
        <f t="shared" si="75"/>
        <v>Fam98c_846</v>
      </c>
      <c r="J2397" s="3">
        <v>0</v>
      </c>
      <c r="K2397" s="3">
        <v>0</v>
      </c>
      <c r="L2397" s="3">
        <v>0</v>
      </c>
      <c r="M2397" s="3">
        <v>0</v>
      </c>
      <c r="N2397" s="3">
        <v>846</v>
      </c>
    </row>
    <row r="2398" spans="1:14" x14ac:dyDescent="0.2">
      <c r="A2398" s="5" t="str">
        <f>HYPERLINK("http://www.ncbi.nlm.nih.gov/protein/257467664","Fan1")</f>
        <v>Fan1</v>
      </c>
      <c r="B2398" s="4"/>
      <c r="C2398" s="3">
        <v>0</v>
      </c>
      <c r="D2398" s="3">
        <v>0</v>
      </c>
      <c r="E2398" s="3">
        <v>121</v>
      </c>
      <c r="F2398" s="3">
        <v>0</v>
      </c>
      <c r="G2398" s="3">
        <v>0</v>
      </c>
      <c r="H2398" s="2">
        <f t="shared" si="74"/>
        <v>121</v>
      </c>
      <c r="I2398" t="str">
        <f t="shared" si="75"/>
        <v>Fan1_121</v>
      </c>
      <c r="J2398" s="3">
        <v>0</v>
      </c>
      <c r="K2398" s="3">
        <v>0</v>
      </c>
      <c r="L2398" s="3">
        <v>121</v>
      </c>
      <c r="M2398" s="3">
        <v>0</v>
      </c>
      <c r="N2398" s="3">
        <v>0</v>
      </c>
    </row>
    <row r="2399" spans="1:14" x14ac:dyDescent="0.2">
      <c r="A2399" s="5" t="str">
        <f>HYPERLINK("http://www.ncbi.nlm.nih.gov/protein/126722700","Fanci")</f>
        <v>Fanci</v>
      </c>
      <c r="B2399" s="4"/>
      <c r="C2399" s="3">
        <v>0</v>
      </c>
      <c r="D2399" s="3">
        <v>0</v>
      </c>
      <c r="E2399" s="3">
        <v>0</v>
      </c>
      <c r="F2399" s="3">
        <v>49</v>
      </c>
      <c r="G2399" s="3">
        <v>1896</v>
      </c>
      <c r="H2399" s="2">
        <f t="shared" si="74"/>
        <v>1945</v>
      </c>
      <c r="I2399" t="str">
        <f t="shared" si="75"/>
        <v>Fanci_1945</v>
      </c>
      <c r="J2399" s="3">
        <v>0</v>
      </c>
      <c r="K2399" s="3">
        <v>0</v>
      </c>
      <c r="L2399" s="3">
        <v>0</v>
      </c>
      <c r="M2399" s="3">
        <v>49</v>
      </c>
      <c r="N2399" s="3">
        <v>1896</v>
      </c>
    </row>
    <row r="2400" spans="1:14" x14ac:dyDescent="0.2">
      <c r="A2400" s="5" t="str">
        <f>HYPERLINK("http://www.ncbi.nlm.nih.gov/protein/74096448","Far1")</f>
        <v>Far1</v>
      </c>
      <c r="B2400" s="4"/>
      <c r="C2400" s="3">
        <v>0</v>
      </c>
      <c r="D2400" s="3">
        <v>7077</v>
      </c>
      <c r="E2400" s="3">
        <v>6922</v>
      </c>
      <c r="F2400" s="3">
        <v>0</v>
      </c>
      <c r="G2400" s="3">
        <v>0</v>
      </c>
      <c r="H2400" s="2">
        <f t="shared" si="74"/>
        <v>13999</v>
      </c>
      <c r="I2400" t="str">
        <f t="shared" si="75"/>
        <v>Far1_13999</v>
      </c>
      <c r="J2400" s="3">
        <v>0</v>
      </c>
      <c r="K2400" s="3">
        <v>7077</v>
      </c>
      <c r="L2400" s="3">
        <v>6922</v>
      </c>
      <c r="M2400" s="3">
        <v>0</v>
      </c>
      <c r="N2400" s="3">
        <v>0</v>
      </c>
    </row>
    <row r="2401" spans="1:14" x14ac:dyDescent="0.2">
      <c r="A2401" s="5" t="str">
        <f>HYPERLINK("http://www.ncbi.nlm.nih.gov/protein/110349752","Farp1")</f>
        <v>Farp1</v>
      </c>
      <c r="B2401" s="4"/>
      <c r="C2401" s="3">
        <v>0</v>
      </c>
      <c r="D2401" s="3">
        <v>3833</v>
      </c>
      <c r="E2401" s="3">
        <v>6469</v>
      </c>
      <c r="F2401" s="3">
        <v>0</v>
      </c>
      <c r="G2401" s="3">
        <v>0</v>
      </c>
      <c r="H2401" s="2">
        <f t="shared" si="74"/>
        <v>10302</v>
      </c>
      <c r="I2401" t="str">
        <f t="shared" si="75"/>
        <v>Farp1_10302</v>
      </c>
      <c r="J2401" s="3">
        <v>0</v>
      </c>
      <c r="K2401" s="3">
        <v>3833</v>
      </c>
      <c r="L2401" s="3">
        <v>6469</v>
      </c>
      <c r="M2401" s="3">
        <v>0</v>
      </c>
      <c r="N2401" s="3">
        <v>0</v>
      </c>
    </row>
    <row r="2402" spans="1:14" x14ac:dyDescent="0.2">
      <c r="A2402" s="5" t="str">
        <f>HYPERLINK("http://www.ncbi.nlm.nih.gov/protein/229892332","Farp2")</f>
        <v>Farp2</v>
      </c>
      <c r="B2402" s="4"/>
      <c r="C2402" s="3">
        <v>0</v>
      </c>
      <c r="D2402" s="3">
        <v>0</v>
      </c>
      <c r="E2402" s="3">
        <v>459</v>
      </c>
      <c r="F2402" s="3">
        <v>0</v>
      </c>
      <c r="G2402" s="3">
        <v>0</v>
      </c>
      <c r="H2402" s="2">
        <f t="shared" si="74"/>
        <v>459</v>
      </c>
      <c r="I2402" t="str">
        <f t="shared" si="75"/>
        <v>Farp2_459</v>
      </c>
      <c r="J2402" s="3">
        <v>0</v>
      </c>
      <c r="K2402" s="3">
        <v>0</v>
      </c>
      <c r="L2402" s="3">
        <v>459</v>
      </c>
      <c r="M2402" s="3">
        <v>0</v>
      </c>
      <c r="N2402" s="3">
        <v>0</v>
      </c>
    </row>
    <row r="2403" spans="1:14" x14ac:dyDescent="0.2">
      <c r="A2403" s="5" t="str">
        <f>HYPERLINK("http://www.ncbi.nlm.nih.gov/protein/162138894","Farsa")</f>
        <v>Farsa</v>
      </c>
      <c r="B2403" s="4"/>
      <c r="C2403" s="3">
        <v>3515</v>
      </c>
      <c r="D2403" s="3">
        <v>5315</v>
      </c>
      <c r="E2403" s="3">
        <v>100428</v>
      </c>
      <c r="F2403" s="3">
        <v>203804</v>
      </c>
      <c r="G2403" s="3">
        <v>0</v>
      </c>
      <c r="H2403" s="2">
        <f t="shared" si="74"/>
        <v>313062</v>
      </c>
      <c r="I2403" t="str">
        <f t="shared" si="75"/>
        <v>Farsa_313062</v>
      </c>
      <c r="J2403" s="3">
        <v>3515</v>
      </c>
      <c r="K2403" s="3">
        <v>5315</v>
      </c>
      <c r="L2403" s="3">
        <v>100428</v>
      </c>
      <c r="M2403" s="3">
        <v>203804</v>
      </c>
      <c r="N2403" s="3">
        <v>0</v>
      </c>
    </row>
    <row r="2404" spans="1:14" x14ac:dyDescent="0.2">
      <c r="A2404" s="5" t="str">
        <f>HYPERLINK("http://www.ncbi.nlm.nih.gov/protein/31981400","Farsb")</f>
        <v>Farsb</v>
      </c>
      <c r="B2404" s="4"/>
      <c r="C2404" s="3">
        <v>0</v>
      </c>
      <c r="D2404" s="3">
        <v>23704</v>
      </c>
      <c r="E2404" s="3">
        <v>133668</v>
      </c>
      <c r="F2404" s="3">
        <v>333103</v>
      </c>
      <c r="G2404" s="3">
        <v>0</v>
      </c>
      <c r="H2404" s="2">
        <f t="shared" si="74"/>
        <v>490475</v>
      </c>
      <c r="I2404" t="str">
        <f t="shared" si="75"/>
        <v>Farsb_490475</v>
      </c>
      <c r="J2404" s="3">
        <v>0</v>
      </c>
      <c r="K2404" s="3">
        <v>23704</v>
      </c>
      <c r="L2404" s="3">
        <v>133668</v>
      </c>
      <c r="M2404" s="3">
        <v>333103</v>
      </c>
      <c r="N2404" s="3">
        <v>0</v>
      </c>
    </row>
    <row r="2405" spans="1:14" x14ac:dyDescent="0.2">
      <c r="A2405" s="5" t="str">
        <f>HYPERLINK("http://www.ncbi.nlm.nih.gov/protein/93102409","Fasn")</f>
        <v>Fasn</v>
      </c>
      <c r="B2405" s="4"/>
      <c r="C2405" s="3">
        <v>26178</v>
      </c>
      <c r="D2405" s="3">
        <v>53994</v>
      </c>
      <c r="E2405" s="3">
        <v>86930</v>
      </c>
      <c r="F2405" s="3">
        <v>1887141</v>
      </c>
      <c r="G2405" s="3">
        <v>1026088</v>
      </c>
      <c r="H2405" s="2">
        <f t="shared" si="74"/>
        <v>3080331</v>
      </c>
      <c r="I2405" t="str">
        <f t="shared" si="75"/>
        <v>Fasn_3080331</v>
      </c>
      <c r="J2405" s="3">
        <v>26178</v>
      </c>
      <c r="K2405" s="3">
        <v>53994</v>
      </c>
      <c r="L2405" s="3">
        <v>86930</v>
      </c>
      <c r="M2405" s="3">
        <v>1887141</v>
      </c>
      <c r="N2405" s="3">
        <v>1026088</v>
      </c>
    </row>
    <row r="2406" spans="1:14" x14ac:dyDescent="0.2">
      <c r="A2406" s="5" t="str">
        <f>HYPERLINK("http://www.ncbi.nlm.nih.gov/protein/27369557","Fastkd2")</f>
        <v>Fastkd2</v>
      </c>
      <c r="B2406" s="4"/>
      <c r="C2406" s="3">
        <v>0</v>
      </c>
      <c r="D2406" s="3">
        <v>655</v>
      </c>
      <c r="E2406" s="3">
        <v>0</v>
      </c>
      <c r="F2406" s="3">
        <v>0</v>
      </c>
      <c r="G2406" s="3">
        <v>0</v>
      </c>
      <c r="H2406" s="2">
        <f t="shared" si="74"/>
        <v>655</v>
      </c>
      <c r="I2406" t="str">
        <f t="shared" si="75"/>
        <v>Fastkd2_655</v>
      </c>
      <c r="J2406" s="3">
        <v>0</v>
      </c>
      <c r="K2406" s="3">
        <v>655</v>
      </c>
      <c r="L2406" s="3">
        <v>0</v>
      </c>
      <c r="M2406" s="3">
        <v>0</v>
      </c>
      <c r="N2406" s="3">
        <v>0</v>
      </c>
    </row>
    <row r="2407" spans="1:14" x14ac:dyDescent="0.2">
      <c r="A2407" s="5" t="str">
        <f>HYPERLINK("http://www.ncbi.nlm.nih.gov/protein/157951641","Fat1")</f>
        <v>Fat1</v>
      </c>
      <c r="B2407" s="4"/>
      <c r="C2407" s="3">
        <v>0</v>
      </c>
      <c r="D2407" s="3">
        <v>54</v>
      </c>
      <c r="E2407" s="3">
        <v>98</v>
      </c>
      <c r="F2407" s="3">
        <v>0</v>
      </c>
      <c r="G2407" s="3">
        <v>0</v>
      </c>
      <c r="H2407" s="2">
        <f t="shared" si="74"/>
        <v>152</v>
      </c>
      <c r="I2407" t="str">
        <f t="shared" si="75"/>
        <v>Fat1_152</v>
      </c>
      <c r="J2407" s="3">
        <v>0</v>
      </c>
      <c r="K2407" s="3">
        <v>54</v>
      </c>
      <c r="L2407" s="3">
        <v>98</v>
      </c>
      <c r="M2407" s="3">
        <v>0</v>
      </c>
      <c r="N2407" s="3">
        <v>0</v>
      </c>
    </row>
    <row r="2408" spans="1:14" x14ac:dyDescent="0.2">
      <c r="A2408" s="5" t="str">
        <f>HYPERLINK("http://www.ncbi.nlm.nih.gov/protein/237681133","Fau")</f>
        <v>Fau</v>
      </c>
      <c r="B2408" s="4"/>
      <c r="C2408" s="3">
        <v>0</v>
      </c>
      <c r="D2408" s="3">
        <v>13366</v>
      </c>
      <c r="E2408" s="3">
        <v>19414</v>
      </c>
      <c r="F2408" s="3">
        <v>53190</v>
      </c>
      <c r="G2408" s="3">
        <v>0</v>
      </c>
      <c r="H2408" s="2">
        <f t="shared" si="74"/>
        <v>85970</v>
      </c>
      <c r="I2408" t="str">
        <f t="shared" si="75"/>
        <v>Fau_85970</v>
      </c>
      <c r="J2408" s="3">
        <v>0</v>
      </c>
      <c r="K2408" s="3">
        <v>13366</v>
      </c>
      <c r="L2408" s="3">
        <v>19414</v>
      </c>
      <c r="M2408" s="3">
        <v>53190</v>
      </c>
      <c r="N2408" s="3">
        <v>0</v>
      </c>
    </row>
    <row r="2409" spans="1:14" x14ac:dyDescent="0.2">
      <c r="A2409" s="5" t="str">
        <f>HYPERLINK("http://www.ncbi.nlm.nih.gov/protein/144922653","Fbf1")</f>
        <v>Fbf1</v>
      </c>
      <c r="B2409" s="4"/>
      <c r="C2409" s="3">
        <v>0</v>
      </c>
      <c r="D2409" s="3">
        <v>0</v>
      </c>
      <c r="E2409" s="3">
        <v>31</v>
      </c>
      <c r="F2409" s="3">
        <v>0</v>
      </c>
      <c r="G2409" s="3">
        <v>0</v>
      </c>
      <c r="H2409" s="2">
        <f t="shared" si="74"/>
        <v>31</v>
      </c>
      <c r="I2409" t="str">
        <f t="shared" si="75"/>
        <v>Fbf1_31</v>
      </c>
      <c r="J2409" s="3">
        <v>0</v>
      </c>
      <c r="K2409" s="3">
        <v>0</v>
      </c>
      <c r="L2409" s="3">
        <v>31</v>
      </c>
      <c r="M2409" s="3">
        <v>0</v>
      </c>
      <c r="N2409" s="3">
        <v>0</v>
      </c>
    </row>
    <row r="2410" spans="1:14" x14ac:dyDescent="0.2">
      <c r="A2410" s="5" t="str">
        <f>HYPERLINK("http://www.ncbi.nlm.nih.gov/protein/110625770","Fblim1")</f>
        <v>Fblim1</v>
      </c>
      <c r="B2410" s="4"/>
      <c r="C2410" s="3">
        <v>0</v>
      </c>
      <c r="D2410" s="3">
        <v>0</v>
      </c>
      <c r="E2410" s="3">
        <v>0</v>
      </c>
      <c r="F2410" s="3">
        <v>0</v>
      </c>
      <c r="G2410" s="3">
        <v>20637</v>
      </c>
      <c r="H2410" s="2">
        <f t="shared" si="74"/>
        <v>20637</v>
      </c>
      <c r="I2410" t="str">
        <f t="shared" si="75"/>
        <v>Fblim1_20637</v>
      </c>
      <c r="J2410" s="3">
        <v>0</v>
      </c>
      <c r="K2410" s="3">
        <v>0</v>
      </c>
      <c r="L2410" s="3">
        <v>0</v>
      </c>
      <c r="M2410" s="3">
        <v>0</v>
      </c>
      <c r="N2410" s="3">
        <v>20637</v>
      </c>
    </row>
    <row r="2411" spans="1:14" x14ac:dyDescent="0.2">
      <c r="A2411" s="5" t="str">
        <f>HYPERLINK("http://www.ncbi.nlm.nih.gov/protein/51921297","Fbll1")</f>
        <v>Fbll1</v>
      </c>
      <c r="B2411" s="4"/>
      <c r="C2411" s="3">
        <v>97736</v>
      </c>
      <c r="D2411" s="3">
        <v>5428</v>
      </c>
      <c r="E2411" s="3">
        <v>764</v>
      </c>
      <c r="F2411" s="3">
        <v>11042</v>
      </c>
      <c r="G2411" s="3">
        <v>0</v>
      </c>
      <c r="H2411" s="2">
        <f t="shared" si="74"/>
        <v>114970</v>
      </c>
      <c r="I2411" t="str">
        <f t="shared" si="75"/>
        <v>Fbll1_114970</v>
      </c>
      <c r="J2411" s="3">
        <v>97736</v>
      </c>
      <c r="K2411" s="3">
        <v>5428</v>
      </c>
      <c r="L2411" s="3">
        <v>764</v>
      </c>
      <c r="M2411" s="3">
        <v>11042</v>
      </c>
      <c r="N2411" s="3">
        <v>0</v>
      </c>
    </row>
    <row r="2412" spans="1:14" x14ac:dyDescent="0.2">
      <c r="A2412" s="5" t="str">
        <f>HYPERLINK("http://www.ncbi.nlm.nih.gov/protein/122937183","Fbp2")</f>
        <v>Fbp2</v>
      </c>
      <c r="B2412" s="4"/>
      <c r="C2412" s="3">
        <v>0</v>
      </c>
      <c r="D2412" s="3">
        <v>0</v>
      </c>
      <c r="E2412" s="3">
        <v>31</v>
      </c>
      <c r="F2412" s="3">
        <v>205</v>
      </c>
      <c r="G2412" s="3">
        <v>11149</v>
      </c>
      <c r="H2412" s="2">
        <f t="shared" si="74"/>
        <v>11385</v>
      </c>
      <c r="I2412" t="str">
        <f t="shared" si="75"/>
        <v>Fbp2_11385</v>
      </c>
      <c r="J2412" s="3">
        <v>0</v>
      </c>
      <c r="K2412" s="3">
        <v>0</v>
      </c>
      <c r="L2412" s="3">
        <v>31</v>
      </c>
      <c r="M2412" s="3">
        <v>205</v>
      </c>
      <c r="N2412" s="3">
        <v>11149</v>
      </c>
    </row>
    <row r="2413" spans="1:14" x14ac:dyDescent="0.2">
      <c r="A2413" s="5" t="str">
        <f>HYPERLINK("http://www.ncbi.nlm.nih.gov/protein/125347476","Fbrsl1")</f>
        <v>Fbrsl1</v>
      </c>
      <c r="B2413" s="4"/>
      <c r="C2413" s="3">
        <v>0</v>
      </c>
      <c r="D2413" s="3">
        <v>0</v>
      </c>
      <c r="E2413" s="3">
        <v>1772</v>
      </c>
      <c r="F2413" s="3">
        <v>0</v>
      </c>
      <c r="G2413" s="3">
        <v>0</v>
      </c>
      <c r="H2413" s="2">
        <f t="shared" si="74"/>
        <v>1772</v>
      </c>
      <c r="I2413" t="str">
        <f t="shared" si="75"/>
        <v>Fbrsl1_1772</v>
      </c>
      <c r="J2413" s="3">
        <v>0</v>
      </c>
      <c r="K2413" s="3">
        <v>0</v>
      </c>
      <c r="L2413" s="3">
        <v>1772</v>
      </c>
      <c r="M2413" s="3">
        <v>0</v>
      </c>
      <c r="N2413" s="3">
        <v>0</v>
      </c>
    </row>
    <row r="2414" spans="1:14" x14ac:dyDescent="0.2">
      <c r="A2414" s="5" t="str">
        <f>HYPERLINK("http://www.ncbi.nlm.nih.gov/protein/217416345","Fbrsl1")</f>
        <v>Fbrsl1</v>
      </c>
      <c r="B2414" s="4"/>
      <c r="C2414" s="3">
        <v>0</v>
      </c>
      <c r="D2414" s="3">
        <v>0</v>
      </c>
      <c r="E2414" s="3">
        <v>1772</v>
      </c>
      <c r="F2414" s="3">
        <v>0</v>
      </c>
      <c r="G2414" s="3">
        <v>0</v>
      </c>
      <c r="H2414" s="2">
        <f t="shared" si="74"/>
        <v>1772</v>
      </c>
      <c r="I2414" t="str">
        <f t="shared" si="75"/>
        <v>Fbrsl1_1772</v>
      </c>
      <c r="J2414" s="3">
        <v>0</v>
      </c>
      <c r="K2414" s="3">
        <v>0</v>
      </c>
      <c r="L2414" s="3">
        <v>1772</v>
      </c>
      <c r="M2414" s="3">
        <v>0</v>
      </c>
      <c r="N2414" s="3">
        <v>0</v>
      </c>
    </row>
    <row r="2415" spans="1:14" x14ac:dyDescent="0.2">
      <c r="A2415" s="5" t="str">
        <f>HYPERLINK("http://www.ncbi.nlm.nih.gov/protein/140970874","Fbxl15")</f>
        <v>Fbxl15</v>
      </c>
      <c r="B2415" s="4"/>
      <c r="C2415" s="3">
        <v>0</v>
      </c>
      <c r="D2415" s="3">
        <v>0</v>
      </c>
      <c r="E2415" s="3">
        <v>0</v>
      </c>
      <c r="F2415" s="3">
        <v>0</v>
      </c>
      <c r="G2415" s="3">
        <v>2624</v>
      </c>
      <c r="H2415" s="2">
        <f t="shared" si="74"/>
        <v>2624</v>
      </c>
      <c r="I2415" t="str">
        <f t="shared" si="75"/>
        <v>Fbxl15_2624</v>
      </c>
      <c r="J2415" s="3">
        <v>0</v>
      </c>
      <c r="K2415" s="3">
        <v>0</v>
      </c>
      <c r="L2415" s="3">
        <v>0</v>
      </c>
      <c r="M2415" s="3">
        <v>0</v>
      </c>
      <c r="N2415" s="3">
        <v>2624</v>
      </c>
    </row>
    <row r="2416" spans="1:14" x14ac:dyDescent="0.2">
      <c r="A2416" s="5" t="str">
        <f>HYPERLINK("http://www.ncbi.nlm.nih.gov/protein/153945830","Fbxl18")</f>
        <v>Fbxl18</v>
      </c>
      <c r="B2416" s="4"/>
      <c r="C2416" s="3">
        <v>0</v>
      </c>
      <c r="D2416" s="3">
        <v>0</v>
      </c>
      <c r="E2416" s="3">
        <v>20</v>
      </c>
      <c r="F2416" s="3">
        <v>0</v>
      </c>
      <c r="G2416" s="3">
        <v>0</v>
      </c>
      <c r="H2416" s="2">
        <f t="shared" si="74"/>
        <v>20</v>
      </c>
      <c r="I2416" t="str">
        <f t="shared" si="75"/>
        <v>Fbxl18_20</v>
      </c>
      <c r="J2416" s="3">
        <v>0</v>
      </c>
      <c r="K2416" s="3">
        <v>0</v>
      </c>
      <c r="L2416" s="3">
        <v>20</v>
      </c>
      <c r="M2416" s="3">
        <v>0</v>
      </c>
      <c r="N2416" s="3">
        <v>0</v>
      </c>
    </row>
    <row r="2417" spans="1:14" x14ac:dyDescent="0.2">
      <c r="A2417" s="5" t="str">
        <f>HYPERLINK("http://www.ncbi.nlm.nih.gov/protein/111494221","Fbxl20")</f>
        <v>Fbxl20</v>
      </c>
      <c r="B2417" s="4"/>
      <c r="C2417" s="3">
        <v>0</v>
      </c>
      <c r="D2417" s="3">
        <v>240</v>
      </c>
      <c r="E2417" s="3">
        <v>114</v>
      </c>
      <c r="F2417" s="3">
        <v>0</v>
      </c>
      <c r="G2417" s="3">
        <v>0</v>
      </c>
      <c r="H2417" s="2">
        <f t="shared" si="74"/>
        <v>354</v>
      </c>
      <c r="I2417" t="str">
        <f t="shared" si="75"/>
        <v>Fbxl20_354</v>
      </c>
      <c r="J2417" s="3">
        <v>0</v>
      </c>
      <c r="K2417" s="3">
        <v>240</v>
      </c>
      <c r="L2417" s="3">
        <v>114</v>
      </c>
      <c r="M2417" s="3">
        <v>0</v>
      </c>
      <c r="N2417" s="3">
        <v>0</v>
      </c>
    </row>
    <row r="2418" spans="1:14" x14ac:dyDescent="0.2">
      <c r="A2418" s="5" t="str">
        <f>HYPERLINK("http://www.ncbi.nlm.nih.gov/protein/255683411","Fbxl8")</f>
        <v>Fbxl8</v>
      </c>
      <c r="B2418" s="4"/>
      <c r="C2418" s="3">
        <v>0</v>
      </c>
      <c r="D2418" s="3">
        <v>0</v>
      </c>
      <c r="E2418" s="3">
        <v>38</v>
      </c>
      <c r="F2418" s="3">
        <v>0</v>
      </c>
      <c r="G2418" s="3">
        <v>471</v>
      </c>
      <c r="H2418" s="2">
        <f t="shared" si="74"/>
        <v>509</v>
      </c>
      <c r="I2418" t="str">
        <f t="shared" si="75"/>
        <v>Fbxl8_509</v>
      </c>
      <c r="J2418" s="3">
        <v>0</v>
      </c>
      <c r="K2418" s="3">
        <v>0</v>
      </c>
      <c r="L2418" s="3">
        <v>38</v>
      </c>
      <c r="M2418" s="3">
        <v>0</v>
      </c>
      <c r="N2418" s="3">
        <v>471</v>
      </c>
    </row>
    <row r="2419" spans="1:14" x14ac:dyDescent="0.2">
      <c r="A2419" s="5" t="str">
        <f>HYPERLINK("http://www.ncbi.nlm.nih.gov/protein/33859801","Fbxo2")</f>
        <v>Fbxo2</v>
      </c>
      <c r="B2419" s="4"/>
      <c r="C2419" s="3">
        <v>0</v>
      </c>
      <c r="D2419" s="3">
        <v>0</v>
      </c>
      <c r="E2419" s="3">
        <v>0</v>
      </c>
      <c r="F2419" s="3">
        <v>0</v>
      </c>
      <c r="G2419" s="3">
        <v>7572</v>
      </c>
      <c r="H2419" s="2">
        <f t="shared" si="74"/>
        <v>7572</v>
      </c>
      <c r="I2419" t="str">
        <f t="shared" si="75"/>
        <v>Fbxo2_7572</v>
      </c>
      <c r="J2419" s="3">
        <v>0</v>
      </c>
      <c r="K2419" s="3">
        <v>0</v>
      </c>
      <c r="L2419" s="3">
        <v>0</v>
      </c>
      <c r="M2419" s="3">
        <v>0</v>
      </c>
      <c r="N2419" s="3">
        <v>7572</v>
      </c>
    </row>
    <row r="2420" spans="1:14" x14ac:dyDescent="0.2">
      <c r="A2420" s="5" t="str">
        <f>HYPERLINK("http://www.ncbi.nlm.nih.gov/protein/21704134","Fbxo21")</f>
        <v>Fbxo21</v>
      </c>
      <c r="B2420" s="4"/>
      <c r="C2420" s="3">
        <v>0</v>
      </c>
      <c r="D2420" s="3">
        <v>0</v>
      </c>
      <c r="E2420" s="3">
        <v>0</v>
      </c>
      <c r="F2420" s="3">
        <v>0</v>
      </c>
      <c r="G2420" s="3">
        <v>396</v>
      </c>
      <c r="H2420" s="2">
        <f t="shared" si="74"/>
        <v>396</v>
      </c>
      <c r="I2420" t="str">
        <f t="shared" si="75"/>
        <v>Fbxo21_396</v>
      </c>
      <c r="J2420" s="3">
        <v>0</v>
      </c>
      <c r="K2420" s="3">
        <v>0</v>
      </c>
      <c r="L2420" s="3">
        <v>0</v>
      </c>
      <c r="M2420" s="3">
        <v>0</v>
      </c>
      <c r="N2420" s="3">
        <v>396</v>
      </c>
    </row>
    <row r="2421" spans="1:14" x14ac:dyDescent="0.2">
      <c r="A2421" s="5" t="str">
        <f>HYPERLINK("http://www.ncbi.nlm.nih.gov/protein/139948465","Fbxo22")</f>
        <v>Fbxo22</v>
      </c>
      <c r="B2421" s="4"/>
      <c r="C2421" s="3">
        <v>0</v>
      </c>
      <c r="D2421" s="3">
        <v>1472</v>
      </c>
      <c r="E2421" s="3">
        <v>762</v>
      </c>
      <c r="F2421" s="3">
        <v>7081</v>
      </c>
      <c r="G2421" s="3">
        <v>48225</v>
      </c>
      <c r="H2421" s="2">
        <f t="shared" si="74"/>
        <v>57540</v>
      </c>
      <c r="I2421" t="str">
        <f t="shared" si="75"/>
        <v>Fbxo22_57540</v>
      </c>
      <c r="J2421" s="3">
        <v>0</v>
      </c>
      <c r="K2421" s="3">
        <v>1472</v>
      </c>
      <c r="L2421" s="3">
        <v>762</v>
      </c>
      <c r="M2421" s="3">
        <v>7081</v>
      </c>
      <c r="N2421" s="3">
        <v>48225</v>
      </c>
    </row>
    <row r="2422" spans="1:14" x14ac:dyDescent="0.2">
      <c r="A2422" s="5" t="str">
        <f>HYPERLINK("http://www.ncbi.nlm.nih.gov/protein/28201989","Fbxo28")</f>
        <v>Fbxo28</v>
      </c>
      <c r="B2422" s="4"/>
      <c r="C2422" s="3">
        <v>0</v>
      </c>
      <c r="D2422" s="3">
        <v>0</v>
      </c>
      <c r="E2422" s="3">
        <v>0</v>
      </c>
      <c r="F2422" s="3">
        <v>8</v>
      </c>
      <c r="G2422" s="3">
        <v>0</v>
      </c>
      <c r="H2422" s="2">
        <f t="shared" si="74"/>
        <v>8</v>
      </c>
      <c r="I2422" t="str">
        <f t="shared" si="75"/>
        <v>Fbxo28_8</v>
      </c>
      <c r="J2422" s="3">
        <v>0</v>
      </c>
      <c r="K2422" s="3">
        <v>0</v>
      </c>
      <c r="L2422" s="3">
        <v>0</v>
      </c>
      <c r="M2422" s="3">
        <v>8</v>
      </c>
      <c r="N2422" s="3">
        <v>0</v>
      </c>
    </row>
    <row r="2423" spans="1:14" x14ac:dyDescent="0.2">
      <c r="A2423" s="5" t="str">
        <f>HYPERLINK("http://www.ncbi.nlm.nih.gov/protein/10181216","Fbxo3")</f>
        <v>Fbxo3</v>
      </c>
      <c r="B2423" s="4"/>
      <c r="C2423" s="3">
        <v>0</v>
      </c>
      <c r="D2423" s="3">
        <v>0</v>
      </c>
      <c r="E2423" s="3">
        <v>0</v>
      </c>
      <c r="F2423" s="3">
        <v>0</v>
      </c>
      <c r="G2423" s="3">
        <v>1456</v>
      </c>
      <c r="H2423" s="2">
        <f t="shared" si="74"/>
        <v>1456</v>
      </c>
      <c r="I2423" t="str">
        <f t="shared" si="75"/>
        <v>Fbxo3_1456</v>
      </c>
      <c r="J2423" s="3">
        <v>0</v>
      </c>
      <c r="K2423" s="3">
        <v>0</v>
      </c>
      <c r="L2423" s="3">
        <v>0</v>
      </c>
      <c r="M2423" s="3">
        <v>0</v>
      </c>
      <c r="N2423" s="3">
        <v>1456</v>
      </c>
    </row>
    <row r="2424" spans="1:14" x14ac:dyDescent="0.2">
      <c r="A2424" s="5" t="str">
        <f>HYPERLINK("http://www.ncbi.nlm.nih.gov/protein/46877055","Fbxo3")</f>
        <v>Fbxo3</v>
      </c>
      <c r="B2424" s="4"/>
      <c r="C2424" s="3">
        <v>0</v>
      </c>
      <c r="D2424" s="3">
        <v>0</v>
      </c>
      <c r="E2424" s="3">
        <v>0</v>
      </c>
      <c r="F2424" s="3">
        <v>0</v>
      </c>
      <c r="G2424" s="3">
        <v>1456</v>
      </c>
      <c r="H2424" s="2">
        <f t="shared" si="74"/>
        <v>1456</v>
      </c>
      <c r="I2424" t="str">
        <f t="shared" si="75"/>
        <v>Fbxo3_1456</v>
      </c>
      <c r="J2424" s="3">
        <v>0</v>
      </c>
      <c r="K2424" s="3">
        <v>0</v>
      </c>
      <c r="L2424" s="3">
        <v>0</v>
      </c>
      <c r="M2424" s="3">
        <v>0</v>
      </c>
      <c r="N2424" s="3">
        <v>1456</v>
      </c>
    </row>
    <row r="2425" spans="1:14" x14ac:dyDescent="0.2">
      <c r="A2425" s="5" t="str">
        <f>HYPERLINK("http://www.ncbi.nlm.nih.gov/protein/13385848","Fbxo32")</f>
        <v>Fbxo32</v>
      </c>
      <c r="B2425" s="4"/>
      <c r="C2425" s="3">
        <v>0</v>
      </c>
      <c r="D2425" s="3">
        <v>0</v>
      </c>
      <c r="E2425" s="3">
        <v>4</v>
      </c>
      <c r="F2425" s="3">
        <v>0</v>
      </c>
      <c r="G2425" s="3">
        <v>0</v>
      </c>
      <c r="H2425" s="2">
        <f t="shared" si="74"/>
        <v>4</v>
      </c>
      <c r="I2425" t="str">
        <f t="shared" si="75"/>
        <v>Fbxo32_4</v>
      </c>
      <c r="J2425" s="3">
        <v>0</v>
      </c>
      <c r="K2425" s="3">
        <v>0</v>
      </c>
      <c r="L2425" s="3">
        <v>4</v>
      </c>
      <c r="M2425" s="3">
        <v>0</v>
      </c>
      <c r="N2425" s="3">
        <v>0</v>
      </c>
    </row>
    <row r="2426" spans="1:14" x14ac:dyDescent="0.2">
      <c r="A2426" s="5" t="str">
        <f>HYPERLINK("http://www.ncbi.nlm.nih.gov/protein/256665259","Fbxo4")</f>
        <v>Fbxo4</v>
      </c>
      <c r="B2426" s="4"/>
      <c r="C2426" s="3">
        <v>0</v>
      </c>
      <c r="D2426" s="3">
        <v>40</v>
      </c>
      <c r="E2426" s="3">
        <v>0</v>
      </c>
      <c r="F2426" s="3">
        <v>0</v>
      </c>
      <c r="G2426" s="3">
        <v>1681</v>
      </c>
      <c r="H2426" s="2">
        <f t="shared" si="74"/>
        <v>1721</v>
      </c>
      <c r="I2426" t="str">
        <f t="shared" si="75"/>
        <v>Fbxo4_1721</v>
      </c>
      <c r="J2426" s="3">
        <v>0</v>
      </c>
      <c r="K2426" s="3">
        <v>40</v>
      </c>
      <c r="L2426" s="3">
        <v>0</v>
      </c>
      <c r="M2426" s="3">
        <v>0</v>
      </c>
      <c r="N2426" s="3">
        <v>1681</v>
      </c>
    </row>
    <row r="2427" spans="1:14" x14ac:dyDescent="0.2">
      <c r="A2427" s="5" t="str">
        <f>HYPERLINK("http://www.ncbi.nlm.nih.gov/protein/47564092","Fbxo41")</f>
        <v>Fbxo41</v>
      </c>
      <c r="B2427" s="4"/>
      <c r="C2427" s="3">
        <v>0</v>
      </c>
      <c r="D2427" s="3">
        <v>0</v>
      </c>
      <c r="E2427" s="3">
        <v>0</v>
      </c>
      <c r="F2427" s="3">
        <v>0</v>
      </c>
      <c r="G2427" s="3">
        <v>2677</v>
      </c>
      <c r="H2427" s="2">
        <f t="shared" si="74"/>
        <v>2677</v>
      </c>
      <c r="I2427" t="str">
        <f t="shared" si="75"/>
        <v>Fbxo41_2677</v>
      </c>
      <c r="J2427" s="3">
        <v>0</v>
      </c>
      <c r="K2427" s="3">
        <v>0</v>
      </c>
      <c r="L2427" s="3">
        <v>0</v>
      </c>
      <c r="M2427" s="3">
        <v>0</v>
      </c>
      <c r="N2427" s="3">
        <v>2677</v>
      </c>
    </row>
    <row r="2428" spans="1:14" x14ac:dyDescent="0.2">
      <c r="A2428" s="5" t="str">
        <f>HYPERLINK("http://www.ncbi.nlm.nih.gov/protein/56961627","Fbxo45")</f>
        <v>Fbxo45</v>
      </c>
      <c r="B2428" s="4"/>
      <c r="C2428" s="3">
        <v>0</v>
      </c>
      <c r="D2428" s="3">
        <v>0</v>
      </c>
      <c r="E2428" s="3">
        <v>47</v>
      </c>
      <c r="F2428" s="3">
        <v>1981</v>
      </c>
      <c r="G2428" s="3">
        <v>0</v>
      </c>
      <c r="H2428" s="2">
        <f t="shared" si="74"/>
        <v>2028</v>
      </c>
      <c r="I2428" t="str">
        <f t="shared" si="75"/>
        <v>Fbxo45_2028</v>
      </c>
      <c r="J2428" s="3">
        <v>0</v>
      </c>
      <c r="K2428" s="3">
        <v>0</v>
      </c>
      <c r="L2428" s="3">
        <v>47</v>
      </c>
      <c r="M2428" s="3">
        <v>1981</v>
      </c>
      <c r="N2428" s="3">
        <v>0</v>
      </c>
    </row>
    <row r="2429" spans="1:14" x14ac:dyDescent="0.2">
      <c r="A2429" s="5" t="str">
        <f>HYPERLINK("http://www.ncbi.nlm.nih.gov/protein/7657083","Fbxo6")</f>
        <v>Fbxo6</v>
      </c>
      <c r="B2429" s="4"/>
      <c r="C2429" s="3">
        <v>0</v>
      </c>
      <c r="D2429" s="3">
        <v>541</v>
      </c>
      <c r="E2429" s="3">
        <v>114</v>
      </c>
      <c r="F2429" s="3">
        <v>3184</v>
      </c>
      <c r="G2429" s="3">
        <v>5687</v>
      </c>
      <c r="H2429" s="2">
        <f t="shared" si="74"/>
        <v>9526</v>
      </c>
      <c r="I2429" t="str">
        <f t="shared" si="75"/>
        <v>Fbxo6_9526</v>
      </c>
      <c r="J2429" s="3">
        <v>0</v>
      </c>
      <c r="K2429" s="3">
        <v>541</v>
      </c>
      <c r="L2429" s="3">
        <v>114</v>
      </c>
      <c r="M2429" s="3">
        <v>3184</v>
      </c>
      <c r="N2429" s="3">
        <v>5687</v>
      </c>
    </row>
    <row r="2430" spans="1:14" x14ac:dyDescent="0.2">
      <c r="A2430" s="5" t="str">
        <f>HYPERLINK("http://www.ncbi.nlm.nih.gov/protein/23956270","Fbxw11")</f>
        <v>Fbxw11</v>
      </c>
      <c r="B2430" s="4"/>
      <c r="C2430" s="3">
        <v>0</v>
      </c>
      <c r="D2430" s="3">
        <v>0</v>
      </c>
      <c r="E2430" s="3">
        <v>91</v>
      </c>
      <c r="F2430" s="3">
        <v>401</v>
      </c>
      <c r="G2430" s="3">
        <v>0</v>
      </c>
      <c r="H2430" s="2">
        <f t="shared" si="74"/>
        <v>492</v>
      </c>
      <c r="I2430" t="str">
        <f t="shared" si="75"/>
        <v>Fbxw11_492</v>
      </c>
      <c r="J2430" s="3">
        <v>0</v>
      </c>
      <c r="K2430" s="3">
        <v>0</v>
      </c>
      <c r="L2430" s="3">
        <v>91</v>
      </c>
      <c r="M2430" s="3">
        <v>401</v>
      </c>
      <c r="N2430" s="3">
        <v>0</v>
      </c>
    </row>
    <row r="2431" spans="1:14" x14ac:dyDescent="0.2">
      <c r="A2431" s="5" t="str">
        <f>HYPERLINK("http://www.ncbi.nlm.nih.gov/protein/405778325","Fbxw11")</f>
        <v>Fbxw11</v>
      </c>
      <c r="B2431" s="4"/>
      <c r="C2431" s="3">
        <v>0</v>
      </c>
      <c r="D2431" s="3">
        <v>0</v>
      </c>
      <c r="E2431" s="3">
        <v>91</v>
      </c>
      <c r="F2431" s="3">
        <v>401</v>
      </c>
      <c r="G2431" s="3">
        <v>0</v>
      </c>
      <c r="H2431" s="2">
        <f t="shared" si="74"/>
        <v>492</v>
      </c>
      <c r="I2431" t="str">
        <f t="shared" si="75"/>
        <v>Fbxw11_492</v>
      </c>
      <c r="J2431" s="3">
        <v>0</v>
      </c>
      <c r="K2431" s="3">
        <v>0</v>
      </c>
      <c r="L2431" s="3">
        <v>91</v>
      </c>
      <c r="M2431" s="3">
        <v>401</v>
      </c>
      <c r="N2431" s="3">
        <v>0</v>
      </c>
    </row>
    <row r="2432" spans="1:14" x14ac:dyDescent="0.2">
      <c r="A2432" s="5" t="str">
        <f>HYPERLINK("http://www.ncbi.nlm.nih.gov/protein/405778327","Fbxw11")</f>
        <v>Fbxw11</v>
      </c>
      <c r="B2432" s="4"/>
      <c r="C2432" s="3">
        <v>0</v>
      </c>
      <c r="D2432" s="3">
        <v>0</v>
      </c>
      <c r="E2432" s="3">
        <v>91</v>
      </c>
      <c r="F2432" s="3">
        <v>401</v>
      </c>
      <c r="G2432" s="3">
        <v>0</v>
      </c>
      <c r="H2432" s="2">
        <f t="shared" si="74"/>
        <v>492</v>
      </c>
      <c r="I2432" t="str">
        <f t="shared" si="75"/>
        <v>Fbxw11_492</v>
      </c>
      <c r="J2432" s="3">
        <v>0</v>
      </c>
      <c r="K2432" s="3">
        <v>0</v>
      </c>
      <c r="L2432" s="3">
        <v>91</v>
      </c>
      <c r="M2432" s="3">
        <v>401</v>
      </c>
      <c r="N2432" s="3">
        <v>0</v>
      </c>
    </row>
    <row r="2433" spans="1:14" x14ac:dyDescent="0.2">
      <c r="A2433" s="5" t="str">
        <f>HYPERLINK("http://www.ncbi.nlm.nih.gov/protein/405778329","Fbxw11")</f>
        <v>Fbxw11</v>
      </c>
      <c r="B2433" s="4"/>
      <c r="C2433" s="3">
        <v>0</v>
      </c>
      <c r="D2433" s="3">
        <v>0</v>
      </c>
      <c r="E2433" s="3">
        <v>91</v>
      </c>
      <c r="F2433" s="3">
        <v>401</v>
      </c>
      <c r="G2433" s="3">
        <v>0</v>
      </c>
      <c r="H2433" s="2">
        <f t="shared" si="74"/>
        <v>492</v>
      </c>
      <c r="I2433" t="str">
        <f t="shared" si="75"/>
        <v>Fbxw11_492</v>
      </c>
      <c r="J2433" s="3">
        <v>0</v>
      </c>
      <c r="K2433" s="3">
        <v>0</v>
      </c>
      <c r="L2433" s="3">
        <v>91</v>
      </c>
      <c r="M2433" s="3">
        <v>401</v>
      </c>
      <c r="N2433" s="3">
        <v>0</v>
      </c>
    </row>
    <row r="2434" spans="1:14" x14ac:dyDescent="0.2">
      <c r="A2434" s="5" t="str">
        <f>HYPERLINK("http://www.ncbi.nlm.nih.gov/protein/29243960","Fbxw13")</f>
        <v>Fbxw13</v>
      </c>
      <c r="B2434" s="4"/>
      <c r="C2434" s="3">
        <v>0</v>
      </c>
      <c r="D2434" s="3">
        <v>0</v>
      </c>
      <c r="E2434" s="3">
        <v>173</v>
      </c>
      <c r="F2434" s="3">
        <v>0</v>
      </c>
      <c r="G2434" s="3">
        <v>0</v>
      </c>
      <c r="H2434" s="2">
        <f t="shared" ref="H2434:H2497" si="76">SUM(C2434:G2434)</f>
        <v>173</v>
      </c>
      <c r="I2434" t="str">
        <f t="shared" ref="I2434:I2497" si="77">A2434&amp;"_"&amp;H2434</f>
        <v>Fbxw13_173</v>
      </c>
      <c r="J2434" s="3">
        <v>0</v>
      </c>
      <c r="K2434" s="3">
        <v>0</v>
      </c>
      <c r="L2434" s="3">
        <v>173</v>
      </c>
      <c r="M2434" s="3">
        <v>0</v>
      </c>
      <c r="N2434" s="3">
        <v>0</v>
      </c>
    </row>
    <row r="2435" spans="1:14" x14ac:dyDescent="0.2">
      <c r="A2435" s="5" t="str">
        <f>HYPERLINK("http://www.ncbi.nlm.nih.gov/protein/47271358","Fbxw14")</f>
        <v>Fbxw14</v>
      </c>
      <c r="B2435" s="4"/>
      <c r="C2435" s="3">
        <v>0</v>
      </c>
      <c r="D2435" s="3">
        <v>0</v>
      </c>
      <c r="E2435" s="3">
        <v>0</v>
      </c>
      <c r="F2435" s="3">
        <v>827</v>
      </c>
      <c r="G2435" s="3">
        <v>0</v>
      </c>
      <c r="H2435" s="2">
        <f t="shared" si="76"/>
        <v>827</v>
      </c>
      <c r="I2435" t="str">
        <f t="shared" si="77"/>
        <v>Fbxw14_827</v>
      </c>
      <c r="J2435" s="3">
        <v>0</v>
      </c>
      <c r="K2435" s="3">
        <v>0</v>
      </c>
      <c r="L2435" s="3">
        <v>0</v>
      </c>
      <c r="M2435" s="3">
        <v>827</v>
      </c>
      <c r="N2435" s="3">
        <v>0</v>
      </c>
    </row>
    <row r="2436" spans="1:14" x14ac:dyDescent="0.2">
      <c r="A2436" s="5" t="str">
        <f>HYPERLINK("http://www.ncbi.nlm.nih.gov/protein/148539588","Fbxw22")</f>
        <v>Fbxw22</v>
      </c>
      <c r="B2436" s="4"/>
      <c r="C2436" s="3">
        <v>0</v>
      </c>
      <c r="D2436" s="3">
        <v>0</v>
      </c>
      <c r="E2436" s="3">
        <v>0</v>
      </c>
      <c r="F2436" s="3">
        <v>827</v>
      </c>
      <c r="G2436" s="3">
        <v>0</v>
      </c>
      <c r="H2436" s="2">
        <f t="shared" si="76"/>
        <v>827</v>
      </c>
      <c r="I2436" t="str">
        <f t="shared" si="77"/>
        <v>Fbxw22_827</v>
      </c>
      <c r="J2436" s="3">
        <v>0</v>
      </c>
      <c r="K2436" s="3">
        <v>0</v>
      </c>
      <c r="L2436" s="3">
        <v>0</v>
      </c>
      <c r="M2436" s="3">
        <v>827</v>
      </c>
      <c r="N2436" s="3">
        <v>0</v>
      </c>
    </row>
    <row r="2437" spans="1:14" x14ac:dyDescent="0.2">
      <c r="A2437" s="5" t="str">
        <f>HYPERLINK("http://www.ncbi.nlm.nih.gov/protein/294459937","Fbxw28")</f>
        <v>Fbxw28</v>
      </c>
      <c r="B2437" s="4"/>
      <c r="C2437" s="3">
        <v>0</v>
      </c>
      <c r="D2437" s="3">
        <v>0</v>
      </c>
      <c r="E2437" s="3">
        <v>0</v>
      </c>
      <c r="F2437" s="3">
        <v>827</v>
      </c>
      <c r="G2437" s="3">
        <v>0</v>
      </c>
      <c r="H2437" s="2">
        <f t="shared" si="76"/>
        <v>827</v>
      </c>
      <c r="I2437" t="str">
        <f t="shared" si="77"/>
        <v>Fbxw28_827</v>
      </c>
      <c r="J2437" s="3">
        <v>0</v>
      </c>
      <c r="K2437" s="3">
        <v>0</v>
      </c>
      <c r="L2437" s="3">
        <v>0</v>
      </c>
      <c r="M2437" s="3">
        <v>827</v>
      </c>
      <c r="N2437" s="3">
        <v>0</v>
      </c>
    </row>
    <row r="2438" spans="1:14" x14ac:dyDescent="0.2">
      <c r="A2438" s="5" t="str">
        <f>HYPERLINK("http://www.ncbi.nlm.nih.gov/protein/294459939","Fbxw28")</f>
        <v>Fbxw28</v>
      </c>
      <c r="B2438" s="4"/>
      <c r="C2438" s="3">
        <v>0</v>
      </c>
      <c r="D2438" s="3">
        <v>0</v>
      </c>
      <c r="E2438" s="3">
        <v>0</v>
      </c>
      <c r="F2438" s="3">
        <v>827</v>
      </c>
      <c r="G2438" s="3">
        <v>0</v>
      </c>
      <c r="H2438" s="2">
        <f t="shared" si="76"/>
        <v>827</v>
      </c>
      <c r="I2438" t="str">
        <f t="shared" si="77"/>
        <v>Fbxw28_827</v>
      </c>
      <c r="J2438" s="3">
        <v>0</v>
      </c>
      <c r="K2438" s="3">
        <v>0</v>
      </c>
      <c r="L2438" s="3">
        <v>0</v>
      </c>
      <c r="M2438" s="3">
        <v>827</v>
      </c>
      <c r="N2438" s="3">
        <v>0</v>
      </c>
    </row>
    <row r="2439" spans="1:14" x14ac:dyDescent="0.2">
      <c r="A2439" s="5" t="str">
        <f>HYPERLINK("http://www.ncbi.nlm.nih.gov/protein/14780880","Fbxw4")</f>
        <v>Fbxw4</v>
      </c>
      <c r="B2439" s="4"/>
      <c r="C2439" s="3">
        <v>0</v>
      </c>
      <c r="D2439" s="3">
        <v>0</v>
      </c>
      <c r="E2439" s="3">
        <v>3</v>
      </c>
      <c r="F2439" s="3">
        <v>82</v>
      </c>
      <c r="G2439" s="3">
        <v>0</v>
      </c>
      <c r="H2439" s="2">
        <f t="shared" si="76"/>
        <v>85</v>
      </c>
      <c r="I2439" t="str">
        <f t="shared" si="77"/>
        <v>Fbxw4_85</v>
      </c>
      <c r="J2439" s="3">
        <v>0</v>
      </c>
      <c r="K2439" s="3">
        <v>0</v>
      </c>
      <c r="L2439" s="3">
        <v>3</v>
      </c>
      <c r="M2439" s="3">
        <v>82</v>
      </c>
      <c r="N2439" s="3">
        <v>0</v>
      </c>
    </row>
    <row r="2440" spans="1:14" x14ac:dyDescent="0.2">
      <c r="A2440" s="5" t="str">
        <f>HYPERLINK("http://www.ncbi.nlm.nih.gov/protein/120407054","Fbxw8")</f>
        <v>Fbxw8</v>
      </c>
      <c r="B2440" s="4"/>
      <c r="C2440" s="3">
        <v>0</v>
      </c>
      <c r="D2440" s="3">
        <v>0</v>
      </c>
      <c r="E2440" s="3">
        <v>0</v>
      </c>
      <c r="F2440" s="3">
        <v>2038</v>
      </c>
      <c r="G2440" s="3">
        <v>0</v>
      </c>
      <c r="H2440" s="2">
        <f t="shared" si="76"/>
        <v>2038</v>
      </c>
      <c r="I2440" t="str">
        <f t="shared" si="77"/>
        <v>Fbxw8_2038</v>
      </c>
      <c r="J2440" s="3">
        <v>0</v>
      </c>
      <c r="K2440" s="3">
        <v>0</v>
      </c>
      <c r="L2440" s="3">
        <v>0</v>
      </c>
      <c r="M2440" s="3">
        <v>2038</v>
      </c>
      <c r="N2440" s="3">
        <v>0</v>
      </c>
    </row>
    <row r="2441" spans="1:14" x14ac:dyDescent="0.2">
      <c r="A2441" s="5" t="str">
        <f>HYPERLINK("http://www.ncbi.nlm.nih.gov/protein/359279906","Fcer2a")</f>
        <v>Fcer2a</v>
      </c>
      <c r="B2441" s="4"/>
      <c r="C2441" s="3">
        <v>0</v>
      </c>
      <c r="D2441" s="3">
        <v>0</v>
      </c>
      <c r="E2441" s="3">
        <v>157</v>
      </c>
      <c r="F2441" s="3">
        <v>0</v>
      </c>
      <c r="G2441" s="3">
        <v>0</v>
      </c>
      <c r="H2441" s="2">
        <f t="shared" si="76"/>
        <v>157</v>
      </c>
      <c r="I2441" t="str">
        <f t="shared" si="77"/>
        <v>Fcer2a_157</v>
      </c>
      <c r="J2441" s="3">
        <v>0</v>
      </c>
      <c r="K2441" s="3">
        <v>0</v>
      </c>
      <c r="L2441" s="3">
        <v>157</v>
      </c>
      <c r="M2441" s="3">
        <v>0</v>
      </c>
      <c r="N2441" s="3">
        <v>0</v>
      </c>
    </row>
    <row r="2442" spans="1:14" x14ac:dyDescent="0.2">
      <c r="A2442" s="5" t="str">
        <f>HYPERLINK("http://www.ncbi.nlm.nih.gov/protein/359279914","Fcer2a")</f>
        <v>Fcer2a</v>
      </c>
      <c r="B2442" s="4"/>
      <c r="C2442" s="3">
        <v>0</v>
      </c>
      <c r="D2442" s="3">
        <v>0</v>
      </c>
      <c r="E2442" s="3">
        <v>157</v>
      </c>
      <c r="F2442" s="3">
        <v>0</v>
      </c>
      <c r="G2442" s="3">
        <v>0</v>
      </c>
      <c r="H2442" s="2">
        <f t="shared" si="76"/>
        <v>157</v>
      </c>
      <c r="I2442" t="str">
        <f t="shared" si="77"/>
        <v>Fcer2a_157</v>
      </c>
      <c r="J2442" s="3">
        <v>0</v>
      </c>
      <c r="K2442" s="3">
        <v>0</v>
      </c>
      <c r="L2442" s="3">
        <v>157</v>
      </c>
      <c r="M2442" s="3">
        <v>0</v>
      </c>
      <c r="N2442" s="3">
        <v>0</v>
      </c>
    </row>
    <row r="2443" spans="1:14" x14ac:dyDescent="0.2">
      <c r="A2443" s="5" t="str">
        <f>HYPERLINK("http://www.ncbi.nlm.nih.gov/protein/359279919","Fcer2a")</f>
        <v>Fcer2a</v>
      </c>
      <c r="B2443" s="4"/>
      <c r="C2443" s="3">
        <v>0</v>
      </c>
      <c r="D2443" s="3">
        <v>0</v>
      </c>
      <c r="E2443" s="3">
        <v>157</v>
      </c>
      <c r="F2443" s="3">
        <v>0</v>
      </c>
      <c r="G2443" s="3">
        <v>0</v>
      </c>
      <c r="H2443" s="2">
        <f t="shared" si="76"/>
        <v>157</v>
      </c>
      <c r="I2443" t="str">
        <f t="shared" si="77"/>
        <v>Fcer2a_157</v>
      </c>
      <c r="J2443" s="3">
        <v>0</v>
      </c>
      <c r="K2443" s="3">
        <v>0</v>
      </c>
      <c r="L2443" s="3">
        <v>157</v>
      </c>
      <c r="M2443" s="3">
        <v>0</v>
      </c>
      <c r="N2443" s="3">
        <v>0</v>
      </c>
    </row>
    <row r="2444" spans="1:14" x14ac:dyDescent="0.2">
      <c r="A2444" s="5" t="str">
        <f>HYPERLINK("http://www.ncbi.nlm.nih.gov/protein/359279923","Fcer2a")</f>
        <v>Fcer2a</v>
      </c>
      <c r="B2444" s="4"/>
      <c r="C2444" s="3">
        <v>0</v>
      </c>
      <c r="D2444" s="3">
        <v>0</v>
      </c>
      <c r="E2444" s="3">
        <v>157</v>
      </c>
      <c r="F2444" s="3">
        <v>0</v>
      </c>
      <c r="G2444" s="3">
        <v>0</v>
      </c>
      <c r="H2444" s="2">
        <f t="shared" si="76"/>
        <v>157</v>
      </c>
      <c r="I2444" t="str">
        <f t="shared" si="77"/>
        <v>Fcer2a_157</v>
      </c>
      <c r="J2444" s="3">
        <v>0</v>
      </c>
      <c r="K2444" s="3">
        <v>0</v>
      </c>
      <c r="L2444" s="3">
        <v>157</v>
      </c>
      <c r="M2444" s="3">
        <v>0</v>
      </c>
      <c r="N2444" s="3">
        <v>0</v>
      </c>
    </row>
    <row r="2445" spans="1:14" x14ac:dyDescent="0.2">
      <c r="A2445" s="5" t="str">
        <f>HYPERLINK("http://www.ncbi.nlm.nih.gov/protein/359279925","Fcer2a")</f>
        <v>Fcer2a</v>
      </c>
      <c r="B2445" s="4"/>
      <c r="C2445" s="3">
        <v>0</v>
      </c>
      <c r="D2445" s="3">
        <v>0</v>
      </c>
      <c r="E2445" s="3">
        <v>157</v>
      </c>
      <c r="F2445" s="3">
        <v>0</v>
      </c>
      <c r="G2445" s="3">
        <v>0</v>
      </c>
      <c r="H2445" s="2">
        <f t="shared" si="76"/>
        <v>157</v>
      </c>
      <c r="I2445" t="str">
        <f t="shared" si="77"/>
        <v>Fcer2a_157</v>
      </c>
      <c r="J2445" s="3">
        <v>0</v>
      </c>
      <c r="K2445" s="3">
        <v>0</v>
      </c>
      <c r="L2445" s="3">
        <v>157</v>
      </c>
      <c r="M2445" s="3">
        <v>0</v>
      </c>
      <c r="N2445" s="3">
        <v>0</v>
      </c>
    </row>
    <row r="2446" spans="1:14" x14ac:dyDescent="0.2">
      <c r="A2446" s="5" t="str">
        <f>HYPERLINK("http://www.ncbi.nlm.nih.gov/protein/359339166","Fcer2a")</f>
        <v>Fcer2a</v>
      </c>
      <c r="B2446" s="4"/>
      <c r="C2446" s="3">
        <v>0</v>
      </c>
      <c r="D2446" s="3">
        <v>0</v>
      </c>
      <c r="E2446" s="3">
        <v>157</v>
      </c>
      <c r="F2446" s="3">
        <v>0</v>
      </c>
      <c r="G2446" s="3">
        <v>0</v>
      </c>
      <c r="H2446" s="2">
        <f t="shared" si="76"/>
        <v>157</v>
      </c>
      <c r="I2446" t="str">
        <f t="shared" si="77"/>
        <v>Fcer2a_157</v>
      </c>
      <c r="J2446" s="3">
        <v>0</v>
      </c>
      <c r="K2446" s="3">
        <v>0</v>
      </c>
      <c r="L2446" s="3">
        <v>157</v>
      </c>
      <c r="M2446" s="3">
        <v>0</v>
      </c>
      <c r="N2446" s="3">
        <v>0</v>
      </c>
    </row>
    <row r="2447" spans="1:14" x14ac:dyDescent="0.2">
      <c r="A2447" s="5" t="str">
        <f>HYPERLINK("http://www.ncbi.nlm.nih.gov/protein/7305051","Fcer2a")</f>
        <v>Fcer2a</v>
      </c>
      <c r="B2447" s="4"/>
      <c r="C2447" s="3">
        <v>0</v>
      </c>
      <c r="D2447" s="3">
        <v>0</v>
      </c>
      <c r="E2447" s="3">
        <v>157</v>
      </c>
      <c r="F2447" s="3">
        <v>0</v>
      </c>
      <c r="G2447" s="3">
        <v>0</v>
      </c>
      <c r="H2447" s="2">
        <f t="shared" si="76"/>
        <v>157</v>
      </c>
      <c r="I2447" t="str">
        <f t="shared" si="77"/>
        <v>Fcer2a_157</v>
      </c>
      <c r="J2447" s="3">
        <v>0</v>
      </c>
      <c r="K2447" s="3">
        <v>0</v>
      </c>
      <c r="L2447" s="3">
        <v>157</v>
      </c>
      <c r="M2447" s="3">
        <v>0</v>
      </c>
      <c r="N2447" s="3">
        <v>0</v>
      </c>
    </row>
    <row r="2448" spans="1:14" x14ac:dyDescent="0.2">
      <c r="A2448" s="5" t="str">
        <f>HYPERLINK("http://www.ncbi.nlm.nih.gov/protein/268607601","Fcf1")</f>
        <v>Fcf1</v>
      </c>
      <c r="B2448" s="4"/>
      <c r="C2448" s="3">
        <v>0</v>
      </c>
      <c r="D2448" s="3">
        <v>0</v>
      </c>
      <c r="E2448" s="3">
        <v>600</v>
      </c>
      <c r="F2448" s="3">
        <v>205</v>
      </c>
      <c r="G2448" s="3">
        <v>0</v>
      </c>
      <c r="H2448" s="2">
        <f t="shared" si="76"/>
        <v>805</v>
      </c>
      <c r="I2448" t="str">
        <f t="shared" si="77"/>
        <v>Fcf1_805</v>
      </c>
      <c r="J2448" s="3">
        <v>0</v>
      </c>
      <c r="K2448" s="3">
        <v>0</v>
      </c>
      <c r="L2448" s="3">
        <v>600</v>
      </c>
      <c r="M2448" s="3">
        <v>205</v>
      </c>
      <c r="N2448" s="3">
        <v>0</v>
      </c>
    </row>
    <row r="2449" spans="1:14" x14ac:dyDescent="0.2">
      <c r="A2449" s="5" t="str">
        <f>HYPERLINK("http://www.ncbi.nlm.nih.gov/protein/169790797","Fcgbp")</f>
        <v>Fcgbp</v>
      </c>
      <c r="B2449" s="4"/>
      <c r="C2449" s="3">
        <v>0</v>
      </c>
      <c r="D2449" s="3">
        <v>8864</v>
      </c>
      <c r="E2449" s="3">
        <v>6011</v>
      </c>
      <c r="F2449" s="3">
        <v>409</v>
      </c>
      <c r="G2449" s="3">
        <v>2784</v>
      </c>
      <c r="H2449" s="2">
        <f t="shared" si="76"/>
        <v>18068</v>
      </c>
      <c r="I2449" t="str">
        <f t="shared" si="77"/>
        <v>Fcgbp_18068</v>
      </c>
      <c r="J2449" s="3">
        <v>0</v>
      </c>
      <c r="K2449" s="3">
        <v>8864</v>
      </c>
      <c r="L2449" s="3">
        <v>6011</v>
      </c>
      <c r="M2449" s="3">
        <v>409</v>
      </c>
      <c r="N2449" s="3">
        <v>2784</v>
      </c>
    </row>
    <row r="2450" spans="1:14" x14ac:dyDescent="0.2">
      <c r="A2450" s="5" t="str">
        <f>HYPERLINK("http://www.ncbi.nlm.nih.gov/protein/224994271","Fcho2")</f>
        <v>Fcho2</v>
      </c>
      <c r="B2450" s="4"/>
      <c r="C2450" s="3">
        <v>0</v>
      </c>
      <c r="D2450" s="3">
        <v>0</v>
      </c>
      <c r="E2450" s="3">
        <v>0</v>
      </c>
      <c r="F2450" s="3">
        <v>360</v>
      </c>
      <c r="G2450" s="3">
        <v>4573</v>
      </c>
      <c r="H2450" s="2">
        <f t="shared" si="76"/>
        <v>4933</v>
      </c>
      <c r="I2450" t="str">
        <f t="shared" si="77"/>
        <v>Fcho2_4933</v>
      </c>
      <c r="J2450" s="3">
        <v>0</v>
      </c>
      <c r="K2450" s="3">
        <v>0</v>
      </c>
      <c r="L2450" s="3">
        <v>0</v>
      </c>
      <c r="M2450" s="3">
        <v>360</v>
      </c>
      <c r="N2450" s="3">
        <v>4573</v>
      </c>
    </row>
    <row r="2451" spans="1:14" x14ac:dyDescent="0.2">
      <c r="A2451" s="5" t="str">
        <f>HYPERLINK("http://www.ncbi.nlm.nih.gov/protein/34328173","Fdft1")</f>
        <v>Fdft1</v>
      </c>
      <c r="B2451" s="4"/>
      <c r="C2451" s="3">
        <v>0</v>
      </c>
      <c r="D2451" s="3">
        <v>522</v>
      </c>
      <c r="E2451" s="3">
        <v>0</v>
      </c>
      <c r="F2451" s="3">
        <v>0</v>
      </c>
      <c r="G2451" s="3">
        <v>0</v>
      </c>
      <c r="H2451" s="2">
        <f t="shared" si="76"/>
        <v>522</v>
      </c>
      <c r="I2451" t="str">
        <f t="shared" si="77"/>
        <v>Fdft1_522</v>
      </c>
      <c r="J2451" s="3">
        <v>0</v>
      </c>
      <c r="K2451" s="3">
        <v>522</v>
      </c>
      <c r="L2451" s="3">
        <v>0</v>
      </c>
      <c r="M2451" s="3">
        <v>0</v>
      </c>
      <c r="N2451" s="3">
        <v>0</v>
      </c>
    </row>
    <row r="2452" spans="1:14" x14ac:dyDescent="0.2">
      <c r="A2452" s="5" t="str">
        <f>HYPERLINK("http://www.ncbi.nlm.nih.gov/protein/19882207","Fdps")</f>
        <v>Fdps</v>
      </c>
      <c r="B2452" s="4"/>
      <c r="C2452" s="3">
        <v>19899</v>
      </c>
      <c r="D2452" s="3">
        <v>850</v>
      </c>
      <c r="E2452" s="3">
        <v>13643</v>
      </c>
      <c r="F2452" s="3">
        <v>27757</v>
      </c>
      <c r="G2452" s="3">
        <v>187609</v>
      </c>
      <c r="H2452" s="2">
        <f t="shared" si="76"/>
        <v>249758</v>
      </c>
      <c r="I2452" t="str">
        <f t="shared" si="77"/>
        <v>Fdps_249758</v>
      </c>
      <c r="J2452" s="3">
        <v>19899</v>
      </c>
      <c r="K2452" s="3">
        <v>850</v>
      </c>
      <c r="L2452" s="3">
        <v>13643</v>
      </c>
      <c r="M2452" s="3">
        <v>27757</v>
      </c>
      <c r="N2452" s="3">
        <v>187609</v>
      </c>
    </row>
    <row r="2453" spans="1:14" x14ac:dyDescent="0.2">
      <c r="A2453" s="5" t="str">
        <f>HYPERLINK("http://www.ncbi.nlm.nih.gov/protein/359279938","Fdps")</f>
        <v>Fdps</v>
      </c>
      <c r="B2453" s="4"/>
      <c r="C2453" s="3">
        <v>19899</v>
      </c>
      <c r="D2453" s="3">
        <v>850</v>
      </c>
      <c r="E2453" s="3">
        <v>13643</v>
      </c>
      <c r="F2453" s="3">
        <v>27757</v>
      </c>
      <c r="G2453" s="3">
        <v>187609</v>
      </c>
      <c r="H2453" s="2">
        <f t="shared" si="76"/>
        <v>249758</v>
      </c>
      <c r="I2453" t="str">
        <f t="shared" si="77"/>
        <v>Fdps_249758</v>
      </c>
      <c r="J2453" s="3">
        <v>19899</v>
      </c>
      <c r="K2453" s="3">
        <v>850</v>
      </c>
      <c r="L2453" s="3">
        <v>13643</v>
      </c>
      <c r="M2453" s="3">
        <v>27757</v>
      </c>
      <c r="N2453" s="3">
        <v>187609</v>
      </c>
    </row>
    <row r="2454" spans="1:14" x14ac:dyDescent="0.2">
      <c r="A2454" s="5" t="str">
        <f>HYPERLINK("http://www.ncbi.nlm.nih.gov/protein/6679765","Fdx1")</f>
        <v>Fdx1</v>
      </c>
      <c r="B2454" s="4"/>
      <c r="C2454" s="3">
        <v>4247</v>
      </c>
      <c r="D2454" s="3">
        <v>1027</v>
      </c>
      <c r="E2454" s="3">
        <v>0</v>
      </c>
      <c r="F2454" s="3">
        <v>0</v>
      </c>
      <c r="G2454" s="3">
        <v>1285</v>
      </c>
      <c r="H2454" s="2">
        <f t="shared" si="76"/>
        <v>6559</v>
      </c>
      <c r="I2454" t="str">
        <f t="shared" si="77"/>
        <v>Fdx1_6559</v>
      </c>
      <c r="J2454" s="3">
        <v>4247</v>
      </c>
      <c r="K2454" s="3">
        <v>1027</v>
      </c>
      <c r="L2454" s="3">
        <v>0</v>
      </c>
      <c r="M2454" s="3">
        <v>0</v>
      </c>
      <c r="N2454" s="3">
        <v>1285</v>
      </c>
    </row>
    <row r="2455" spans="1:14" x14ac:dyDescent="0.2">
      <c r="A2455" s="5" t="str">
        <f>HYPERLINK("http://www.ncbi.nlm.nih.gov/protein/90017457","Fdx1l")</f>
        <v>Fdx1l</v>
      </c>
      <c r="B2455" s="4"/>
      <c r="C2455" s="3">
        <v>0</v>
      </c>
      <c r="D2455" s="3">
        <v>359</v>
      </c>
      <c r="E2455" s="3">
        <v>0</v>
      </c>
      <c r="F2455" s="3">
        <v>0</v>
      </c>
      <c r="G2455" s="3">
        <v>0</v>
      </c>
      <c r="H2455" s="2">
        <f t="shared" si="76"/>
        <v>359</v>
      </c>
      <c r="I2455" t="str">
        <f t="shared" si="77"/>
        <v>Fdx1l_359</v>
      </c>
      <c r="J2455" s="3">
        <v>0</v>
      </c>
      <c r="K2455" s="3">
        <v>359</v>
      </c>
      <c r="L2455" s="3">
        <v>0</v>
      </c>
      <c r="M2455" s="3">
        <v>0</v>
      </c>
      <c r="N2455" s="3">
        <v>0</v>
      </c>
    </row>
    <row r="2456" spans="1:14" x14ac:dyDescent="0.2">
      <c r="A2456" s="5" t="str">
        <f>HYPERLINK("http://www.ncbi.nlm.nih.gov/protein/6679767","Fdxr")</f>
        <v>Fdxr</v>
      </c>
      <c r="B2456" s="4"/>
      <c r="C2456" s="3">
        <v>0</v>
      </c>
      <c r="D2456" s="3">
        <v>3877</v>
      </c>
      <c r="E2456" s="3">
        <v>0</v>
      </c>
      <c r="F2456" s="3">
        <v>0</v>
      </c>
      <c r="G2456" s="3">
        <v>0</v>
      </c>
      <c r="H2456" s="2">
        <f t="shared" si="76"/>
        <v>3877</v>
      </c>
      <c r="I2456" t="str">
        <f t="shared" si="77"/>
        <v>Fdxr_3877</v>
      </c>
      <c r="J2456" s="3">
        <v>0</v>
      </c>
      <c r="K2456" s="3">
        <v>3877</v>
      </c>
      <c r="L2456" s="3">
        <v>0</v>
      </c>
      <c r="M2456" s="3">
        <v>0</v>
      </c>
      <c r="N2456" s="3">
        <v>0</v>
      </c>
    </row>
    <row r="2457" spans="1:14" x14ac:dyDescent="0.2">
      <c r="A2457" s="5" t="str">
        <f>HYPERLINK("http://www.ncbi.nlm.nih.gov/protein/20452466","Fech")</f>
        <v>Fech</v>
      </c>
      <c r="B2457" s="4"/>
      <c r="C2457" s="3">
        <v>0</v>
      </c>
      <c r="D2457" s="3">
        <v>449</v>
      </c>
      <c r="E2457" s="3">
        <v>0</v>
      </c>
      <c r="F2457" s="3">
        <v>0</v>
      </c>
      <c r="G2457" s="3">
        <v>0</v>
      </c>
      <c r="H2457" s="2">
        <f t="shared" si="76"/>
        <v>449</v>
      </c>
      <c r="I2457" t="str">
        <f t="shared" si="77"/>
        <v>Fech_449</v>
      </c>
      <c r="J2457" s="3">
        <v>0</v>
      </c>
      <c r="K2457" s="3">
        <v>449</v>
      </c>
      <c r="L2457" s="3">
        <v>0</v>
      </c>
      <c r="M2457" s="3">
        <v>0</v>
      </c>
      <c r="N2457" s="3">
        <v>0</v>
      </c>
    </row>
    <row r="2458" spans="1:14" x14ac:dyDescent="0.2">
      <c r="A2458" s="5" t="str">
        <f>HYPERLINK("http://www.ncbi.nlm.nih.gov/protein/6753840","Fem1b")</f>
        <v>Fem1b</v>
      </c>
      <c r="B2458" s="4"/>
      <c r="C2458" s="3">
        <v>0</v>
      </c>
      <c r="D2458" s="3">
        <v>0</v>
      </c>
      <c r="E2458" s="3">
        <v>0</v>
      </c>
      <c r="F2458" s="3">
        <v>745</v>
      </c>
      <c r="G2458" s="3">
        <v>0</v>
      </c>
      <c r="H2458" s="2">
        <f t="shared" si="76"/>
        <v>745</v>
      </c>
      <c r="I2458" t="str">
        <f t="shared" si="77"/>
        <v>Fem1b_745</v>
      </c>
      <c r="J2458" s="3">
        <v>0</v>
      </c>
      <c r="K2458" s="3">
        <v>0</v>
      </c>
      <c r="L2458" s="3">
        <v>0</v>
      </c>
      <c r="M2458" s="3">
        <v>745</v>
      </c>
      <c r="N2458" s="3">
        <v>0</v>
      </c>
    </row>
    <row r="2459" spans="1:14" x14ac:dyDescent="0.2">
      <c r="A2459" s="5" t="str">
        <f>HYPERLINK("http://www.ncbi.nlm.nih.gov/protein/27734132","Fem1c")</f>
        <v>Fem1c</v>
      </c>
      <c r="B2459" s="4"/>
      <c r="C2459" s="3">
        <v>0</v>
      </c>
      <c r="D2459" s="3">
        <v>0</v>
      </c>
      <c r="E2459" s="3">
        <v>0</v>
      </c>
      <c r="F2459" s="3">
        <v>565</v>
      </c>
      <c r="G2459" s="3">
        <v>0</v>
      </c>
      <c r="H2459" s="2">
        <f t="shared" si="76"/>
        <v>565</v>
      </c>
      <c r="I2459" t="str">
        <f t="shared" si="77"/>
        <v>Fem1c_565</v>
      </c>
      <c r="J2459" s="3">
        <v>0</v>
      </c>
      <c r="K2459" s="3">
        <v>0</v>
      </c>
      <c r="L2459" s="3">
        <v>0</v>
      </c>
      <c r="M2459" s="3">
        <v>565</v>
      </c>
      <c r="N2459" s="3">
        <v>0</v>
      </c>
    </row>
    <row r="2460" spans="1:14" x14ac:dyDescent="0.2">
      <c r="A2460" s="5" t="str">
        <f>HYPERLINK("http://www.ncbi.nlm.nih.gov/protein/46048490","Fen1")</f>
        <v>Fen1</v>
      </c>
      <c r="B2460" s="4"/>
      <c r="C2460" s="3">
        <v>8567</v>
      </c>
      <c r="D2460" s="3">
        <v>21562</v>
      </c>
      <c r="E2460" s="3">
        <v>11010</v>
      </c>
      <c r="F2460" s="3">
        <v>34690</v>
      </c>
      <c r="G2460" s="3">
        <v>37815</v>
      </c>
      <c r="H2460" s="2">
        <f t="shared" si="76"/>
        <v>113644</v>
      </c>
      <c r="I2460" t="str">
        <f t="shared" si="77"/>
        <v>Fen1_113644</v>
      </c>
      <c r="J2460" s="3">
        <v>8567</v>
      </c>
      <c r="K2460" s="3">
        <v>21562</v>
      </c>
      <c r="L2460" s="3">
        <v>11010</v>
      </c>
      <c r="M2460" s="3">
        <v>34690</v>
      </c>
      <c r="N2460" s="3">
        <v>37815</v>
      </c>
    </row>
    <row r="2461" spans="1:14" x14ac:dyDescent="0.2">
      <c r="A2461" s="5" t="str">
        <f>HYPERLINK("http://www.ncbi.nlm.nih.gov/protein/124487315","Fermt1")</f>
        <v>Fermt1</v>
      </c>
      <c r="B2461" s="4"/>
      <c r="C2461" s="3">
        <v>0</v>
      </c>
      <c r="D2461" s="3">
        <v>0</v>
      </c>
      <c r="E2461" s="3">
        <v>920</v>
      </c>
      <c r="F2461" s="3">
        <v>0</v>
      </c>
      <c r="G2461" s="3">
        <v>0</v>
      </c>
      <c r="H2461" s="2">
        <f t="shared" si="76"/>
        <v>920</v>
      </c>
      <c r="I2461" t="str">
        <f t="shared" si="77"/>
        <v>Fermt1_920</v>
      </c>
      <c r="J2461" s="3">
        <v>0</v>
      </c>
      <c r="K2461" s="3">
        <v>0</v>
      </c>
      <c r="L2461" s="3">
        <v>920</v>
      </c>
      <c r="M2461" s="3">
        <v>0</v>
      </c>
      <c r="N2461" s="3">
        <v>0</v>
      </c>
    </row>
    <row r="2462" spans="1:14" x14ac:dyDescent="0.2">
      <c r="A2462" s="5" t="str">
        <f>HYPERLINK("http://www.ncbi.nlm.nih.gov/protein/67906179","Fermt2")</f>
        <v>Fermt2</v>
      </c>
      <c r="B2462" s="4"/>
      <c r="C2462" s="3">
        <v>0</v>
      </c>
      <c r="D2462" s="3">
        <v>1497</v>
      </c>
      <c r="E2462" s="3">
        <v>7745</v>
      </c>
      <c r="F2462" s="3">
        <v>4723</v>
      </c>
      <c r="G2462" s="3">
        <v>8054</v>
      </c>
      <c r="H2462" s="2">
        <f t="shared" si="76"/>
        <v>22019</v>
      </c>
      <c r="I2462" t="str">
        <f t="shared" si="77"/>
        <v>Fermt2_22019</v>
      </c>
      <c r="J2462" s="3">
        <v>0</v>
      </c>
      <c r="K2462" s="3">
        <v>1497</v>
      </c>
      <c r="L2462" s="3">
        <v>7745</v>
      </c>
      <c r="M2462" s="3">
        <v>4723</v>
      </c>
      <c r="N2462" s="3">
        <v>8054</v>
      </c>
    </row>
    <row r="2463" spans="1:14" x14ac:dyDescent="0.2">
      <c r="A2463" s="5" t="str">
        <f>HYPERLINK("http://www.ncbi.nlm.nih.gov/protein/40789098","Fez2")</f>
        <v>Fez2</v>
      </c>
      <c r="B2463" s="4"/>
      <c r="C2463" s="3">
        <v>0</v>
      </c>
      <c r="D2463" s="3">
        <v>0</v>
      </c>
      <c r="E2463" s="3">
        <v>0</v>
      </c>
      <c r="F2463" s="3">
        <v>0</v>
      </c>
      <c r="G2463" s="3">
        <v>214</v>
      </c>
      <c r="H2463" s="2">
        <f t="shared" si="76"/>
        <v>214</v>
      </c>
      <c r="I2463" t="str">
        <f t="shared" si="77"/>
        <v>Fez2_214</v>
      </c>
      <c r="J2463" s="3">
        <v>0</v>
      </c>
      <c r="K2463" s="3">
        <v>0</v>
      </c>
      <c r="L2463" s="3">
        <v>0</v>
      </c>
      <c r="M2463" s="3">
        <v>0</v>
      </c>
      <c r="N2463" s="3">
        <v>214</v>
      </c>
    </row>
    <row r="2464" spans="1:14" x14ac:dyDescent="0.2">
      <c r="A2464" s="5" t="str">
        <f>HYPERLINK("http://www.ncbi.nlm.nih.gov/protein/31982367","Fgd1")</f>
        <v>Fgd1</v>
      </c>
      <c r="B2464" s="4"/>
      <c r="C2464" s="3">
        <v>0</v>
      </c>
      <c r="D2464" s="3">
        <v>0</v>
      </c>
      <c r="E2464" s="3">
        <v>0</v>
      </c>
      <c r="F2464" s="3">
        <v>0</v>
      </c>
      <c r="G2464" s="3">
        <v>1242</v>
      </c>
      <c r="H2464" s="2">
        <f t="shared" si="76"/>
        <v>1242</v>
      </c>
      <c r="I2464" t="str">
        <f t="shared" si="77"/>
        <v>Fgd1_1242</v>
      </c>
      <c r="J2464" s="3">
        <v>0</v>
      </c>
      <c r="K2464" s="3">
        <v>0</v>
      </c>
      <c r="L2464" s="3">
        <v>0</v>
      </c>
      <c r="M2464" s="3">
        <v>0</v>
      </c>
      <c r="N2464" s="3">
        <v>1242</v>
      </c>
    </row>
    <row r="2465" spans="1:14" x14ac:dyDescent="0.2">
      <c r="A2465" s="5" t="str">
        <f>HYPERLINK("http://www.ncbi.nlm.nih.gov/protein/85719309","Fgd3")</f>
        <v>Fgd3</v>
      </c>
      <c r="B2465" s="4"/>
      <c r="C2465" s="3">
        <v>0</v>
      </c>
      <c r="D2465" s="3">
        <v>0</v>
      </c>
      <c r="E2465" s="3">
        <v>0</v>
      </c>
      <c r="F2465" s="3">
        <v>0</v>
      </c>
      <c r="G2465" s="3">
        <v>3545</v>
      </c>
      <c r="H2465" s="2">
        <f t="shared" si="76"/>
        <v>3545</v>
      </c>
      <c r="I2465" t="str">
        <f t="shared" si="77"/>
        <v>Fgd3_3545</v>
      </c>
      <c r="J2465" s="3">
        <v>0</v>
      </c>
      <c r="K2465" s="3">
        <v>0</v>
      </c>
      <c r="L2465" s="3">
        <v>0</v>
      </c>
      <c r="M2465" s="3">
        <v>0</v>
      </c>
      <c r="N2465" s="3">
        <v>3545</v>
      </c>
    </row>
    <row r="2466" spans="1:14" x14ac:dyDescent="0.2">
      <c r="A2466" s="5" t="str">
        <f>HYPERLINK("http://www.ncbi.nlm.nih.gov/protein/22296595","Fgd4")</f>
        <v>Fgd4</v>
      </c>
      <c r="B2466" s="4"/>
      <c r="C2466" s="3">
        <v>0</v>
      </c>
      <c r="D2466" s="3">
        <v>0</v>
      </c>
      <c r="E2466" s="3">
        <v>0</v>
      </c>
      <c r="F2466" s="3">
        <v>0</v>
      </c>
      <c r="G2466" s="3">
        <v>2046</v>
      </c>
      <c r="H2466" s="2">
        <f t="shared" si="76"/>
        <v>2046</v>
      </c>
      <c r="I2466" t="str">
        <f t="shared" si="77"/>
        <v>Fgd4_2046</v>
      </c>
      <c r="J2466" s="3">
        <v>0</v>
      </c>
      <c r="K2466" s="3">
        <v>0</v>
      </c>
      <c r="L2466" s="3">
        <v>0</v>
      </c>
      <c r="M2466" s="3">
        <v>0</v>
      </c>
      <c r="N2466" s="3">
        <v>2046</v>
      </c>
    </row>
    <row r="2467" spans="1:14" x14ac:dyDescent="0.2">
      <c r="A2467" s="5" t="str">
        <f>HYPERLINK("http://www.ncbi.nlm.nih.gov/protein/22296599","Fgd4")</f>
        <v>Fgd4</v>
      </c>
      <c r="B2467" s="4"/>
      <c r="C2467" s="3">
        <v>0</v>
      </c>
      <c r="D2467" s="3">
        <v>0</v>
      </c>
      <c r="E2467" s="3">
        <v>0</v>
      </c>
      <c r="F2467" s="3">
        <v>0</v>
      </c>
      <c r="G2467" s="3">
        <v>2046</v>
      </c>
      <c r="H2467" s="2">
        <f t="shared" si="76"/>
        <v>2046</v>
      </c>
      <c r="I2467" t="str">
        <f t="shared" si="77"/>
        <v>Fgd4_2046</v>
      </c>
      <c r="J2467" s="3">
        <v>0</v>
      </c>
      <c r="K2467" s="3">
        <v>0</v>
      </c>
      <c r="L2467" s="3">
        <v>0</v>
      </c>
      <c r="M2467" s="3">
        <v>0</v>
      </c>
      <c r="N2467" s="3">
        <v>2046</v>
      </c>
    </row>
    <row r="2468" spans="1:14" x14ac:dyDescent="0.2">
      <c r="A2468" s="5" t="str">
        <f>HYPERLINK("http://www.ncbi.nlm.nih.gov/protein/29336047","Fgd4")</f>
        <v>Fgd4</v>
      </c>
      <c r="B2468" s="4"/>
      <c r="C2468" s="3">
        <v>0</v>
      </c>
      <c r="D2468" s="3">
        <v>0</v>
      </c>
      <c r="E2468" s="3">
        <v>0</v>
      </c>
      <c r="F2468" s="3">
        <v>0</v>
      </c>
      <c r="G2468" s="3">
        <v>2046</v>
      </c>
      <c r="H2468" s="2">
        <f t="shared" si="76"/>
        <v>2046</v>
      </c>
      <c r="I2468" t="str">
        <f t="shared" si="77"/>
        <v>Fgd4_2046</v>
      </c>
      <c r="J2468" s="3">
        <v>0</v>
      </c>
      <c r="K2468" s="3">
        <v>0</v>
      </c>
      <c r="L2468" s="3">
        <v>0</v>
      </c>
      <c r="M2468" s="3">
        <v>0</v>
      </c>
      <c r="N2468" s="3">
        <v>2046</v>
      </c>
    </row>
    <row r="2469" spans="1:14" x14ac:dyDescent="0.2">
      <c r="A2469" s="5" t="str">
        <f>HYPERLINK("http://www.ncbi.nlm.nih.gov/protein/6753850","Fgf1")</f>
        <v>Fgf1</v>
      </c>
      <c r="B2469" s="4"/>
      <c r="C2469" s="3">
        <v>0</v>
      </c>
      <c r="D2469" s="3">
        <v>0</v>
      </c>
      <c r="E2469" s="3">
        <v>0</v>
      </c>
      <c r="F2469" s="3">
        <v>0</v>
      </c>
      <c r="G2469" s="3">
        <v>21</v>
      </c>
      <c r="H2469" s="2">
        <f t="shared" si="76"/>
        <v>21</v>
      </c>
      <c r="I2469" t="str">
        <f t="shared" si="77"/>
        <v>Fgf1_21</v>
      </c>
      <c r="J2469" s="3">
        <v>0</v>
      </c>
      <c r="K2469" s="3">
        <v>0</v>
      </c>
      <c r="L2469" s="3">
        <v>0</v>
      </c>
      <c r="M2469" s="3">
        <v>0</v>
      </c>
      <c r="N2469" s="3">
        <v>21</v>
      </c>
    </row>
    <row r="2470" spans="1:14" x14ac:dyDescent="0.2">
      <c r="A2470" s="5" t="str">
        <f>HYPERLINK("http://www.ncbi.nlm.nih.gov/protein/120952633","Fgfr1")</f>
        <v>Fgfr1</v>
      </c>
      <c r="B2470" s="4"/>
      <c r="C2470" s="3">
        <v>0</v>
      </c>
      <c r="D2470" s="3">
        <v>2261</v>
      </c>
      <c r="E2470" s="3">
        <v>3440</v>
      </c>
      <c r="F2470" s="3">
        <v>4330</v>
      </c>
      <c r="G2470" s="3">
        <v>34420</v>
      </c>
      <c r="H2470" s="2">
        <f t="shared" si="76"/>
        <v>44451</v>
      </c>
      <c r="I2470" t="str">
        <f t="shared" si="77"/>
        <v>Fgfr1_44451</v>
      </c>
      <c r="J2470" s="3">
        <v>0</v>
      </c>
      <c r="K2470" s="3">
        <v>2261</v>
      </c>
      <c r="L2470" s="3">
        <v>3440</v>
      </c>
      <c r="M2470" s="3">
        <v>4330</v>
      </c>
      <c r="N2470" s="3">
        <v>34420</v>
      </c>
    </row>
    <row r="2471" spans="1:14" x14ac:dyDescent="0.2">
      <c r="A2471" s="5" t="str">
        <f>HYPERLINK("http://www.ncbi.nlm.nih.gov/protein/120952641","Fgfr1")</f>
        <v>Fgfr1</v>
      </c>
      <c r="B2471" s="4"/>
      <c r="C2471" s="3">
        <v>0</v>
      </c>
      <c r="D2471" s="3">
        <v>2261</v>
      </c>
      <c r="E2471" s="3">
        <v>3440</v>
      </c>
      <c r="F2471" s="3">
        <v>4330</v>
      </c>
      <c r="G2471" s="3">
        <v>34420</v>
      </c>
      <c r="H2471" s="2">
        <f t="shared" si="76"/>
        <v>44451</v>
      </c>
      <c r="I2471" t="str">
        <f t="shared" si="77"/>
        <v>Fgfr1_44451</v>
      </c>
      <c r="J2471" s="3">
        <v>0</v>
      </c>
      <c r="K2471" s="3">
        <v>2261</v>
      </c>
      <c r="L2471" s="3">
        <v>3440</v>
      </c>
      <c r="M2471" s="3">
        <v>4330</v>
      </c>
      <c r="N2471" s="3">
        <v>34420</v>
      </c>
    </row>
    <row r="2472" spans="1:14" x14ac:dyDescent="0.2">
      <c r="A2472" s="5" t="str">
        <f>HYPERLINK("http://www.ncbi.nlm.nih.gov/protein/120952698","Fgfr1")</f>
        <v>Fgfr1</v>
      </c>
      <c r="B2472" s="4"/>
      <c r="C2472" s="3">
        <v>0</v>
      </c>
      <c r="D2472" s="3">
        <v>2261</v>
      </c>
      <c r="E2472" s="3">
        <v>3440</v>
      </c>
      <c r="F2472" s="3">
        <v>4330</v>
      </c>
      <c r="G2472" s="3">
        <v>34420</v>
      </c>
      <c r="H2472" s="2">
        <f t="shared" si="76"/>
        <v>44451</v>
      </c>
      <c r="I2472" t="str">
        <f t="shared" si="77"/>
        <v>Fgfr1_44451</v>
      </c>
      <c r="J2472" s="3">
        <v>0</v>
      </c>
      <c r="K2472" s="3">
        <v>2261</v>
      </c>
      <c r="L2472" s="3">
        <v>3440</v>
      </c>
      <c r="M2472" s="3">
        <v>4330</v>
      </c>
      <c r="N2472" s="3">
        <v>34420</v>
      </c>
    </row>
    <row r="2473" spans="1:14" x14ac:dyDescent="0.2">
      <c r="A2473" s="5" t="str">
        <f>HYPERLINK("http://www.ncbi.nlm.nih.gov/protein/116089349","Fgfr2")</f>
        <v>Fgfr2</v>
      </c>
      <c r="B2473" s="4"/>
      <c r="C2473" s="3">
        <v>0</v>
      </c>
      <c r="D2473" s="3">
        <v>2261</v>
      </c>
      <c r="E2473" s="3">
        <v>3440</v>
      </c>
      <c r="F2473" s="3">
        <v>4330</v>
      </c>
      <c r="G2473" s="3">
        <v>34420</v>
      </c>
      <c r="H2473" s="2">
        <f t="shared" si="76"/>
        <v>44451</v>
      </c>
      <c r="I2473" t="str">
        <f t="shared" si="77"/>
        <v>Fgfr2_44451</v>
      </c>
      <c r="J2473" s="3">
        <v>0</v>
      </c>
      <c r="K2473" s="3">
        <v>2261</v>
      </c>
      <c r="L2473" s="3">
        <v>3440</v>
      </c>
      <c r="M2473" s="3">
        <v>4330</v>
      </c>
      <c r="N2473" s="3">
        <v>34420</v>
      </c>
    </row>
    <row r="2474" spans="1:14" x14ac:dyDescent="0.2">
      <c r="A2474" s="5" t="str">
        <f>HYPERLINK("http://www.ncbi.nlm.nih.gov/protein/116089355","Fgfr2")</f>
        <v>Fgfr2</v>
      </c>
      <c r="B2474" s="4"/>
      <c r="C2474" s="3">
        <v>0</v>
      </c>
      <c r="D2474" s="3">
        <v>2261</v>
      </c>
      <c r="E2474" s="3">
        <v>3440</v>
      </c>
      <c r="F2474" s="3">
        <v>4330</v>
      </c>
      <c r="G2474" s="3">
        <v>34420</v>
      </c>
      <c r="H2474" s="2">
        <f t="shared" si="76"/>
        <v>44451</v>
      </c>
      <c r="I2474" t="str">
        <f t="shared" si="77"/>
        <v>Fgfr2_44451</v>
      </c>
      <c r="J2474" s="3">
        <v>0</v>
      </c>
      <c r="K2474" s="3">
        <v>2261</v>
      </c>
      <c r="L2474" s="3">
        <v>3440</v>
      </c>
      <c r="M2474" s="3">
        <v>4330</v>
      </c>
      <c r="N2474" s="3">
        <v>34420</v>
      </c>
    </row>
    <row r="2475" spans="1:14" x14ac:dyDescent="0.2">
      <c r="A2475" s="5" t="str">
        <f>HYPERLINK("http://www.ncbi.nlm.nih.gov/protein/254028252","Fgfr3")</f>
        <v>Fgfr3</v>
      </c>
      <c r="B2475" s="4"/>
      <c r="C2475" s="3">
        <v>0</v>
      </c>
      <c r="D2475" s="3">
        <v>2261</v>
      </c>
      <c r="E2475" s="3">
        <v>3440</v>
      </c>
      <c r="F2475" s="3">
        <v>4330</v>
      </c>
      <c r="G2475" s="3">
        <v>34420</v>
      </c>
      <c r="H2475" s="2">
        <f t="shared" si="76"/>
        <v>44451</v>
      </c>
      <c r="I2475" t="str">
        <f t="shared" si="77"/>
        <v>Fgfr3_44451</v>
      </c>
      <c r="J2475" s="3">
        <v>0</v>
      </c>
      <c r="K2475" s="3">
        <v>2261</v>
      </c>
      <c r="L2475" s="3">
        <v>3440</v>
      </c>
      <c r="M2475" s="3">
        <v>4330</v>
      </c>
      <c r="N2475" s="3">
        <v>34420</v>
      </c>
    </row>
    <row r="2476" spans="1:14" x14ac:dyDescent="0.2">
      <c r="A2476" s="5" t="str">
        <f>HYPERLINK("http://www.ncbi.nlm.nih.gov/protein/254028254","Fgfr3")</f>
        <v>Fgfr3</v>
      </c>
      <c r="B2476" s="4"/>
      <c r="C2476" s="3">
        <v>0</v>
      </c>
      <c r="D2476" s="3">
        <v>2261</v>
      </c>
      <c r="E2476" s="3">
        <v>3440</v>
      </c>
      <c r="F2476" s="3">
        <v>4330</v>
      </c>
      <c r="G2476" s="3">
        <v>36220</v>
      </c>
      <c r="H2476" s="2">
        <f t="shared" si="76"/>
        <v>46251</v>
      </c>
      <c r="I2476" t="str">
        <f t="shared" si="77"/>
        <v>Fgfr3_46251</v>
      </c>
      <c r="J2476" s="3">
        <v>0</v>
      </c>
      <c r="K2476" s="3">
        <v>2261</v>
      </c>
      <c r="L2476" s="3">
        <v>3440</v>
      </c>
      <c r="M2476" s="3">
        <v>4330</v>
      </c>
      <c r="N2476" s="3">
        <v>36220</v>
      </c>
    </row>
    <row r="2477" spans="1:14" x14ac:dyDescent="0.2">
      <c r="A2477" s="5" t="str">
        <f>HYPERLINK("http://www.ncbi.nlm.nih.gov/protein/328751707","Fgfr3")</f>
        <v>Fgfr3</v>
      </c>
      <c r="B2477" s="4"/>
      <c r="C2477" s="3">
        <v>0</v>
      </c>
      <c r="D2477" s="3">
        <v>2261</v>
      </c>
      <c r="E2477" s="3">
        <v>3440</v>
      </c>
      <c r="F2477" s="3">
        <v>4330</v>
      </c>
      <c r="G2477" s="3">
        <v>34420</v>
      </c>
      <c r="H2477" s="2">
        <f t="shared" si="76"/>
        <v>44451</v>
      </c>
      <c r="I2477" t="str">
        <f t="shared" si="77"/>
        <v>Fgfr3_44451</v>
      </c>
      <c r="J2477" s="3">
        <v>0</v>
      </c>
      <c r="K2477" s="3">
        <v>2261</v>
      </c>
      <c r="L2477" s="3">
        <v>3440</v>
      </c>
      <c r="M2477" s="3">
        <v>4330</v>
      </c>
      <c r="N2477" s="3">
        <v>34420</v>
      </c>
    </row>
    <row r="2478" spans="1:14" x14ac:dyDescent="0.2">
      <c r="A2478" s="5" t="str">
        <f>HYPERLINK("http://www.ncbi.nlm.nih.gov/protein/46877057","Fgfr3")</f>
        <v>Fgfr3</v>
      </c>
      <c r="B2478" s="4"/>
      <c r="C2478" s="3">
        <v>0</v>
      </c>
      <c r="D2478" s="3">
        <v>2261</v>
      </c>
      <c r="E2478" s="3">
        <v>3440</v>
      </c>
      <c r="F2478" s="3">
        <v>4330</v>
      </c>
      <c r="G2478" s="3">
        <v>34420</v>
      </c>
      <c r="H2478" s="2">
        <f t="shared" si="76"/>
        <v>44451</v>
      </c>
      <c r="I2478" t="str">
        <f t="shared" si="77"/>
        <v>Fgfr3_44451</v>
      </c>
      <c r="J2478" s="3">
        <v>0</v>
      </c>
      <c r="K2478" s="3">
        <v>2261</v>
      </c>
      <c r="L2478" s="3">
        <v>3440</v>
      </c>
      <c r="M2478" s="3">
        <v>4330</v>
      </c>
      <c r="N2478" s="3">
        <v>34420</v>
      </c>
    </row>
    <row r="2479" spans="1:14" x14ac:dyDescent="0.2">
      <c r="A2479" s="5" t="str">
        <f>HYPERLINK("http://www.ncbi.nlm.nih.gov/protein/112293260","Fgfr4")</f>
        <v>Fgfr4</v>
      </c>
      <c r="B2479" s="4"/>
      <c r="C2479" s="3">
        <v>0</v>
      </c>
      <c r="D2479" s="3">
        <v>2261</v>
      </c>
      <c r="E2479" s="3">
        <v>3440</v>
      </c>
      <c r="F2479" s="3">
        <v>4330</v>
      </c>
      <c r="G2479" s="3">
        <v>34420</v>
      </c>
      <c r="H2479" s="2">
        <f t="shared" si="76"/>
        <v>44451</v>
      </c>
      <c r="I2479" t="str">
        <f t="shared" si="77"/>
        <v>Fgfr4_44451</v>
      </c>
      <c r="J2479" s="3">
        <v>0</v>
      </c>
      <c r="K2479" s="3">
        <v>2261</v>
      </c>
      <c r="L2479" s="3">
        <v>3440</v>
      </c>
      <c r="M2479" s="3">
        <v>4330</v>
      </c>
      <c r="N2479" s="3">
        <v>34420</v>
      </c>
    </row>
    <row r="2480" spans="1:14" x14ac:dyDescent="0.2">
      <c r="A2480" s="5" t="str">
        <f>HYPERLINK("http://www.ncbi.nlm.nih.gov/protein/171542819","Fgr")</f>
        <v>Fgr</v>
      </c>
      <c r="B2480" s="4"/>
      <c r="C2480" s="3">
        <v>0</v>
      </c>
      <c r="D2480" s="3">
        <v>2261</v>
      </c>
      <c r="E2480" s="3">
        <v>3440</v>
      </c>
      <c r="F2480" s="3">
        <v>4330</v>
      </c>
      <c r="G2480" s="3">
        <v>34420</v>
      </c>
      <c r="H2480" s="2">
        <f t="shared" si="76"/>
        <v>44451</v>
      </c>
      <c r="I2480" t="str">
        <f t="shared" si="77"/>
        <v>Fgr_44451</v>
      </c>
      <c r="J2480" s="3">
        <v>0</v>
      </c>
      <c r="K2480" s="3">
        <v>2261</v>
      </c>
      <c r="L2480" s="3">
        <v>3440</v>
      </c>
      <c r="M2480" s="3">
        <v>4330</v>
      </c>
      <c r="N2480" s="3">
        <v>34420</v>
      </c>
    </row>
    <row r="2481" spans="1:14" x14ac:dyDescent="0.2">
      <c r="A2481" s="5" t="str">
        <f>HYPERLINK("http://www.ncbi.nlm.nih.gov/protein/226823367","Fh1")</f>
        <v>Fh1</v>
      </c>
      <c r="B2481" s="4"/>
      <c r="C2481" s="3">
        <v>78844</v>
      </c>
      <c r="D2481" s="3">
        <v>23687</v>
      </c>
      <c r="E2481" s="3">
        <v>1248</v>
      </c>
      <c r="F2481" s="3">
        <v>2447</v>
      </c>
      <c r="G2481" s="3">
        <v>73788</v>
      </c>
      <c r="H2481" s="2">
        <f t="shared" si="76"/>
        <v>180014</v>
      </c>
      <c r="I2481" t="str">
        <f t="shared" si="77"/>
        <v>Fh1_180014</v>
      </c>
      <c r="J2481" s="3">
        <v>78844</v>
      </c>
      <c r="K2481" s="3">
        <v>23687</v>
      </c>
      <c r="L2481" s="3">
        <v>1248</v>
      </c>
      <c r="M2481" s="3">
        <v>2447</v>
      </c>
      <c r="N2481" s="3">
        <v>73788</v>
      </c>
    </row>
    <row r="2482" spans="1:14" x14ac:dyDescent="0.2">
      <c r="A2482" s="5" t="str">
        <f>HYPERLINK("http://www.ncbi.nlm.nih.gov/protein/209413705","Fhad1")</f>
        <v>Fhad1</v>
      </c>
      <c r="B2482" s="4"/>
      <c r="C2482" s="3">
        <v>0</v>
      </c>
      <c r="D2482" s="3">
        <v>0</v>
      </c>
      <c r="E2482" s="3">
        <v>0</v>
      </c>
      <c r="F2482" s="3">
        <v>49</v>
      </c>
      <c r="G2482" s="3">
        <v>0</v>
      </c>
      <c r="H2482" s="2">
        <f t="shared" si="76"/>
        <v>49</v>
      </c>
      <c r="I2482" t="str">
        <f t="shared" si="77"/>
        <v>Fhad1_49</v>
      </c>
      <c r="J2482" s="3">
        <v>0</v>
      </c>
      <c r="K2482" s="3">
        <v>0</v>
      </c>
      <c r="L2482" s="3">
        <v>0</v>
      </c>
      <c r="M2482" s="3">
        <v>49</v>
      </c>
      <c r="N2482" s="3">
        <v>0</v>
      </c>
    </row>
    <row r="2483" spans="1:14" x14ac:dyDescent="0.2">
      <c r="A2483" s="5" t="str">
        <f>HYPERLINK("http://www.ncbi.nlm.nih.gov/protein/116517334","Fhl1")</f>
        <v>Fhl1</v>
      </c>
      <c r="B2483" s="4"/>
      <c r="C2483" s="3">
        <v>0</v>
      </c>
      <c r="D2483" s="3">
        <v>0</v>
      </c>
      <c r="E2483" s="3">
        <v>539</v>
      </c>
      <c r="F2483" s="3">
        <v>5026</v>
      </c>
      <c r="G2483" s="3">
        <v>3213</v>
      </c>
      <c r="H2483" s="2">
        <f t="shared" si="76"/>
        <v>8778</v>
      </c>
      <c r="I2483" t="str">
        <f t="shared" si="77"/>
        <v>Fhl1_8778</v>
      </c>
      <c r="J2483" s="3">
        <v>0</v>
      </c>
      <c r="K2483" s="3">
        <v>0</v>
      </c>
      <c r="L2483" s="3">
        <v>539</v>
      </c>
      <c r="M2483" s="3">
        <v>5026</v>
      </c>
      <c r="N2483" s="3">
        <v>3213</v>
      </c>
    </row>
    <row r="2484" spans="1:14" x14ac:dyDescent="0.2">
      <c r="A2484" s="5" t="str">
        <f>HYPERLINK("http://www.ncbi.nlm.nih.gov/protein/116517336","Fhl1")</f>
        <v>Fhl1</v>
      </c>
      <c r="B2484" s="4"/>
      <c r="C2484" s="3">
        <v>0</v>
      </c>
      <c r="D2484" s="3">
        <v>0</v>
      </c>
      <c r="E2484" s="3">
        <v>539</v>
      </c>
      <c r="F2484" s="3">
        <v>5026</v>
      </c>
      <c r="G2484" s="3">
        <v>3213</v>
      </c>
      <c r="H2484" s="2">
        <f t="shared" si="76"/>
        <v>8778</v>
      </c>
      <c r="I2484" t="str">
        <f t="shared" si="77"/>
        <v>Fhl1_8778</v>
      </c>
      <c r="J2484" s="3">
        <v>0</v>
      </c>
      <c r="K2484" s="3">
        <v>0</v>
      </c>
      <c r="L2484" s="3">
        <v>539</v>
      </c>
      <c r="M2484" s="3">
        <v>5026</v>
      </c>
      <c r="N2484" s="3">
        <v>3213</v>
      </c>
    </row>
    <row r="2485" spans="1:14" x14ac:dyDescent="0.2">
      <c r="A2485" s="5" t="str">
        <f>HYPERLINK("http://www.ncbi.nlm.nih.gov/protein/116517340","Fhl1")</f>
        <v>Fhl1</v>
      </c>
      <c r="B2485" s="4"/>
      <c r="C2485" s="3">
        <v>0</v>
      </c>
      <c r="D2485" s="3">
        <v>0</v>
      </c>
      <c r="E2485" s="3">
        <v>539</v>
      </c>
      <c r="F2485" s="3">
        <v>5026</v>
      </c>
      <c r="G2485" s="3">
        <v>3213</v>
      </c>
      <c r="H2485" s="2">
        <f t="shared" si="76"/>
        <v>8778</v>
      </c>
      <c r="I2485" t="str">
        <f t="shared" si="77"/>
        <v>Fhl1_8778</v>
      </c>
      <c r="J2485" s="3">
        <v>0</v>
      </c>
      <c r="K2485" s="3">
        <v>0</v>
      </c>
      <c r="L2485" s="3">
        <v>539</v>
      </c>
      <c r="M2485" s="3">
        <v>5026</v>
      </c>
      <c r="N2485" s="3">
        <v>3213</v>
      </c>
    </row>
    <row r="2486" spans="1:14" x14ac:dyDescent="0.2">
      <c r="A2486" s="5" t="str">
        <f>HYPERLINK("http://www.ncbi.nlm.nih.gov/protein/6753866","Fhl2")</f>
        <v>Fhl2</v>
      </c>
      <c r="B2486" s="4"/>
      <c r="C2486" s="3">
        <v>0</v>
      </c>
      <c r="D2486" s="3">
        <v>0</v>
      </c>
      <c r="E2486" s="3">
        <v>0</v>
      </c>
      <c r="F2486" s="3">
        <v>0</v>
      </c>
      <c r="G2486" s="3">
        <v>4851</v>
      </c>
      <c r="H2486" s="2">
        <f t="shared" si="76"/>
        <v>4851</v>
      </c>
      <c r="I2486" t="str">
        <f t="shared" si="77"/>
        <v>Fhl2_4851</v>
      </c>
      <c r="J2486" s="3">
        <v>0</v>
      </c>
      <c r="K2486" s="3">
        <v>0</v>
      </c>
      <c r="L2486" s="3">
        <v>0</v>
      </c>
      <c r="M2486" s="3">
        <v>0</v>
      </c>
      <c r="N2486" s="3">
        <v>4851</v>
      </c>
    </row>
    <row r="2487" spans="1:14" x14ac:dyDescent="0.2">
      <c r="A2487" s="5" t="str">
        <f>HYPERLINK("http://www.ncbi.nlm.nih.gov/protein/130488506","Fhl3")</f>
        <v>Fhl3</v>
      </c>
      <c r="B2487" s="4"/>
      <c r="C2487" s="3">
        <v>0</v>
      </c>
      <c r="D2487" s="3">
        <v>453</v>
      </c>
      <c r="E2487" s="3">
        <v>91</v>
      </c>
      <c r="F2487" s="3">
        <v>385</v>
      </c>
      <c r="G2487" s="3">
        <v>46747</v>
      </c>
      <c r="H2487" s="2">
        <f t="shared" si="76"/>
        <v>47676</v>
      </c>
      <c r="I2487" t="str">
        <f t="shared" si="77"/>
        <v>Fhl3_47676</v>
      </c>
      <c r="J2487" s="3">
        <v>0</v>
      </c>
      <c r="K2487" s="3">
        <v>453</v>
      </c>
      <c r="L2487" s="3">
        <v>91</v>
      </c>
      <c r="M2487" s="3">
        <v>385</v>
      </c>
      <c r="N2487" s="3">
        <v>46747</v>
      </c>
    </row>
    <row r="2488" spans="1:14" x14ac:dyDescent="0.2">
      <c r="A2488" s="5" t="str">
        <f>HYPERLINK("http://www.ncbi.nlm.nih.gov/protein/269973931","Fhod1")</f>
        <v>Fhod1</v>
      </c>
      <c r="B2488" s="4"/>
      <c r="C2488" s="3">
        <v>0</v>
      </c>
      <c r="D2488" s="3">
        <v>0</v>
      </c>
      <c r="E2488" s="3">
        <v>0</v>
      </c>
      <c r="F2488" s="3">
        <v>0</v>
      </c>
      <c r="G2488" s="3">
        <v>546</v>
      </c>
      <c r="H2488" s="2">
        <f t="shared" si="76"/>
        <v>546</v>
      </c>
      <c r="I2488" t="str">
        <f t="shared" si="77"/>
        <v>Fhod1_546</v>
      </c>
      <c r="J2488" s="3">
        <v>0</v>
      </c>
      <c r="K2488" s="3">
        <v>0</v>
      </c>
      <c r="L2488" s="3">
        <v>0</v>
      </c>
      <c r="M2488" s="3">
        <v>0</v>
      </c>
      <c r="N2488" s="3">
        <v>546</v>
      </c>
    </row>
    <row r="2489" spans="1:14" x14ac:dyDescent="0.2">
      <c r="A2489" s="5" t="str">
        <f>HYPERLINK("http://www.ncbi.nlm.nih.gov/protein/37674240","Fhod3")</f>
        <v>Fhod3</v>
      </c>
      <c r="B2489" s="4"/>
      <c r="C2489" s="3">
        <v>0</v>
      </c>
      <c r="D2489" s="3">
        <v>0</v>
      </c>
      <c r="E2489" s="3">
        <v>183</v>
      </c>
      <c r="F2489" s="3">
        <v>0</v>
      </c>
      <c r="G2489" s="3">
        <v>0</v>
      </c>
      <c r="H2489" s="2">
        <f t="shared" si="76"/>
        <v>183</v>
      </c>
      <c r="I2489" t="str">
        <f t="shared" si="77"/>
        <v>Fhod3_183</v>
      </c>
      <c r="J2489" s="3">
        <v>0</v>
      </c>
      <c r="K2489" s="3">
        <v>0</v>
      </c>
      <c r="L2489" s="3">
        <v>183</v>
      </c>
      <c r="M2489" s="3">
        <v>0</v>
      </c>
      <c r="N2489" s="3">
        <v>0</v>
      </c>
    </row>
    <row r="2490" spans="1:14" x14ac:dyDescent="0.2">
      <c r="A2490" s="5" t="str">
        <f>HYPERLINK("http://www.ncbi.nlm.nih.gov/protein/19527220","Fig4")</f>
        <v>Fig4</v>
      </c>
      <c r="B2490" s="4"/>
      <c r="C2490" s="3">
        <v>0</v>
      </c>
      <c r="D2490" s="3">
        <v>31</v>
      </c>
      <c r="E2490" s="3">
        <v>48</v>
      </c>
      <c r="F2490" s="3">
        <v>745</v>
      </c>
      <c r="G2490" s="3">
        <v>0</v>
      </c>
      <c r="H2490" s="2">
        <f t="shared" si="76"/>
        <v>824</v>
      </c>
      <c r="I2490" t="str">
        <f t="shared" si="77"/>
        <v>Fig4_824</v>
      </c>
      <c r="J2490" s="3">
        <v>0</v>
      </c>
      <c r="K2490" s="3">
        <v>31</v>
      </c>
      <c r="L2490" s="3">
        <v>48</v>
      </c>
      <c r="M2490" s="3">
        <v>745</v>
      </c>
      <c r="N2490" s="3">
        <v>0</v>
      </c>
    </row>
    <row r="2491" spans="1:14" x14ac:dyDescent="0.2">
      <c r="A2491" s="5" t="str">
        <f>HYPERLINK("http://www.ncbi.nlm.nih.gov/protein/31560300","Fignl1")</f>
        <v>Fignl1</v>
      </c>
      <c r="B2491" s="4"/>
      <c r="C2491" s="3">
        <v>0</v>
      </c>
      <c r="D2491" s="3">
        <v>0</v>
      </c>
      <c r="E2491" s="3">
        <v>1989</v>
      </c>
      <c r="F2491" s="3">
        <v>0</v>
      </c>
      <c r="G2491" s="3">
        <v>4059</v>
      </c>
      <c r="H2491" s="2">
        <f t="shared" si="76"/>
        <v>6048</v>
      </c>
      <c r="I2491" t="str">
        <f t="shared" si="77"/>
        <v>Fignl1_6048</v>
      </c>
      <c r="J2491" s="3">
        <v>0</v>
      </c>
      <c r="K2491" s="3">
        <v>0</v>
      </c>
      <c r="L2491" s="3">
        <v>1989</v>
      </c>
      <c r="M2491" s="3">
        <v>0</v>
      </c>
      <c r="N2491" s="3">
        <v>4059</v>
      </c>
    </row>
    <row r="2492" spans="1:14" x14ac:dyDescent="0.2">
      <c r="A2492" s="5" t="str">
        <f>HYPERLINK("http://www.ncbi.nlm.nih.gov/protein/227330595","Fip1l1")</f>
        <v>Fip1l1</v>
      </c>
      <c r="B2492" s="4"/>
      <c r="C2492" s="3">
        <v>0</v>
      </c>
      <c r="D2492" s="3">
        <v>0</v>
      </c>
      <c r="E2492" s="3">
        <v>72</v>
      </c>
      <c r="F2492" s="3">
        <v>0</v>
      </c>
      <c r="G2492" s="3">
        <v>0</v>
      </c>
      <c r="H2492" s="2">
        <f t="shared" si="76"/>
        <v>72</v>
      </c>
      <c r="I2492" t="str">
        <f t="shared" si="77"/>
        <v>Fip1l1_72</v>
      </c>
      <c r="J2492" s="3">
        <v>0</v>
      </c>
      <c r="K2492" s="3">
        <v>0</v>
      </c>
      <c r="L2492" s="3">
        <v>72</v>
      </c>
      <c r="M2492" s="3">
        <v>0</v>
      </c>
      <c r="N2492" s="3">
        <v>0</v>
      </c>
    </row>
    <row r="2493" spans="1:14" x14ac:dyDescent="0.2">
      <c r="A2493" s="5" t="str">
        <f>HYPERLINK("http://www.ncbi.nlm.nih.gov/protein/227330598","Fip1l1")</f>
        <v>Fip1l1</v>
      </c>
      <c r="B2493" s="4"/>
      <c r="C2493" s="3">
        <v>0</v>
      </c>
      <c r="D2493" s="3">
        <v>0</v>
      </c>
      <c r="E2493" s="3">
        <v>72</v>
      </c>
      <c r="F2493" s="3">
        <v>0</v>
      </c>
      <c r="G2493" s="3">
        <v>0</v>
      </c>
      <c r="H2493" s="2">
        <f t="shared" si="76"/>
        <v>72</v>
      </c>
      <c r="I2493" t="str">
        <f t="shared" si="77"/>
        <v>Fip1l1_72</v>
      </c>
      <c r="J2493" s="3">
        <v>0</v>
      </c>
      <c r="K2493" s="3">
        <v>0</v>
      </c>
      <c r="L2493" s="3">
        <v>72</v>
      </c>
      <c r="M2493" s="3">
        <v>0</v>
      </c>
      <c r="N2493" s="3">
        <v>0</v>
      </c>
    </row>
    <row r="2494" spans="1:14" x14ac:dyDescent="0.2">
      <c r="A2494" s="5" t="str">
        <f>HYPERLINK("http://www.ncbi.nlm.nih.gov/protein/31560210","Fip1l1")</f>
        <v>Fip1l1</v>
      </c>
      <c r="B2494" s="4"/>
      <c r="C2494" s="3">
        <v>0</v>
      </c>
      <c r="D2494" s="3">
        <v>0</v>
      </c>
      <c r="E2494" s="3">
        <v>72</v>
      </c>
      <c r="F2494" s="3">
        <v>0</v>
      </c>
      <c r="G2494" s="3">
        <v>0</v>
      </c>
      <c r="H2494" s="2">
        <f t="shared" si="76"/>
        <v>72</v>
      </c>
      <c r="I2494" t="str">
        <f t="shared" si="77"/>
        <v>Fip1l1_72</v>
      </c>
      <c r="J2494" s="3">
        <v>0</v>
      </c>
      <c r="K2494" s="3">
        <v>0</v>
      </c>
      <c r="L2494" s="3">
        <v>72</v>
      </c>
      <c r="M2494" s="3">
        <v>0</v>
      </c>
      <c r="N2494" s="3">
        <v>0</v>
      </c>
    </row>
    <row r="2495" spans="1:14" x14ac:dyDescent="0.2">
      <c r="A2495" s="5" t="str">
        <f>HYPERLINK("http://www.ncbi.nlm.nih.gov/protein/13384998","Fis1")</f>
        <v>Fis1</v>
      </c>
      <c r="B2495" s="4"/>
      <c r="C2495" s="3">
        <v>43312</v>
      </c>
      <c r="D2495" s="3">
        <v>470</v>
      </c>
      <c r="E2495" s="3">
        <v>7435</v>
      </c>
      <c r="F2495" s="3">
        <v>26112</v>
      </c>
      <c r="G2495" s="3">
        <v>3116</v>
      </c>
      <c r="H2495" s="2">
        <f t="shared" si="76"/>
        <v>80445</v>
      </c>
      <c r="I2495" t="str">
        <f t="shared" si="77"/>
        <v>Fis1_80445</v>
      </c>
      <c r="J2495" s="3">
        <v>43312</v>
      </c>
      <c r="K2495" s="3">
        <v>470</v>
      </c>
      <c r="L2495" s="3">
        <v>7435</v>
      </c>
      <c r="M2495" s="3">
        <v>26112</v>
      </c>
      <c r="N2495" s="3">
        <v>3116</v>
      </c>
    </row>
    <row r="2496" spans="1:14" x14ac:dyDescent="0.2">
      <c r="A2496" s="5" t="str">
        <f>HYPERLINK("http://www.ncbi.nlm.nih.gov/protein/253735731","Fis1")</f>
        <v>Fis1</v>
      </c>
      <c r="B2496" s="4"/>
      <c r="C2496" s="3">
        <v>43312</v>
      </c>
      <c r="D2496" s="3">
        <v>470</v>
      </c>
      <c r="E2496" s="3">
        <v>7435</v>
      </c>
      <c r="F2496" s="3">
        <v>26112</v>
      </c>
      <c r="G2496" s="3">
        <v>3116</v>
      </c>
      <c r="H2496" s="2">
        <f t="shared" si="76"/>
        <v>80445</v>
      </c>
      <c r="I2496" t="str">
        <f t="shared" si="77"/>
        <v>Fis1_80445</v>
      </c>
      <c r="J2496" s="3">
        <v>43312</v>
      </c>
      <c r="K2496" s="3">
        <v>470</v>
      </c>
      <c r="L2496" s="3">
        <v>7435</v>
      </c>
      <c r="M2496" s="3">
        <v>26112</v>
      </c>
      <c r="N2496" s="3">
        <v>3116</v>
      </c>
    </row>
    <row r="2497" spans="1:14" x14ac:dyDescent="0.2">
      <c r="A2497" s="5" t="str">
        <f>HYPERLINK("http://www.ncbi.nlm.nih.gov/protein/27734174","Fitm2")</f>
        <v>Fitm2</v>
      </c>
      <c r="B2497" s="4"/>
      <c r="C2497" s="3">
        <v>0</v>
      </c>
      <c r="D2497" s="3">
        <v>992</v>
      </c>
      <c r="E2497" s="3">
        <v>0</v>
      </c>
      <c r="F2497" s="3">
        <v>0</v>
      </c>
      <c r="G2497" s="3">
        <v>0</v>
      </c>
      <c r="H2497" s="2">
        <f t="shared" si="76"/>
        <v>992</v>
      </c>
      <c r="I2497" t="str">
        <f t="shared" si="77"/>
        <v>Fitm2_992</v>
      </c>
      <c r="J2497" s="3">
        <v>0</v>
      </c>
      <c r="K2497" s="3">
        <v>992</v>
      </c>
      <c r="L2497" s="3">
        <v>0</v>
      </c>
      <c r="M2497" s="3">
        <v>0</v>
      </c>
      <c r="N2497" s="3">
        <v>0</v>
      </c>
    </row>
    <row r="2498" spans="1:14" x14ac:dyDescent="0.2">
      <c r="A2498" s="5" t="str">
        <f>HYPERLINK("http://www.ncbi.nlm.nih.gov/protein/160333154","Fiz1")</f>
        <v>Fiz1</v>
      </c>
      <c r="B2498" s="4"/>
      <c r="C2498" s="3">
        <v>0</v>
      </c>
      <c r="D2498" s="3">
        <v>0</v>
      </c>
      <c r="E2498" s="3">
        <v>16</v>
      </c>
      <c r="F2498" s="3">
        <v>33</v>
      </c>
      <c r="G2498" s="3">
        <v>0</v>
      </c>
      <c r="H2498" s="2">
        <f t="shared" ref="H2498:H2561" si="78">SUM(C2498:G2498)</f>
        <v>49</v>
      </c>
      <c r="I2498" t="str">
        <f t="shared" ref="I2498:I2561" si="79">A2498&amp;"_"&amp;H2498</f>
        <v>Fiz1_49</v>
      </c>
      <c r="J2498" s="3">
        <v>0</v>
      </c>
      <c r="K2498" s="3">
        <v>0</v>
      </c>
      <c r="L2498" s="3">
        <v>16</v>
      </c>
      <c r="M2498" s="3">
        <v>33</v>
      </c>
      <c r="N2498" s="3">
        <v>0</v>
      </c>
    </row>
    <row r="2499" spans="1:14" x14ac:dyDescent="0.2">
      <c r="A2499" s="5" t="str">
        <f>HYPERLINK("http://www.ncbi.nlm.nih.gov/protein/227116320","Fkbp15")</f>
        <v>Fkbp15</v>
      </c>
      <c r="B2499" s="4"/>
      <c r="C2499" s="3">
        <v>0</v>
      </c>
      <c r="D2499" s="3">
        <v>31</v>
      </c>
      <c r="E2499" s="3">
        <v>401</v>
      </c>
      <c r="F2499" s="3">
        <v>0</v>
      </c>
      <c r="G2499" s="3">
        <v>750</v>
      </c>
      <c r="H2499" s="2">
        <f t="shared" si="78"/>
        <v>1182</v>
      </c>
      <c r="I2499" t="str">
        <f t="shared" si="79"/>
        <v>Fkbp15_1182</v>
      </c>
      <c r="J2499" s="3">
        <v>0</v>
      </c>
      <c r="K2499" s="3">
        <v>31</v>
      </c>
      <c r="L2499" s="3">
        <v>401</v>
      </c>
      <c r="M2499" s="3">
        <v>0</v>
      </c>
      <c r="N2499" s="3">
        <v>750</v>
      </c>
    </row>
    <row r="2500" spans="1:14" x14ac:dyDescent="0.2">
      <c r="A2500" s="5" t="str">
        <f>HYPERLINK("http://www.ncbi.nlm.nih.gov/protein/6679803","Fkbp1a")</f>
        <v>Fkbp1a</v>
      </c>
      <c r="B2500" s="4"/>
      <c r="C2500" s="3">
        <v>366</v>
      </c>
      <c r="D2500" s="3">
        <v>474</v>
      </c>
      <c r="E2500" s="3">
        <v>1813</v>
      </c>
      <c r="F2500" s="3">
        <v>540</v>
      </c>
      <c r="G2500" s="3">
        <v>63058</v>
      </c>
      <c r="H2500" s="2">
        <f t="shared" si="78"/>
        <v>66251</v>
      </c>
      <c r="I2500" t="str">
        <f t="shared" si="79"/>
        <v>Fkbp1a_66251</v>
      </c>
      <c r="J2500" s="3">
        <v>366</v>
      </c>
      <c r="K2500" s="3">
        <v>474</v>
      </c>
      <c r="L2500" s="3">
        <v>1813</v>
      </c>
      <c r="M2500" s="3">
        <v>540</v>
      </c>
      <c r="N2500" s="3">
        <v>63058</v>
      </c>
    </row>
    <row r="2501" spans="1:14" x14ac:dyDescent="0.2">
      <c r="A2501" s="5" t="str">
        <f>HYPERLINK("http://www.ncbi.nlm.nih.gov/protein/123173728","Fkbp1b")</f>
        <v>Fkbp1b</v>
      </c>
      <c r="B2501" s="4"/>
      <c r="C2501" s="3">
        <v>0</v>
      </c>
      <c r="D2501" s="3">
        <v>0</v>
      </c>
      <c r="E2501" s="3">
        <v>0</v>
      </c>
      <c r="F2501" s="3">
        <v>0</v>
      </c>
      <c r="G2501" s="3">
        <v>2046</v>
      </c>
      <c r="H2501" s="2">
        <f t="shared" si="78"/>
        <v>2046</v>
      </c>
      <c r="I2501" t="str">
        <f t="shared" si="79"/>
        <v>Fkbp1b_2046</v>
      </c>
      <c r="J2501" s="3">
        <v>0</v>
      </c>
      <c r="K2501" s="3">
        <v>0</v>
      </c>
      <c r="L2501" s="3">
        <v>0</v>
      </c>
      <c r="M2501" s="3">
        <v>0</v>
      </c>
      <c r="N2501" s="3">
        <v>2046</v>
      </c>
    </row>
    <row r="2502" spans="1:14" x14ac:dyDescent="0.2">
      <c r="A2502" s="5" t="str">
        <f>HYPERLINK("http://www.ncbi.nlm.nih.gov/protein/261824055;6679805","Fkbp2")</f>
        <v>Fkbp2</v>
      </c>
      <c r="B2502" s="4"/>
      <c r="C2502" s="3">
        <v>13876</v>
      </c>
      <c r="D2502" s="3">
        <v>0</v>
      </c>
      <c r="E2502" s="3">
        <v>1144</v>
      </c>
      <c r="F2502" s="3">
        <v>0</v>
      </c>
      <c r="G2502" s="3">
        <v>0</v>
      </c>
      <c r="H2502" s="2">
        <f t="shared" si="78"/>
        <v>15020</v>
      </c>
      <c r="I2502" t="str">
        <f t="shared" si="79"/>
        <v>Fkbp2_15020</v>
      </c>
      <c r="J2502" s="3">
        <v>13876</v>
      </c>
      <c r="K2502" s="3">
        <v>0</v>
      </c>
      <c r="L2502" s="3">
        <v>1144</v>
      </c>
      <c r="M2502" s="3">
        <v>0</v>
      </c>
      <c r="N2502" s="3">
        <v>0</v>
      </c>
    </row>
    <row r="2503" spans="1:14" x14ac:dyDescent="0.2">
      <c r="A2503" s="5" t="str">
        <f>HYPERLINK("http://www.ncbi.nlm.nih.gov/protein/6679805","Fkbp2")</f>
        <v>Fkbp2</v>
      </c>
      <c r="B2503" s="4"/>
      <c r="C2503" s="3">
        <v>0</v>
      </c>
      <c r="D2503" s="3">
        <v>11882</v>
      </c>
      <c r="E2503" s="3">
        <v>0</v>
      </c>
      <c r="F2503" s="3">
        <v>0</v>
      </c>
      <c r="G2503" s="3">
        <v>12284</v>
      </c>
      <c r="H2503" s="2">
        <f t="shared" si="78"/>
        <v>24166</v>
      </c>
      <c r="I2503" t="str">
        <f t="shared" si="79"/>
        <v>Fkbp2_24166</v>
      </c>
      <c r="J2503" s="3">
        <v>0</v>
      </c>
      <c r="K2503" s="3">
        <v>11882</v>
      </c>
      <c r="L2503" s="3">
        <v>0</v>
      </c>
      <c r="M2503" s="3">
        <v>0</v>
      </c>
      <c r="N2503" s="3">
        <v>12284</v>
      </c>
    </row>
    <row r="2504" spans="1:14" x14ac:dyDescent="0.2">
      <c r="A2504" s="5" t="str">
        <f>HYPERLINK("http://www.ncbi.nlm.nih.gov/protein/7305061","Fkbp3")</f>
        <v>Fkbp3</v>
      </c>
      <c r="B2504" s="4"/>
      <c r="C2504" s="3">
        <v>13345</v>
      </c>
      <c r="D2504" s="3">
        <v>11452</v>
      </c>
      <c r="E2504" s="3">
        <v>49650</v>
      </c>
      <c r="F2504" s="3">
        <v>45970</v>
      </c>
      <c r="G2504" s="3">
        <v>8685</v>
      </c>
      <c r="H2504" s="2">
        <f t="shared" si="78"/>
        <v>129102</v>
      </c>
      <c r="I2504" t="str">
        <f t="shared" si="79"/>
        <v>Fkbp3_129102</v>
      </c>
      <c r="J2504" s="3">
        <v>13345</v>
      </c>
      <c r="K2504" s="3">
        <v>11452</v>
      </c>
      <c r="L2504" s="3">
        <v>49650</v>
      </c>
      <c r="M2504" s="3">
        <v>45970</v>
      </c>
      <c r="N2504" s="3">
        <v>8685</v>
      </c>
    </row>
    <row r="2505" spans="1:14" x14ac:dyDescent="0.2">
      <c r="A2505" s="5" t="str">
        <f>HYPERLINK("http://www.ncbi.nlm.nih.gov/protein/6753882","Fkbp4")</f>
        <v>Fkbp4</v>
      </c>
      <c r="B2505" s="4"/>
      <c r="C2505" s="3">
        <v>6114</v>
      </c>
      <c r="D2505" s="3">
        <v>21570</v>
      </c>
      <c r="E2505" s="3">
        <v>41627</v>
      </c>
      <c r="F2505" s="3">
        <v>114262</v>
      </c>
      <c r="G2505" s="3">
        <v>380327</v>
      </c>
      <c r="H2505" s="2">
        <f t="shared" si="78"/>
        <v>563900</v>
      </c>
      <c r="I2505" t="str">
        <f t="shared" si="79"/>
        <v>Fkbp4_563900</v>
      </c>
      <c r="J2505" s="3">
        <v>6114</v>
      </c>
      <c r="K2505" s="3">
        <v>21570</v>
      </c>
      <c r="L2505" s="3">
        <v>41627</v>
      </c>
      <c r="M2505" s="3">
        <v>114262</v>
      </c>
      <c r="N2505" s="3">
        <v>380327</v>
      </c>
    </row>
    <row r="2506" spans="1:14" x14ac:dyDescent="0.2">
      <c r="A2506" s="5" t="str">
        <f>HYPERLINK("http://www.ncbi.nlm.nih.gov/protein/6753884","Fkbp5")</f>
        <v>Fkbp5</v>
      </c>
      <c r="B2506" s="4"/>
      <c r="C2506" s="3">
        <v>2178</v>
      </c>
      <c r="D2506" s="3">
        <v>9797</v>
      </c>
      <c r="E2506" s="3">
        <v>36703</v>
      </c>
      <c r="F2506" s="3">
        <v>73416</v>
      </c>
      <c r="G2506" s="3">
        <v>158394</v>
      </c>
      <c r="H2506" s="2">
        <f t="shared" si="78"/>
        <v>280488</v>
      </c>
      <c r="I2506" t="str">
        <f t="shared" si="79"/>
        <v>Fkbp5_280488</v>
      </c>
      <c r="J2506" s="3">
        <v>2178</v>
      </c>
      <c r="K2506" s="3">
        <v>9797</v>
      </c>
      <c r="L2506" s="3">
        <v>36703</v>
      </c>
      <c r="M2506" s="3">
        <v>73416</v>
      </c>
      <c r="N2506" s="3">
        <v>158394</v>
      </c>
    </row>
    <row r="2507" spans="1:14" x14ac:dyDescent="0.2">
      <c r="A2507" s="5" t="str">
        <f>HYPERLINK("http://www.ncbi.nlm.nih.gov/protein/161484656","Fkbp8")</f>
        <v>Fkbp8</v>
      </c>
      <c r="B2507" s="4"/>
      <c r="C2507" s="3">
        <v>6133</v>
      </c>
      <c r="D2507" s="3">
        <v>4463</v>
      </c>
      <c r="E2507" s="3">
        <v>975</v>
      </c>
      <c r="F2507" s="3">
        <v>0</v>
      </c>
      <c r="G2507" s="3">
        <v>0</v>
      </c>
      <c r="H2507" s="2">
        <f t="shared" si="78"/>
        <v>11571</v>
      </c>
      <c r="I2507" t="str">
        <f t="shared" si="79"/>
        <v>Fkbp8_11571</v>
      </c>
      <c r="J2507" s="3">
        <v>6133</v>
      </c>
      <c r="K2507" s="3">
        <v>4463</v>
      </c>
      <c r="L2507" s="3">
        <v>975</v>
      </c>
      <c r="M2507" s="3">
        <v>0</v>
      </c>
      <c r="N2507" s="3">
        <v>0</v>
      </c>
    </row>
    <row r="2508" spans="1:14" x14ac:dyDescent="0.2">
      <c r="A2508" s="5" t="str">
        <f>HYPERLINK("http://www.ncbi.nlm.nih.gov/protein/161484658","Fkbp8")</f>
        <v>Fkbp8</v>
      </c>
      <c r="B2508" s="4"/>
      <c r="C2508" s="3">
        <v>6133</v>
      </c>
      <c r="D2508" s="3">
        <v>4463</v>
      </c>
      <c r="E2508" s="3">
        <v>975</v>
      </c>
      <c r="F2508" s="3">
        <v>0</v>
      </c>
      <c r="G2508" s="3">
        <v>0</v>
      </c>
      <c r="H2508" s="2">
        <f t="shared" si="78"/>
        <v>11571</v>
      </c>
      <c r="I2508" t="str">
        <f t="shared" si="79"/>
        <v>Fkbp8_11571</v>
      </c>
      <c r="J2508" s="3">
        <v>6133</v>
      </c>
      <c r="K2508" s="3">
        <v>4463</v>
      </c>
      <c r="L2508" s="3">
        <v>975</v>
      </c>
      <c r="M2508" s="3">
        <v>0</v>
      </c>
      <c r="N2508" s="3">
        <v>0</v>
      </c>
    </row>
    <row r="2509" spans="1:14" x14ac:dyDescent="0.2">
      <c r="A2509" s="5" t="str">
        <f>HYPERLINK("http://www.ncbi.nlm.nih.gov/protein/172072617","Fkbp9")</f>
        <v>Fkbp9</v>
      </c>
      <c r="B2509" s="4"/>
      <c r="C2509" s="3">
        <v>0</v>
      </c>
      <c r="D2509" s="3">
        <v>1044</v>
      </c>
      <c r="E2509" s="3">
        <v>0</v>
      </c>
      <c r="F2509" s="3">
        <v>0</v>
      </c>
      <c r="G2509" s="3">
        <v>0</v>
      </c>
      <c r="H2509" s="2">
        <f t="shared" si="78"/>
        <v>1044</v>
      </c>
      <c r="I2509" t="str">
        <f t="shared" si="79"/>
        <v>Fkbp9_1044</v>
      </c>
      <c r="J2509" s="3">
        <v>0</v>
      </c>
      <c r="K2509" s="3">
        <v>1044</v>
      </c>
      <c r="L2509" s="3">
        <v>0</v>
      </c>
      <c r="M2509" s="3">
        <v>0</v>
      </c>
      <c r="N2509" s="3">
        <v>0</v>
      </c>
    </row>
    <row r="2510" spans="1:14" x14ac:dyDescent="0.2">
      <c r="A2510" s="5" t="str">
        <f>HYPERLINK("http://www.ncbi.nlm.nih.gov/protein/89337262","Flad1")</f>
        <v>Flad1</v>
      </c>
      <c r="B2510" s="4"/>
      <c r="C2510" s="3">
        <v>0</v>
      </c>
      <c r="D2510" s="3">
        <v>134</v>
      </c>
      <c r="E2510" s="3">
        <v>0</v>
      </c>
      <c r="F2510" s="3">
        <v>0</v>
      </c>
      <c r="G2510" s="3">
        <v>5805</v>
      </c>
      <c r="H2510" s="2">
        <f t="shared" si="78"/>
        <v>5939</v>
      </c>
      <c r="I2510" t="str">
        <f t="shared" si="79"/>
        <v>Flad1_5939</v>
      </c>
      <c r="J2510" s="3">
        <v>0</v>
      </c>
      <c r="K2510" s="3">
        <v>134</v>
      </c>
      <c r="L2510" s="3">
        <v>0</v>
      </c>
      <c r="M2510" s="3">
        <v>0</v>
      </c>
      <c r="N2510" s="3">
        <v>5805</v>
      </c>
    </row>
    <row r="2511" spans="1:14" x14ac:dyDescent="0.2">
      <c r="A2511" s="5" t="str">
        <f>HYPERLINK("http://www.ncbi.nlm.nih.gov/protein/405778335","Flcn")</f>
        <v>Flcn</v>
      </c>
      <c r="B2511" s="4"/>
      <c r="C2511" s="3">
        <v>0</v>
      </c>
      <c r="D2511" s="3">
        <v>0</v>
      </c>
      <c r="E2511" s="3">
        <v>15</v>
      </c>
      <c r="F2511" s="3">
        <v>0</v>
      </c>
      <c r="G2511" s="3">
        <v>161</v>
      </c>
      <c r="H2511" s="2">
        <f t="shared" si="78"/>
        <v>176</v>
      </c>
      <c r="I2511" t="str">
        <f t="shared" si="79"/>
        <v>Flcn_176</v>
      </c>
      <c r="J2511" s="3">
        <v>0</v>
      </c>
      <c r="K2511" s="3">
        <v>0</v>
      </c>
      <c r="L2511" s="3">
        <v>15</v>
      </c>
      <c r="M2511" s="3">
        <v>0</v>
      </c>
      <c r="N2511" s="3">
        <v>161</v>
      </c>
    </row>
    <row r="2512" spans="1:14" x14ac:dyDescent="0.2">
      <c r="A2512" s="5" t="str">
        <f>HYPERLINK("http://www.ncbi.nlm.nih.gov/protein/84370015","Flg2")</f>
        <v>Flg2</v>
      </c>
      <c r="B2512" s="4"/>
      <c r="C2512" s="3">
        <v>0</v>
      </c>
      <c r="D2512" s="3">
        <v>0</v>
      </c>
      <c r="E2512" s="3">
        <v>10</v>
      </c>
      <c r="F2512" s="3">
        <v>0</v>
      </c>
      <c r="G2512" s="3">
        <v>0</v>
      </c>
      <c r="H2512" s="2">
        <f t="shared" si="78"/>
        <v>10</v>
      </c>
      <c r="I2512" t="str">
        <f t="shared" si="79"/>
        <v>Flg2_10</v>
      </c>
      <c r="J2512" s="3">
        <v>0</v>
      </c>
      <c r="K2512" s="3">
        <v>0</v>
      </c>
      <c r="L2512" s="3">
        <v>10</v>
      </c>
      <c r="M2512" s="3">
        <v>0</v>
      </c>
      <c r="N2512" s="3">
        <v>0</v>
      </c>
    </row>
    <row r="2513" spans="1:14" x14ac:dyDescent="0.2">
      <c r="A2513" s="5" t="str">
        <f>HYPERLINK("http://www.ncbi.nlm.nih.gov/protein/11528490","Flii")</f>
        <v>Flii</v>
      </c>
      <c r="B2513" s="4"/>
      <c r="C2513" s="3">
        <v>4943</v>
      </c>
      <c r="D2513" s="3">
        <v>499</v>
      </c>
      <c r="E2513" s="3">
        <v>23134</v>
      </c>
      <c r="F2513" s="3">
        <v>73973</v>
      </c>
      <c r="G2513" s="3">
        <v>45655</v>
      </c>
      <c r="H2513" s="2">
        <f t="shared" si="78"/>
        <v>148204</v>
      </c>
      <c r="I2513" t="str">
        <f t="shared" si="79"/>
        <v>Flii_148204</v>
      </c>
      <c r="J2513" s="3">
        <v>4943</v>
      </c>
      <c r="K2513" s="3">
        <v>499</v>
      </c>
      <c r="L2513" s="3">
        <v>23134</v>
      </c>
      <c r="M2513" s="3">
        <v>73973</v>
      </c>
      <c r="N2513" s="3">
        <v>45655</v>
      </c>
    </row>
    <row r="2514" spans="1:14" x14ac:dyDescent="0.2">
      <c r="A2514" s="5" t="str">
        <f>HYPERLINK("http://www.ncbi.nlm.nih.gov/protein/125347376","Flna")</f>
        <v>Flna</v>
      </c>
      <c r="B2514" s="4"/>
      <c r="C2514" s="3">
        <v>31358</v>
      </c>
      <c r="D2514" s="3">
        <v>10544</v>
      </c>
      <c r="E2514" s="3">
        <v>27676</v>
      </c>
      <c r="F2514" s="3">
        <v>98595</v>
      </c>
      <c r="G2514" s="3">
        <v>604626</v>
      </c>
      <c r="H2514" s="2">
        <f t="shared" si="78"/>
        <v>772799</v>
      </c>
      <c r="I2514" t="str">
        <f t="shared" si="79"/>
        <v>Flna_772799</v>
      </c>
      <c r="J2514" s="3">
        <v>31358</v>
      </c>
      <c r="K2514" s="3">
        <v>10544</v>
      </c>
      <c r="L2514" s="3">
        <v>27676</v>
      </c>
      <c r="M2514" s="3">
        <v>98595</v>
      </c>
      <c r="N2514" s="3">
        <v>604626</v>
      </c>
    </row>
    <row r="2515" spans="1:14" x14ac:dyDescent="0.2">
      <c r="A2515" s="5" t="str">
        <f>HYPERLINK("http://www.ncbi.nlm.nih.gov/protein/145966915","Flnb")</f>
        <v>Flnb</v>
      </c>
      <c r="B2515" s="4"/>
      <c r="C2515" s="3">
        <v>129094</v>
      </c>
      <c r="D2515" s="3">
        <v>32747</v>
      </c>
      <c r="E2515" s="3">
        <v>66376</v>
      </c>
      <c r="F2515" s="3">
        <v>190691</v>
      </c>
      <c r="G2515" s="3">
        <v>1203159</v>
      </c>
      <c r="H2515" s="2">
        <f t="shared" si="78"/>
        <v>1622067</v>
      </c>
      <c r="I2515" t="str">
        <f t="shared" si="79"/>
        <v>Flnb_1622067</v>
      </c>
      <c r="J2515" s="3">
        <v>129094</v>
      </c>
      <c r="K2515" s="3">
        <v>32747</v>
      </c>
      <c r="L2515" s="3">
        <v>66376</v>
      </c>
      <c r="M2515" s="3">
        <v>190691</v>
      </c>
      <c r="N2515" s="3">
        <v>1203159</v>
      </c>
    </row>
    <row r="2516" spans="1:14" x14ac:dyDescent="0.2">
      <c r="A2516" s="5" t="str">
        <f>HYPERLINK("http://www.ncbi.nlm.nih.gov/protein/124487139","Flnc")</f>
        <v>Flnc</v>
      </c>
      <c r="B2516" s="4"/>
      <c r="C2516" s="3">
        <v>34873</v>
      </c>
      <c r="D2516" s="3">
        <v>3373</v>
      </c>
      <c r="E2516" s="3">
        <v>6812</v>
      </c>
      <c r="F2516" s="3">
        <v>21945</v>
      </c>
      <c r="G2516" s="3">
        <v>181258</v>
      </c>
      <c r="H2516" s="2">
        <f t="shared" si="78"/>
        <v>248261</v>
      </c>
      <c r="I2516" t="str">
        <f t="shared" si="79"/>
        <v>Flnc_248261</v>
      </c>
      <c r="J2516" s="3">
        <v>34873</v>
      </c>
      <c r="K2516" s="3">
        <v>3373</v>
      </c>
      <c r="L2516" s="3">
        <v>6812</v>
      </c>
      <c r="M2516" s="3">
        <v>21945</v>
      </c>
      <c r="N2516" s="3">
        <v>181258</v>
      </c>
    </row>
    <row r="2517" spans="1:14" x14ac:dyDescent="0.2">
      <c r="A2517" s="5" t="str">
        <f>HYPERLINK("http://www.ncbi.nlm.nih.gov/protein/6679809","Flot1")</f>
        <v>Flot1</v>
      </c>
      <c r="B2517" s="4"/>
      <c r="C2517" s="3">
        <v>1355</v>
      </c>
      <c r="D2517" s="3">
        <v>6058</v>
      </c>
      <c r="E2517" s="3">
        <v>8193</v>
      </c>
      <c r="F2517" s="3">
        <v>0</v>
      </c>
      <c r="G2517" s="3">
        <v>0</v>
      </c>
      <c r="H2517" s="2">
        <f t="shared" si="78"/>
        <v>15606</v>
      </c>
      <c r="I2517" t="str">
        <f t="shared" si="79"/>
        <v>Flot1_15606</v>
      </c>
      <c r="J2517" s="3">
        <v>1355</v>
      </c>
      <c r="K2517" s="3">
        <v>6058</v>
      </c>
      <c r="L2517" s="3">
        <v>8193</v>
      </c>
      <c r="M2517" s="3">
        <v>0</v>
      </c>
      <c r="N2517" s="3">
        <v>0</v>
      </c>
    </row>
    <row r="2518" spans="1:14" x14ac:dyDescent="0.2">
      <c r="A2518" s="5" t="str">
        <f>HYPERLINK("http://www.ncbi.nlm.nih.gov/protein/6679811","Flot2")</f>
        <v>Flot2</v>
      </c>
      <c r="B2518" s="4"/>
      <c r="C2518" s="3">
        <v>0</v>
      </c>
      <c r="D2518" s="3">
        <v>1004</v>
      </c>
      <c r="E2518" s="3">
        <v>3963</v>
      </c>
      <c r="F2518" s="3">
        <v>0</v>
      </c>
      <c r="G2518" s="3">
        <v>0</v>
      </c>
      <c r="H2518" s="2">
        <f t="shared" si="78"/>
        <v>4967</v>
      </c>
      <c r="I2518" t="str">
        <f t="shared" si="79"/>
        <v>Flot2_4967</v>
      </c>
      <c r="J2518" s="3">
        <v>0</v>
      </c>
      <c r="K2518" s="3">
        <v>1004</v>
      </c>
      <c r="L2518" s="3">
        <v>3963</v>
      </c>
      <c r="M2518" s="3">
        <v>0</v>
      </c>
      <c r="N2518" s="3">
        <v>0</v>
      </c>
    </row>
    <row r="2519" spans="1:14" x14ac:dyDescent="0.2">
      <c r="A2519" s="5" t="str">
        <f>HYPERLINK("http://www.ncbi.nlm.nih.gov/protein/94536791","Flot2")</f>
        <v>Flot2</v>
      </c>
      <c r="B2519" s="4"/>
      <c r="C2519" s="3">
        <v>0</v>
      </c>
      <c r="D2519" s="3">
        <v>1004</v>
      </c>
      <c r="E2519" s="3">
        <v>4109</v>
      </c>
      <c r="F2519" s="3">
        <v>0</v>
      </c>
      <c r="G2519" s="3">
        <v>0</v>
      </c>
      <c r="H2519" s="2">
        <f t="shared" si="78"/>
        <v>5113</v>
      </c>
      <c r="I2519" t="str">
        <f t="shared" si="79"/>
        <v>Flot2_5113</v>
      </c>
      <c r="J2519" s="3">
        <v>0</v>
      </c>
      <c r="K2519" s="3">
        <v>1004</v>
      </c>
      <c r="L2519" s="3">
        <v>4109</v>
      </c>
      <c r="M2519" s="3">
        <v>0</v>
      </c>
      <c r="N2519" s="3">
        <v>0</v>
      </c>
    </row>
    <row r="2520" spans="1:14" x14ac:dyDescent="0.2">
      <c r="A2520" s="5" t="str">
        <f>HYPERLINK("http://www.ncbi.nlm.nih.gov/protein/34328180","Flt1")</f>
        <v>Flt1</v>
      </c>
      <c r="B2520" s="4"/>
      <c r="C2520" s="3">
        <v>0</v>
      </c>
      <c r="D2520" s="3">
        <v>202</v>
      </c>
      <c r="E2520" s="3">
        <v>6785</v>
      </c>
      <c r="F2520" s="3">
        <v>36254</v>
      </c>
      <c r="G2520" s="3">
        <v>73039</v>
      </c>
      <c r="H2520" s="2">
        <f t="shared" si="78"/>
        <v>116280</v>
      </c>
      <c r="I2520" t="str">
        <f t="shared" si="79"/>
        <v>Flt1_116280</v>
      </c>
      <c r="J2520" s="3">
        <v>0</v>
      </c>
      <c r="K2520" s="3">
        <v>202</v>
      </c>
      <c r="L2520" s="3">
        <v>6785</v>
      </c>
      <c r="M2520" s="3">
        <v>36254</v>
      </c>
      <c r="N2520" s="3">
        <v>73039</v>
      </c>
    </row>
    <row r="2521" spans="1:14" x14ac:dyDescent="0.2">
      <c r="A2521" s="5" t="str">
        <f>HYPERLINK("http://www.ncbi.nlm.nih.gov/protein/122937353","Flt3")</f>
        <v>Flt3</v>
      </c>
      <c r="B2521" s="4"/>
      <c r="C2521" s="3">
        <v>0</v>
      </c>
      <c r="D2521" s="3">
        <v>202</v>
      </c>
      <c r="E2521" s="3">
        <v>6785</v>
      </c>
      <c r="F2521" s="3">
        <v>36254</v>
      </c>
      <c r="G2521" s="3">
        <v>73039</v>
      </c>
      <c r="H2521" s="2">
        <f t="shared" si="78"/>
        <v>116280</v>
      </c>
      <c r="I2521" t="str">
        <f t="shared" si="79"/>
        <v>Flt3_116280</v>
      </c>
      <c r="J2521" s="3">
        <v>0</v>
      </c>
      <c r="K2521" s="3">
        <v>202</v>
      </c>
      <c r="L2521" s="3">
        <v>6785</v>
      </c>
      <c r="M2521" s="3">
        <v>36254</v>
      </c>
      <c r="N2521" s="3">
        <v>73039</v>
      </c>
    </row>
    <row r="2522" spans="1:14" x14ac:dyDescent="0.2">
      <c r="A2522" s="5" t="str">
        <f>HYPERLINK("http://www.ncbi.nlm.nih.gov/protein/6679813","Flt4")</f>
        <v>Flt4</v>
      </c>
      <c r="B2522" s="4"/>
      <c r="C2522" s="3">
        <v>0</v>
      </c>
      <c r="D2522" s="3">
        <v>202</v>
      </c>
      <c r="E2522" s="3">
        <v>6785</v>
      </c>
      <c r="F2522" s="3">
        <v>36254</v>
      </c>
      <c r="G2522" s="3">
        <v>73039</v>
      </c>
      <c r="H2522" s="2">
        <f t="shared" si="78"/>
        <v>116280</v>
      </c>
      <c r="I2522" t="str">
        <f t="shared" si="79"/>
        <v>Flt4_116280</v>
      </c>
      <c r="J2522" s="3">
        <v>0</v>
      </c>
      <c r="K2522" s="3">
        <v>202</v>
      </c>
      <c r="L2522" s="3">
        <v>6785</v>
      </c>
      <c r="M2522" s="3">
        <v>36254</v>
      </c>
      <c r="N2522" s="3">
        <v>73039</v>
      </c>
    </row>
    <row r="2523" spans="1:14" x14ac:dyDescent="0.2">
      <c r="A2523" s="5" t="str">
        <f>HYPERLINK("http://www.ncbi.nlm.nih.gov/protein/21553307","Flywch2")</f>
        <v>Flywch2</v>
      </c>
      <c r="B2523" s="4"/>
      <c r="C2523" s="3">
        <v>0</v>
      </c>
      <c r="D2523" s="3">
        <v>0</v>
      </c>
      <c r="E2523" s="3">
        <v>0</v>
      </c>
      <c r="F2523" s="3">
        <v>0</v>
      </c>
      <c r="G2523" s="3">
        <v>4584</v>
      </c>
      <c r="H2523" s="2">
        <f t="shared" si="78"/>
        <v>4584</v>
      </c>
      <c r="I2523" t="str">
        <f t="shared" si="79"/>
        <v>Flywch2_4584</v>
      </c>
      <c r="J2523" s="3">
        <v>0</v>
      </c>
      <c r="K2523" s="3">
        <v>0</v>
      </c>
      <c r="L2523" s="3">
        <v>0</v>
      </c>
      <c r="M2523" s="3">
        <v>0</v>
      </c>
      <c r="N2523" s="3">
        <v>4584</v>
      </c>
    </row>
    <row r="2524" spans="1:14" x14ac:dyDescent="0.2">
      <c r="A2524" s="5" t="str">
        <f>HYPERLINK("http://www.ncbi.nlm.nih.gov/protein/112807205","Fmn1")</f>
        <v>Fmn1</v>
      </c>
      <c r="B2524" s="4"/>
      <c r="C2524" s="3">
        <v>0</v>
      </c>
      <c r="D2524" s="3">
        <v>0</v>
      </c>
      <c r="E2524" s="3">
        <v>0</v>
      </c>
      <c r="F2524" s="3">
        <v>557</v>
      </c>
      <c r="G2524" s="3">
        <v>6843</v>
      </c>
      <c r="H2524" s="2">
        <f t="shared" si="78"/>
        <v>7400</v>
      </c>
      <c r="I2524" t="str">
        <f t="shared" si="79"/>
        <v>Fmn1_7400</v>
      </c>
      <c r="J2524" s="3">
        <v>0</v>
      </c>
      <c r="K2524" s="3">
        <v>0</v>
      </c>
      <c r="L2524" s="3">
        <v>0</v>
      </c>
      <c r="M2524" s="3">
        <v>557</v>
      </c>
      <c r="N2524" s="3">
        <v>6843</v>
      </c>
    </row>
    <row r="2525" spans="1:14" x14ac:dyDescent="0.2">
      <c r="A2525" s="5" t="str">
        <f>HYPERLINK("http://www.ncbi.nlm.nih.gov/protein/112807211","Fmn1")</f>
        <v>Fmn1</v>
      </c>
      <c r="B2525" s="4"/>
      <c r="C2525" s="3">
        <v>0</v>
      </c>
      <c r="D2525" s="3">
        <v>0</v>
      </c>
      <c r="E2525" s="3">
        <v>0</v>
      </c>
      <c r="F2525" s="3">
        <v>557</v>
      </c>
      <c r="G2525" s="3">
        <v>6843</v>
      </c>
      <c r="H2525" s="2">
        <f t="shared" si="78"/>
        <v>7400</v>
      </c>
      <c r="I2525" t="str">
        <f t="shared" si="79"/>
        <v>Fmn1_7400</v>
      </c>
      <c r="J2525" s="3">
        <v>0</v>
      </c>
      <c r="K2525" s="3">
        <v>0</v>
      </c>
      <c r="L2525" s="3">
        <v>0</v>
      </c>
      <c r="M2525" s="3">
        <v>557</v>
      </c>
      <c r="N2525" s="3">
        <v>6843</v>
      </c>
    </row>
    <row r="2526" spans="1:14" x14ac:dyDescent="0.2">
      <c r="A2526" s="5" t="str">
        <f>HYPERLINK("http://www.ncbi.nlm.nih.gov/protein/118136288","Fmnl1")</f>
        <v>Fmnl1</v>
      </c>
      <c r="B2526" s="4"/>
      <c r="C2526" s="3">
        <v>0</v>
      </c>
      <c r="D2526" s="3">
        <v>0</v>
      </c>
      <c r="E2526" s="3">
        <v>2205</v>
      </c>
      <c r="F2526" s="3">
        <v>0</v>
      </c>
      <c r="G2526" s="3">
        <v>0</v>
      </c>
      <c r="H2526" s="2">
        <f t="shared" si="78"/>
        <v>2205</v>
      </c>
      <c r="I2526" t="str">
        <f t="shared" si="79"/>
        <v>Fmnl1_2205</v>
      </c>
      <c r="J2526" s="3">
        <v>0</v>
      </c>
      <c r="K2526" s="3">
        <v>0</v>
      </c>
      <c r="L2526" s="3">
        <v>2205</v>
      </c>
      <c r="M2526" s="3">
        <v>0</v>
      </c>
      <c r="N2526" s="3">
        <v>0</v>
      </c>
    </row>
    <row r="2527" spans="1:14" x14ac:dyDescent="0.2">
      <c r="A2527" s="5" t="str">
        <f>HYPERLINK("http://www.ncbi.nlm.nih.gov/protein/118136290","Fmnl1")</f>
        <v>Fmnl1</v>
      </c>
      <c r="B2527" s="4"/>
      <c r="C2527" s="3">
        <v>0</v>
      </c>
      <c r="D2527" s="3">
        <v>0</v>
      </c>
      <c r="E2527" s="3">
        <v>2205</v>
      </c>
      <c r="F2527" s="3">
        <v>0</v>
      </c>
      <c r="G2527" s="3">
        <v>0</v>
      </c>
      <c r="H2527" s="2">
        <f t="shared" si="78"/>
        <v>2205</v>
      </c>
      <c r="I2527" t="str">
        <f t="shared" si="79"/>
        <v>Fmnl1_2205</v>
      </c>
      <c r="J2527" s="3">
        <v>0</v>
      </c>
      <c r="K2527" s="3">
        <v>0</v>
      </c>
      <c r="L2527" s="3">
        <v>2205</v>
      </c>
      <c r="M2527" s="3">
        <v>0</v>
      </c>
      <c r="N2527" s="3">
        <v>0</v>
      </c>
    </row>
    <row r="2528" spans="1:14" x14ac:dyDescent="0.2">
      <c r="A2528" s="5" t="str">
        <f>HYPERLINK("http://www.ncbi.nlm.nih.gov/protein/124378048","Fmnl2")</f>
        <v>Fmnl2</v>
      </c>
      <c r="B2528" s="4"/>
      <c r="C2528" s="3">
        <v>1227</v>
      </c>
      <c r="D2528" s="3">
        <v>4250</v>
      </c>
      <c r="E2528" s="3">
        <v>17772</v>
      </c>
      <c r="F2528" s="3">
        <v>26971</v>
      </c>
      <c r="G2528" s="3">
        <v>21</v>
      </c>
      <c r="H2528" s="2">
        <f t="shared" si="78"/>
        <v>50241</v>
      </c>
      <c r="I2528" t="str">
        <f t="shared" si="79"/>
        <v>Fmnl2_50241</v>
      </c>
      <c r="J2528" s="3">
        <v>1227</v>
      </c>
      <c r="K2528" s="3">
        <v>4250</v>
      </c>
      <c r="L2528" s="3">
        <v>17772</v>
      </c>
      <c r="M2528" s="3">
        <v>26971</v>
      </c>
      <c r="N2528" s="3">
        <v>21</v>
      </c>
    </row>
    <row r="2529" spans="1:14" x14ac:dyDescent="0.2">
      <c r="A2529" s="5" t="str">
        <f>HYPERLINK("http://www.ncbi.nlm.nih.gov/protein/38708163","Fmnl3")</f>
        <v>Fmnl3</v>
      </c>
      <c r="B2529" s="4"/>
      <c r="C2529" s="3">
        <v>1227</v>
      </c>
      <c r="D2529" s="3">
        <v>1501</v>
      </c>
      <c r="E2529" s="3">
        <v>24533</v>
      </c>
      <c r="F2529" s="3">
        <v>49334</v>
      </c>
      <c r="G2529" s="3">
        <v>21</v>
      </c>
      <c r="H2529" s="2">
        <f t="shared" si="78"/>
        <v>76616</v>
      </c>
      <c r="I2529" t="str">
        <f t="shared" si="79"/>
        <v>Fmnl3_76616</v>
      </c>
      <c r="J2529" s="3">
        <v>1227</v>
      </c>
      <c r="K2529" s="3">
        <v>1501</v>
      </c>
      <c r="L2529" s="3">
        <v>24533</v>
      </c>
      <c r="M2529" s="3">
        <v>49334</v>
      </c>
      <c r="N2529" s="3">
        <v>21</v>
      </c>
    </row>
    <row r="2530" spans="1:14" x14ac:dyDescent="0.2">
      <c r="A2530" s="5" t="str">
        <f>HYPERLINK("http://www.ncbi.nlm.nih.gov/protein/31542819","Fmo2")</f>
        <v>Fmo2</v>
      </c>
      <c r="B2530" s="4"/>
      <c r="C2530" s="3">
        <v>0</v>
      </c>
      <c r="D2530" s="3">
        <v>0</v>
      </c>
      <c r="E2530" s="3">
        <v>0</v>
      </c>
      <c r="F2530" s="3">
        <v>0</v>
      </c>
      <c r="G2530" s="3">
        <v>2228</v>
      </c>
      <c r="H2530" s="2">
        <f t="shared" si="78"/>
        <v>2228</v>
      </c>
      <c r="I2530" t="str">
        <f t="shared" si="79"/>
        <v>Fmo2_2228</v>
      </c>
      <c r="J2530" s="3">
        <v>0</v>
      </c>
      <c r="K2530" s="3">
        <v>0</v>
      </c>
      <c r="L2530" s="3">
        <v>0</v>
      </c>
      <c r="M2530" s="3">
        <v>0</v>
      </c>
      <c r="N2530" s="3">
        <v>2228</v>
      </c>
    </row>
    <row r="2531" spans="1:14" x14ac:dyDescent="0.2">
      <c r="A2531" s="5" t="str">
        <f>HYPERLINK("http://www.ncbi.nlm.nih.gov/protein/51036613","Fmr1")</f>
        <v>Fmr1</v>
      </c>
      <c r="B2531" s="4"/>
      <c r="C2531" s="3">
        <v>12778</v>
      </c>
      <c r="D2531" s="3">
        <v>3472</v>
      </c>
      <c r="E2531" s="3">
        <v>26932</v>
      </c>
      <c r="F2531" s="3">
        <v>12303</v>
      </c>
      <c r="G2531" s="3">
        <v>0</v>
      </c>
      <c r="H2531" s="2">
        <f t="shared" si="78"/>
        <v>55485</v>
      </c>
      <c r="I2531" t="str">
        <f t="shared" si="79"/>
        <v>Fmr1_55485</v>
      </c>
      <c r="J2531" s="3">
        <v>12778</v>
      </c>
      <c r="K2531" s="3">
        <v>3472</v>
      </c>
      <c r="L2531" s="3">
        <v>26932</v>
      </c>
      <c r="M2531" s="3">
        <v>12303</v>
      </c>
      <c r="N2531" s="3">
        <v>0</v>
      </c>
    </row>
    <row r="2532" spans="1:14" x14ac:dyDescent="0.2">
      <c r="A2532" s="5" t="str">
        <f>HYPERLINK("http://www.ncbi.nlm.nih.gov/protein/449083336","Fn1")</f>
        <v>Fn1</v>
      </c>
      <c r="B2532" s="4"/>
      <c r="C2532" s="3">
        <v>0</v>
      </c>
      <c r="D2532" s="3">
        <v>225</v>
      </c>
      <c r="E2532" s="3">
        <v>0</v>
      </c>
      <c r="F2532" s="3">
        <v>0</v>
      </c>
      <c r="G2532" s="3">
        <v>0</v>
      </c>
      <c r="H2532" s="2">
        <f t="shared" si="78"/>
        <v>225</v>
      </c>
      <c r="I2532" t="str">
        <f t="shared" si="79"/>
        <v>Fn1_225</v>
      </c>
      <c r="J2532" s="3">
        <v>0</v>
      </c>
      <c r="K2532" s="3">
        <v>225</v>
      </c>
      <c r="L2532" s="3">
        <v>0</v>
      </c>
      <c r="M2532" s="3">
        <v>0</v>
      </c>
      <c r="N2532" s="3">
        <v>0</v>
      </c>
    </row>
    <row r="2533" spans="1:14" x14ac:dyDescent="0.2">
      <c r="A2533" s="5" t="str">
        <f>HYPERLINK("http://www.ncbi.nlm.nih.gov/protein/449083339","Fn1")</f>
        <v>Fn1</v>
      </c>
      <c r="B2533" s="4"/>
      <c r="C2533" s="3">
        <v>0</v>
      </c>
      <c r="D2533" s="3">
        <v>225</v>
      </c>
      <c r="E2533" s="3">
        <v>0</v>
      </c>
      <c r="F2533" s="3">
        <v>0</v>
      </c>
      <c r="G2533" s="3">
        <v>0</v>
      </c>
      <c r="H2533" s="2">
        <f t="shared" si="78"/>
        <v>225</v>
      </c>
      <c r="I2533" t="str">
        <f t="shared" si="79"/>
        <v>Fn1_225</v>
      </c>
      <c r="J2533" s="3">
        <v>0</v>
      </c>
      <c r="K2533" s="3">
        <v>225</v>
      </c>
      <c r="L2533" s="3">
        <v>0</v>
      </c>
      <c r="M2533" s="3">
        <v>0</v>
      </c>
      <c r="N2533" s="3">
        <v>0</v>
      </c>
    </row>
    <row r="2534" spans="1:14" x14ac:dyDescent="0.2">
      <c r="A2534" s="5" t="str">
        <f>HYPERLINK("http://www.ncbi.nlm.nih.gov/protein/449083341","Fn1")</f>
        <v>Fn1</v>
      </c>
      <c r="B2534" s="4"/>
      <c r="C2534" s="3">
        <v>0</v>
      </c>
      <c r="D2534" s="3">
        <v>225</v>
      </c>
      <c r="E2534" s="3">
        <v>0</v>
      </c>
      <c r="F2534" s="3">
        <v>0</v>
      </c>
      <c r="G2534" s="3">
        <v>0</v>
      </c>
      <c r="H2534" s="2">
        <f t="shared" si="78"/>
        <v>225</v>
      </c>
      <c r="I2534" t="str">
        <f t="shared" si="79"/>
        <v>Fn1_225</v>
      </c>
      <c r="J2534" s="3">
        <v>0</v>
      </c>
      <c r="K2534" s="3">
        <v>225</v>
      </c>
      <c r="L2534" s="3">
        <v>0</v>
      </c>
      <c r="M2534" s="3">
        <v>0</v>
      </c>
      <c r="N2534" s="3">
        <v>0</v>
      </c>
    </row>
    <row r="2535" spans="1:14" x14ac:dyDescent="0.2">
      <c r="A2535" s="5" t="str">
        <f>HYPERLINK("http://www.ncbi.nlm.nih.gov/protein/449083343","Fn1")</f>
        <v>Fn1</v>
      </c>
      <c r="B2535" s="4"/>
      <c r="C2535" s="3">
        <v>0</v>
      </c>
      <c r="D2535" s="3">
        <v>225</v>
      </c>
      <c r="E2535" s="3">
        <v>0</v>
      </c>
      <c r="F2535" s="3">
        <v>0</v>
      </c>
      <c r="G2535" s="3">
        <v>0</v>
      </c>
      <c r="H2535" s="2">
        <f t="shared" si="78"/>
        <v>225</v>
      </c>
      <c r="I2535" t="str">
        <f t="shared" si="79"/>
        <v>Fn1_225</v>
      </c>
      <c r="J2535" s="3">
        <v>0</v>
      </c>
      <c r="K2535" s="3">
        <v>225</v>
      </c>
      <c r="L2535" s="3">
        <v>0</v>
      </c>
      <c r="M2535" s="3">
        <v>0</v>
      </c>
      <c r="N2535" s="3">
        <v>0</v>
      </c>
    </row>
    <row r="2536" spans="1:14" x14ac:dyDescent="0.2">
      <c r="A2536" s="5" t="str">
        <f>HYPERLINK("http://www.ncbi.nlm.nih.gov/protein/449083345","Fn1")</f>
        <v>Fn1</v>
      </c>
      <c r="B2536" s="4"/>
      <c r="C2536" s="3">
        <v>0</v>
      </c>
      <c r="D2536" s="3">
        <v>225</v>
      </c>
      <c r="E2536" s="3">
        <v>0</v>
      </c>
      <c r="F2536" s="3">
        <v>0</v>
      </c>
      <c r="G2536" s="3">
        <v>0</v>
      </c>
      <c r="H2536" s="2">
        <f t="shared" si="78"/>
        <v>225</v>
      </c>
      <c r="I2536" t="str">
        <f t="shared" si="79"/>
        <v>Fn1_225</v>
      </c>
      <c r="J2536" s="3">
        <v>0</v>
      </c>
      <c r="K2536" s="3">
        <v>225</v>
      </c>
      <c r="L2536" s="3">
        <v>0</v>
      </c>
      <c r="M2536" s="3">
        <v>0</v>
      </c>
      <c r="N2536" s="3">
        <v>0</v>
      </c>
    </row>
    <row r="2537" spans="1:14" x14ac:dyDescent="0.2">
      <c r="A2537" s="5" t="str">
        <f>HYPERLINK("http://www.ncbi.nlm.nih.gov/protein/449083347","Fn1")</f>
        <v>Fn1</v>
      </c>
      <c r="B2537" s="4"/>
      <c r="C2537" s="3">
        <v>0</v>
      </c>
      <c r="D2537" s="3">
        <v>225</v>
      </c>
      <c r="E2537" s="3">
        <v>0</v>
      </c>
      <c r="F2537" s="3">
        <v>0</v>
      </c>
      <c r="G2537" s="3">
        <v>0</v>
      </c>
      <c r="H2537" s="2">
        <f t="shared" si="78"/>
        <v>225</v>
      </c>
      <c r="I2537" t="str">
        <f t="shared" si="79"/>
        <v>Fn1_225</v>
      </c>
      <c r="J2537" s="3">
        <v>0</v>
      </c>
      <c r="K2537" s="3">
        <v>225</v>
      </c>
      <c r="L2537" s="3">
        <v>0</v>
      </c>
      <c r="M2537" s="3">
        <v>0</v>
      </c>
      <c r="N2537" s="3">
        <v>0</v>
      </c>
    </row>
    <row r="2538" spans="1:14" x14ac:dyDescent="0.2">
      <c r="A2538" s="5" t="str">
        <f>HYPERLINK("http://www.ncbi.nlm.nih.gov/protein/46849812","Fn1")</f>
        <v>Fn1</v>
      </c>
      <c r="B2538" s="4"/>
      <c r="C2538" s="3">
        <v>0</v>
      </c>
      <c r="D2538" s="3">
        <v>328</v>
      </c>
      <c r="E2538" s="3">
        <v>0</v>
      </c>
      <c r="F2538" s="3">
        <v>0</v>
      </c>
      <c r="G2538" s="3">
        <v>0</v>
      </c>
      <c r="H2538" s="2">
        <f t="shared" si="78"/>
        <v>328</v>
      </c>
      <c r="I2538" t="str">
        <f t="shared" si="79"/>
        <v>Fn1_328</v>
      </c>
      <c r="J2538" s="3">
        <v>0</v>
      </c>
      <c r="K2538" s="3">
        <v>328</v>
      </c>
      <c r="L2538" s="3">
        <v>0</v>
      </c>
      <c r="M2538" s="3">
        <v>0</v>
      </c>
      <c r="N2538" s="3">
        <v>0</v>
      </c>
    </row>
    <row r="2539" spans="1:14" x14ac:dyDescent="0.2">
      <c r="A2539" s="5" t="str">
        <f>HYPERLINK("http://www.ncbi.nlm.nih.gov/protein/11528496","Fn3k")</f>
        <v>Fn3k</v>
      </c>
      <c r="B2539" s="4"/>
      <c r="C2539" s="3">
        <v>0</v>
      </c>
      <c r="D2539" s="3">
        <v>0</v>
      </c>
      <c r="E2539" s="3">
        <v>0</v>
      </c>
      <c r="F2539" s="3">
        <v>0</v>
      </c>
      <c r="G2539" s="3">
        <v>54</v>
      </c>
      <c r="H2539" s="2">
        <f t="shared" si="78"/>
        <v>54</v>
      </c>
      <c r="I2539" t="str">
        <f t="shared" si="79"/>
        <v>Fn3k_54</v>
      </c>
      <c r="J2539" s="3">
        <v>0</v>
      </c>
      <c r="K2539" s="3">
        <v>0</v>
      </c>
      <c r="L2539" s="3">
        <v>0</v>
      </c>
      <c r="M2539" s="3">
        <v>0</v>
      </c>
      <c r="N2539" s="3">
        <v>54</v>
      </c>
    </row>
    <row r="2540" spans="1:14" x14ac:dyDescent="0.2">
      <c r="A2540" s="5" t="str">
        <f>HYPERLINK("http://www.ncbi.nlm.nih.gov/protein/84662727","Fn3k")</f>
        <v>Fn3k</v>
      </c>
      <c r="B2540" s="4"/>
      <c r="C2540" s="3">
        <v>0</v>
      </c>
      <c r="D2540" s="3">
        <v>0</v>
      </c>
      <c r="E2540" s="3">
        <v>0</v>
      </c>
      <c r="F2540" s="3">
        <v>0</v>
      </c>
      <c r="G2540" s="3">
        <v>54</v>
      </c>
      <c r="H2540" s="2">
        <f t="shared" si="78"/>
        <v>54</v>
      </c>
      <c r="I2540" t="str">
        <f t="shared" si="79"/>
        <v>Fn3k_54</v>
      </c>
      <c r="J2540" s="3">
        <v>0</v>
      </c>
      <c r="K2540" s="3">
        <v>0</v>
      </c>
      <c r="L2540" s="3">
        <v>0</v>
      </c>
      <c r="M2540" s="3">
        <v>0</v>
      </c>
      <c r="N2540" s="3">
        <v>54</v>
      </c>
    </row>
    <row r="2541" spans="1:14" x14ac:dyDescent="0.2">
      <c r="A2541" s="5" t="str">
        <f>HYPERLINK("http://www.ncbi.nlm.nih.gov/protein/253970463","Fn3krp")</f>
        <v>Fn3krp</v>
      </c>
      <c r="B2541" s="4"/>
      <c r="C2541" s="3">
        <v>0</v>
      </c>
      <c r="D2541" s="3">
        <v>21</v>
      </c>
      <c r="E2541" s="3">
        <v>86</v>
      </c>
      <c r="F2541" s="3">
        <v>221</v>
      </c>
      <c r="G2541" s="3">
        <v>1574</v>
      </c>
      <c r="H2541" s="2">
        <f t="shared" si="78"/>
        <v>1902</v>
      </c>
      <c r="I2541" t="str">
        <f t="shared" si="79"/>
        <v>Fn3krp_1902</v>
      </c>
      <c r="J2541" s="3">
        <v>0</v>
      </c>
      <c r="K2541" s="3">
        <v>21</v>
      </c>
      <c r="L2541" s="3">
        <v>86</v>
      </c>
      <c r="M2541" s="3">
        <v>221</v>
      </c>
      <c r="N2541" s="3">
        <v>1574</v>
      </c>
    </row>
    <row r="2542" spans="1:14" x14ac:dyDescent="0.2">
      <c r="A2542" s="5" t="str">
        <f>HYPERLINK("http://www.ncbi.nlm.nih.gov/protein/294997322","Fnbp1")</f>
        <v>Fnbp1</v>
      </c>
      <c r="B2542" s="4"/>
      <c r="C2542" s="3">
        <v>0</v>
      </c>
      <c r="D2542" s="3">
        <v>0</v>
      </c>
      <c r="E2542" s="3">
        <v>0</v>
      </c>
      <c r="F2542" s="3">
        <v>745</v>
      </c>
      <c r="G2542" s="3">
        <v>0</v>
      </c>
      <c r="H2542" s="2">
        <f t="shared" si="78"/>
        <v>745</v>
      </c>
      <c r="I2542" t="str">
        <f t="shared" si="79"/>
        <v>Fnbp1_745</v>
      </c>
      <c r="J2542" s="3">
        <v>0</v>
      </c>
      <c r="K2542" s="3">
        <v>0</v>
      </c>
      <c r="L2542" s="3">
        <v>0</v>
      </c>
      <c r="M2542" s="3">
        <v>745</v>
      </c>
      <c r="N2542" s="3">
        <v>0</v>
      </c>
    </row>
    <row r="2543" spans="1:14" x14ac:dyDescent="0.2">
      <c r="A2543" s="5" t="str">
        <f>HYPERLINK("http://www.ncbi.nlm.nih.gov/protein/294997326","Fnbp1")</f>
        <v>Fnbp1</v>
      </c>
      <c r="B2543" s="4"/>
      <c r="C2543" s="3">
        <v>0</v>
      </c>
      <c r="D2543" s="3">
        <v>0</v>
      </c>
      <c r="E2543" s="3">
        <v>0</v>
      </c>
      <c r="F2543" s="3">
        <v>745</v>
      </c>
      <c r="G2543" s="3">
        <v>0</v>
      </c>
      <c r="H2543" s="2">
        <f t="shared" si="78"/>
        <v>745</v>
      </c>
      <c r="I2543" t="str">
        <f t="shared" si="79"/>
        <v>Fnbp1_745</v>
      </c>
      <c r="J2543" s="3">
        <v>0</v>
      </c>
      <c r="K2543" s="3">
        <v>0</v>
      </c>
      <c r="L2543" s="3">
        <v>0</v>
      </c>
      <c r="M2543" s="3">
        <v>745</v>
      </c>
      <c r="N2543" s="3">
        <v>0</v>
      </c>
    </row>
    <row r="2544" spans="1:14" x14ac:dyDescent="0.2">
      <c r="A2544" s="5" t="str">
        <f>HYPERLINK("http://www.ncbi.nlm.nih.gov/protein/294997328","Fnbp1")</f>
        <v>Fnbp1</v>
      </c>
      <c r="B2544" s="4"/>
      <c r="C2544" s="3">
        <v>0</v>
      </c>
      <c r="D2544" s="3">
        <v>0</v>
      </c>
      <c r="E2544" s="3">
        <v>0</v>
      </c>
      <c r="F2544" s="3">
        <v>745</v>
      </c>
      <c r="G2544" s="3">
        <v>0</v>
      </c>
      <c r="H2544" s="2">
        <f t="shared" si="78"/>
        <v>745</v>
      </c>
      <c r="I2544" t="str">
        <f t="shared" si="79"/>
        <v>Fnbp1_745</v>
      </c>
      <c r="J2544" s="3">
        <v>0</v>
      </c>
      <c r="K2544" s="3">
        <v>0</v>
      </c>
      <c r="L2544" s="3">
        <v>0</v>
      </c>
      <c r="M2544" s="3">
        <v>745</v>
      </c>
      <c r="N2544" s="3">
        <v>0</v>
      </c>
    </row>
    <row r="2545" spans="1:14" x14ac:dyDescent="0.2">
      <c r="A2545" s="5" t="str">
        <f>HYPERLINK("http://www.ncbi.nlm.nih.gov/protein/84662770","Fnbp1")</f>
        <v>Fnbp1</v>
      </c>
      <c r="B2545" s="4"/>
      <c r="C2545" s="3">
        <v>0</v>
      </c>
      <c r="D2545" s="3">
        <v>0</v>
      </c>
      <c r="E2545" s="3">
        <v>0</v>
      </c>
      <c r="F2545" s="3">
        <v>745</v>
      </c>
      <c r="G2545" s="3">
        <v>0</v>
      </c>
      <c r="H2545" s="2">
        <f t="shared" si="78"/>
        <v>745</v>
      </c>
      <c r="I2545" t="str">
        <f t="shared" si="79"/>
        <v>Fnbp1_745</v>
      </c>
      <c r="J2545" s="3">
        <v>0</v>
      </c>
      <c r="K2545" s="3">
        <v>0</v>
      </c>
      <c r="L2545" s="3">
        <v>0</v>
      </c>
      <c r="M2545" s="3">
        <v>745</v>
      </c>
      <c r="N2545" s="3">
        <v>0</v>
      </c>
    </row>
    <row r="2546" spans="1:14" x14ac:dyDescent="0.2">
      <c r="A2546" s="5" t="str">
        <f>HYPERLINK("http://www.ncbi.nlm.nih.gov/protein/167900464","Fnbp1l")</f>
        <v>Fnbp1l</v>
      </c>
      <c r="B2546" s="4"/>
      <c r="C2546" s="3">
        <v>0</v>
      </c>
      <c r="D2546" s="3">
        <v>1215</v>
      </c>
      <c r="E2546" s="3">
        <v>2416</v>
      </c>
      <c r="F2546" s="3">
        <v>11149</v>
      </c>
      <c r="G2546" s="3">
        <v>0</v>
      </c>
      <c r="H2546" s="2">
        <f t="shared" si="78"/>
        <v>14780</v>
      </c>
      <c r="I2546" t="str">
        <f t="shared" si="79"/>
        <v>Fnbp1l_14780</v>
      </c>
      <c r="J2546" s="3">
        <v>0</v>
      </c>
      <c r="K2546" s="3">
        <v>1215</v>
      </c>
      <c r="L2546" s="3">
        <v>2416</v>
      </c>
      <c r="M2546" s="3">
        <v>11149</v>
      </c>
      <c r="N2546" s="3">
        <v>0</v>
      </c>
    </row>
    <row r="2547" spans="1:14" x14ac:dyDescent="0.2">
      <c r="A2547" s="5" t="str">
        <f>HYPERLINK("http://www.ncbi.nlm.nih.gov/protein/167900466","Fnbp1l")</f>
        <v>Fnbp1l</v>
      </c>
      <c r="B2547" s="4"/>
      <c r="C2547" s="3">
        <v>0</v>
      </c>
      <c r="D2547" s="3">
        <v>1215</v>
      </c>
      <c r="E2547" s="3">
        <v>2416</v>
      </c>
      <c r="F2547" s="3">
        <v>11149</v>
      </c>
      <c r="G2547" s="3">
        <v>0</v>
      </c>
      <c r="H2547" s="2">
        <f t="shared" si="78"/>
        <v>14780</v>
      </c>
      <c r="I2547" t="str">
        <f t="shared" si="79"/>
        <v>Fnbp1l_14780</v>
      </c>
      <c r="J2547" s="3">
        <v>0</v>
      </c>
      <c r="K2547" s="3">
        <v>1215</v>
      </c>
      <c r="L2547" s="3">
        <v>2416</v>
      </c>
      <c r="M2547" s="3">
        <v>11149</v>
      </c>
      <c r="N2547" s="3">
        <v>0</v>
      </c>
    </row>
    <row r="2548" spans="1:14" x14ac:dyDescent="0.2">
      <c r="A2548" s="5" t="str">
        <f>HYPERLINK("http://www.ncbi.nlm.nih.gov/protein/9055220","Fnbp4")</f>
        <v>Fnbp4</v>
      </c>
      <c r="B2548" s="4"/>
      <c r="C2548" s="3">
        <v>0</v>
      </c>
      <c r="D2548" s="3">
        <v>0</v>
      </c>
      <c r="E2548" s="3">
        <v>0</v>
      </c>
      <c r="F2548" s="3">
        <v>0</v>
      </c>
      <c r="G2548" s="3">
        <v>364</v>
      </c>
      <c r="H2548" s="2">
        <f t="shared" si="78"/>
        <v>364</v>
      </c>
      <c r="I2548" t="str">
        <f t="shared" si="79"/>
        <v>Fnbp4_364</v>
      </c>
      <c r="J2548" s="3">
        <v>0</v>
      </c>
      <c r="K2548" s="3">
        <v>0</v>
      </c>
      <c r="L2548" s="3">
        <v>0</v>
      </c>
      <c r="M2548" s="3">
        <v>0</v>
      </c>
      <c r="N2548" s="3">
        <v>364</v>
      </c>
    </row>
    <row r="2549" spans="1:14" x14ac:dyDescent="0.2">
      <c r="A2549" s="5" t="str">
        <f>HYPERLINK("http://www.ncbi.nlm.nih.gov/protein/170932548","Fndc3b")</f>
        <v>Fndc3b</v>
      </c>
      <c r="B2549" s="4"/>
      <c r="C2549" s="3">
        <v>0</v>
      </c>
      <c r="D2549" s="3">
        <v>388</v>
      </c>
      <c r="E2549" s="3">
        <v>0</v>
      </c>
      <c r="F2549" s="3">
        <v>0</v>
      </c>
      <c r="G2549" s="3">
        <v>0</v>
      </c>
      <c r="H2549" s="2">
        <f t="shared" si="78"/>
        <v>388</v>
      </c>
      <c r="I2549" t="str">
        <f t="shared" si="79"/>
        <v>Fndc3b_388</v>
      </c>
      <c r="J2549" s="3">
        <v>0</v>
      </c>
      <c r="K2549" s="3">
        <v>388</v>
      </c>
      <c r="L2549" s="3">
        <v>0</v>
      </c>
      <c r="M2549" s="3">
        <v>0</v>
      </c>
      <c r="N2549" s="3">
        <v>0</v>
      </c>
    </row>
    <row r="2550" spans="1:14" x14ac:dyDescent="0.2">
      <c r="A2550" s="5" t="str">
        <f>HYPERLINK("http://www.ncbi.nlm.nih.gov/protein/6679821","Fnta")</f>
        <v>Fnta</v>
      </c>
      <c r="B2550" s="4"/>
      <c r="C2550" s="3">
        <v>0</v>
      </c>
      <c r="D2550" s="3">
        <v>814</v>
      </c>
      <c r="E2550" s="3">
        <v>666</v>
      </c>
      <c r="F2550" s="3">
        <v>0</v>
      </c>
      <c r="G2550" s="3">
        <v>14104</v>
      </c>
      <c r="H2550" s="2">
        <f t="shared" si="78"/>
        <v>15584</v>
      </c>
      <c r="I2550" t="str">
        <f t="shared" si="79"/>
        <v>Fnta_15584</v>
      </c>
      <c r="J2550" s="3">
        <v>0</v>
      </c>
      <c r="K2550" s="3">
        <v>814</v>
      </c>
      <c r="L2550" s="3">
        <v>666</v>
      </c>
      <c r="M2550" s="3">
        <v>0</v>
      </c>
      <c r="N2550" s="3">
        <v>14104</v>
      </c>
    </row>
    <row r="2551" spans="1:14" x14ac:dyDescent="0.2">
      <c r="A2551" s="5" t="str">
        <f>HYPERLINK("http://www.ncbi.nlm.nih.gov/protein/22122343","Fntb")</f>
        <v>Fntb</v>
      </c>
      <c r="B2551" s="4"/>
      <c r="C2551" s="3">
        <v>0</v>
      </c>
      <c r="D2551" s="3">
        <v>449</v>
      </c>
      <c r="E2551" s="3">
        <v>332</v>
      </c>
      <c r="F2551" s="3">
        <v>0</v>
      </c>
      <c r="G2551" s="3">
        <v>20027</v>
      </c>
      <c r="H2551" s="2">
        <f t="shared" si="78"/>
        <v>20808</v>
      </c>
      <c r="I2551" t="str">
        <f t="shared" si="79"/>
        <v>Fntb_20808</v>
      </c>
      <c r="J2551" s="3">
        <v>0</v>
      </c>
      <c r="K2551" s="3">
        <v>449</v>
      </c>
      <c r="L2551" s="3">
        <v>332</v>
      </c>
      <c r="M2551" s="3">
        <v>0</v>
      </c>
      <c r="N2551" s="3">
        <v>20027</v>
      </c>
    </row>
    <row r="2552" spans="1:14" x14ac:dyDescent="0.2">
      <c r="A2552" s="5" t="str">
        <f>HYPERLINK("http://www.ncbi.nlm.nih.gov/protein/124487123","Focad")</f>
        <v>Focad</v>
      </c>
      <c r="B2552" s="4"/>
      <c r="C2552" s="3">
        <v>0</v>
      </c>
      <c r="D2552" s="3">
        <v>0</v>
      </c>
      <c r="E2552" s="3">
        <v>2319</v>
      </c>
      <c r="F2552" s="3">
        <v>156</v>
      </c>
      <c r="G2552" s="3">
        <v>0</v>
      </c>
      <c r="H2552" s="2">
        <f t="shared" si="78"/>
        <v>2475</v>
      </c>
      <c r="I2552" t="str">
        <f t="shared" si="79"/>
        <v>Focad_2475</v>
      </c>
      <c r="J2552" s="3">
        <v>0</v>
      </c>
      <c r="K2552" s="3">
        <v>0</v>
      </c>
      <c r="L2552" s="3">
        <v>2319</v>
      </c>
      <c r="M2552" s="3">
        <v>156</v>
      </c>
      <c r="N2552" s="3">
        <v>0</v>
      </c>
    </row>
    <row r="2553" spans="1:14" x14ac:dyDescent="0.2">
      <c r="A2553" s="5" t="str">
        <f>HYPERLINK("http://www.ncbi.nlm.nih.gov/protein/21313614","Fopnl")</f>
        <v>Fopnl</v>
      </c>
      <c r="B2553" s="4"/>
      <c r="C2553" s="3">
        <v>0</v>
      </c>
      <c r="D2553" s="3">
        <v>0</v>
      </c>
      <c r="E2553" s="3">
        <v>0</v>
      </c>
      <c r="F2553" s="3">
        <v>0</v>
      </c>
      <c r="G2553" s="3">
        <v>461</v>
      </c>
      <c r="H2553" s="2">
        <f t="shared" si="78"/>
        <v>461</v>
      </c>
      <c r="I2553" t="str">
        <f t="shared" si="79"/>
        <v>Fopnl_461</v>
      </c>
      <c r="J2553" s="3">
        <v>0</v>
      </c>
      <c r="K2553" s="3">
        <v>0</v>
      </c>
      <c r="L2553" s="3">
        <v>0</v>
      </c>
      <c r="M2553" s="3">
        <v>0</v>
      </c>
      <c r="N2553" s="3">
        <v>461</v>
      </c>
    </row>
    <row r="2554" spans="1:14" x14ac:dyDescent="0.2">
      <c r="A2554" s="5" t="str">
        <f>HYPERLINK("http://www.ncbi.nlm.nih.gov/protein/34304111","Foxe1")</f>
        <v>Foxe1</v>
      </c>
      <c r="B2554" s="4"/>
      <c r="C2554" s="3">
        <v>3057</v>
      </c>
      <c r="D2554" s="3">
        <v>0</v>
      </c>
      <c r="E2554" s="3">
        <v>0</v>
      </c>
      <c r="F2554" s="3">
        <v>0</v>
      </c>
      <c r="G2554" s="3">
        <v>0</v>
      </c>
      <c r="H2554" s="2">
        <f t="shared" si="78"/>
        <v>3057</v>
      </c>
      <c r="I2554" t="str">
        <f t="shared" si="79"/>
        <v>Foxe1_3057</v>
      </c>
      <c r="J2554" s="3">
        <v>3057</v>
      </c>
      <c r="K2554" s="3">
        <v>0</v>
      </c>
      <c r="L2554" s="3">
        <v>0</v>
      </c>
      <c r="M2554" s="3">
        <v>0</v>
      </c>
      <c r="N2554" s="3">
        <v>0</v>
      </c>
    </row>
    <row r="2555" spans="1:14" x14ac:dyDescent="0.2">
      <c r="A2555" s="5" t="str">
        <f>HYPERLINK("http://www.ncbi.nlm.nih.gov/protein/172088163","Fpgs")</f>
        <v>Fpgs</v>
      </c>
      <c r="B2555" s="4"/>
      <c r="C2555" s="3">
        <v>0</v>
      </c>
      <c r="D2555" s="3">
        <v>21</v>
      </c>
      <c r="E2555" s="3">
        <v>0</v>
      </c>
      <c r="F2555" s="3">
        <v>0</v>
      </c>
      <c r="G2555" s="3">
        <v>0</v>
      </c>
      <c r="H2555" s="2">
        <f t="shared" si="78"/>
        <v>21</v>
      </c>
      <c r="I2555" t="str">
        <f t="shared" si="79"/>
        <v>Fpgs_21</v>
      </c>
      <c r="J2555" s="3">
        <v>0</v>
      </c>
      <c r="K2555" s="3">
        <v>21</v>
      </c>
      <c r="L2555" s="3">
        <v>0</v>
      </c>
      <c r="M2555" s="3">
        <v>0</v>
      </c>
      <c r="N2555" s="3">
        <v>0</v>
      </c>
    </row>
    <row r="2556" spans="1:14" x14ac:dyDescent="0.2">
      <c r="A2556" s="5" t="str">
        <f>HYPERLINK("http://www.ncbi.nlm.nih.gov/protein/126157515","Fras1")</f>
        <v>Fras1</v>
      </c>
      <c r="B2556" s="4"/>
      <c r="C2556" s="3">
        <v>0</v>
      </c>
      <c r="D2556" s="3">
        <v>73</v>
      </c>
      <c r="E2556" s="3">
        <v>6</v>
      </c>
      <c r="F2556" s="3">
        <v>0</v>
      </c>
      <c r="G2556" s="3">
        <v>0</v>
      </c>
      <c r="H2556" s="2">
        <f t="shared" si="78"/>
        <v>79</v>
      </c>
      <c r="I2556" t="str">
        <f t="shared" si="79"/>
        <v>Fras1_79</v>
      </c>
      <c r="J2556" s="3">
        <v>0</v>
      </c>
      <c r="K2556" s="3">
        <v>73</v>
      </c>
      <c r="L2556" s="3">
        <v>6</v>
      </c>
      <c r="M2556" s="3">
        <v>0</v>
      </c>
      <c r="N2556" s="3">
        <v>0</v>
      </c>
    </row>
    <row r="2557" spans="1:14" x14ac:dyDescent="0.2">
      <c r="A2557" s="5" t="str">
        <f>HYPERLINK("http://www.ncbi.nlm.nih.gov/protein/71051607","Frem2")</f>
        <v>Frem2</v>
      </c>
      <c r="B2557" s="4"/>
      <c r="C2557" s="3">
        <v>0</v>
      </c>
      <c r="D2557" s="3">
        <v>4497</v>
      </c>
      <c r="E2557" s="3">
        <v>945</v>
      </c>
      <c r="F2557" s="3">
        <v>0</v>
      </c>
      <c r="G2557" s="3">
        <v>42281</v>
      </c>
      <c r="H2557" s="2">
        <f t="shared" si="78"/>
        <v>47723</v>
      </c>
      <c r="I2557" t="str">
        <f t="shared" si="79"/>
        <v>Frem2_47723</v>
      </c>
      <c r="J2557" s="3">
        <v>0</v>
      </c>
      <c r="K2557" s="3">
        <v>4497</v>
      </c>
      <c r="L2557" s="3">
        <v>945</v>
      </c>
      <c r="M2557" s="3">
        <v>0</v>
      </c>
      <c r="N2557" s="3">
        <v>42281</v>
      </c>
    </row>
    <row r="2558" spans="1:14" x14ac:dyDescent="0.2">
      <c r="A2558" s="5" t="str">
        <f>HYPERLINK("http://www.ncbi.nlm.nih.gov/protein/225543552","Frg1")</f>
        <v>Frg1</v>
      </c>
      <c r="B2558" s="4"/>
      <c r="C2558" s="3">
        <v>3716</v>
      </c>
      <c r="D2558" s="3">
        <v>2741</v>
      </c>
      <c r="E2558" s="3">
        <v>2289</v>
      </c>
      <c r="F2558" s="3">
        <v>8341</v>
      </c>
      <c r="G2558" s="3">
        <v>0</v>
      </c>
      <c r="H2558" s="2">
        <f t="shared" si="78"/>
        <v>17087</v>
      </c>
      <c r="I2558" t="str">
        <f t="shared" si="79"/>
        <v>Frg1_17087</v>
      </c>
      <c r="J2558" s="3">
        <v>3716</v>
      </c>
      <c r="K2558" s="3">
        <v>2741</v>
      </c>
      <c r="L2558" s="3">
        <v>2289</v>
      </c>
      <c r="M2558" s="3">
        <v>8341</v>
      </c>
      <c r="N2558" s="3">
        <v>0</v>
      </c>
    </row>
    <row r="2559" spans="1:14" x14ac:dyDescent="0.2">
      <c r="A2559" s="5" t="str">
        <f>HYPERLINK("http://www.ncbi.nlm.nih.gov/protein/31542823","Frk")</f>
        <v>Frk</v>
      </c>
      <c r="B2559" s="4"/>
      <c r="C2559" s="3">
        <v>15304</v>
      </c>
      <c r="D2559" s="3">
        <v>19666</v>
      </c>
      <c r="E2559" s="3">
        <v>68195</v>
      </c>
      <c r="F2559" s="3">
        <v>2873</v>
      </c>
      <c r="G2559" s="3">
        <v>5837</v>
      </c>
      <c r="H2559" s="2">
        <f t="shared" si="78"/>
        <v>111875</v>
      </c>
      <c r="I2559" t="str">
        <f t="shared" si="79"/>
        <v>Frk_111875</v>
      </c>
      <c r="J2559" s="3">
        <v>15304</v>
      </c>
      <c r="K2559" s="3">
        <v>19666</v>
      </c>
      <c r="L2559" s="3">
        <v>68195</v>
      </c>
      <c r="M2559" s="3">
        <v>2873</v>
      </c>
      <c r="N2559" s="3">
        <v>5837</v>
      </c>
    </row>
    <row r="2560" spans="1:14" x14ac:dyDescent="0.2">
      <c r="A2560" s="5" t="str">
        <f>HYPERLINK("http://www.ncbi.nlm.nih.gov/protein/13385676","Frmd8")</f>
        <v>Frmd8</v>
      </c>
      <c r="B2560" s="4"/>
      <c r="C2560" s="3">
        <v>0</v>
      </c>
      <c r="D2560" s="3">
        <v>390</v>
      </c>
      <c r="E2560" s="3">
        <v>1450</v>
      </c>
      <c r="F2560" s="3">
        <v>9643</v>
      </c>
      <c r="G2560" s="3">
        <v>0</v>
      </c>
      <c r="H2560" s="2">
        <f t="shared" si="78"/>
        <v>11483</v>
      </c>
      <c r="I2560" t="str">
        <f t="shared" si="79"/>
        <v>Frmd8_11483</v>
      </c>
      <c r="J2560" s="3">
        <v>0</v>
      </c>
      <c r="K2560" s="3">
        <v>390</v>
      </c>
      <c r="L2560" s="3">
        <v>1450</v>
      </c>
      <c r="M2560" s="3">
        <v>9643</v>
      </c>
      <c r="N2560" s="3">
        <v>0</v>
      </c>
    </row>
    <row r="2561" spans="1:14" x14ac:dyDescent="0.2">
      <c r="A2561" s="5" t="str">
        <f>HYPERLINK("http://www.ncbi.nlm.nih.gov/protein/124487185","Frmpd1")</f>
        <v>Frmpd1</v>
      </c>
      <c r="B2561" s="4"/>
      <c r="C2561" s="3">
        <v>0</v>
      </c>
      <c r="D2561" s="3">
        <v>2046</v>
      </c>
      <c r="E2561" s="3">
        <v>2290</v>
      </c>
      <c r="F2561" s="3">
        <v>0</v>
      </c>
      <c r="G2561" s="3">
        <v>0</v>
      </c>
      <c r="H2561" s="2">
        <f t="shared" si="78"/>
        <v>4336</v>
      </c>
      <c r="I2561" t="str">
        <f t="shared" si="79"/>
        <v>Frmpd1_4336</v>
      </c>
      <c r="J2561" s="3">
        <v>0</v>
      </c>
      <c r="K2561" s="3">
        <v>2046</v>
      </c>
      <c r="L2561" s="3">
        <v>2290</v>
      </c>
      <c r="M2561" s="3">
        <v>0</v>
      </c>
      <c r="N2561" s="3">
        <v>0</v>
      </c>
    </row>
    <row r="2562" spans="1:14" x14ac:dyDescent="0.2">
      <c r="A2562" s="5" t="str">
        <f>HYPERLINK("http://www.ncbi.nlm.nih.gov/protein/85362701","Frmpd4")</f>
        <v>Frmpd4</v>
      </c>
      <c r="B2562" s="4"/>
      <c r="C2562" s="3">
        <v>0</v>
      </c>
      <c r="D2562" s="3">
        <v>0</v>
      </c>
      <c r="E2562" s="3">
        <v>0</v>
      </c>
      <c r="F2562" s="3">
        <v>0</v>
      </c>
      <c r="G2562" s="3">
        <v>2067</v>
      </c>
      <c r="H2562" s="2">
        <f t="shared" ref="H2562:H2625" si="80">SUM(C2562:G2562)</f>
        <v>2067</v>
      </c>
      <c r="I2562" t="str">
        <f t="shared" ref="I2562:I2625" si="81">A2562&amp;"_"&amp;H2562</f>
        <v>Frmpd4_2067</v>
      </c>
      <c r="J2562" s="3">
        <v>0</v>
      </c>
      <c r="K2562" s="3">
        <v>0</v>
      </c>
      <c r="L2562" s="3">
        <v>0</v>
      </c>
      <c r="M2562" s="3">
        <v>0</v>
      </c>
      <c r="N2562" s="3">
        <v>2067</v>
      </c>
    </row>
    <row r="2563" spans="1:14" x14ac:dyDescent="0.2">
      <c r="A2563" s="5" t="str">
        <f>HYPERLINK("http://www.ncbi.nlm.nih.gov/protein/164698442","Frrs1")</f>
        <v>Frrs1</v>
      </c>
      <c r="B2563" s="4"/>
      <c r="C2563" s="3">
        <v>0</v>
      </c>
      <c r="D2563" s="3">
        <v>2307</v>
      </c>
      <c r="E2563" s="3">
        <v>190</v>
      </c>
      <c r="F2563" s="3">
        <v>0</v>
      </c>
      <c r="G2563" s="3">
        <v>450</v>
      </c>
      <c r="H2563" s="2">
        <f t="shared" si="80"/>
        <v>2947</v>
      </c>
      <c r="I2563" t="str">
        <f t="shared" si="81"/>
        <v>Frrs1_2947</v>
      </c>
      <c r="J2563" s="3">
        <v>0</v>
      </c>
      <c r="K2563" s="3">
        <v>2307</v>
      </c>
      <c r="L2563" s="3">
        <v>190</v>
      </c>
      <c r="M2563" s="3">
        <v>0</v>
      </c>
      <c r="N2563" s="3">
        <v>450</v>
      </c>
    </row>
    <row r="2564" spans="1:14" x14ac:dyDescent="0.2">
      <c r="A2564" s="5" t="str">
        <f>HYPERLINK("http://www.ncbi.nlm.nih.gov/protein/29244340","Frs2")</f>
        <v>Frs2</v>
      </c>
      <c r="B2564" s="4"/>
      <c r="C2564" s="3">
        <v>0</v>
      </c>
      <c r="D2564" s="3">
        <v>0</v>
      </c>
      <c r="E2564" s="3">
        <v>100</v>
      </c>
      <c r="F2564" s="3">
        <v>0</v>
      </c>
      <c r="G2564" s="3">
        <v>0</v>
      </c>
      <c r="H2564" s="2">
        <f t="shared" si="80"/>
        <v>100</v>
      </c>
      <c r="I2564" t="str">
        <f t="shared" si="81"/>
        <v>Frs2_100</v>
      </c>
      <c r="J2564" s="3">
        <v>0</v>
      </c>
      <c r="K2564" s="3">
        <v>0</v>
      </c>
      <c r="L2564" s="3">
        <v>100</v>
      </c>
      <c r="M2564" s="3">
        <v>0</v>
      </c>
      <c r="N2564" s="3">
        <v>0</v>
      </c>
    </row>
    <row r="2565" spans="1:14" x14ac:dyDescent="0.2">
      <c r="A2565" s="5" t="str">
        <f>HYPERLINK("http://www.ncbi.nlm.nih.gov/protein/119964716","Fryl")</f>
        <v>Fryl</v>
      </c>
      <c r="B2565" s="4"/>
      <c r="C2565" s="3">
        <v>0</v>
      </c>
      <c r="D2565" s="3">
        <v>21</v>
      </c>
      <c r="E2565" s="3">
        <v>480</v>
      </c>
      <c r="F2565" s="3">
        <v>8</v>
      </c>
      <c r="G2565" s="3">
        <v>0</v>
      </c>
      <c r="H2565" s="2">
        <f t="shared" si="80"/>
        <v>509</v>
      </c>
      <c r="I2565" t="str">
        <f t="shared" si="81"/>
        <v>Fryl_509</v>
      </c>
      <c r="J2565" s="3">
        <v>0</v>
      </c>
      <c r="K2565" s="3">
        <v>21</v>
      </c>
      <c r="L2565" s="3">
        <v>480</v>
      </c>
      <c r="M2565" s="3">
        <v>8</v>
      </c>
      <c r="N2565" s="3">
        <v>0</v>
      </c>
    </row>
    <row r="2566" spans="1:14" x14ac:dyDescent="0.2">
      <c r="A2566" s="5" t="str">
        <f>HYPERLINK("http://www.ncbi.nlm.nih.gov/protein/309264486","Fsip2")</f>
        <v>Fsip2</v>
      </c>
      <c r="B2566" s="4"/>
      <c r="C2566" s="3">
        <v>0</v>
      </c>
      <c r="D2566" s="3">
        <v>0</v>
      </c>
      <c r="E2566" s="3">
        <v>155</v>
      </c>
      <c r="F2566" s="3">
        <v>1064</v>
      </c>
      <c r="G2566" s="3">
        <v>0</v>
      </c>
      <c r="H2566" s="2">
        <f t="shared" si="80"/>
        <v>1219</v>
      </c>
      <c r="I2566" t="str">
        <f t="shared" si="81"/>
        <v>Fsip2_1219</v>
      </c>
      <c r="J2566" s="3">
        <v>0</v>
      </c>
      <c r="K2566" s="3">
        <v>0</v>
      </c>
      <c r="L2566" s="3">
        <v>155</v>
      </c>
      <c r="M2566" s="3">
        <v>1064</v>
      </c>
      <c r="N2566" s="3">
        <v>0</v>
      </c>
    </row>
    <row r="2567" spans="1:14" x14ac:dyDescent="0.2">
      <c r="A2567" s="5" t="str">
        <f>HYPERLINK("http://www.ncbi.nlm.nih.gov/protein/31560699","Fstl1")</f>
        <v>Fstl1</v>
      </c>
      <c r="B2567" s="4"/>
      <c r="C2567" s="3">
        <v>0</v>
      </c>
      <c r="D2567" s="3">
        <v>0</v>
      </c>
      <c r="E2567" s="3">
        <v>0</v>
      </c>
      <c r="F2567" s="3">
        <v>0</v>
      </c>
      <c r="G2567" s="3">
        <v>90870</v>
      </c>
      <c r="H2567" s="2">
        <f t="shared" si="80"/>
        <v>90870</v>
      </c>
      <c r="I2567" t="str">
        <f t="shared" si="81"/>
        <v>Fstl1_90870</v>
      </c>
      <c r="J2567" s="3">
        <v>0</v>
      </c>
      <c r="K2567" s="3">
        <v>0</v>
      </c>
      <c r="L2567" s="3">
        <v>0</v>
      </c>
      <c r="M2567" s="3">
        <v>0</v>
      </c>
      <c r="N2567" s="3">
        <v>90870</v>
      </c>
    </row>
    <row r="2568" spans="1:14" x14ac:dyDescent="0.2">
      <c r="A2568" s="5" t="str">
        <f>HYPERLINK("http://www.ncbi.nlm.nih.gov/protein/18252784","Ftcd")</f>
        <v>Ftcd</v>
      </c>
      <c r="B2568" s="4"/>
      <c r="C2568" s="3">
        <v>0</v>
      </c>
      <c r="D2568" s="3">
        <v>0</v>
      </c>
      <c r="E2568" s="3">
        <v>963</v>
      </c>
      <c r="F2568" s="3">
        <v>2750</v>
      </c>
      <c r="G2568" s="3">
        <v>0</v>
      </c>
      <c r="H2568" s="2">
        <f t="shared" si="80"/>
        <v>3713</v>
      </c>
      <c r="I2568" t="str">
        <f t="shared" si="81"/>
        <v>Ftcd_3713</v>
      </c>
      <c r="J2568" s="3">
        <v>0</v>
      </c>
      <c r="K2568" s="3">
        <v>0</v>
      </c>
      <c r="L2568" s="3">
        <v>963</v>
      </c>
      <c r="M2568" s="3">
        <v>2750</v>
      </c>
      <c r="N2568" s="3">
        <v>0</v>
      </c>
    </row>
    <row r="2569" spans="1:14" x14ac:dyDescent="0.2">
      <c r="A2569" s="5" t="str">
        <f>HYPERLINK("http://www.ncbi.nlm.nih.gov/protein/6753912","Fth1")</f>
        <v>Fth1</v>
      </c>
      <c r="B2569" s="4"/>
      <c r="C2569" s="3">
        <v>85361</v>
      </c>
      <c r="D2569" s="3">
        <v>20124</v>
      </c>
      <c r="E2569" s="3">
        <v>10409</v>
      </c>
      <c r="F2569" s="3">
        <v>303447</v>
      </c>
      <c r="G2569" s="3">
        <v>11673</v>
      </c>
      <c r="H2569" s="2">
        <f t="shared" si="80"/>
        <v>431014</v>
      </c>
      <c r="I2569" t="str">
        <f t="shared" si="81"/>
        <v>Fth1_431014</v>
      </c>
      <c r="J2569" s="3">
        <v>85361</v>
      </c>
      <c r="K2569" s="3">
        <v>20124</v>
      </c>
      <c r="L2569" s="3">
        <v>10409</v>
      </c>
      <c r="M2569" s="3">
        <v>303447</v>
      </c>
      <c r="N2569" s="3">
        <v>11673</v>
      </c>
    </row>
    <row r="2570" spans="1:14" x14ac:dyDescent="0.2">
      <c r="A2570" s="5" t="str">
        <f>HYPERLINK("http://www.ncbi.nlm.nih.gov/protein/166851822","Fto")</f>
        <v>Fto</v>
      </c>
      <c r="B2570" s="4"/>
      <c r="C2570" s="3">
        <v>0</v>
      </c>
      <c r="D2570" s="3">
        <v>79</v>
      </c>
      <c r="E2570" s="3">
        <v>0</v>
      </c>
      <c r="F2570" s="3">
        <v>115</v>
      </c>
      <c r="G2570" s="3">
        <v>34410</v>
      </c>
      <c r="H2570" s="2">
        <f t="shared" si="80"/>
        <v>34604</v>
      </c>
      <c r="I2570" t="str">
        <f t="shared" si="81"/>
        <v>Fto_34604</v>
      </c>
      <c r="J2570" s="3">
        <v>0</v>
      </c>
      <c r="K2570" s="3">
        <v>79</v>
      </c>
      <c r="L2570" s="3">
        <v>0</v>
      </c>
      <c r="M2570" s="3">
        <v>115</v>
      </c>
      <c r="N2570" s="3">
        <v>34410</v>
      </c>
    </row>
    <row r="2571" spans="1:14" x14ac:dyDescent="0.2">
      <c r="A2571" s="5" t="str">
        <f>HYPERLINK("http://www.ncbi.nlm.nih.gov/protein/46877062","Ftsj1")</f>
        <v>Ftsj1</v>
      </c>
      <c r="B2571" s="4"/>
      <c r="C2571" s="3">
        <v>0</v>
      </c>
      <c r="D2571" s="3">
        <v>0</v>
      </c>
      <c r="E2571" s="3">
        <v>0</v>
      </c>
      <c r="F2571" s="3">
        <v>246</v>
      </c>
      <c r="G2571" s="3">
        <v>0</v>
      </c>
      <c r="H2571" s="2">
        <f t="shared" si="80"/>
        <v>246</v>
      </c>
      <c r="I2571" t="str">
        <f t="shared" si="81"/>
        <v>Ftsj1_246</v>
      </c>
      <c r="J2571" s="3">
        <v>0</v>
      </c>
      <c r="K2571" s="3">
        <v>0</v>
      </c>
      <c r="L2571" s="3">
        <v>0</v>
      </c>
      <c r="M2571" s="3">
        <v>246</v>
      </c>
      <c r="N2571" s="3">
        <v>0</v>
      </c>
    </row>
    <row r="2572" spans="1:14" x14ac:dyDescent="0.2">
      <c r="A2572" s="5" t="str">
        <f>HYPERLINK("http://www.ncbi.nlm.nih.gov/protein/84662730","Fubp1")</f>
        <v>Fubp1</v>
      </c>
      <c r="B2572" s="4"/>
      <c r="C2572" s="3">
        <v>18965</v>
      </c>
      <c r="D2572" s="3">
        <v>3294</v>
      </c>
      <c r="E2572" s="3">
        <v>22750</v>
      </c>
      <c r="F2572" s="3">
        <v>1514</v>
      </c>
      <c r="G2572" s="3">
        <v>43181</v>
      </c>
      <c r="H2572" s="2">
        <f t="shared" si="80"/>
        <v>89704</v>
      </c>
      <c r="I2572" t="str">
        <f t="shared" si="81"/>
        <v>Fubp1_89704</v>
      </c>
      <c r="J2572" s="3">
        <v>18965</v>
      </c>
      <c r="K2572" s="3">
        <v>3294</v>
      </c>
      <c r="L2572" s="3">
        <v>22750</v>
      </c>
      <c r="M2572" s="3">
        <v>1514</v>
      </c>
      <c r="N2572" s="3">
        <v>43181</v>
      </c>
    </row>
    <row r="2573" spans="1:14" x14ac:dyDescent="0.2">
      <c r="A2573" s="5" t="str">
        <f>HYPERLINK("http://www.ncbi.nlm.nih.gov/protein/224922832","Fubp3")</f>
        <v>Fubp3</v>
      </c>
      <c r="B2573" s="4"/>
      <c r="C2573" s="3">
        <v>0</v>
      </c>
      <c r="D2573" s="3">
        <v>870</v>
      </c>
      <c r="E2573" s="3">
        <v>33580</v>
      </c>
      <c r="F2573" s="3">
        <v>237</v>
      </c>
      <c r="G2573" s="3">
        <v>321</v>
      </c>
      <c r="H2573" s="2">
        <f t="shared" si="80"/>
        <v>35008</v>
      </c>
      <c r="I2573" t="str">
        <f t="shared" si="81"/>
        <v>Fubp3_35008</v>
      </c>
      <c r="J2573" s="3">
        <v>0</v>
      </c>
      <c r="K2573" s="3">
        <v>870</v>
      </c>
      <c r="L2573" s="3">
        <v>33580</v>
      </c>
      <c r="M2573" s="3">
        <v>237</v>
      </c>
      <c r="N2573" s="3">
        <v>321</v>
      </c>
    </row>
    <row r="2574" spans="1:14" x14ac:dyDescent="0.2">
      <c r="A2574" s="5" t="str">
        <f>HYPERLINK("http://www.ncbi.nlm.nih.gov/protein/169808427","Fuca1")</f>
        <v>Fuca1</v>
      </c>
      <c r="B2574" s="4"/>
      <c r="C2574" s="3">
        <v>0</v>
      </c>
      <c r="D2574" s="3">
        <v>1457</v>
      </c>
      <c r="E2574" s="3">
        <v>294</v>
      </c>
      <c r="F2574" s="3">
        <v>0</v>
      </c>
      <c r="G2574" s="3">
        <v>0</v>
      </c>
      <c r="H2574" s="2">
        <f t="shared" si="80"/>
        <v>1751</v>
      </c>
      <c r="I2574" t="str">
        <f t="shared" si="81"/>
        <v>Fuca1_1751</v>
      </c>
      <c r="J2574" s="3">
        <v>0</v>
      </c>
      <c r="K2574" s="3">
        <v>1457</v>
      </c>
      <c r="L2574" s="3">
        <v>294</v>
      </c>
      <c r="M2574" s="3">
        <v>0</v>
      </c>
      <c r="N2574" s="3">
        <v>0</v>
      </c>
    </row>
    <row r="2575" spans="1:14" x14ac:dyDescent="0.2">
      <c r="A2575" s="5" t="str">
        <f>HYPERLINK("http://www.ncbi.nlm.nih.gov/protein/31541791","Fuca2")</f>
        <v>Fuca2</v>
      </c>
      <c r="B2575" s="4"/>
      <c r="C2575" s="3">
        <v>384</v>
      </c>
      <c r="D2575" s="3">
        <v>643</v>
      </c>
      <c r="E2575" s="3">
        <v>234</v>
      </c>
      <c r="F2575" s="3">
        <v>0</v>
      </c>
      <c r="G2575" s="3">
        <v>2206</v>
      </c>
      <c r="H2575" s="2">
        <f t="shared" si="80"/>
        <v>3467</v>
      </c>
      <c r="I2575" t="str">
        <f t="shared" si="81"/>
        <v>Fuca2_3467</v>
      </c>
      <c r="J2575" s="3">
        <v>384</v>
      </c>
      <c r="K2575" s="3">
        <v>643</v>
      </c>
      <c r="L2575" s="3">
        <v>234</v>
      </c>
      <c r="M2575" s="3">
        <v>0</v>
      </c>
      <c r="N2575" s="3">
        <v>2206</v>
      </c>
    </row>
    <row r="2576" spans="1:14" x14ac:dyDescent="0.2">
      <c r="A2576" s="5" t="str">
        <f>HYPERLINK("http://www.ncbi.nlm.nih.gov/protein/31981686","Fuk")</f>
        <v>Fuk</v>
      </c>
      <c r="B2576" s="4"/>
      <c r="C2576" s="3">
        <v>0</v>
      </c>
      <c r="D2576" s="3">
        <v>0</v>
      </c>
      <c r="E2576" s="3">
        <v>758</v>
      </c>
      <c r="F2576" s="3">
        <v>50480</v>
      </c>
      <c r="G2576" s="3">
        <v>20669</v>
      </c>
      <c r="H2576" s="2">
        <f t="shared" si="80"/>
        <v>71907</v>
      </c>
      <c r="I2576" t="str">
        <f t="shared" si="81"/>
        <v>Fuk_71907</v>
      </c>
      <c r="J2576" s="3">
        <v>0</v>
      </c>
      <c r="K2576" s="3">
        <v>0</v>
      </c>
      <c r="L2576" s="3">
        <v>758</v>
      </c>
      <c r="M2576" s="3">
        <v>50480</v>
      </c>
      <c r="N2576" s="3">
        <v>20669</v>
      </c>
    </row>
    <row r="2577" spans="1:14" x14ac:dyDescent="0.2">
      <c r="A2577" s="5" t="str">
        <f>HYPERLINK("http://www.ncbi.nlm.nih.gov/protein/262050556","Fundc2")</f>
        <v>Fundc2</v>
      </c>
      <c r="B2577" s="4"/>
      <c r="C2577" s="3">
        <v>9794</v>
      </c>
      <c r="D2577" s="3">
        <v>4217</v>
      </c>
      <c r="E2577" s="3">
        <v>51</v>
      </c>
      <c r="F2577" s="3">
        <v>0</v>
      </c>
      <c r="G2577" s="3">
        <v>0</v>
      </c>
      <c r="H2577" s="2">
        <f t="shared" si="80"/>
        <v>14062</v>
      </c>
      <c r="I2577" t="str">
        <f t="shared" si="81"/>
        <v>Fundc2_14062</v>
      </c>
      <c r="J2577" s="3">
        <v>9794</v>
      </c>
      <c r="K2577" s="3">
        <v>4217</v>
      </c>
      <c r="L2577" s="3">
        <v>51</v>
      </c>
      <c r="M2577" s="3">
        <v>0</v>
      </c>
      <c r="N2577" s="3">
        <v>0</v>
      </c>
    </row>
    <row r="2578" spans="1:14" x14ac:dyDescent="0.2">
      <c r="A2578" s="5" t="str">
        <f>HYPERLINK("http://www.ncbi.nlm.nih.gov/protein/124377998","Fuom")</f>
        <v>Fuom</v>
      </c>
      <c r="B2578" s="4"/>
      <c r="C2578" s="3">
        <v>0</v>
      </c>
      <c r="D2578" s="3">
        <v>0</v>
      </c>
      <c r="E2578" s="3">
        <v>0</v>
      </c>
      <c r="F2578" s="3">
        <v>491</v>
      </c>
      <c r="G2578" s="3">
        <v>0</v>
      </c>
      <c r="H2578" s="2">
        <f t="shared" si="80"/>
        <v>491</v>
      </c>
      <c r="I2578" t="str">
        <f t="shared" si="81"/>
        <v>Fuom_491</v>
      </c>
      <c r="J2578" s="3">
        <v>0</v>
      </c>
      <c r="K2578" s="3">
        <v>0</v>
      </c>
      <c r="L2578" s="3">
        <v>0</v>
      </c>
      <c r="M2578" s="3">
        <v>491</v>
      </c>
      <c r="N2578" s="3">
        <v>0</v>
      </c>
    </row>
    <row r="2579" spans="1:14" x14ac:dyDescent="0.2">
      <c r="A2579" s="5" t="str">
        <f>HYPERLINK("http://www.ncbi.nlm.nih.gov/protein/20982845","Fus")</f>
        <v>Fus</v>
      </c>
      <c r="B2579" s="4"/>
      <c r="C2579" s="3">
        <v>59238</v>
      </c>
      <c r="D2579" s="3">
        <v>7323</v>
      </c>
      <c r="E2579" s="3">
        <v>28532</v>
      </c>
      <c r="F2579" s="3">
        <v>30745</v>
      </c>
      <c r="G2579" s="3">
        <v>278</v>
      </c>
      <c r="H2579" s="2">
        <f t="shared" si="80"/>
        <v>126116</v>
      </c>
      <c r="I2579" t="str">
        <f t="shared" si="81"/>
        <v>Fus_126116</v>
      </c>
      <c r="J2579" s="3">
        <v>59238</v>
      </c>
      <c r="K2579" s="3">
        <v>7323</v>
      </c>
      <c r="L2579" s="3">
        <v>28532</v>
      </c>
      <c r="M2579" s="3">
        <v>30745</v>
      </c>
      <c r="N2579" s="3">
        <v>278</v>
      </c>
    </row>
    <row r="2580" spans="1:14" x14ac:dyDescent="0.2">
      <c r="A2580" s="5" t="str">
        <f>HYPERLINK("http://www.ncbi.nlm.nih.gov/protein/31560444","Fut8")</f>
        <v>Fut8</v>
      </c>
      <c r="B2580" s="4"/>
      <c r="C2580" s="3">
        <v>0</v>
      </c>
      <c r="D2580" s="3">
        <v>0</v>
      </c>
      <c r="E2580" s="3">
        <v>124</v>
      </c>
      <c r="F2580" s="3">
        <v>0</v>
      </c>
      <c r="G2580" s="3">
        <v>0</v>
      </c>
      <c r="H2580" s="2">
        <f t="shared" si="80"/>
        <v>124</v>
      </c>
      <c r="I2580" t="str">
        <f t="shared" si="81"/>
        <v>Fut8_124</v>
      </c>
      <c r="J2580" s="3">
        <v>0</v>
      </c>
      <c r="K2580" s="3">
        <v>0</v>
      </c>
      <c r="L2580" s="3">
        <v>124</v>
      </c>
      <c r="M2580" s="3">
        <v>0</v>
      </c>
      <c r="N2580" s="3">
        <v>0</v>
      </c>
    </row>
    <row r="2581" spans="1:14" x14ac:dyDescent="0.2">
      <c r="A2581" s="5" t="str">
        <f>HYPERLINK("http://www.ncbi.nlm.nih.gov/protein/6679863","Fxn")</f>
        <v>Fxn</v>
      </c>
      <c r="B2581" s="4"/>
      <c r="C2581" s="3">
        <v>2911</v>
      </c>
      <c r="D2581" s="3">
        <v>1582</v>
      </c>
      <c r="E2581" s="3">
        <v>0</v>
      </c>
      <c r="F2581" s="3">
        <v>0</v>
      </c>
      <c r="G2581" s="3">
        <v>0</v>
      </c>
      <c r="H2581" s="2">
        <f t="shared" si="80"/>
        <v>4493</v>
      </c>
      <c r="I2581" t="str">
        <f t="shared" si="81"/>
        <v>Fxn_4493</v>
      </c>
      <c r="J2581" s="3">
        <v>2911</v>
      </c>
      <c r="K2581" s="3">
        <v>1582</v>
      </c>
      <c r="L2581" s="3">
        <v>0</v>
      </c>
      <c r="M2581" s="3">
        <v>0</v>
      </c>
      <c r="N2581" s="3">
        <v>0</v>
      </c>
    </row>
    <row r="2582" spans="1:14" x14ac:dyDescent="0.2">
      <c r="A2582" s="5" t="str">
        <f>HYPERLINK("http://www.ncbi.nlm.nih.gov/protein/17998694","Fxr1")</f>
        <v>Fxr1</v>
      </c>
      <c r="B2582" s="4"/>
      <c r="C2582" s="3">
        <v>0</v>
      </c>
      <c r="D2582" s="3">
        <v>8409</v>
      </c>
      <c r="E2582" s="3">
        <v>69588</v>
      </c>
      <c r="F2582" s="3">
        <v>32955</v>
      </c>
      <c r="G2582" s="3">
        <v>0</v>
      </c>
      <c r="H2582" s="2">
        <f t="shared" si="80"/>
        <v>110952</v>
      </c>
      <c r="I2582" t="str">
        <f t="shared" si="81"/>
        <v>Fxr1_110952</v>
      </c>
      <c r="J2582" s="3">
        <v>0</v>
      </c>
      <c r="K2582" s="3">
        <v>8409</v>
      </c>
      <c r="L2582" s="3">
        <v>69588</v>
      </c>
      <c r="M2582" s="3">
        <v>32955</v>
      </c>
      <c r="N2582" s="3">
        <v>0</v>
      </c>
    </row>
    <row r="2583" spans="1:14" x14ac:dyDescent="0.2">
      <c r="A2583" s="5" t="str">
        <f>HYPERLINK("http://www.ncbi.nlm.nih.gov/protein/163954941","Fxr1")</f>
        <v>Fxr1</v>
      </c>
      <c r="B2583" s="4"/>
      <c r="C2583" s="3">
        <v>0</v>
      </c>
      <c r="D2583" s="3">
        <v>9087</v>
      </c>
      <c r="E2583" s="3">
        <v>80222</v>
      </c>
      <c r="F2583" s="3">
        <v>42278</v>
      </c>
      <c r="G2583" s="3">
        <v>64</v>
      </c>
      <c r="H2583" s="2">
        <f t="shared" si="80"/>
        <v>131651</v>
      </c>
      <c r="I2583" t="str">
        <f t="shared" si="81"/>
        <v>Fxr1_131651</v>
      </c>
      <c r="J2583" s="3">
        <v>0</v>
      </c>
      <c r="K2583" s="3">
        <v>9087</v>
      </c>
      <c r="L2583" s="3">
        <v>80222</v>
      </c>
      <c r="M2583" s="3">
        <v>42278</v>
      </c>
      <c r="N2583" s="3">
        <v>64</v>
      </c>
    </row>
    <row r="2584" spans="1:14" x14ac:dyDescent="0.2">
      <c r="A2584" s="5" t="str">
        <f>HYPERLINK("http://www.ncbi.nlm.nih.gov/protein/163954943","Fxr1")</f>
        <v>Fxr1</v>
      </c>
      <c r="B2584" s="4"/>
      <c r="C2584" s="3">
        <v>0</v>
      </c>
      <c r="D2584" s="3">
        <v>8413</v>
      </c>
      <c r="E2584" s="3">
        <v>76240</v>
      </c>
      <c r="F2584" s="3">
        <v>40183</v>
      </c>
      <c r="G2584" s="3">
        <v>64</v>
      </c>
      <c r="H2584" s="2">
        <f t="shared" si="80"/>
        <v>124900</v>
      </c>
      <c r="I2584" t="str">
        <f t="shared" si="81"/>
        <v>Fxr1_124900</v>
      </c>
      <c r="J2584" s="3">
        <v>0</v>
      </c>
      <c r="K2584" s="3">
        <v>8413</v>
      </c>
      <c r="L2584" s="3">
        <v>76240</v>
      </c>
      <c r="M2584" s="3">
        <v>40183</v>
      </c>
      <c r="N2584" s="3">
        <v>64</v>
      </c>
    </row>
    <row r="2585" spans="1:14" x14ac:dyDescent="0.2">
      <c r="A2585" s="5" t="str">
        <f>HYPERLINK("http://www.ncbi.nlm.nih.gov/protein/83921589","Fxr2")</f>
        <v>Fxr2</v>
      </c>
      <c r="B2585" s="4"/>
      <c r="C2585" s="3">
        <v>0</v>
      </c>
      <c r="D2585" s="3">
        <v>889</v>
      </c>
      <c r="E2585" s="3">
        <v>49030</v>
      </c>
      <c r="F2585" s="3">
        <v>8808</v>
      </c>
      <c r="G2585" s="3">
        <v>0</v>
      </c>
      <c r="H2585" s="2">
        <f t="shared" si="80"/>
        <v>58727</v>
      </c>
      <c r="I2585" t="str">
        <f t="shared" si="81"/>
        <v>Fxr2_58727</v>
      </c>
      <c r="J2585" s="3">
        <v>0</v>
      </c>
      <c r="K2585" s="3">
        <v>889</v>
      </c>
      <c r="L2585" s="3">
        <v>49030</v>
      </c>
      <c r="M2585" s="3">
        <v>8808</v>
      </c>
      <c r="N2585" s="3">
        <v>0</v>
      </c>
    </row>
    <row r="2586" spans="1:14" x14ac:dyDescent="0.2">
      <c r="A2586" s="5" t="str">
        <f>HYPERLINK("http://www.ncbi.nlm.nih.gov/protein/16554570","Fxyd2")</f>
        <v>Fxyd2</v>
      </c>
      <c r="B2586" s="4"/>
      <c r="C2586" s="3">
        <v>2563</v>
      </c>
      <c r="D2586" s="3">
        <v>601</v>
      </c>
      <c r="E2586" s="3">
        <v>1055</v>
      </c>
      <c r="F2586" s="3">
        <v>98</v>
      </c>
      <c r="G2586" s="3">
        <v>0</v>
      </c>
      <c r="H2586" s="2">
        <f t="shared" si="80"/>
        <v>4317</v>
      </c>
      <c r="I2586" t="str">
        <f t="shared" si="81"/>
        <v>Fxyd2_4317</v>
      </c>
      <c r="J2586" s="3">
        <v>2563</v>
      </c>
      <c r="K2586" s="3">
        <v>601</v>
      </c>
      <c r="L2586" s="3">
        <v>1055</v>
      </c>
      <c r="M2586" s="3">
        <v>98</v>
      </c>
      <c r="N2586" s="3">
        <v>0</v>
      </c>
    </row>
    <row r="2587" spans="1:14" x14ac:dyDescent="0.2">
      <c r="A2587" s="5" t="str">
        <f>HYPERLINK("http://www.ncbi.nlm.nih.gov/protein/16554572","Fxyd2")</f>
        <v>Fxyd2</v>
      </c>
      <c r="B2587" s="4"/>
      <c r="C2587" s="3">
        <v>2563</v>
      </c>
      <c r="D2587" s="3">
        <v>601</v>
      </c>
      <c r="E2587" s="3">
        <v>1055</v>
      </c>
      <c r="F2587" s="3">
        <v>98</v>
      </c>
      <c r="G2587" s="3">
        <v>0</v>
      </c>
      <c r="H2587" s="2">
        <f t="shared" si="80"/>
        <v>4317</v>
      </c>
      <c r="I2587" t="str">
        <f t="shared" si="81"/>
        <v>Fxyd2_4317</v>
      </c>
      <c r="J2587" s="3">
        <v>2563</v>
      </c>
      <c r="K2587" s="3">
        <v>601</v>
      </c>
      <c r="L2587" s="3">
        <v>1055</v>
      </c>
      <c r="M2587" s="3">
        <v>98</v>
      </c>
      <c r="N2587" s="3">
        <v>0</v>
      </c>
    </row>
    <row r="2588" spans="1:14" x14ac:dyDescent="0.2">
      <c r="A2588" s="5" t="str">
        <f>HYPERLINK("http://www.ncbi.nlm.nih.gov/protein/16258807","Fxyd4")</f>
        <v>Fxyd4</v>
      </c>
      <c r="B2588" s="4"/>
      <c r="C2588" s="3">
        <v>641</v>
      </c>
      <c r="D2588" s="3">
        <v>0</v>
      </c>
      <c r="E2588" s="3">
        <v>0</v>
      </c>
      <c r="F2588" s="3">
        <v>0</v>
      </c>
      <c r="G2588" s="3">
        <v>0</v>
      </c>
      <c r="H2588" s="2">
        <f t="shared" si="80"/>
        <v>641</v>
      </c>
      <c r="I2588" t="str">
        <f t="shared" si="81"/>
        <v>Fxyd4_641</v>
      </c>
      <c r="J2588" s="3">
        <v>641</v>
      </c>
      <c r="K2588" s="3">
        <v>0</v>
      </c>
      <c r="L2588" s="3">
        <v>0</v>
      </c>
      <c r="M2588" s="3">
        <v>0</v>
      </c>
      <c r="N2588" s="3">
        <v>0</v>
      </c>
    </row>
    <row r="2589" spans="1:14" x14ac:dyDescent="0.2">
      <c r="A2589" s="5" t="str">
        <f>HYPERLINK("http://www.ncbi.nlm.nih.gov/protein/159131876","Fyco1")</f>
        <v>Fyco1</v>
      </c>
      <c r="B2589" s="4"/>
      <c r="C2589" s="3">
        <v>0</v>
      </c>
      <c r="D2589" s="3">
        <v>58</v>
      </c>
      <c r="E2589" s="3">
        <v>8716</v>
      </c>
      <c r="F2589" s="3">
        <v>1498</v>
      </c>
      <c r="G2589" s="3">
        <v>31229</v>
      </c>
      <c r="H2589" s="2">
        <f t="shared" si="80"/>
        <v>41501</v>
      </c>
      <c r="I2589" t="str">
        <f t="shared" si="81"/>
        <v>Fyco1_41501</v>
      </c>
      <c r="J2589" s="3">
        <v>0</v>
      </c>
      <c r="K2589" s="3">
        <v>58</v>
      </c>
      <c r="L2589" s="3">
        <v>8716</v>
      </c>
      <c r="M2589" s="3">
        <v>1498</v>
      </c>
      <c r="N2589" s="3">
        <v>31229</v>
      </c>
    </row>
    <row r="2590" spans="1:14" x14ac:dyDescent="0.2">
      <c r="A2590" s="5" t="str">
        <f>HYPERLINK("http://www.ncbi.nlm.nih.gov/protein/171543837","Fyn")</f>
        <v>Fyn</v>
      </c>
      <c r="B2590" s="4"/>
      <c r="C2590" s="3">
        <v>2691</v>
      </c>
      <c r="D2590" s="3">
        <v>5068</v>
      </c>
      <c r="E2590" s="3">
        <v>10157</v>
      </c>
      <c r="F2590" s="3">
        <v>10936</v>
      </c>
      <c r="G2590" s="3">
        <v>44016</v>
      </c>
      <c r="H2590" s="2">
        <f t="shared" si="80"/>
        <v>72868</v>
      </c>
      <c r="I2590" t="str">
        <f t="shared" si="81"/>
        <v>Fyn_72868</v>
      </c>
      <c r="J2590" s="3">
        <v>2691</v>
      </c>
      <c r="K2590" s="3">
        <v>5068</v>
      </c>
      <c r="L2590" s="3">
        <v>10157</v>
      </c>
      <c r="M2590" s="3">
        <v>10936</v>
      </c>
      <c r="N2590" s="3">
        <v>44016</v>
      </c>
    </row>
    <row r="2591" spans="1:14" x14ac:dyDescent="0.2">
      <c r="A2591" s="5" t="str">
        <f>HYPERLINK("http://www.ncbi.nlm.nih.gov/protein/171543841","Fyn")</f>
        <v>Fyn</v>
      </c>
      <c r="B2591" s="4"/>
      <c r="C2591" s="3">
        <v>2691</v>
      </c>
      <c r="D2591" s="3">
        <v>5068</v>
      </c>
      <c r="E2591" s="3">
        <v>10157</v>
      </c>
      <c r="F2591" s="3">
        <v>10936</v>
      </c>
      <c r="G2591" s="3">
        <v>44016</v>
      </c>
      <c r="H2591" s="2">
        <f t="shared" si="80"/>
        <v>72868</v>
      </c>
      <c r="I2591" t="str">
        <f t="shared" si="81"/>
        <v>Fyn_72868</v>
      </c>
      <c r="J2591" s="3">
        <v>2691</v>
      </c>
      <c r="K2591" s="3">
        <v>5068</v>
      </c>
      <c r="L2591" s="3">
        <v>10157</v>
      </c>
      <c r="M2591" s="3">
        <v>10936</v>
      </c>
      <c r="N2591" s="3">
        <v>44016</v>
      </c>
    </row>
    <row r="2592" spans="1:14" x14ac:dyDescent="0.2">
      <c r="A2592" s="5" t="str">
        <f>HYPERLINK("http://www.ncbi.nlm.nih.gov/protein/226823218","Fyttd1")</f>
        <v>Fyttd1</v>
      </c>
      <c r="B2592" s="4"/>
      <c r="C2592" s="3">
        <v>421</v>
      </c>
      <c r="D2592" s="3">
        <v>0</v>
      </c>
      <c r="E2592" s="3">
        <v>0</v>
      </c>
      <c r="F2592" s="3">
        <v>0</v>
      </c>
      <c r="G2592" s="3">
        <v>0</v>
      </c>
      <c r="H2592" s="2">
        <f t="shared" si="80"/>
        <v>421</v>
      </c>
      <c r="I2592" t="str">
        <f t="shared" si="81"/>
        <v>Fyttd1_421</v>
      </c>
      <c r="J2592" s="3">
        <v>421</v>
      </c>
      <c r="K2592" s="3">
        <v>0</v>
      </c>
      <c r="L2592" s="3">
        <v>0</v>
      </c>
      <c r="M2592" s="3">
        <v>0</v>
      </c>
      <c r="N2592" s="3">
        <v>0</v>
      </c>
    </row>
    <row r="2593" spans="1:14" x14ac:dyDescent="0.2">
      <c r="A2593" s="5" t="str">
        <f>HYPERLINK("http://www.ncbi.nlm.nih.gov/protein/31541947","Fyttd1")</f>
        <v>Fyttd1</v>
      </c>
      <c r="B2593" s="4"/>
      <c r="C2593" s="3">
        <v>421</v>
      </c>
      <c r="D2593" s="3">
        <v>0</v>
      </c>
      <c r="E2593" s="3">
        <v>0</v>
      </c>
      <c r="F2593" s="3">
        <v>0</v>
      </c>
      <c r="G2593" s="3">
        <v>0</v>
      </c>
      <c r="H2593" s="2">
        <f t="shared" si="80"/>
        <v>421</v>
      </c>
      <c r="I2593" t="str">
        <f t="shared" si="81"/>
        <v>Fyttd1_421</v>
      </c>
      <c r="J2593" s="3">
        <v>421</v>
      </c>
      <c r="K2593" s="3">
        <v>0</v>
      </c>
      <c r="L2593" s="3">
        <v>0</v>
      </c>
      <c r="M2593" s="3">
        <v>0</v>
      </c>
      <c r="N2593" s="3">
        <v>0</v>
      </c>
    </row>
    <row r="2594" spans="1:14" x14ac:dyDescent="0.2">
      <c r="A2594" s="5" t="str">
        <f>HYPERLINK("http://www.ncbi.nlm.nih.gov/protein/7305075","G3bp1")</f>
        <v>G3bp1</v>
      </c>
      <c r="B2594" s="4"/>
      <c r="C2594" s="3">
        <v>28411</v>
      </c>
      <c r="D2594" s="3">
        <v>3591</v>
      </c>
      <c r="E2594" s="3">
        <v>132053</v>
      </c>
      <c r="F2594" s="3">
        <v>116014</v>
      </c>
      <c r="G2594" s="3">
        <v>0</v>
      </c>
      <c r="H2594" s="2">
        <f t="shared" si="80"/>
        <v>280069</v>
      </c>
      <c r="I2594" t="str">
        <f t="shared" si="81"/>
        <v>G3bp1_280069</v>
      </c>
      <c r="J2594" s="3">
        <v>28411</v>
      </c>
      <c r="K2594" s="3">
        <v>3591</v>
      </c>
      <c r="L2594" s="3">
        <v>132053</v>
      </c>
      <c r="M2594" s="3">
        <v>116014</v>
      </c>
      <c r="N2594" s="3">
        <v>0</v>
      </c>
    </row>
    <row r="2595" spans="1:14" x14ac:dyDescent="0.2">
      <c r="A2595" s="5" t="str">
        <f>HYPERLINK("http://www.ncbi.nlm.nih.gov/protein/124248570","G3bp2")</f>
        <v>G3bp2</v>
      </c>
      <c r="B2595" s="4"/>
      <c r="C2595" s="3">
        <v>11148</v>
      </c>
      <c r="D2595" s="3">
        <v>764</v>
      </c>
      <c r="E2595" s="3">
        <v>52270</v>
      </c>
      <c r="F2595" s="3">
        <v>44497</v>
      </c>
      <c r="G2595" s="3">
        <v>0</v>
      </c>
      <c r="H2595" s="2">
        <f t="shared" si="80"/>
        <v>108679</v>
      </c>
      <c r="I2595" t="str">
        <f t="shared" si="81"/>
        <v>G3bp2_108679</v>
      </c>
      <c r="J2595" s="3">
        <v>11148</v>
      </c>
      <c r="K2595" s="3">
        <v>764</v>
      </c>
      <c r="L2595" s="3">
        <v>52270</v>
      </c>
      <c r="M2595" s="3">
        <v>44497</v>
      </c>
      <c r="N2595" s="3">
        <v>0</v>
      </c>
    </row>
    <row r="2596" spans="1:14" x14ac:dyDescent="0.2">
      <c r="A2596" s="5" t="str">
        <f>HYPERLINK("http://www.ncbi.nlm.nih.gov/protein/31982757","G3bp2")</f>
        <v>G3bp2</v>
      </c>
      <c r="B2596" s="4"/>
      <c r="C2596" s="3">
        <v>11148</v>
      </c>
      <c r="D2596" s="3">
        <v>764</v>
      </c>
      <c r="E2596" s="3">
        <v>59313</v>
      </c>
      <c r="F2596" s="3">
        <v>44497</v>
      </c>
      <c r="G2596" s="3">
        <v>0</v>
      </c>
      <c r="H2596" s="2">
        <f t="shared" si="80"/>
        <v>115722</v>
      </c>
      <c r="I2596" t="str">
        <f t="shared" si="81"/>
        <v>G3bp2_115722</v>
      </c>
      <c r="J2596" s="3">
        <v>11148</v>
      </c>
      <c r="K2596" s="3">
        <v>764</v>
      </c>
      <c r="L2596" s="3">
        <v>59313</v>
      </c>
      <c r="M2596" s="3">
        <v>44497</v>
      </c>
      <c r="N2596" s="3">
        <v>0</v>
      </c>
    </row>
    <row r="2597" spans="1:14" x14ac:dyDescent="0.2">
      <c r="A2597" s="5" t="str">
        <f>HYPERLINK("http://www.ncbi.nlm.nih.gov/protein/227330582","G6pd2")</f>
        <v>G6pd2</v>
      </c>
      <c r="B2597" s="4"/>
      <c r="C2597" s="3">
        <v>0</v>
      </c>
      <c r="D2597" s="3">
        <v>152</v>
      </c>
      <c r="E2597" s="3">
        <v>2508</v>
      </c>
      <c r="F2597" s="3">
        <v>8570</v>
      </c>
      <c r="G2597" s="3">
        <v>55004</v>
      </c>
      <c r="H2597" s="2">
        <f t="shared" si="80"/>
        <v>66234</v>
      </c>
      <c r="I2597" t="str">
        <f t="shared" si="81"/>
        <v>G6pd2_66234</v>
      </c>
      <c r="J2597" s="3">
        <v>0</v>
      </c>
      <c r="K2597" s="3">
        <v>152</v>
      </c>
      <c r="L2597" s="3">
        <v>2508</v>
      </c>
      <c r="M2597" s="3">
        <v>8570</v>
      </c>
      <c r="N2597" s="3">
        <v>55004</v>
      </c>
    </row>
    <row r="2598" spans="1:14" x14ac:dyDescent="0.2">
      <c r="A2598" s="5" t="str">
        <f>HYPERLINK("http://www.ncbi.nlm.nih.gov/protein/6996917","G6pdx")</f>
        <v>G6pdx</v>
      </c>
      <c r="B2598" s="4"/>
      <c r="C2598" s="3">
        <v>1062</v>
      </c>
      <c r="D2598" s="3">
        <v>390</v>
      </c>
      <c r="E2598" s="3">
        <v>9924</v>
      </c>
      <c r="F2598" s="3">
        <v>24115</v>
      </c>
      <c r="G2598" s="3">
        <v>156648</v>
      </c>
      <c r="H2598" s="2">
        <f t="shared" si="80"/>
        <v>192139</v>
      </c>
      <c r="I2598" t="str">
        <f t="shared" si="81"/>
        <v>G6pdx_192139</v>
      </c>
      <c r="J2598" s="3">
        <v>1062</v>
      </c>
      <c r="K2598" s="3">
        <v>390</v>
      </c>
      <c r="L2598" s="3">
        <v>9924</v>
      </c>
      <c r="M2598" s="3">
        <v>24115</v>
      </c>
      <c r="N2598" s="3">
        <v>156648</v>
      </c>
    </row>
    <row r="2599" spans="1:14" x14ac:dyDescent="0.2">
      <c r="A2599" s="5" t="str">
        <f>HYPERLINK("http://www.ncbi.nlm.nih.gov/protein/226693367","Gaa")</f>
        <v>Gaa</v>
      </c>
      <c r="B2599" s="4"/>
      <c r="C2599" s="3">
        <v>9922</v>
      </c>
      <c r="D2599" s="3">
        <v>2085</v>
      </c>
      <c r="E2599" s="3">
        <v>963</v>
      </c>
      <c r="F2599" s="3">
        <v>98</v>
      </c>
      <c r="G2599" s="3">
        <v>6811</v>
      </c>
      <c r="H2599" s="2">
        <f t="shared" si="80"/>
        <v>19879</v>
      </c>
      <c r="I2599" t="str">
        <f t="shared" si="81"/>
        <v>Gaa_19879</v>
      </c>
      <c r="J2599" s="3">
        <v>9922</v>
      </c>
      <c r="K2599" s="3">
        <v>2085</v>
      </c>
      <c r="L2599" s="3">
        <v>963</v>
      </c>
      <c r="M2599" s="3">
        <v>98</v>
      </c>
      <c r="N2599" s="3">
        <v>6811</v>
      </c>
    </row>
    <row r="2600" spans="1:14" x14ac:dyDescent="0.2">
      <c r="A2600" s="5" t="str">
        <f>HYPERLINK("http://www.ncbi.nlm.nih.gov/protein/31542871","Gab1")</f>
        <v>Gab1</v>
      </c>
      <c r="B2600" s="4"/>
      <c r="C2600" s="3">
        <v>0</v>
      </c>
      <c r="D2600" s="3">
        <v>0</v>
      </c>
      <c r="E2600" s="3">
        <v>0</v>
      </c>
      <c r="F2600" s="3">
        <v>0</v>
      </c>
      <c r="G2600" s="3">
        <v>3352</v>
      </c>
      <c r="H2600" s="2">
        <f t="shared" si="80"/>
        <v>3352</v>
      </c>
      <c r="I2600" t="str">
        <f t="shared" si="81"/>
        <v>Gab1_3352</v>
      </c>
      <c r="J2600" s="3">
        <v>0</v>
      </c>
      <c r="K2600" s="3">
        <v>0</v>
      </c>
      <c r="L2600" s="3">
        <v>0</v>
      </c>
      <c r="M2600" s="3">
        <v>0</v>
      </c>
      <c r="N2600" s="3">
        <v>3352</v>
      </c>
    </row>
    <row r="2601" spans="1:14" x14ac:dyDescent="0.2">
      <c r="A2601" s="5" t="str">
        <f>HYPERLINK("http://www.ncbi.nlm.nih.gov/protein/9789961","Gabarap")</f>
        <v>Gabarap</v>
      </c>
      <c r="B2601" s="4"/>
      <c r="C2601" s="3">
        <v>0</v>
      </c>
      <c r="D2601" s="3">
        <v>0</v>
      </c>
      <c r="E2601" s="3">
        <v>0</v>
      </c>
      <c r="F2601" s="3">
        <v>0</v>
      </c>
      <c r="G2601" s="3">
        <v>5719</v>
      </c>
      <c r="H2601" s="2">
        <f t="shared" si="80"/>
        <v>5719</v>
      </c>
      <c r="I2601" t="str">
        <f t="shared" si="81"/>
        <v>Gabarap_5719</v>
      </c>
      <c r="J2601" s="3">
        <v>0</v>
      </c>
      <c r="K2601" s="3">
        <v>0</v>
      </c>
      <c r="L2601" s="3">
        <v>0</v>
      </c>
      <c r="M2601" s="3">
        <v>0</v>
      </c>
      <c r="N2601" s="3">
        <v>5719</v>
      </c>
    </row>
    <row r="2602" spans="1:14" x14ac:dyDescent="0.2">
      <c r="A2602" s="5" t="str">
        <f>HYPERLINK("http://www.ncbi.nlm.nih.gov/protein/10181206","Gabarapl1")</f>
        <v>Gabarapl1</v>
      </c>
      <c r="B2602" s="4"/>
      <c r="C2602" s="3">
        <v>0</v>
      </c>
      <c r="D2602" s="3">
        <v>0</v>
      </c>
      <c r="E2602" s="3">
        <v>9</v>
      </c>
      <c r="F2602" s="3">
        <v>0</v>
      </c>
      <c r="G2602" s="3">
        <v>5719</v>
      </c>
      <c r="H2602" s="2">
        <f t="shared" si="80"/>
        <v>5728</v>
      </c>
      <c r="I2602" t="str">
        <f t="shared" si="81"/>
        <v>Gabarapl1_5728</v>
      </c>
      <c r="J2602" s="3">
        <v>0</v>
      </c>
      <c r="K2602" s="3">
        <v>0</v>
      </c>
      <c r="L2602" s="3">
        <v>9</v>
      </c>
      <c r="M2602" s="3">
        <v>0</v>
      </c>
      <c r="N2602" s="3">
        <v>5719</v>
      </c>
    </row>
    <row r="2603" spans="1:14" x14ac:dyDescent="0.2">
      <c r="A2603" s="5" t="str">
        <f>HYPERLINK("http://www.ncbi.nlm.nih.gov/protein/31542873","Gabarapl2")</f>
        <v>Gabarapl2</v>
      </c>
      <c r="B2603" s="4"/>
      <c r="C2603" s="3">
        <v>0</v>
      </c>
      <c r="D2603" s="3">
        <v>369</v>
      </c>
      <c r="E2603" s="3">
        <v>278</v>
      </c>
      <c r="F2603" s="3">
        <v>0</v>
      </c>
      <c r="G2603" s="3">
        <v>10024</v>
      </c>
      <c r="H2603" s="2">
        <f t="shared" si="80"/>
        <v>10671</v>
      </c>
      <c r="I2603" t="str">
        <f t="shared" si="81"/>
        <v>Gabarapl2_10671</v>
      </c>
      <c r="J2603" s="3">
        <v>0</v>
      </c>
      <c r="K2603" s="3">
        <v>369</v>
      </c>
      <c r="L2603" s="3">
        <v>278</v>
      </c>
      <c r="M2603" s="3">
        <v>0</v>
      </c>
      <c r="N2603" s="3">
        <v>10024</v>
      </c>
    </row>
    <row r="2604" spans="1:14" x14ac:dyDescent="0.2">
      <c r="A2604" s="5" t="str">
        <f>HYPERLINK("http://www.ncbi.nlm.nih.gov/protein/34328119","Gabpa")</f>
        <v>Gabpa</v>
      </c>
      <c r="B2604" s="4"/>
      <c r="C2604" s="3">
        <v>0</v>
      </c>
      <c r="D2604" s="3">
        <v>0</v>
      </c>
      <c r="E2604" s="3">
        <v>335</v>
      </c>
      <c r="F2604" s="3">
        <v>426</v>
      </c>
      <c r="G2604" s="3">
        <v>23036</v>
      </c>
      <c r="H2604" s="2">
        <f t="shared" si="80"/>
        <v>23797</v>
      </c>
      <c r="I2604" t="str">
        <f t="shared" si="81"/>
        <v>Gabpa_23797</v>
      </c>
      <c r="J2604" s="3">
        <v>0</v>
      </c>
      <c r="K2604" s="3">
        <v>0</v>
      </c>
      <c r="L2604" s="3">
        <v>335</v>
      </c>
      <c r="M2604" s="3">
        <v>426</v>
      </c>
      <c r="N2604" s="3">
        <v>23036</v>
      </c>
    </row>
    <row r="2605" spans="1:14" x14ac:dyDescent="0.2">
      <c r="A2605" s="5" t="str">
        <f>HYPERLINK("http://www.ncbi.nlm.nih.gov/protein/407728605","Gabpb1")</f>
        <v>Gabpb1</v>
      </c>
      <c r="B2605" s="4"/>
      <c r="C2605" s="3">
        <v>0</v>
      </c>
      <c r="D2605" s="3">
        <v>0</v>
      </c>
      <c r="E2605" s="3">
        <v>0</v>
      </c>
      <c r="F2605" s="3">
        <v>0</v>
      </c>
      <c r="G2605" s="3">
        <v>942</v>
      </c>
      <c r="H2605" s="2">
        <f t="shared" si="80"/>
        <v>942</v>
      </c>
      <c r="I2605" t="str">
        <f t="shared" si="81"/>
        <v>Gabpb1_942</v>
      </c>
      <c r="J2605" s="3">
        <v>0</v>
      </c>
      <c r="K2605" s="3">
        <v>0</v>
      </c>
      <c r="L2605" s="3">
        <v>0</v>
      </c>
      <c r="M2605" s="3">
        <v>0</v>
      </c>
      <c r="N2605" s="3">
        <v>942</v>
      </c>
    </row>
    <row r="2606" spans="1:14" x14ac:dyDescent="0.2">
      <c r="A2606" s="5" t="str">
        <f>HYPERLINK("http://www.ncbi.nlm.nih.gov/protein/46575942","Gabpb1")</f>
        <v>Gabpb1</v>
      </c>
      <c r="B2606" s="4"/>
      <c r="C2606" s="3">
        <v>0</v>
      </c>
      <c r="D2606" s="3">
        <v>0</v>
      </c>
      <c r="E2606" s="3">
        <v>0</v>
      </c>
      <c r="F2606" s="3">
        <v>0</v>
      </c>
      <c r="G2606" s="3">
        <v>942</v>
      </c>
      <c r="H2606" s="2">
        <f t="shared" si="80"/>
        <v>942</v>
      </c>
      <c r="I2606" t="str">
        <f t="shared" si="81"/>
        <v>Gabpb1_942</v>
      </c>
      <c r="J2606" s="3">
        <v>0</v>
      </c>
      <c r="K2606" s="3">
        <v>0</v>
      </c>
      <c r="L2606" s="3">
        <v>0</v>
      </c>
      <c r="M2606" s="3">
        <v>0</v>
      </c>
      <c r="N2606" s="3">
        <v>942</v>
      </c>
    </row>
    <row r="2607" spans="1:14" x14ac:dyDescent="0.2">
      <c r="A2607" s="5" t="str">
        <f>HYPERLINK("http://www.ncbi.nlm.nih.gov/protein/6678980","Gadd45b")</f>
        <v>Gadd45b</v>
      </c>
      <c r="B2607" s="4"/>
      <c r="C2607" s="3">
        <v>0</v>
      </c>
      <c r="D2607" s="3">
        <v>0</v>
      </c>
      <c r="E2607" s="3">
        <v>179</v>
      </c>
      <c r="F2607" s="3">
        <v>0</v>
      </c>
      <c r="G2607" s="3">
        <v>0</v>
      </c>
      <c r="H2607" s="2">
        <f t="shared" si="80"/>
        <v>179</v>
      </c>
      <c r="I2607" t="str">
        <f t="shared" si="81"/>
        <v>Gadd45b_179</v>
      </c>
      <c r="J2607" s="3">
        <v>0</v>
      </c>
      <c r="K2607" s="3">
        <v>0</v>
      </c>
      <c r="L2607" s="3">
        <v>179</v>
      </c>
      <c r="M2607" s="3">
        <v>0</v>
      </c>
      <c r="N2607" s="3">
        <v>0</v>
      </c>
    </row>
    <row r="2608" spans="1:14" x14ac:dyDescent="0.2">
      <c r="A2608" s="5" t="str">
        <f>HYPERLINK("http://www.ncbi.nlm.nih.gov/protein/269315840","Gadd45gip1")</f>
        <v>Gadd45gip1</v>
      </c>
      <c r="B2608" s="4"/>
      <c r="C2608" s="3">
        <v>696</v>
      </c>
      <c r="D2608" s="3">
        <v>1503</v>
      </c>
      <c r="E2608" s="3">
        <v>0</v>
      </c>
      <c r="F2608" s="3">
        <v>0</v>
      </c>
      <c r="G2608" s="3">
        <v>0</v>
      </c>
      <c r="H2608" s="2">
        <f t="shared" si="80"/>
        <v>2199</v>
      </c>
      <c r="I2608" t="str">
        <f t="shared" si="81"/>
        <v>Gadd45gip1_2199</v>
      </c>
      <c r="J2608" s="3">
        <v>696</v>
      </c>
      <c r="K2608" s="3">
        <v>1503</v>
      </c>
      <c r="L2608" s="3">
        <v>0</v>
      </c>
      <c r="M2608" s="3">
        <v>0</v>
      </c>
      <c r="N2608" s="3">
        <v>0</v>
      </c>
    </row>
    <row r="2609" spans="1:14" x14ac:dyDescent="0.2">
      <c r="A2609" s="5" t="str">
        <f>HYPERLINK("http://www.ncbi.nlm.nih.gov/protein/51317387","Gak")</f>
        <v>Gak</v>
      </c>
      <c r="B2609" s="4"/>
      <c r="C2609" s="3">
        <v>0</v>
      </c>
      <c r="D2609" s="3">
        <v>0</v>
      </c>
      <c r="E2609" s="3">
        <v>2008</v>
      </c>
      <c r="F2609" s="3">
        <v>0</v>
      </c>
      <c r="G2609" s="3">
        <v>3491</v>
      </c>
      <c r="H2609" s="2">
        <f t="shared" si="80"/>
        <v>5499</v>
      </c>
      <c r="I2609" t="str">
        <f t="shared" si="81"/>
        <v>Gak_5499</v>
      </c>
      <c r="J2609" s="3">
        <v>0</v>
      </c>
      <c r="K2609" s="3">
        <v>0</v>
      </c>
      <c r="L2609" s="3">
        <v>2008</v>
      </c>
      <c r="M2609" s="3">
        <v>0</v>
      </c>
      <c r="N2609" s="3">
        <v>3491</v>
      </c>
    </row>
    <row r="2610" spans="1:14" x14ac:dyDescent="0.2">
      <c r="A2610" s="5" t="str">
        <f>HYPERLINK("http://www.ncbi.nlm.nih.gov/protein/93102411","Galc")</f>
        <v>Galc</v>
      </c>
      <c r="B2610" s="4"/>
      <c r="C2610" s="3">
        <v>0</v>
      </c>
      <c r="D2610" s="3">
        <v>15533</v>
      </c>
      <c r="E2610" s="3">
        <v>11222</v>
      </c>
      <c r="F2610" s="3">
        <v>2865</v>
      </c>
      <c r="G2610" s="3">
        <v>1274</v>
      </c>
      <c r="H2610" s="2">
        <f t="shared" si="80"/>
        <v>30894</v>
      </c>
      <c r="I2610" t="str">
        <f t="shared" si="81"/>
        <v>Galc_30894</v>
      </c>
      <c r="J2610" s="3">
        <v>0</v>
      </c>
      <c r="K2610" s="3">
        <v>15533</v>
      </c>
      <c r="L2610" s="3">
        <v>11222</v>
      </c>
      <c r="M2610" s="3">
        <v>2865</v>
      </c>
      <c r="N2610" s="3">
        <v>1274</v>
      </c>
    </row>
    <row r="2611" spans="1:14" x14ac:dyDescent="0.2">
      <c r="A2611" s="5" t="str">
        <f>HYPERLINK("http://www.ncbi.nlm.nih.gov/protein/30409988","Gale")</f>
        <v>Gale</v>
      </c>
      <c r="B2611" s="4"/>
      <c r="C2611" s="3">
        <v>0</v>
      </c>
      <c r="D2611" s="3">
        <v>0</v>
      </c>
      <c r="E2611" s="3">
        <v>0</v>
      </c>
      <c r="F2611" s="3">
        <v>0</v>
      </c>
      <c r="G2611" s="3">
        <v>15229</v>
      </c>
      <c r="H2611" s="2">
        <f t="shared" si="80"/>
        <v>15229</v>
      </c>
      <c r="I2611" t="str">
        <f t="shared" si="81"/>
        <v>Gale_15229</v>
      </c>
      <c r="J2611" s="3">
        <v>0</v>
      </c>
      <c r="K2611" s="3">
        <v>0</v>
      </c>
      <c r="L2611" s="3">
        <v>0</v>
      </c>
      <c r="M2611" s="3">
        <v>0</v>
      </c>
      <c r="N2611" s="3">
        <v>15229</v>
      </c>
    </row>
    <row r="2612" spans="1:14" x14ac:dyDescent="0.2">
      <c r="A2612" s="5" t="str">
        <f>HYPERLINK("http://www.ncbi.nlm.nih.gov/protein/93102413","Galk1")</f>
        <v>Galk1</v>
      </c>
      <c r="B2612" s="4"/>
      <c r="C2612" s="3">
        <v>0</v>
      </c>
      <c r="D2612" s="3">
        <v>255</v>
      </c>
      <c r="E2612" s="3">
        <v>15761</v>
      </c>
      <c r="F2612" s="3">
        <v>4109</v>
      </c>
      <c r="G2612" s="3">
        <v>241178</v>
      </c>
      <c r="H2612" s="2">
        <f t="shared" si="80"/>
        <v>261303</v>
      </c>
      <c r="I2612" t="str">
        <f t="shared" si="81"/>
        <v>Galk1_261303</v>
      </c>
      <c r="J2612" s="3">
        <v>0</v>
      </c>
      <c r="K2612" s="3">
        <v>255</v>
      </c>
      <c r="L2612" s="3">
        <v>15761</v>
      </c>
      <c r="M2612" s="3">
        <v>4109</v>
      </c>
      <c r="N2612" s="3">
        <v>241178</v>
      </c>
    </row>
    <row r="2613" spans="1:14" x14ac:dyDescent="0.2">
      <c r="A2613" s="5" t="str">
        <f>HYPERLINK("http://www.ncbi.nlm.nih.gov/protein/30424748","Galk2")</f>
        <v>Galk2</v>
      </c>
      <c r="B2613" s="4"/>
      <c r="C2613" s="3">
        <v>0</v>
      </c>
      <c r="D2613" s="3">
        <v>541</v>
      </c>
      <c r="E2613" s="3">
        <v>1128</v>
      </c>
      <c r="F2613" s="3">
        <v>0</v>
      </c>
      <c r="G2613" s="3">
        <v>8107</v>
      </c>
      <c r="H2613" s="2">
        <f t="shared" si="80"/>
        <v>9776</v>
      </c>
      <c r="I2613" t="str">
        <f t="shared" si="81"/>
        <v>Galk2_9776</v>
      </c>
      <c r="J2613" s="3">
        <v>0</v>
      </c>
      <c r="K2613" s="3">
        <v>541</v>
      </c>
      <c r="L2613" s="3">
        <v>1128</v>
      </c>
      <c r="M2613" s="3">
        <v>0</v>
      </c>
      <c r="N2613" s="3">
        <v>8107</v>
      </c>
    </row>
    <row r="2614" spans="1:14" x14ac:dyDescent="0.2">
      <c r="A2614" s="5" t="str">
        <f>HYPERLINK("http://www.ncbi.nlm.nih.gov/protein/28892785","Galm")</f>
        <v>Galm</v>
      </c>
      <c r="B2614" s="4"/>
      <c r="C2614" s="3">
        <v>0</v>
      </c>
      <c r="D2614" s="3">
        <v>0</v>
      </c>
      <c r="E2614" s="3">
        <v>344</v>
      </c>
      <c r="F2614" s="3">
        <v>0</v>
      </c>
      <c r="G2614" s="3">
        <v>20926</v>
      </c>
      <c r="H2614" s="2">
        <f t="shared" si="80"/>
        <v>21270</v>
      </c>
      <c r="I2614" t="str">
        <f t="shared" si="81"/>
        <v>Galm_21270</v>
      </c>
      <c r="J2614" s="3">
        <v>0</v>
      </c>
      <c r="K2614" s="3">
        <v>0</v>
      </c>
      <c r="L2614" s="3">
        <v>344</v>
      </c>
      <c r="M2614" s="3">
        <v>0</v>
      </c>
      <c r="N2614" s="3">
        <v>20926</v>
      </c>
    </row>
    <row r="2615" spans="1:14" x14ac:dyDescent="0.2">
      <c r="A2615" s="5" t="str">
        <f>HYPERLINK("http://www.ncbi.nlm.nih.gov/protein/302370951","Galns")</f>
        <v>Galns</v>
      </c>
      <c r="B2615" s="4"/>
      <c r="C2615" s="3">
        <v>0</v>
      </c>
      <c r="D2615" s="3">
        <v>2004</v>
      </c>
      <c r="E2615" s="3">
        <v>1</v>
      </c>
      <c r="F2615" s="3">
        <v>0</v>
      </c>
      <c r="G2615" s="3">
        <v>0</v>
      </c>
      <c r="H2615" s="2">
        <f t="shared" si="80"/>
        <v>2005</v>
      </c>
      <c r="I2615" t="str">
        <f t="shared" si="81"/>
        <v>Galns_2005</v>
      </c>
      <c r="J2615" s="3">
        <v>0</v>
      </c>
      <c r="K2615" s="3">
        <v>2004</v>
      </c>
      <c r="L2615" s="3">
        <v>1</v>
      </c>
      <c r="M2615" s="3">
        <v>0</v>
      </c>
      <c r="N2615" s="3">
        <v>0</v>
      </c>
    </row>
    <row r="2616" spans="1:14" x14ac:dyDescent="0.2">
      <c r="A2616" s="5" t="str">
        <f>HYPERLINK("http://www.ncbi.nlm.nih.gov/protein/171184398","Galns")</f>
        <v>Galns</v>
      </c>
      <c r="B2616" s="4"/>
      <c r="C2616" s="3">
        <v>494</v>
      </c>
      <c r="D2616" s="3">
        <v>3945</v>
      </c>
      <c r="E2616" s="3">
        <v>319</v>
      </c>
      <c r="F2616" s="3">
        <v>0</v>
      </c>
      <c r="G2616" s="3">
        <v>610</v>
      </c>
      <c r="H2616" s="2">
        <f t="shared" si="80"/>
        <v>5368</v>
      </c>
      <c r="I2616" t="str">
        <f t="shared" si="81"/>
        <v>Galns_5368</v>
      </c>
      <c r="J2616" s="3">
        <v>494</v>
      </c>
      <c r="K2616" s="3">
        <v>3945</v>
      </c>
      <c r="L2616" s="3">
        <v>319</v>
      </c>
      <c r="M2616" s="3">
        <v>0</v>
      </c>
      <c r="N2616" s="3">
        <v>610</v>
      </c>
    </row>
    <row r="2617" spans="1:14" x14ac:dyDescent="0.2">
      <c r="A2617" s="5" t="str">
        <f>HYPERLINK("http://www.ncbi.nlm.nih.gov/protein/237874259","Galnt1")</f>
        <v>Galnt1</v>
      </c>
      <c r="B2617" s="4"/>
      <c r="C2617" s="3">
        <v>0</v>
      </c>
      <c r="D2617" s="3">
        <v>1597</v>
      </c>
      <c r="E2617" s="3">
        <v>23</v>
      </c>
      <c r="F2617" s="3">
        <v>0</v>
      </c>
      <c r="G2617" s="3">
        <v>0</v>
      </c>
      <c r="H2617" s="2">
        <f t="shared" si="80"/>
        <v>1620</v>
      </c>
      <c r="I2617" t="str">
        <f t="shared" si="81"/>
        <v>Galnt1_1620</v>
      </c>
      <c r="J2617" s="3">
        <v>0</v>
      </c>
      <c r="K2617" s="3">
        <v>1597</v>
      </c>
      <c r="L2617" s="3">
        <v>23</v>
      </c>
      <c r="M2617" s="3">
        <v>0</v>
      </c>
      <c r="N2617" s="3">
        <v>0</v>
      </c>
    </row>
    <row r="2618" spans="1:14" x14ac:dyDescent="0.2">
      <c r="A2618" s="5" t="str">
        <f>HYPERLINK("http://www.ncbi.nlm.nih.gov/protein/76677928","Galnt13")</f>
        <v>Galnt13</v>
      </c>
      <c r="B2618" s="4"/>
      <c r="C2618" s="3">
        <v>0</v>
      </c>
      <c r="D2618" s="3">
        <v>1597</v>
      </c>
      <c r="E2618" s="3">
        <v>0</v>
      </c>
      <c r="F2618" s="3">
        <v>0</v>
      </c>
      <c r="G2618" s="3">
        <v>0</v>
      </c>
      <c r="H2618" s="2">
        <f t="shared" si="80"/>
        <v>1597</v>
      </c>
      <c r="I2618" t="str">
        <f t="shared" si="81"/>
        <v>Galnt13_1597</v>
      </c>
      <c r="J2618" s="3">
        <v>0</v>
      </c>
      <c r="K2618" s="3">
        <v>1597</v>
      </c>
      <c r="L2618" s="3">
        <v>0</v>
      </c>
      <c r="M2618" s="3">
        <v>0</v>
      </c>
      <c r="N2618" s="3">
        <v>0</v>
      </c>
    </row>
    <row r="2619" spans="1:14" x14ac:dyDescent="0.2">
      <c r="A2619" s="5" t="str">
        <f>HYPERLINK("http://www.ncbi.nlm.nih.gov/protein/46877109","Galnt2")</f>
        <v>Galnt2</v>
      </c>
      <c r="B2619" s="4"/>
      <c r="C2619" s="3">
        <v>0</v>
      </c>
      <c r="D2619" s="3">
        <v>3380</v>
      </c>
      <c r="E2619" s="3">
        <v>3228</v>
      </c>
      <c r="F2619" s="3">
        <v>0</v>
      </c>
      <c r="G2619" s="3">
        <v>0</v>
      </c>
      <c r="H2619" s="2">
        <f t="shared" si="80"/>
        <v>6608</v>
      </c>
      <c r="I2619" t="str">
        <f t="shared" si="81"/>
        <v>Galnt2_6608</v>
      </c>
      <c r="J2619" s="3">
        <v>0</v>
      </c>
      <c r="K2619" s="3">
        <v>3380</v>
      </c>
      <c r="L2619" s="3">
        <v>3228</v>
      </c>
      <c r="M2619" s="3">
        <v>0</v>
      </c>
      <c r="N2619" s="3">
        <v>0</v>
      </c>
    </row>
    <row r="2620" spans="1:14" x14ac:dyDescent="0.2">
      <c r="A2620" s="5" t="str">
        <f>HYPERLINK("http://www.ncbi.nlm.nih.gov/protein/162951828","Galnt3")</f>
        <v>Galnt3</v>
      </c>
      <c r="B2620" s="4"/>
      <c r="C2620" s="3">
        <v>15890</v>
      </c>
      <c r="D2620" s="3">
        <v>24246</v>
      </c>
      <c r="E2620" s="3">
        <v>5875</v>
      </c>
      <c r="F2620" s="3">
        <v>589</v>
      </c>
      <c r="G2620" s="3">
        <v>0</v>
      </c>
      <c r="H2620" s="2">
        <f t="shared" si="80"/>
        <v>46600</v>
      </c>
      <c r="I2620" t="str">
        <f t="shared" si="81"/>
        <v>Galnt3_46600</v>
      </c>
      <c r="J2620" s="3">
        <v>15890</v>
      </c>
      <c r="K2620" s="3">
        <v>24246</v>
      </c>
      <c r="L2620" s="3">
        <v>5875</v>
      </c>
      <c r="M2620" s="3">
        <v>589</v>
      </c>
      <c r="N2620" s="3">
        <v>0</v>
      </c>
    </row>
    <row r="2621" spans="1:14" x14ac:dyDescent="0.2">
      <c r="A2621" s="5" t="str">
        <f>HYPERLINK("http://www.ncbi.nlm.nih.gov/protein/7657112","Galnt4")</f>
        <v>Galnt4</v>
      </c>
      <c r="B2621" s="4"/>
      <c r="C2621" s="3">
        <v>0</v>
      </c>
      <c r="D2621" s="3">
        <v>0</v>
      </c>
      <c r="E2621" s="3">
        <v>132</v>
      </c>
      <c r="F2621" s="3">
        <v>0</v>
      </c>
      <c r="G2621" s="3">
        <v>0</v>
      </c>
      <c r="H2621" s="2">
        <f t="shared" si="80"/>
        <v>132</v>
      </c>
      <c r="I2621" t="str">
        <f t="shared" si="81"/>
        <v>Galnt4_132</v>
      </c>
      <c r="J2621" s="3">
        <v>0</v>
      </c>
      <c r="K2621" s="3">
        <v>0</v>
      </c>
      <c r="L2621" s="3">
        <v>132</v>
      </c>
      <c r="M2621" s="3">
        <v>0</v>
      </c>
      <c r="N2621" s="3">
        <v>0</v>
      </c>
    </row>
    <row r="2622" spans="1:14" x14ac:dyDescent="0.2">
      <c r="A2622" s="5" t="str">
        <f>HYPERLINK("http://www.ncbi.nlm.nih.gov/protein/269784707","Galnt7")</f>
        <v>Galnt7</v>
      </c>
      <c r="B2622" s="4"/>
      <c r="C2622" s="3">
        <v>0</v>
      </c>
      <c r="D2622" s="3">
        <v>324</v>
      </c>
      <c r="E2622" s="3">
        <v>0</v>
      </c>
      <c r="F2622" s="3">
        <v>0</v>
      </c>
      <c r="G2622" s="3">
        <v>0</v>
      </c>
      <c r="H2622" s="2">
        <f t="shared" si="80"/>
        <v>324</v>
      </c>
      <c r="I2622" t="str">
        <f t="shared" si="81"/>
        <v>Galnt7_324</v>
      </c>
      <c r="J2622" s="3">
        <v>0</v>
      </c>
      <c r="K2622" s="3">
        <v>324</v>
      </c>
      <c r="L2622" s="3">
        <v>0</v>
      </c>
      <c r="M2622" s="3">
        <v>0</v>
      </c>
      <c r="N2622" s="3">
        <v>0</v>
      </c>
    </row>
    <row r="2623" spans="1:14" x14ac:dyDescent="0.2">
      <c r="A2623" s="5" t="str">
        <f>HYPERLINK("http://www.ncbi.nlm.nih.gov/protein/269784709","Galnt7")</f>
        <v>Galnt7</v>
      </c>
      <c r="B2623" s="4"/>
      <c r="C2623" s="3">
        <v>0</v>
      </c>
      <c r="D2623" s="3">
        <v>324</v>
      </c>
      <c r="E2623" s="3">
        <v>0</v>
      </c>
      <c r="F2623" s="3">
        <v>0</v>
      </c>
      <c r="G2623" s="3">
        <v>0</v>
      </c>
      <c r="H2623" s="2">
        <f t="shared" si="80"/>
        <v>324</v>
      </c>
      <c r="I2623" t="str">
        <f t="shared" si="81"/>
        <v>Galnt7_324</v>
      </c>
      <c r="J2623" s="3">
        <v>0</v>
      </c>
      <c r="K2623" s="3">
        <v>324</v>
      </c>
      <c r="L2623" s="3">
        <v>0</v>
      </c>
      <c r="M2623" s="3">
        <v>0</v>
      </c>
      <c r="N2623" s="3">
        <v>0</v>
      </c>
    </row>
    <row r="2624" spans="1:14" x14ac:dyDescent="0.2">
      <c r="A2624" s="5" t="str">
        <f>HYPERLINK("http://www.ncbi.nlm.nih.gov/protein/6753944","Gamt")</f>
        <v>Gamt</v>
      </c>
      <c r="B2624" s="4"/>
      <c r="C2624" s="3">
        <v>0</v>
      </c>
      <c r="D2624" s="3">
        <v>0</v>
      </c>
      <c r="E2624" s="3">
        <v>23</v>
      </c>
      <c r="F2624" s="3">
        <v>0</v>
      </c>
      <c r="G2624" s="3">
        <v>1874</v>
      </c>
      <c r="H2624" s="2">
        <f t="shared" si="80"/>
        <v>1897</v>
      </c>
      <c r="I2624" t="str">
        <f t="shared" si="81"/>
        <v>Gamt_1897</v>
      </c>
      <c r="J2624" s="3">
        <v>0</v>
      </c>
      <c r="K2624" s="3">
        <v>0</v>
      </c>
      <c r="L2624" s="3">
        <v>23</v>
      </c>
      <c r="M2624" s="3">
        <v>0</v>
      </c>
      <c r="N2624" s="3">
        <v>1874</v>
      </c>
    </row>
    <row r="2625" spans="1:14" x14ac:dyDescent="0.2">
      <c r="A2625" s="5" t="str">
        <f>HYPERLINK("http://www.ncbi.nlm.nih.gov/protein/6679891","Ganab")</f>
        <v>Ganab</v>
      </c>
      <c r="B2625" s="4"/>
      <c r="C2625" s="3">
        <v>440498</v>
      </c>
      <c r="D2625" s="3">
        <v>63809</v>
      </c>
      <c r="E2625" s="3">
        <v>42414</v>
      </c>
      <c r="F2625" s="3">
        <v>8071</v>
      </c>
      <c r="G2625" s="3">
        <v>72289</v>
      </c>
      <c r="H2625" s="2">
        <f t="shared" si="80"/>
        <v>627081</v>
      </c>
      <c r="I2625" t="str">
        <f t="shared" si="81"/>
        <v>Ganab_627081</v>
      </c>
      <c r="J2625" s="3">
        <v>440498</v>
      </c>
      <c r="K2625" s="3">
        <v>63809</v>
      </c>
      <c r="L2625" s="3">
        <v>42414</v>
      </c>
      <c r="M2625" s="3">
        <v>8071</v>
      </c>
      <c r="N2625" s="3">
        <v>72289</v>
      </c>
    </row>
    <row r="2626" spans="1:14" x14ac:dyDescent="0.2">
      <c r="A2626" s="5" t="str">
        <f>HYPERLINK("http://www.ncbi.nlm.nih.gov/protein/6679939","Gapdhs")</f>
        <v>Gapdhs</v>
      </c>
      <c r="B2626" s="4"/>
      <c r="C2626" s="3">
        <v>96216</v>
      </c>
      <c r="D2626" s="3">
        <v>51608</v>
      </c>
      <c r="E2626" s="3">
        <v>168747</v>
      </c>
      <c r="F2626" s="3">
        <v>242219</v>
      </c>
      <c r="G2626" s="3">
        <v>273531</v>
      </c>
      <c r="H2626" s="2">
        <f t="shared" ref="H2626:H2689" si="82">SUM(C2626:G2626)</f>
        <v>832321</v>
      </c>
      <c r="I2626" t="str">
        <f t="shared" ref="I2626:I2689" si="83">A2626&amp;"_"&amp;H2626</f>
        <v>Gapdhs_832321</v>
      </c>
      <c r="J2626" s="3">
        <v>96216</v>
      </c>
      <c r="K2626" s="3">
        <v>51608</v>
      </c>
      <c r="L2626" s="3">
        <v>168747</v>
      </c>
      <c r="M2626" s="3">
        <v>242219</v>
      </c>
      <c r="N2626" s="3">
        <v>273531</v>
      </c>
    </row>
    <row r="2627" spans="1:14" x14ac:dyDescent="0.2">
      <c r="A2627" s="5" t="str">
        <f>HYPERLINK("http://www.ncbi.nlm.nih.gov/protein/40254514","Gapvd1")</f>
        <v>Gapvd1</v>
      </c>
      <c r="B2627" s="4"/>
      <c r="C2627" s="3">
        <v>0</v>
      </c>
      <c r="D2627" s="3">
        <v>0</v>
      </c>
      <c r="E2627" s="3">
        <v>0</v>
      </c>
      <c r="F2627" s="3">
        <v>1989</v>
      </c>
      <c r="G2627" s="3">
        <v>2474</v>
      </c>
      <c r="H2627" s="2">
        <f t="shared" si="82"/>
        <v>4463</v>
      </c>
      <c r="I2627" t="str">
        <f t="shared" si="83"/>
        <v>Gapvd1_4463</v>
      </c>
      <c r="J2627" s="3">
        <v>0</v>
      </c>
      <c r="K2627" s="3">
        <v>0</v>
      </c>
      <c r="L2627" s="3">
        <v>0</v>
      </c>
      <c r="M2627" s="3">
        <v>1989</v>
      </c>
      <c r="N2627" s="3">
        <v>2474</v>
      </c>
    </row>
    <row r="2628" spans="1:14" x14ac:dyDescent="0.2">
      <c r="A2628" s="5" t="str">
        <f>HYPERLINK("http://www.ncbi.nlm.nih.gov/protein/13384710","Gar1")</f>
        <v>Gar1</v>
      </c>
      <c r="B2628" s="4"/>
      <c r="C2628" s="3">
        <v>0</v>
      </c>
      <c r="D2628" s="3">
        <v>0</v>
      </c>
      <c r="E2628" s="3">
        <v>0</v>
      </c>
      <c r="F2628" s="3">
        <v>1130</v>
      </c>
      <c r="G2628" s="3">
        <v>0</v>
      </c>
      <c r="H2628" s="2">
        <f t="shared" si="82"/>
        <v>1130</v>
      </c>
      <c r="I2628" t="str">
        <f t="shared" si="83"/>
        <v>Gar1_1130</v>
      </c>
      <c r="J2628" s="3">
        <v>0</v>
      </c>
      <c r="K2628" s="3">
        <v>0</v>
      </c>
      <c r="L2628" s="3">
        <v>0</v>
      </c>
      <c r="M2628" s="3">
        <v>1130</v>
      </c>
      <c r="N2628" s="3">
        <v>0</v>
      </c>
    </row>
    <row r="2629" spans="1:14" x14ac:dyDescent="0.2">
      <c r="A2629" s="5" t="str">
        <f>HYPERLINK("http://www.ncbi.nlm.nih.gov/protein/93102417","Gars")</f>
        <v>Gars</v>
      </c>
      <c r="B2629" s="4"/>
      <c r="C2629" s="3">
        <v>1007</v>
      </c>
      <c r="D2629" s="3">
        <v>5083</v>
      </c>
      <c r="E2629" s="3">
        <v>7283</v>
      </c>
      <c r="F2629" s="3">
        <v>40388</v>
      </c>
      <c r="G2629" s="3">
        <v>67695</v>
      </c>
      <c r="H2629" s="2">
        <f t="shared" si="82"/>
        <v>121456</v>
      </c>
      <c r="I2629" t="str">
        <f t="shared" si="83"/>
        <v>Gars_121456</v>
      </c>
      <c r="J2629" s="3">
        <v>1007</v>
      </c>
      <c r="K2629" s="3">
        <v>5083</v>
      </c>
      <c r="L2629" s="3">
        <v>7283</v>
      </c>
      <c r="M2629" s="3">
        <v>40388</v>
      </c>
      <c r="N2629" s="3">
        <v>67695</v>
      </c>
    </row>
    <row r="2630" spans="1:14" x14ac:dyDescent="0.2">
      <c r="A2630" s="5" t="str">
        <f>HYPERLINK("http://www.ncbi.nlm.nih.gov/protein/93102415","Gart")</f>
        <v>Gart</v>
      </c>
      <c r="B2630" s="4"/>
      <c r="C2630" s="3">
        <v>1702</v>
      </c>
      <c r="D2630" s="3">
        <v>1607</v>
      </c>
      <c r="E2630" s="3">
        <v>6974</v>
      </c>
      <c r="F2630" s="3">
        <v>38767</v>
      </c>
      <c r="G2630" s="3">
        <v>179084</v>
      </c>
      <c r="H2630" s="2">
        <f t="shared" si="82"/>
        <v>228134</v>
      </c>
      <c r="I2630" t="str">
        <f t="shared" si="83"/>
        <v>Gart_228134</v>
      </c>
      <c r="J2630" s="3">
        <v>1702</v>
      </c>
      <c r="K2630" s="3">
        <v>1607</v>
      </c>
      <c r="L2630" s="3">
        <v>6974</v>
      </c>
      <c r="M2630" s="3">
        <v>38767</v>
      </c>
      <c r="N2630" s="3">
        <v>179084</v>
      </c>
    </row>
    <row r="2631" spans="1:14" x14ac:dyDescent="0.2">
      <c r="A2631" s="5" t="str">
        <f>HYPERLINK("http://www.ncbi.nlm.nih.gov/protein/6679943","Gas2")</f>
        <v>Gas2</v>
      </c>
      <c r="B2631" s="4"/>
      <c r="C2631" s="3">
        <v>0</v>
      </c>
      <c r="D2631" s="3">
        <v>0</v>
      </c>
      <c r="E2631" s="3">
        <v>0</v>
      </c>
      <c r="F2631" s="3">
        <v>24082</v>
      </c>
      <c r="G2631" s="3">
        <v>0</v>
      </c>
      <c r="H2631" s="2">
        <f t="shared" si="82"/>
        <v>24082</v>
      </c>
      <c r="I2631" t="str">
        <f t="shared" si="83"/>
        <v>Gas2_24082</v>
      </c>
      <c r="J2631" s="3">
        <v>0</v>
      </c>
      <c r="K2631" s="3">
        <v>0</v>
      </c>
      <c r="L2631" s="3">
        <v>0</v>
      </c>
      <c r="M2631" s="3">
        <v>24082</v>
      </c>
      <c r="N2631" s="3">
        <v>0</v>
      </c>
    </row>
    <row r="2632" spans="1:14" x14ac:dyDescent="0.2">
      <c r="A2632" s="5" t="str">
        <f>HYPERLINK("http://www.ncbi.nlm.nih.gov/protein/120407058","Gas2l3")</f>
        <v>Gas2l3</v>
      </c>
      <c r="B2632" s="4"/>
      <c r="C2632" s="3">
        <v>0</v>
      </c>
      <c r="D2632" s="3">
        <v>0</v>
      </c>
      <c r="E2632" s="3">
        <v>0</v>
      </c>
      <c r="F2632" s="3">
        <v>24082</v>
      </c>
      <c r="G2632" s="3">
        <v>0</v>
      </c>
      <c r="H2632" s="2">
        <f t="shared" si="82"/>
        <v>24082</v>
      </c>
      <c r="I2632" t="str">
        <f t="shared" si="83"/>
        <v>Gas2l3_24082</v>
      </c>
      <c r="J2632" s="3">
        <v>0</v>
      </c>
      <c r="K2632" s="3">
        <v>0</v>
      </c>
      <c r="L2632" s="3">
        <v>0</v>
      </c>
      <c r="M2632" s="3">
        <v>24082</v>
      </c>
      <c r="N2632" s="3">
        <v>0</v>
      </c>
    </row>
    <row r="2633" spans="1:14" x14ac:dyDescent="0.2">
      <c r="A2633" s="5" t="str">
        <f>HYPERLINK("http://www.ncbi.nlm.nih.gov/protein/21314854","Gatad2b")</f>
        <v>Gatad2b</v>
      </c>
      <c r="B2633" s="4"/>
      <c r="C2633" s="3">
        <v>4503</v>
      </c>
      <c r="D2633" s="3">
        <v>524</v>
      </c>
      <c r="E2633" s="3">
        <v>17863</v>
      </c>
      <c r="F2633" s="3">
        <v>499</v>
      </c>
      <c r="G2633" s="3">
        <v>54</v>
      </c>
      <c r="H2633" s="2">
        <f t="shared" si="82"/>
        <v>23443</v>
      </c>
      <c r="I2633" t="str">
        <f t="shared" si="83"/>
        <v>Gatad2b_23443</v>
      </c>
      <c r="J2633" s="3">
        <v>4503</v>
      </c>
      <c r="K2633" s="3">
        <v>524</v>
      </c>
      <c r="L2633" s="3">
        <v>17863</v>
      </c>
      <c r="M2633" s="3">
        <v>499</v>
      </c>
      <c r="N2633" s="3">
        <v>54</v>
      </c>
    </row>
    <row r="2634" spans="1:14" x14ac:dyDescent="0.2">
      <c r="A2634" s="5" t="str">
        <f>HYPERLINK("http://www.ncbi.nlm.nih.gov/protein/116734815","Gba")</f>
        <v>Gba</v>
      </c>
      <c r="B2634" s="4"/>
      <c r="C2634" s="3">
        <v>10654</v>
      </c>
      <c r="D2634" s="3">
        <v>0</v>
      </c>
      <c r="E2634" s="3">
        <v>0</v>
      </c>
      <c r="F2634" s="3">
        <v>0</v>
      </c>
      <c r="G2634" s="3">
        <v>0</v>
      </c>
      <c r="H2634" s="2">
        <f t="shared" si="82"/>
        <v>10654</v>
      </c>
      <c r="I2634" t="str">
        <f t="shared" si="83"/>
        <v>Gba_10654</v>
      </c>
      <c r="J2634" s="3">
        <v>10654</v>
      </c>
      <c r="K2634" s="3">
        <v>0</v>
      </c>
      <c r="L2634" s="3">
        <v>0</v>
      </c>
      <c r="M2634" s="3">
        <v>0</v>
      </c>
      <c r="N2634" s="3">
        <v>0</v>
      </c>
    </row>
    <row r="2635" spans="1:14" x14ac:dyDescent="0.2">
      <c r="A2635" s="5" t="str">
        <f>HYPERLINK("http://www.ncbi.nlm.nih.gov/protein/116734815;6679955","Gba")</f>
        <v>Gba</v>
      </c>
      <c r="B2635" s="4"/>
      <c r="C2635" s="3">
        <v>0</v>
      </c>
      <c r="D2635" s="3">
        <v>0</v>
      </c>
      <c r="E2635" s="3">
        <v>20564</v>
      </c>
      <c r="F2635" s="3">
        <v>0</v>
      </c>
      <c r="G2635" s="3">
        <v>0</v>
      </c>
      <c r="H2635" s="2">
        <f t="shared" si="82"/>
        <v>20564</v>
      </c>
      <c r="I2635" t="str">
        <f t="shared" si="83"/>
        <v>Gba_20564</v>
      </c>
      <c r="J2635" s="3">
        <v>0</v>
      </c>
      <c r="K2635" s="3">
        <v>0</v>
      </c>
      <c r="L2635" s="3">
        <v>20564</v>
      </c>
      <c r="M2635" s="3">
        <v>0</v>
      </c>
      <c r="N2635" s="3">
        <v>0</v>
      </c>
    </row>
    <row r="2636" spans="1:14" x14ac:dyDescent="0.2">
      <c r="A2636" s="5" t="str">
        <f>HYPERLINK("http://www.ncbi.nlm.nih.gov/protein/6679955;116734815","Gba")</f>
        <v>Gba</v>
      </c>
      <c r="B2636" s="4"/>
      <c r="C2636" s="3">
        <v>0</v>
      </c>
      <c r="D2636" s="3">
        <v>17719</v>
      </c>
      <c r="E2636" s="3">
        <v>0</v>
      </c>
      <c r="F2636" s="3">
        <v>1252</v>
      </c>
      <c r="G2636" s="3">
        <v>0</v>
      </c>
      <c r="H2636" s="2">
        <f t="shared" si="82"/>
        <v>18971</v>
      </c>
      <c r="I2636" t="str">
        <f t="shared" si="83"/>
        <v>Gba_18971</v>
      </c>
      <c r="J2636" s="3">
        <v>0</v>
      </c>
      <c r="K2636" s="3">
        <v>17719</v>
      </c>
      <c r="L2636" s="3">
        <v>0</v>
      </c>
      <c r="M2636" s="3">
        <v>1252</v>
      </c>
      <c r="N2636" s="3">
        <v>0</v>
      </c>
    </row>
    <row r="2637" spans="1:14" x14ac:dyDescent="0.2">
      <c r="A2637" s="5" t="str">
        <f>HYPERLINK("http://www.ncbi.nlm.nih.gov/protein/160298168","Gbas")</f>
        <v>Gbas</v>
      </c>
      <c r="B2637" s="4"/>
      <c r="C2637" s="3">
        <v>4448</v>
      </c>
      <c r="D2637" s="3">
        <v>6584</v>
      </c>
      <c r="E2637" s="3">
        <v>0</v>
      </c>
      <c r="F2637" s="3">
        <v>0</v>
      </c>
      <c r="G2637" s="3">
        <v>0</v>
      </c>
      <c r="H2637" s="2">
        <f t="shared" si="82"/>
        <v>11032</v>
      </c>
      <c r="I2637" t="str">
        <f t="shared" si="83"/>
        <v>Gbas_11032</v>
      </c>
      <c r="J2637" s="3">
        <v>4448</v>
      </c>
      <c r="K2637" s="3">
        <v>6584</v>
      </c>
      <c r="L2637" s="3">
        <v>0</v>
      </c>
      <c r="M2637" s="3">
        <v>0</v>
      </c>
      <c r="N2637" s="3">
        <v>0</v>
      </c>
    </row>
    <row r="2638" spans="1:14" x14ac:dyDescent="0.2">
      <c r="A2638" s="5" t="str">
        <f>HYPERLINK("http://www.ncbi.nlm.nih.gov/protein/17975508","Gbe1")</f>
        <v>Gbe1</v>
      </c>
      <c r="B2638" s="4"/>
      <c r="C2638" s="3">
        <v>0</v>
      </c>
      <c r="D2638" s="3">
        <v>1388</v>
      </c>
      <c r="E2638" s="3">
        <v>1816</v>
      </c>
      <c r="F2638" s="3">
        <v>606</v>
      </c>
      <c r="G2638" s="3">
        <v>11780</v>
      </c>
      <c r="H2638" s="2">
        <f t="shared" si="82"/>
        <v>15590</v>
      </c>
      <c r="I2638" t="str">
        <f t="shared" si="83"/>
        <v>Gbe1_15590</v>
      </c>
      <c r="J2638" s="3">
        <v>0</v>
      </c>
      <c r="K2638" s="3">
        <v>1388</v>
      </c>
      <c r="L2638" s="3">
        <v>1816</v>
      </c>
      <c r="M2638" s="3">
        <v>606</v>
      </c>
      <c r="N2638" s="3">
        <v>11780</v>
      </c>
    </row>
    <row r="2639" spans="1:14" x14ac:dyDescent="0.2">
      <c r="A2639" s="5" t="str">
        <f>HYPERLINK("http://www.ncbi.nlm.nih.gov/protein/52138536","Gbf1")</f>
        <v>Gbf1</v>
      </c>
      <c r="B2639" s="4"/>
      <c r="C2639" s="3">
        <v>0</v>
      </c>
      <c r="D2639" s="3">
        <v>2085</v>
      </c>
      <c r="E2639" s="3">
        <v>1226</v>
      </c>
      <c r="F2639" s="3">
        <v>22952</v>
      </c>
      <c r="G2639" s="3">
        <v>8011</v>
      </c>
      <c r="H2639" s="2">
        <f t="shared" si="82"/>
        <v>34274</v>
      </c>
      <c r="I2639" t="str">
        <f t="shared" si="83"/>
        <v>Gbf1_34274</v>
      </c>
      <c r="J2639" s="3">
        <v>0</v>
      </c>
      <c r="K2639" s="3">
        <v>2085</v>
      </c>
      <c r="L2639" s="3">
        <v>1226</v>
      </c>
      <c r="M2639" s="3">
        <v>22952</v>
      </c>
      <c r="N2639" s="3">
        <v>8011</v>
      </c>
    </row>
    <row r="2640" spans="1:14" x14ac:dyDescent="0.2">
      <c r="A2640" s="5" t="str">
        <f>HYPERLINK("http://www.ncbi.nlm.nih.gov/protein/116812914","Gbp10")</f>
        <v>Gbp10</v>
      </c>
      <c r="B2640" s="4"/>
      <c r="C2640" s="3">
        <v>0</v>
      </c>
      <c r="D2640" s="3">
        <v>0</v>
      </c>
      <c r="E2640" s="3">
        <v>0</v>
      </c>
      <c r="F2640" s="3">
        <v>0</v>
      </c>
      <c r="G2640" s="3">
        <v>2892</v>
      </c>
      <c r="H2640" s="2">
        <f t="shared" si="82"/>
        <v>2892</v>
      </c>
      <c r="I2640" t="str">
        <f t="shared" si="83"/>
        <v>Gbp10_2892</v>
      </c>
      <c r="J2640" s="3">
        <v>0</v>
      </c>
      <c r="K2640" s="3">
        <v>0</v>
      </c>
      <c r="L2640" s="3">
        <v>0</v>
      </c>
      <c r="M2640" s="3">
        <v>0</v>
      </c>
      <c r="N2640" s="3">
        <v>2892</v>
      </c>
    </row>
    <row r="2641" spans="1:14" x14ac:dyDescent="0.2">
      <c r="A2641" s="5" t="str">
        <f>HYPERLINK("http://www.ncbi.nlm.nih.gov/protein/225007564","Gbp11")</f>
        <v>Gbp11</v>
      </c>
      <c r="B2641" s="4"/>
      <c r="C2641" s="3">
        <v>0</v>
      </c>
      <c r="D2641" s="3">
        <v>0</v>
      </c>
      <c r="E2641" s="3">
        <v>0</v>
      </c>
      <c r="F2641" s="3">
        <v>0</v>
      </c>
      <c r="G2641" s="3">
        <v>2270</v>
      </c>
      <c r="H2641" s="2">
        <f t="shared" si="82"/>
        <v>2270</v>
      </c>
      <c r="I2641" t="str">
        <f t="shared" si="83"/>
        <v>Gbp11_2270</v>
      </c>
      <c r="J2641" s="3">
        <v>0</v>
      </c>
      <c r="K2641" s="3">
        <v>0</v>
      </c>
      <c r="L2641" s="3">
        <v>0</v>
      </c>
      <c r="M2641" s="3">
        <v>0</v>
      </c>
      <c r="N2641" s="3">
        <v>2270</v>
      </c>
    </row>
    <row r="2642" spans="1:14" x14ac:dyDescent="0.2">
      <c r="A2642" s="5" t="str">
        <f>HYPERLINK("http://www.ncbi.nlm.nih.gov/protein/134053871","Gbp3")</f>
        <v>Gbp3</v>
      </c>
      <c r="B2642" s="4"/>
      <c r="C2642" s="3">
        <v>0</v>
      </c>
      <c r="D2642" s="3">
        <v>0</v>
      </c>
      <c r="E2642" s="3">
        <v>0</v>
      </c>
      <c r="F2642" s="3">
        <v>0</v>
      </c>
      <c r="G2642" s="3">
        <v>96</v>
      </c>
      <c r="H2642" s="2">
        <f t="shared" si="82"/>
        <v>96</v>
      </c>
      <c r="I2642" t="str">
        <f t="shared" si="83"/>
        <v>Gbp3_96</v>
      </c>
      <c r="J2642" s="3">
        <v>0</v>
      </c>
      <c r="K2642" s="3">
        <v>0</v>
      </c>
      <c r="L2642" s="3">
        <v>0</v>
      </c>
      <c r="M2642" s="3">
        <v>0</v>
      </c>
      <c r="N2642" s="3">
        <v>96</v>
      </c>
    </row>
    <row r="2643" spans="1:14" x14ac:dyDescent="0.2">
      <c r="A2643" s="5" t="str">
        <f>HYPERLINK("http://www.ncbi.nlm.nih.gov/protein/126157521","Gbp4")</f>
        <v>Gbp4</v>
      </c>
      <c r="B2643" s="4"/>
      <c r="C2643" s="3">
        <v>0</v>
      </c>
      <c r="D2643" s="3">
        <v>1541</v>
      </c>
      <c r="E2643" s="3">
        <v>0</v>
      </c>
      <c r="F2643" s="3">
        <v>0</v>
      </c>
      <c r="G2643" s="3">
        <v>2185</v>
      </c>
      <c r="H2643" s="2">
        <f t="shared" si="82"/>
        <v>3726</v>
      </c>
      <c r="I2643" t="str">
        <f t="shared" si="83"/>
        <v>Gbp4_3726</v>
      </c>
      <c r="J2643" s="3">
        <v>0</v>
      </c>
      <c r="K2643" s="3">
        <v>1541</v>
      </c>
      <c r="L2643" s="3">
        <v>0</v>
      </c>
      <c r="M2643" s="3">
        <v>0</v>
      </c>
      <c r="N2643" s="3">
        <v>2185</v>
      </c>
    </row>
    <row r="2644" spans="1:14" x14ac:dyDescent="0.2">
      <c r="A2644" s="5" t="str">
        <f>HYPERLINK("http://www.ncbi.nlm.nih.gov/protein/365192570","Gbp4")</f>
        <v>Gbp4</v>
      </c>
      <c r="B2644" s="4"/>
      <c r="C2644" s="3">
        <v>0</v>
      </c>
      <c r="D2644" s="3">
        <v>1541</v>
      </c>
      <c r="E2644" s="3">
        <v>0</v>
      </c>
      <c r="F2644" s="3">
        <v>0</v>
      </c>
      <c r="G2644" s="3">
        <v>2185</v>
      </c>
      <c r="H2644" s="2">
        <f t="shared" si="82"/>
        <v>3726</v>
      </c>
      <c r="I2644" t="str">
        <f t="shared" si="83"/>
        <v>Gbp4_3726</v>
      </c>
      <c r="J2644" s="3">
        <v>0</v>
      </c>
      <c r="K2644" s="3">
        <v>1541</v>
      </c>
      <c r="L2644" s="3">
        <v>0</v>
      </c>
      <c r="M2644" s="3">
        <v>0</v>
      </c>
      <c r="N2644" s="3">
        <v>2185</v>
      </c>
    </row>
    <row r="2645" spans="1:14" x14ac:dyDescent="0.2">
      <c r="A2645" s="5" t="str">
        <f>HYPERLINK("http://www.ncbi.nlm.nih.gov/protein/170650637","Gbp6")</f>
        <v>Gbp6</v>
      </c>
      <c r="B2645" s="4"/>
      <c r="C2645" s="3">
        <v>0</v>
      </c>
      <c r="D2645" s="3">
        <v>0</v>
      </c>
      <c r="E2645" s="3">
        <v>0</v>
      </c>
      <c r="F2645" s="3">
        <v>0</v>
      </c>
      <c r="G2645" s="3">
        <v>2892</v>
      </c>
      <c r="H2645" s="2">
        <f t="shared" si="82"/>
        <v>2892</v>
      </c>
      <c r="I2645" t="str">
        <f t="shared" si="83"/>
        <v>Gbp6_2892</v>
      </c>
      <c r="J2645" s="3">
        <v>0</v>
      </c>
      <c r="K2645" s="3">
        <v>0</v>
      </c>
      <c r="L2645" s="3">
        <v>0</v>
      </c>
      <c r="M2645" s="3">
        <v>0</v>
      </c>
      <c r="N2645" s="3">
        <v>2892</v>
      </c>
    </row>
    <row r="2646" spans="1:14" x14ac:dyDescent="0.2">
      <c r="A2646" s="5" t="str">
        <f>HYPERLINK("http://www.ncbi.nlm.nih.gov/protein/134031974","Gbp7")</f>
        <v>Gbp7</v>
      </c>
      <c r="B2646" s="4"/>
      <c r="C2646" s="3">
        <v>0</v>
      </c>
      <c r="D2646" s="3">
        <v>0</v>
      </c>
      <c r="E2646" s="3">
        <v>0</v>
      </c>
      <c r="F2646" s="3">
        <v>0</v>
      </c>
      <c r="G2646" s="3">
        <v>96</v>
      </c>
      <c r="H2646" s="2">
        <f t="shared" si="82"/>
        <v>96</v>
      </c>
      <c r="I2646" t="str">
        <f t="shared" si="83"/>
        <v>Gbp7_96</v>
      </c>
      <c r="J2646" s="3">
        <v>0</v>
      </c>
      <c r="K2646" s="3">
        <v>0</v>
      </c>
      <c r="L2646" s="3">
        <v>0</v>
      </c>
      <c r="M2646" s="3">
        <v>0</v>
      </c>
      <c r="N2646" s="3">
        <v>96</v>
      </c>
    </row>
    <row r="2647" spans="1:14" x14ac:dyDescent="0.2">
      <c r="A2647" s="5" t="str">
        <f>HYPERLINK("http://www.ncbi.nlm.nih.gov/protein/83776551","Gbp8")</f>
        <v>Gbp8</v>
      </c>
      <c r="B2647" s="4"/>
      <c r="C2647" s="3">
        <v>0</v>
      </c>
      <c r="D2647" s="3">
        <v>0</v>
      </c>
      <c r="E2647" s="3">
        <v>0</v>
      </c>
      <c r="F2647" s="3">
        <v>0</v>
      </c>
      <c r="G2647" s="3">
        <v>2806</v>
      </c>
      <c r="H2647" s="2">
        <f t="shared" si="82"/>
        <v>2806</v>
      </c>
      <c r="I2647" t="str">
        <f t="shared" si="83"/>
        <v>Gbp8_2806</v>
      </c>
      <c r="J2647" s="3">
        <v>0</v>
      </c>
      <c r="K2647" s="3">
        <v>0</v>
      </c>
      <c r="L2647" s="3">
        <v>0</v>
      </c>
      <c r="M2647" s="3">
        <v>0</v>
      </c>
      <c r="N2647" s="3">
        <v>2806</v>
      </c>
    </row>
    <row r="2648" spans="1:14" x14ac:dyDescent="0.2">
      <c r="A2648" s="5" t="str">
        <f>HYPERLINK("http://www.ncbi.nlm.nih.gov/protein/27370144","Gbp9")</f>
        <v>Gbp9</v>
      </c>
      <c r="B2648" s="4"/>
      <c r="C2648" s="3">
        <v>0</v>
      </c>
      <c r="D2648" s="3">
        <v>0</v>
      </c>
      <c r="E2648" s="3">
        <v>0</v>
      </c>
      <c r="F2648" s="3">
        <v>0</v>
      </c>
      <c r="G2648" s="3">
        <v>5216</v>
      </c>
      <c r="H2648" s="2">
        <f t="shared" si="82"/>
        <v>5216</v>
      </c>
      <c r="I2648" t="str">
        <f t="shared" si="83"/>
        <v>Gbp9_5216</v>
      </c>
      <c r="J2648" s="3">
        <v>0</v>
      </c>
      <c r="K2648" s="3">
        <v>0</v>
      </c>
      <c r="L2648" s="3">
        <v>0</v>
      </c>
      <c r="M2648" s="3">
        <v>0</v>
      </c>
      <c r="N2648" s="3">
        <v>5216</v>
      </c>
    </row>
    <row r="2649" spans="1:14" x14ac:dyDescent="0.2">
      <c r="A2649" s="5" t="str">
        <f>HYPERLINK("http://www.ncbi.nlm.nih.gov/protein/21704030","Gca")</f>
        <v>Gca</v>
      </c>
      <c r="B2649" s="4"/>
      <c r="C2649" s="3">
        <v>0</v>
      </c>
      <c r="D2649" s="3">
        <v>234</v>
      </c>
      <c r="E2649" s="3">
        <v>1097</v>
      </c>
      <c r="F2649" s="3">
        <v>393</v>
      </c>
      <c r="G2649" s="3">
        <v>7036</v>
      </c>
      <c r="H2649" s="2">
        <f t="shared" si="82"/>
        <v>8760</v>
      </c>
      <c r="I2649" t="str">
        <f t="shared" si="83"/>
        <v>Gca_8760</v>
      </c>
      <c r="J2649" s="3">
        <v>0</v>
      </c>
      <c r="K2649" s="3">
        <v>234</v>
      </c>
      <c r="L2649" s="3">
        <v>1097</v>
      </c>
      <c r="M2649" s="3">
        <v>393</v>
      </c>
      <c r="N2649" s="3">
        <v>7036</v>
      </c>
    </row>
    <row r="2650" spans="1:14" x14ac:dyDescent="0.2">
      <c r="A2650" s="5" t="str">
        <f>HYPERLINK("http://www.ncbi.nlm.nih.gov/protein/240120117","Gcat")</f>
        <v>Gcat</v>
      </c>
      <c r="B2650" s="4"/>
      <c r="C2650" s="3">
        <v>9556</v>
      </c>
      <c r="D2650" s="3">
        <v>9108</v>
      </c>
      <c r="E2650" s="3">
        <v>22</v>
      </c>
      <c r="F2650" s="3">
        <v>0</v>
      </c>
      <c r="G2650" s="3">
        <v>343</v>
      </c>
      <c r="H2650" s="2">
        <f t="shared" si="82"/>
        <v>19029</v>
      </c>
      <c r="I2650" t="str">
        <f t="shared" si="83"/>
        <v>Gcat_19029</v>
      </c>
      <c r="J2650" s="3">
        <v>9556</v>
      </c>
      <c r="K2650" s="3">
        <v>9108</v>
      </c>
      <c r="L2650" s="3">
        <v>22</v>
      </c>
      <c r="M2650" s="3">
        <v>0</v>
      </c>
      <c r="N2650" s="3">
        <v>343</v>
      </c>
    </row>
    <row r="2651" spans="1:14" x14ac:dyDescent="0.2">
      <c r="A2651" s="5" t="str">
        <f>HYPERLINK("http://www.ncbi.nlm.nih.gov/protein/240120119","Gcat")</f>
        <v>Gcat</v>
      </c>
      <c r="B2651" s="4"/>
      <c r="C2651" s="3">
        <v>8219</v>
      </c>
      <c r="D2651" s="3">
        <v>8120</v>
      </c>
      <c r="E2651" s="3">
        <v>22</v>
      </c>
      <c r="F2651" s="3">
        <v>0</v>
      </c>
      <c r="G2651" s="3">
        <v>343</v>
      </c>
      <c r="H2651" s="2">
        <f t="shared" si="82"/>
        <v>16704</v>
      </c>
      <c r="I2651" t="str">
        <f t="shared" si="83"/>
        <v>Gcat_16704</v>
      </c>
      <c r="J2651" s="3">
        <v>8219</v>
      </c>
      <c r="K2651" s="3">
        <v>8120</v>
      </c>
      <c r="L2651" s="3">
        <v>22</v>
      </c>
      <c r="M2651" s="3">
        <v>0</v>
      </c>
      <c r="N2651" s="3">
        <v>343</v>
      </c>
    </row>
    <row r="2652" spans="1:14" x14ac:dyDescent="0.2">
      <c r="A2652" s="5" t="str">
        <f>HYPERLINK("http://www.ncbi.nlm.nih.gov/protein/268370067","Gcc1")</f>
        <v>Gcc1</v>
      </c>
      <c r="B2652" s="4"/>
      <c r="C2652" s="3">
        <v>0</v>
      </c>
      <c r="D2652" s="3">
        <v>15</v>
      </c>
      <c r="E2652" s="3">
        <v>0</v>
      </c>
      <c r="F2652" s="3">
        <v>90</v>
      </c>
      <c r="G2652" s="3">
        <v>1542</v>
      </c>
      <c r="H2652" s="2">
        <f t="shared" si="82"/>
        <v>1647</v>
      </c>
      <c r="I2652" t="str">
        <f t="shared" si="83"/>
        <v>Gcc1_1647</v>
      </c>
      <c r="J2652" s="3">
        <v>0</v>
      </c>
      <c r="K2652" s="3">
        <v>15</v>
      </c>
      <c r="L2652" s="3">
        <v>0</v>
      </c>
      <c r="M2652" s="3">
        <v>90</v>
      </c>
      <c r="N2652" s="3">
        <v>1542</v>
      </c>
    </row>
    <row r="2653" spans="1:14" x14ac:dyDescent="0.2">
      <c r="A2653" s="5" t="str">
        <f>HYPERLINK("http://www.ncbi.nlm.nih.gov/protein/61742806","Gcc2")</f>
        <v>Gcc2</v>
      </c>
      <c r="B2653" s="4"/>
      <c r="C2653" s="3">
        <v>10050</v>
      </c>
      <c r="D2653" s="3">
        <v>2257</v>
      </c>
      <c r="E2653" s="3">
        <v>1674</v>
      </c>
      <c r="F2653" s="3">
        <v>2456</v>
      </c>
      <c r="G2653" s="3">
        <v>3213</v>
      </c>
      <c r="H2653" s="2">
        <f t="shared" si="82"/>
        <v>19650</v>
      </c>
      <c r="I2653" t="str">
        <f t="shared" si="83"/>
        <v>Gcc2_19650</v>
      </c>
      <c r="J2653" s="3">
        <v>10050</v>
      </c>
      <c r="K2653" s="3">
        <v>2257</v>
      </c>
      <c r="L2653" s="3">
        <v>1674</v>
      </c>
      <c r="M2653" s="3">
        <v>2456</v>
      </c>
      <c r="N2653" s="3">
        <v>3213</v>
      </c>
    </row>
    <row r="2654" spans="1:14" x14ac:dyDescent="0.2">
      <c r="A2654" s="5" t="str">
        <f>HYPERLINK("http://www.ncbi.nlm.nih.gov/protein/390190196","Gcdh")</f>
        <v>Gcdh</v>
      </c>
      <c r="B2654" s="4"/>
      <c r="C2654" s="3">
        <v>0</v>
      </c>
      <c r="D2654" s="3">
        <v>1718</v>
      </c>
      <c r="E2654" s="3">
        <v>404</v>
      </c>
      <c r="F2654" s="3">
        <v>0</v>
      </c>
      <c r="G2654" s="3">
        <v>0</v>
      </c>
      <c r="H2654" s="2">
        <f t="shared" si="82"/>
        <v>2122</v>
      </c>
      <c r="I2654" t="str">
        <f t="shared" si="83"/>
        <v>Gcdh_2122</v>
      </c>
      <c r="J2654" s="3">
        <v>0</v>
      </c>
      <c r="K2654" s="3">
        <v>1718</v>
      </c>
      <c r="L2654" s="3">
        <v>404</v>
      </c>
      <c r="M2654" s="3">
        <v>0</v>
      </c>
      <c r="N2654" s="3">
        <v>0</v>
      </c>
    </row>
    <row r="2655" spans="1:14" x14ac:dyDescent="0.2">
      <c r="A2655" s="5" t="str">
        <f>HYPERLINK("http://www.ncbi.nlm.nih.gov/protein/33468897","Gclc")</f>
        <v>Gclc</v>
      </c>
      <c r="B2655" s="4"/>
      <c r="C2655" s="3">
        <v>0</v>
      </c>
      <c r="D2655" s="3">
        <v>787</v>
      </c>
      <c r="E2655" s="3">
        <v>1883</v>
      </c>
      <c r="F2655" s="3">
        <v>0</v>
      </c>
      <c r="G2655" s="3">
        <v>14758</v>
      </c>
      <c r="H2655" s="2">
        <f t="shared" si="82"/>
        <v>17428</v>
      </c>
      <c r="I2655" t="str">
        <f t="shared" si="83"/>
        <v>Gclc_17428</v>
      </c>
      <c r="J2655" s="3">
        <v>0</v>
      </c>
      <c r="K2655" s="3">
        <v>787</v>
      </c>
      <c r="L2655" s="3">
        <v>1883</v>
      </c>
      <c r="M2655" s="3">
        <v>0</v>
      </c>
      <c r="N2655" s="3">
        <v>14758</v>
      </c>
    </row>
    <row r="2656" spans="1:14" x14ac:dyDescent="0.2">
      <c r="A2656" s="5" t="str">
        <f>HYPERLINK("http://www.ncbi.nlm.nih.gov/protein/6680019","Gclm")</f>
        <v>Gclm</v>
      </c>
      <c r="B2656" s="4"/>
      <c r="C2656" s="3">
        <v>0</v>
      </c>
      <c r="D2656" s="3">
        <v>1647</v>
      </c>
      <c r="E2656" s="3">
        <v>704</v>
      </c>
      <c r="F2656" s="3">
        <v>115</v>
      </c>
      <c r="G2656" s="3">
        <v>40825</v>
      </c>
      <c r="H2656" s="2">
        <f t="shared" si="82"/>
        <v>43291</v>
      </c>
      <c r="I2656" t="str">
        <f t="shared" si="83"/>
        <v>Gclm_43291</v>
      </c>
      <c r="J2656" s="3">
        <v>0</v>
      </c>
      <c r="K2656" s="3">
        <v>1647</v>
      </c>
      <c r="L2656" s="3">
        <v>704</v>
      </c>
      <c r="M2656" s="3">
        <v>115</v>
      </c>
      <c r="N2656" s="3">
        <v>40825</v>
      </c>
    </row>
    <row r="2657" spans="1:14" x14ac:dyDescent="0.2">
      <c r="A2657" s="5" t="str">
        <f>HYPERLINK("http://www.ncbi.nlm.nih.gov/protein/112807186","Gcn1l1")</f>
        <v>Gcn1l1</v>
      </c>
      <c r="B2657" s="4"/>
      <c r="C2657" s="3">
        <v>8000</v>
      </c>
      <c r="D2657" s="3">
        <v>18539</v>
      </c>
      <c r="E2657" s="3">
        <v>131617</v>
      </c>
      <c r="F2657" s="3">
        <v>175425</v>
      </c>
      <c r="G2657" s="3">
        <v>81874</v>
      </c>
      <c r="H2657" s="2">
        <f t="shared" si="82"/>
        <v>415455</v>
      </c>
      <c r="I2657" t="str">
        <f t="shared" si="83"/>
        <v>Gcn1l1_415455</v>
      </c>
      <c r="J2657" s="3">
        <v>8000</v>
      </c>
      <c r="K2657" s="3">
        <v>18539</v>
      </c>
      <c r="L2657" s="3">
        <v>131617</v>
      </c>
      <c r="M2657" s="3">
        <v>175425</v>
      </c>
      <c r="N2657" s="3">
        <v>81874</v>
      </c>
    </row>
    <row r="2658" spans="1:14" x14ac:dyDescent="0.2">
      <c r="A2658" s="5" t="str">
        <f>HYPERLINK("http://www.ncbi.nlm.nih.gov/protein/210147589","Gcnt1")</f>
        <v>Gcnt1</v>
      </c>
      <c r="B2658" s="4"/>
      <c r="C2658" s="3">
        <v>0</v>
      </c>
      <c r="D2658" s="3">
        <v>626</v>
      </c>
      <c r="E2658" s="3">
        <v>0</v>
      </c>
      <c r="F2658" s="3">
        <v>0</v>
      </c>
      <c r="G2658" s="3">
        <v>0</v>
      </c>
      <c r="H2658" s="2">
        <f t="shared" si="82"/>
        <v>626</v>
      </c>
      <c r="I2658" t="str">
        <f t="shared" si="83"/>
        <v>Gcnt1_626</v>
      </c>
      <c r="J2658" s="3">
        <v>0</v>
      </c>
      <c r="K2658" s="3">
        <v>626</v>
      </c>
      <c r="L2658" s="3">
        <v>0</v>
      </c>
      <c r="M2658" s="3">
        <v>0</v>
      </c>
      <c r="N2658" s="3">
        <v>0</v>
      </c>
    </row>
    <row r="2659" spans="1:14" x14ac:dyDescent="0.2">
      <c r="A2659" s="5" t="str">
        <f>HYPERLINK("http://www.ncbi.nlm.nih.gov/protein/459352743","Gcnt1")</f>
        <v>Gcnt1</v>
      </c>
      <c r="B2659" s="4"/>
      <c r="C2659" s="3">
        <v>0</v>
      </c>
      <c r="D2659" s="3">
        <v>119</v>
      </c>
      <c r="E2659" s="3">
        <v>0</v>
      </c>
      <c r="F2659" s="3">
        <v>0</v>
      </c>
      <c r="G2659" s="3">
        <v>0</v>
      </c>
      <c r="H2659" s="2">
        <f t="shared" si="82"/>
        <v>119</v>
      </c>
      <c r="I2659" t="str">
        <f t="shared" si="83"/>
        <v>Gcnt1_119</v>
      </c>
      <c r="J2659" s="3">
        <v>0</v>
      </c>
      <c r="K2659" s="3">
        <v>119</v>
      </c>
      <c r="L2659" s="3">
        <v>0</v>
      </c>
      <c r="M2659" s="3">
        <v>0</v>
      </c>
      <c r="N2659" s="3">
        <v>0</v>
      </c>
    </row>
    <row r="2660" spans="1:14" x14ac:dyDescent="0.2">
      <c r="A2660" s="5" t="str">
        <f>HYPERLINK("http://www.ncbi.nlm.nih.gov/protein/13386066","Gcsh")</f>
        <v>Gcsh</v>
      </c>
      <c r="B2660" s="4"/>
      <c r="C2660" s="3">
        <v>1574</v>
      </c>
      <c r="D2660" s="3">
        <v>1647</v>
      </c>
      <c r="E2660" s="3">
        <v>0</v>
      </c>
      <c r="F2660" s="3">
        <v>0</v>
      </c>
      <c r="G2660" s="3">
        <v>0</v>
      </c>
      <c r="H2660" s="2">
        <f t="shared" si="82"/>
        <v>3221</v>
      </c>
      <c r="I2660" t="str">
        <f t="shared" si="83"/>
        <v>Gcsh_3221</v>
      </c>
      <c r="J2660" s="3">
        <v>1574</v>
      </c>
      <c r="K2660" s="3">
        <v>1647</v>
      </c>
      <c r="L2660" s="3">
        <v>0</v>
      </c>
      <c r="M2660" s="3">
        <v>0</v>
      </c>
      <c r="N2660" s="3">
        <v>0</v>
      </c>
    </row>
    <row r="2661" spans="1:14" x14ac:dyDescent="0.2">
      <c r="A2661" s="5" t="str">
        <f>HYPERLINK("http://www.ncbi.nlm.nih.gov/protein/22094097","Gdap2")</f>
        <v>Gdap2</v>
      </c>
      <c r="B2661" s="4"/>
      <c r="C2661" s="3">
        <v>0</v>
      </c>
      <c r="D2661" s="3">
        <v>0</v>
      </c>
      <c r="E2661" s="3">
        <v>398</v>
      </c>
      <c r="F2661" s="3">
        <v>1302</v>
      </c>
      <c r="G2661" s="3">
        <v>0</v>
      </c>
      <c r="H2661" s="2">
        <f t="shared" si="82"/>
        <v>1700</v>
      </c>
      <c r="I2661" t="str">
        <f t="shared" si="83"/>
        <v>Gdap2_1700</v>
      </c>
      <c r="J2661" s="3">
        <v>0</v>
      </c>
      <c r="K2661" s="3">
        <v>0</v>
      </c>
      <c r="L2661" s="3">
        <v>398</v>
      </c>
      <c r="M2661" s="3">
        <v>1302</v>
      </c>
      <c r="N2661" s="3">
        <v>0</v>
      </c>
    </row>
    <row r="2662" spans="1:14" x14ac:dyDescent="0.2">
      <c r="A2662" s="5" t="str">
        <f>HYPERLINK("http://www.ncbi.nlm.nih.gov/protein/9625018","Gde1")</f>
        <v>Gde1</v>
      </c>
      <c r="B2662" s="4"/>
      <c r="C2662" s="3">
        <v>0</v>
      </c>
      <c r="D2662" s="3">
        <v>223</v>
      </c>
      <c r="E2662" s="3">
        <v>0</v>
      </c>
      <c r="F2662" s="3">
        <v>0</v>
      </c>
      <c r="G2662" s="3">
        <v>0</v>
      </c>
      <c r="H2662" s="2">
        <f t="shared" si="82"/>
        <v>223</v>
      </c>
      <c r="I2662" t="str">
        <f t="shared" si="83"/>
        <v>Gde1_223</v>
      </c>
      <c r="J2662" s="3">
        <v>0</v>
      </c>
      <c r="K2662" s="3">
        <v>223</v>
      </c>
      <c r="L2662" s="3">
        <v>0</v>
      </c>
      <c r="M2662" s="3">
        <v>0</v>
      </c>
      <c r="N2662" s="3">
        <v>0</v>
      </c>
    </row>
    <row r="2663" spans="1:14" x14ac:dyDescent="0.2">
      <c r="A2663" s="5" t="str">
        <f>HYPERLINK("http://www.ncbi.nlm.nih.gov/protein/75677587","Gdf3")</f>
        <v>Gdf3</v>
      </c>
      <c r="B2663" s="4"/>
      <c r="C2663" s="3">
        <v>0</v>
      </c>
      <c r="D2663" s="3">
        <v>0</v>
      </c>
      <c r="E2663" s="3">
        <v>0</v>
      </c>
      <c r="F2663" s="3">
        <v>24082</v>
      </c>
      <c r="G2663" s="3">
        <v>0</v>
      </c>
      <c r="H2663" s="2">
        <f t="shared" si="82"/>
        <v>24082</v>
      </c>
      <c r="I2663" t="str">
        <f t="shared" si="83"/>
        <v>Gdf3_24082</v>
      </c>
      <c r="J2663" s="3">
        <v>0</v>
      </c>
      <c r="K2663" s="3">
        <v>0</v>
      </c>
      <c r="L2663" s="3">
        <v>0</v>
      </c>
      <c r="M2663" s="3">
        <v>24082</v>
      </c>
      <c r="N2663" s="3">
        <v>0</v>
      </c>
    </row>
    <row r="2664" spans="1:14" x14ac:dyDescent="0.2">
      <c r="A2664" s="5" t="str">
        <f>HYPERLINK("http://www.ncbi.nlm.nih.gov/protein/33859560","Gdi1")</f>
        <v>Gdi1</v>
      </c>
      <c r="B2664" s="4"/>
      <c r="C2664" s="3">
        <v>17684</v>
      </c>
      <c r="D2664" s="3">
        <v>15861</v>
      </c>
      <c r="E2664" s="3">
        <v>33626</v>
      </c>
      <c r="F2664" s="3">
        <v>72205</v>
      </c>
      <c r="G2664" s="3">
        <v>641660</v>
      </c>
      <c r="H2664" s="2">
        <f t="shared" si="82"/>
        <v>781036</v>
      </c>
      <c r="I2664" t="str">
        <f t="shared" si="83"/>
        <v>Gdi1_781036</v>
      </c>
      <c r="J2664" s="3">
        <v>17684</v>
      </c>
      <c r="K2664" s="3">
        <v>15861</v>
      </c>
      <c r="L2664" s="3">
        <v>33626</v>
      </c>
      <c r="M2664" s="3">
        <v>72205</v>
      </c>
      <c r="N2664" s="3">
        <v>641660</v>
      </c>
    </row>
    <row r="2665" spans="1:14" x14ac:dyDescent="0.2">
      <c r="A2665" s="5" t="str">
        <f>HYPERLINK("http://www.ncbi.nlm.nih.gov/protein/116089273","Gdi2")</f>
        <v>Gdi2</v>
      </c>
      <c r="B2665" s="4"/>
      <c r="C2665" s="3">
        <v>63577</v>
      </c>
      <c r="D2665" s="3">
        <v>37179</v>
      </c>
      <c r="E2665" s="3">
        <v>68150</v>
      </c>
      <c r="F2665" s="3">
        <v>235040</v>
      </c>
      <c r="G2665" s="3">
        <v>861173</v>
      </c>
      <c r="H2665" s="2">
        <f t="shared" si="82"/>
        <v>1265119</v>
      </c>
      <c r="I2665" t="str">
        <f t="shared" si="83"/>
        <v>Gdi2_1265119</v>
      </c>
      <c r="J2665" s="3">
        <v>63577</v>
      </c>
      <c r="K2665" s="3">
        <v>37179</v>
      </c>
      <c r="L2665" s="3">
        <v>68150</v>
      </c>
      <c r="M2665" s="3">
        <v>235040</v>
      </c>
      <c r="N2665" s="3">
        <v>861173</v>
      </c>
    </row>
    <row r="2666" spans="1:14" x14ac:dyDescent="0.2">
      <c r="A2666" s="5" t="str">
        <f>HYPERLINK("http://www.ncbi.nlm.nih.gov/protein/23956140","Gdpd1")</f>
        <v>Gdpd1</v>
      </c>
      <c r="B2666" s="4"/>
      <c r="C2666" s="3">
        <v>1757</v>
      </c>
      <c r="D2666" s="3">
        <v>4044</v>
      </c>
      <c r="E2666" s="3">
        <v>1043</v>
      </c>
      <c r="F2666" s="3">
        <v>0</v>
      </c>
      <c r="G2666" s="3">
        <v>0</v>
      </c>
      <c r="H2666" s="2">
        <f t="shared" si="82"/>
        <v>6844</v>
      </c>
      <c r="I2666" t="str">
        <f t="shared" si="83"/>
        <v>Gdpd1_6844</v>
      </c>
      <c r="J2666" s="3">
        <v>1757</v>
      </c>
      <c r="K2666" s="3">
        <v>4044</v>
      </c>
      <c r="L2666" s="3">
        <v>1043</v>
      </c>
      <c r="M2666" s="3">
        <v>0</v>
      </c>
      <c r="N2666" s="3">
        <v>0</v>
      </c>
    </row>
    <row r="2667" spans="1:14" x14ac:dyDescent="0.2">
      <c r="A2667" s="5" t="str">
        <f>HYPERLINK("http://www.ncbi.nlm.nih.gov/protein/110431346","Gdpd3")</f>
        <v>Gdpd3</v>
      </c>
      <c r="B2667" s="4"/>
      <c r="C2667" s="3">
        <v>4851</v>
      </c>
      <c r="D2667" s="3">
        <v>5499</v>
      </c>
      <c r="E2667" s="3">
        <v>1926</v>
      </c>
      <c r="F2667" s="3">
        <v>1531</v>
      </c>
      <c r="G2667" s="3">
        <v>0</v>
      </c>
      <c r="H2667" s="2">
        <f t="shared" si="82"/>
        <v>13807</v>
      </c>
      <c r="I2667" t="str">
        <f t="shared" si="83"/>
        <v>Gdpd3_13807</v>
      </c>
      <c r="J2667" s="3">
        <v>4851</v>
      </c>
      <c r="K2667" s="3">
        <v>5499</v>
      </c>
      <c r="L2667" s="3">
        <v>1926</v>
      </c>
      <c r="M2667" s="3">
        <v>1531</v>
      </c>
      <c r="N2667" s="3">
        <v>0</v>
      </c>
    </row>
    <row r="2668" spans="1:14" x14ac:dyDescent="0.2">
      <c r="A2668" s="5" t="str">
        <f>HYPERLINK("http://www.ncbi.nlm.nih.gov/protein/153792166","Gemin2")</f>
        <v>Gemin2</v>
      </c>
      <c r="B2668" s="4"/>
      <c r="C2668" s="3">
        <v>0</v>
      </c>
      <c r="D2668" s="3">
        <v>0</v>
      </c>
      <c r="E2668" s="3">
        <v>187</v>
      </c>
      <c r="F2668" s="3">
        <v>1072</v>
      </c>
      <c r="G2668" s="3">
        <v>0</v>
      </c>
      <c r="H2668" s="2">
        <f t="shared" si="82"/>
        <v>1259</v>
      </c>
      <c r="I2668" t="str">
        <f t="shared" si="83"/>
        <v>Gemin2_1259</v>
      </c>
      <c r="J2668" s="3">
        <v>0</v>
      </c>
      <c r="K2668" s="3">
        <v>0</v>
      </c>
      <c r="L2668" s="3">
        <v>187</v>
      </c>
      <c r="M2668" s="3">
        <v>1072</v>
      </c>
      <c r="N2668" s="3">
        <v>0</v>
      </c>
    </row>
    <row r="2669" spans="1:14" x14ac:dyDescent="0.2">
      <c r="A2669" s="5" t="str">
        <f>HYPERLINK("http://www.ncbi.nlm.nih.gov/protein/262331526","Gemin4")</f>
        <v>Gemin4</v>
      </c>
      <c r="B2669" s="4"/>
      <c r="C2669" s="3">
        <v>0</v>
      </c>
      <c r="D2669" s="3">
        <v>0</v>
      </c>
      <c r="E2669" s="3">
        <v>1168</v>
      </c>
      <c r="F2669" s="3">
        <v>11894</v>
      </c>
      <c r="G2669" s="3">
        <v>0</v>
      </c>
      <c r="H2669" s="2">
        <f t="shared" si="82"/>
        <v>13062</v>
      </c>
      <c r="I2669" t="str">
        <f t="shared" si="83"/>
        <v>Gemin4_13062</v>
      </c>
      <c r="J2669" s="3">
        <v>0</v>
      </c>
      <c r="K2669" s="3">
        <v>0</v>
      </c>
      <c r="L2669" s="3">
        <v>1168</v>
      </c>
      <c r="M2669" s="3">
        <v>11894</v>
      </c>
      <c r="N2669" s="3">
        <v>0</v>
      </c>
    </row>
    <row r="2670" spans="1:14" x14ac:dyDescent="0.2">
      <c r="A2670" s="5" t="str">
        <f>HYPERLINK("http://www.ncbi.nlm.nih.gov/protein/262263297","Gemin5")</f>
        <v>Gemin5</v>
      </c>
      <c r="B2670" s="4"/>
      <c r="C2670" s="3">
        <v>0</v>
      </c>
      <c r="D2670" s="3">
        <v>0</v>
      </c>
      <c r="E2670" s="3">
        <v>1952</v>
      </c>
      <c r="F2670" s="3">
        <v>6106</v>
      </c>
      <c r="G2670" s="3">
        <v>0</v>
      </c>
      <c r="H2670" s="2">
        <f t="shared" si="82"/>
        <v>8058</v>
      </c>
      <c r="I2670" t="str">
        <f t="shared" si="83"/>
        <v>Gemin5_8058</v>
      </c>
      <c r="J2670" s="3">
        <v>0</v>
      </c>
      <c r="K2670" s="3">
        <v>0</v>
      </c>
      <c r="L2670" s="3">
        <v>1952</v>
      </c>
      <c r="M2670" s="3">
        <v>6106</v>
      </c>
      <c r="N2670" s="3">
        <v>0</v>
      </c>
    </row>
    <row r="2671" spans="1:14" x14ac:dyDescent="0.2">
      <c r="A2671" s="5" t="str">
        <f>HYPERLINK("http://www.ncbi.nlm.nih.gov/protein/262263299","Gemin5")</f>
        <v>Gemin5</v>
      </c>
      <c r="B2671" s="4"/>
      <c r="C2671" s="3">
        <v>0</v>
      </c>
      <c r="D2671" s="3">
        <v>0</v>
      </c>
      <c r="E2671" s="3">
        <v>1952</v>
      </c>
      <c r="F2671" s="3">
        <v>6106</v>
      </c>
      <c r="G2671" s="3">
        <v>0</v>
      </c>
      <c r="H2671" s="2">
        <f t="shared" si="82"/>
        <v>8058</v>
      </c>
      <c r="I2671" t="str">
        <f t="shared" si="83"/>
        <v>Gemin5_8058</v>
      </c>
      <c r="J2671" s="3">
        <v>0</v>
      </c>
      <c r="K2671" s="3">
        <v>0</v>
      </c>
      <c r="L2671" s="3">
        <v>1952</v>
      </c>
      <c r="M2671" s="3">
        <v>6106</v>
      </c>
      <c r="N2671" s="3">
        <v>0</v>
      </c>
    </row>
    <row r="2672" spans="1:14" x14ac:dyDescent="0.2">
      <c r="A2672" s="5" t="str">
        <f>HYPERLINK("http://www.ncbi.nlm.nih.gov/protein/262263301","Gemin5")</f>
        <v>Gemin5</v>
      </c>
      <c r="B2672" s="4"/>
      <c r="C2672" s="3">
        <v>0</v>
      </c>
      <c r="D2672" s="3">
        <v>0</v>
      </c>
      <c r="E2672" s="3">
        <v>1952</v>
      </c>
      <c r="F2672" s="3">
        <v>6106</v>
      </c>
      <c r="G2672" s="3">
        <v>0</v>
      </c>
      <c r="H2672" s="2">
        <f t="shared" si="82"/>
        <v>8058</v>
      </c>
      <c r="I2672" t="str">
        <f t="shared" si="83"/>
        <v>Gemin5_8058</v>
      </c>
      <c r="J2672" s="3">
        <v>0</v>
      </c>
      <c r="K2672" s="3">
        <v>0</v>
      </c>
      <c r="L2672" s="3">
        <v>1952</v>
      </c>
      <c r="M2672" s="3">
        <v>6106</v>
      </c>
      <c r="N2672" s="3">
        <v>0</v>
      </c>
    </row>
    <row r="2673" spans="1:14" x14ac:dyDescent="0.2">
      <c r="A2673" s="5" t="str">
        <f>HYPERLINK("http://www.ncbi.nlm.nih.gov/protein/262263303","Gemin5")</f>
        <v>Gemin5</v>
      </c>
      <c r="B2673" s="4"/>
      <c r="C2673" s="3">
        <v>0</v>
      </c>
      <c r="D2673" s="3">
        <v>0</v>
      </c>
      <c r="E2673" s="3">
        <v>1596</v>
      </c>
      <c r="F2673" s="3">
        <v>6106</v>
      </c>
      <c r="G2673" s="3">
        <v>0</v>
      </c>
      <c r="H2673" s="2">
        <f t="shared" si="82"/>
        <v>7702</v>
      </c>
      <c r="I2673" t="str">
        <f t="shared" si="83"/>
        <v>Gemin5_7702</v>
      </c>
      <c r="J2673" s="3">
        <v>0</v>
      </c>
      <c r="K2673" s="3">
        <v>0</v>
      </c>
      <c r="L2673" s="3">
        <v>1596</v>
      </c>
      <c r="M2673" s="3">
        <v>6106</v>
      </c>
      <c r="N2673" s="3">
        <v>0</v>
      </c>
    </row>
    <row r="2674" spans="1:14" x14ac:dyDescent="0.2">
      <c r="A2674" s="5" t="str">
        <f>HYPERLINK("http://www.ncbi.nlm.nih.gov/protein/21313050","Gemin6")</f>
        <v>Gemin6</v>
      </c>
      <c r="B2674" s="4"/>
      <c r="C2674" s="3">
        <v>0</v>
      </c>
      <c r="D2674" s="3">
        <v>17</v>
      </c>
      <c r="E2674" s="3">
        <v>138</v>
      </c>
      <c r="F2674" s="3">
        <v>180</v>
      </c>
      <c r="G2674" s="3">
        <v>86</v>
      </c>
      <c r="H2674" s="2">
        <f t="shared" si="82"/>
        <v>421</v>
      </c>
      <c r="I2674" t="str">
        <f t="shared" si="83"/>
        <v>Gemin6_421</v>
      </c>
      <c r="J2674" s="3">
        <v>0</v>
      </c>
      <c r="K2674" s="3">
        <v>17</v>
      </c>
      <c r="L2674" s="3">
        <v>138</v>
      </c>
      <c r="M2674" s="3">
        <v>180</v>
      </c>
      <c r="N2674" s="3">
        <v>86</v>
      </c>
    </row>
    <row r="2675" spans="1:14" x14ac:dyDescent="0.2">
      <c r="A2675" s="5" t="str">
        <f>HYPERLINK("http://www.ncbi.nlm.nih.gov/protein/21312380","Gemin7")</f>
        <v>Gemin7</v>
      </c>
      <c r="B2675" s="4"/>
      <c r="C2675" s="3">
        <v>0</v>
      </c>
      <c r="D2675" s="3">
        <v>0</v>
      </c>
      <c r="E2675" s="3">
        <v>0</v>
      </c>
      <c r="F2675" s="3">
        <v>1072</v>
      </c>
      <c r="G2675" s="3">
        <v>0</v>
      </c>
      <c r="H2675" s="2">
        <f t="shared" si="82"/>
        <v>1072</v>
      </c>
      <c r="I2675" t="str">
        <f t="shared" si="83"/>
        <v>Gemin7_1072</v>
      </c>
      <c r="J2675" s="3">
        <v>0</v>
      </c>
      <c r="K2675" s="3">
        <v>0</v>
      </c>
      <c r="L2675" s="3">
        <v>0</v>
      </c>
      <c r="M2675" s="3">
        <v>1072</v>
      </c>
      <c r="N2675" s="3">
        <v>0</v>
      </c>
    </row>
    <row r="2676" spans="1:14" x14ac:dyDescent="0.2">
      <c r="A2676" s="5" t="str">
        <f>HYPERLINK("http://www.ncbi.nlm.nih.gov/protein/254281178","Get4")</f>
        <v>Get4</v>
      </c>
      <c r="B2676" s="4"/>
      <c r="C2676" s="3">
        <v>934</v>
      </c>
      <c r="D2676" s="3">
        <v>1221</v>
      </c>
      <c r="E2676" s="3">
        <v>778</v>
      </c>
      <c r="F2676" s="3">
        <v>17403</v>
      </c>
      <c r="G2676" s="3">
        <v>9296</v>
      </c>
      <c r="H2676" s="2">
        <f t="shared" si="82"/>
        <v>29632</v>
      </c>
      <c r="I2676" t="str">
        <f t="shared" si="83"/>
        <v>Get4_29632</v>
      </c>
      <c r="J2676" s="3">
        <v>934</v>
      </c>
      <c r="K2676" s="3">
        <v>1221</v>
      </c>
      <c r="L2676" s="3">
        <v>778</v>
      </c>
      <c r="M2676" s="3">
        <v>17403</v>
      </c>
      <c r="N2676" s="3">
        <v>9296</v>
      </c>
    </row>
    <row r="2677" spans="1:14" x14ac:dyDescent="0.2">
      <c r="A2677" s="5" t="str">
        <f>HYPERLINK("http://www.ncbi.nlm.nih.gov/protein/27229052","Get4")</f>
        <v>Get4</v>
      </c>
      <c r="B2677" s="4"/>
      <c r="C2677" s="3">
        <v>934</v>
      </c>
      <c r="D2677" s="3">
        <v>1221</v>
      </c>
      <c r="E2677" s="3">
        <v>778</v>
      </c>
      <c r="F2677" s="3">
        <v>18769</v>
      </c>
      <c r="G2677" s="3">
        <v>9478</v>
      </c>
      <c r="H2677" s="2">
        <f t="shared" si="82"/>
        <v>31180</v>
      </c>
      <c r="I2677" t="str">
        <f t="shared" si="83"/>
        <v>Get4_31180</v>
      </c>
      <c r="J2677" s="3">
        <v>934</v>
      </c>
      <c r="K2677" s="3">
        <v>1221</v>
      </c>
      <c r="L2677" s="3">
        <v>778</v>
      </c>
      <c r="M2677" s="3">
        <v>18769</v>
      </c>
      <c r="N2677" s="3">
        <v>9478</v>
      </c>
    </row>
    <row r="2678" spans="1:14" x14ac:dyDescent="0.2">
      <c r="A2678" s="5" t="str">
        <f>HYPERLINK("http://www.ncbi.nlm.nih.gov/protein/196115327","Gfap")</f>
        <v>Gfap</v>
      </c>
      <c r="B2678" s="4"/>
      <c r="C2678" s="3">
        <v>1886</v>
      </c>
      <c r="D2678" s="3">
        <v>0</v>
      </c>
      <c r="E2678" s="3">
        <v>0</v>
      </c>
      <c r="F2678" s="3">
        <v>0</v>
      </c>
      <c r="G2678" s="3">
        <v>0</v>
      </c>
      <c r="H2678" s="2">
        <f t="shared" si="82"/>
        <v>1886</v>
      </c>
      <c r="I2678" t="str">
        <f t="shared" si="83"/>
        <v>Gfap_1886</v>
      </c>
      <c r="J2678" s="3">
        <v>1886</v>
      </c>
      <c r="K2678" s="3">
        <v>0</v>
      </c>
      <c r="L2678" s="3">
        <v>0</v>
      </c>
      <c r="M2678" s="3">
        <v>0</v>
      </c>
      <c r="N2678" s="3">
        <v>0</v>
      </c>
    </row>
    <row r="2679" spans="1:14" x14ac:dyDescent="0.2">
      <c r="A2679" s="5" t="str">
        <f>HYPERLINK("http://www.ncbi.nlm.nih.gov/protein/84000448","Gfap")</f>
        <v>Gfap</v>
      </c>
      <c r="B2679" s="4"/>
      <c r="C2679" s="3">
        <v>1886</v>
      </c>
      <c r="D2679" s="3">
        <v>0</v>
      </c>
      <c r="E2679" s="3">
        <v>0</v>
      </c>
      <c r="F2679" s="3">
        <v>0</v>
      </c>
      <c r="G2679" s="3">
        <v>0</v>
      </c>
      <c r="H2679" s="2">
        <f t="shared" si="82"/>
        <v>1886</v>
      </c>
      <c r="I2679" t="str">
        <f t="shared" si="83"/>
        <v>Gfap_1886</v>
      </c>
      <c r="J2679" s="3">
        <v>1886</v>
      </c>
      <c r="K2679" s="3">
        <v>0</v>
      </c>
      <c r="L2679" s="3">
        <v>0</v>
      </c>
      <c r="M2679" s="3">
        <v>0</v>
      </c>
      <c r="N2679" s="3">
        <v>0</v>
      </c>
    </row>
    <row r="2680" spans="1:14" x14ac:dyDescent="0.2">
      <c r="A2680" s="5" t="str">
        <f>HYPERLINK("http://www.ncbi.nlm.nih.gov/protein/46909575","Gfer")</f>
        <v>Gfer</v>
      </c>
      <c r="B2680" s="4"/>
      <c r="C2680" s="3">
        <v>0</v>
      </c>
      <c r="D2680" s="3">
        <v>73</v>
      </c>
      <c r="E2680" s="3">
        <v>0</v>
      </c>
      <c r="F2680" s="3">
        <v>0</v>
      </c>
      <c r="G2680" s="3">
        <v>0</v>
      </c>
      <c r="H2680" s="2">
        <f t="shared" si="82"/>
        <v>73</v>
      </c>
      <c r="I2680" t="str">
        <f t="shared" si="83"/>
        <v>Gfer_73</v>
      </c>
      <c r="J2680" s="3">
        <v>0</v>
      </c>
      <c r="K2680" s="3">
        <v>73</v>
      </c>
      <c r="L2680" s="3">
        <v>0</v>
      </c>
      <c r="M2680" s="3">
        <v>0</v>
      </c>
      <c r="N2680" s="3">
        <v>0</v>
      </c>
    </row>
    <row r="2681" spans="1:14" x14ac:dyDescent="0.2">
      <c r="A2681" s="5" t="str">
        <f>HYPERLINK("http://www.ncbi.nlm.nih.gov/protein/170650599","Gfm1")</f>
        <v>Gfm1</v>
      </c>
      <c r="B2681" s="4"/>
      <c r="C2681" s="3">
        <v>2764</v>
      </c>
      <c r="D2681" s="3">
        <v>10688</v>
      </c>
      <c r="E2681" s="3">
        <v>0</v>
      </c>
      <c r="F2681" s="3">
        <v>0</v>
      </c>
      <c r="G2681" s="3">
        <v>0</v>
      </c>
      <c r="H2681" s="2">
        <f t="shared" si="82"/>
        <v>13452</v>
      </c>
      <c r="I2681" t="str">
        <f t="shared" si="83"/>
        <v>Gfm1_13452</v>
      </c>
      <c r="J2681" s="3">
        <v>2764</v>
      </c>
      <c r="K2681" s="3">
        <v>10688</v>
      </c>
      <c r="L2681" s="3">
        <v>0</v>
      </c>
      <c r="M2681" s="3">
        <v>0</v>
      </c>
      <c r="N2681" s="3">
        <v>0</v>
      </c>
    </row>
    <row r="2682" spans="1:14" x14ac:dyDescent="0.2">
      <c r="A2682" s="5" t="str">
        <f>HYPERLINK("http://www.ncbi.nlm.nih.gov/protein/225690549","Gfm2")</f>
        <v>Gfm2</v>
      </c>
      <c r="B2682" s="4"/>
      <c r="C2682" s="3">
        <v>0</v>
      </c>
      <c r="D2682" s="3">
        <v>280</v>
      </c>
      <c r="E2682" s="3">
        <v>0</v>
      </c>
      <c r="F2682" s="3">
        <v>0</v>
      </c>
      <c r="G2682" s="3">
        <v>0</v>
      </c>
      <c r="H2682" s="2">
        <f t="shared" si="82"/>
        <v>280</v>
      </c>
      <c r="I2682" t="str">
        <f t="shared" si="83"/>
        <v>Gfm2_280</v>
      </c>
      <c r="J2682" s="3">
        <v>0</v>
      </c>
      <c r="K2682" s="3">
        <v>280</v>
      </c>
      <c r="L2682" s="3">
        <v>0</v>
      </c>
      <c r="M2682" s="3">
        <v>0</v>
      </c>
      <c r="N2682" s="3">
        <v>0</v>
      </c>
    </row>
    <row r="2683" spans="1:14" x14ac:dyDescent="0.2">
      <c r="A2683" s="5" t="str">
        <f>HYPERLINK("http://www.ncbi.nlm.nih.gov/protein/225690556","Gfm2")</f>
        <v>Gfm2</v>
      </c>
      <c r="B2683" s="4"/>
      <c r="C2683" s="3">
        <v>0</v>
      </c>
      <c r="D2683" s="3">
        <v>280</v>
      </c>
      <c r="E2683" s="3">
        <v>0</v>
      </c>
      <c r="F2683" s="3">
        <v>0</v>
      </c>
      <c r="G2683" s="3">
        <v>0</v>
      </c>
      <c r="H2683" s="2">
        <f t="shared" si="82"/>
        <v>280</v>
      </c>
      <c r="I2683" t="str">
        <f t="shared" si="83"/>
        <v>Gfm2_280</v>
      </c>
      <c r="J2683" s="3">
        <v>0</v>
      </c>
      <c r="K2683" s="3">
        <v>280</v>
      </c>
      <c r="L2683" s="3">
        <v>0</v>
      </c>
      <c r="M2683" s="3">
        <v>0</v>
      </c>
      <c r="N2683" s="3">
        <v>0</v>
      </c>
    </row>
    <row r="2684" spans="1:14" x14ac:dyDescent="0.2">
      <c r="A2684" s="5" t="str">
        <f>HYPERLINK("http://www.ncbi.nlm.nih.gov/protein/407228375","Gfm2")</f>
        <v>Gfm2</v>
      </c>
      <c r="B2684" s="4"/>
      <c r="C2684" s="3">
        <v>0</v>
      </c>
      <c r="D2684" s="3">
        <v>280</v>
      </c>
      <c r="E2684" s="3">
        <v>0</v>
      </c>
      <c r="F2684" s="3">
        <v>0</v>
      </c>
      <c r="G2684" s="3">
        <v>0</v>
      </c>
      <c r="H2684" s="2">
        <f t="shared" si="82"/>
        <v>280</v>
      </c>
      <c r="I2684" t="str">
        <f t="shared" si="83"/>
        <v>Gfm2_280</v>
      </c>
      <c r="J2684" s="3">
        <v>0</v>
      </c>
      <c r="K2684" s="3">
        <v>280</v>
      </c>
      <c r="L2684" s="3">
        <v>0</v>
      </c>
      <c r="M2684" s="3">
        <v>0</v>
      </c>
      <c r="N2684" s="3">
        <v>0</v>
      </c>
    </row>
    <row r="2685" spans="1:14" x14ac:dyDescent="0.2">
      <c r="A2685" s="5" t="str">
        <f>HYPERLINK("http://www.ncbi.nlm.nih.gov/protein/407228398","Gfm2")</f>
        <v>Gfm2</v>
      </c>
      <c r="B2685" s="4"/>
      <c r="C2685" s="3">
        <v>0</v>
      </c>
      <c r="D2685" s="3">
        <v>280</v>
      </c>
      <c r="E2685" s="3">
        <v>0</v>
      </c>
      <c r="F2685" s="3">
        <v>0</v>
      </c>
      <c r="G2685" s="3">
        <v>0</v>
      </c>
      <c r="H2685" s="2">
        <f t="shared" si="82"/>
        <v>280</v>
      </c>
      <c r="I2685" t="str">
        <f t="shared" si="83"/>
        <v>Gfm2_280</v>
      </c>
      <c r="J2685" s="3">
        <v>0</v>
      </c>
      <c r="K2685" s="3">
        <v>280</v>
      </c>
      <c r="L2685" s="3">
        <v>0</v>
      </c>
      <c r="M2685" s="3">
        <v>0</v>
      </c>
      <c r="N2685" s="3">
        <v>0</v>
      </c>
    </row>
    <row r="2686" spans="1:14" x14ac:dyDescent="0.2">
      <c r="A2686" s="5" t="str">
        <f>HYPERLINK("http://www.ncbi.nlm.nih.gov/protein/21312610","Gfod2")</f>
        <v>Gfod2</v>
      </c>
      <c r="B2686" s="4"/>
      <c r="C2686" s="3">
        <v>0</v>
      </c>
      <c r="D2686" s="3">
        <v>0</v>
      </c>
      <c r="E2686" s="3">
        <v>361</v>
      </c>
      <c r="F2686" s="3">
        <v>2366</v>
      </c>
      <c r="G2686" s="3">
        <v>0</v>
      </c>
      <c r="H2686" s="2">
        <f t="shared" si="82"/>
        <v>2727</v>
      </c>
      <c r="I2686" t="str">
        <f t="shared" si="83"/>
        <v>Gfod2_2727</v>
      </c>
      <c r="J2686" s="3">
        <v>0</v>
      </c>
      <c r="K2686" s="3">
        <v>0</v>
      </c>
      <c r="L2686" s="3">
        <v>361</v>
      </c>
      <c r="M2686" s="3">
        <v>2366</v>
      </c>
      <c r="N2686" s="3">
        <v>0</v>
      </c>
    </row>
    <row r="2687" spans="1:14" x14ac:dyDescent="0.2">
      <c r="A2687" s="5" t="str">
        <f>HYPERLINK("http://www.ncbi.nlm.nih.gov/protein/7305085","Gfpt1")</f>
        <v>Gfpt1</v>
      </c>
      <c r="B2687" s="4"/>
      <c r="C2687" s="3">
        <v>3661</v>
      </c>
      <c r="D2687" s="3">
        <v>795</v>
      </c>
      <c r="E2687" s="3">
        <v>5201</v>
      </c>
      <c r="F2687" s="3">
        <v>70183</v>
      </c>
      <c r="G2687" s="3">
        <v>22083</v>
      </c>
      <c r="H2687" s="2">
        <f t="shared" si="82"/>
        <v>101923</v>
      </c>
      <c r="I2687" t="str">
        <f t="shared" si="83"/>
        <v>Gfpt1_101923</v>
      </c>
      <c r="J2687" s="3">
        <v>3661</v>
      </c>
      <c r="K2687" s="3">
        <v>795</v>
      </c>
      <c r="L2687" s="3">
        <v>5201</v>
      </c>
      <c r="M2687" s="3">
        <v>70183</v>
      </c>
      <c r="N2687" s="3">
        <v>22083</v>
      </c>
    </row>
    <row r="2688" spans="1:14" x14ac:dyDescent="0.2">
      <c r="A2688" s="5" t="str">
        <f>HYPERLINK("http://www.ncbi.nlm.nih.gov/protein/7305087","Gfpt2")</f>
        <v>Gfpt2</v>
      </c>
      <c r="B2688" s="4"/>
      <c r="C2688" s="3">
        <v>0</v>
      </c>
      <c r="D2688" s="3">
        <v>0</v>
      </c>
      <c r="E2688" s="3">
        <v>0</v>
      </c>
      <c r="F2688" s="3">
        <v>8873</v>
      </c>
      <c r="G2688" s="3">
        <v>1831</v>
      </c>
      <c r="H2688" s="2">
        <f t="shared" si="82"/>
        <v>10704</v>
      </c>
      <c r="I2688" t="str">
        <f t="shared" si="83"/>
        <v>Gfpt2_10704</v>
      </c>
      <c r="J2688" s="3">
        <v>0</v>
      </c>
      <c r="K2688" s="3">
        <v>0</v>
      </c>
      <c r="L2688" s="3">
        <v>0</v>
      </c>
      <c r="M2688" s="3">
        <v>8873</v>
      </c>
      <c r="N2688" s="3">
        <v>1831</v>
      </c>
    </row>
    <row r="2689" spans="1:14" x14ac:dyDescent="0.2">
      <c r="A2689" s="5" t="str">
        <f>HYPERLINK("http://www.ncbi.nlm.nih.gov/protein/22122347","Gga1")</f>
        <v>Gga1</v>
      </c>
      <c r="B2689" s="4"/>
      <c r="C2689" s="3">
        <v>0</v>
      </c>
      <c r="D2689" s="3">
        <v>276</v>
      </c>
      <c r="E2689" s="3">
        <v>1602</v>
      </c>
      <c r="F2689" s="3">
        <v>0</v>
      </c>
      <c r="G2689" s="3">
        <v>3534</v>
      </c>
      <c r="H2689" s="2">
        <f t="shared" si="82"/>
        <v>5412</v>
      </c>
      <c r="I2689" t="str">
        <f t="shared" si="83"/>
        <v>Gga1_5412</v>
      </c>
      <c r="J2689" s="3">
        <v>0</v>
      </c>
      <c r="K2689" s="3">
        <v>276</v>
      </c>
      <c r="L2689" s="3">
        <v>1602</v>
      </c>
      <c r="M2689" s="3">
        <v>0</v>
      </c>
      <c r="N2689" s="3">
        <v>3534</v>
      </c>
    </row>
    <row r="2690" spans="1:14" x14ac:dyDescent="0.2">
      <c r="A2690" s="5" t="str">
        <f>HYPERLINK("http://www.ncbi.nlm.nih.gov/protein/21703924","Ggact")</f>
        <v>Ggact</v>
      </c>
      <c r="B2690" s="4"/>
      <c r="C2690" s="3">
        <v>0</v>
      </c>
      <c r="D2690" s="3">
        <v>0</v>
      </c>
      <c r="E2690" s="3">
        <v>42</v>
      </c>
      <c r="F2690" s="3">
        <v>0</v>
      </c>
      <c r="G2690" s="3">
        <v>1071</v>
      </c>
      <c r="H2690" s="2">
        <f t="shared" ref="H2690:H2753" si="84">SUM(C2690:G2690)</f>
        <v>1113</v>
      </c>
      <c r="I2690" t="str">
        <f t="shared" ref="I2690:I2753" si="85">A2690&amp;"_"&amp;H2690</f>
        <v>Ggact_1113</v>
      </c>
      <c r="J2690" s="3">
        <v>0</v>
      </c>
      <c r="K2690" s="3">
        <v>0</v>
      </c>
      <c r="L2690" s="3">
        <v>42</v>
      </c>
      <c r="M2690" s="3">
        <v>0</v>
      </c>
      <c r="N2690" s="3">
        <v>1071</v>
      </c>
    </row>
    <row r="2691" spans="1:14" x14ac:dyDescent="0.2">
      <c r="A2691" s="5" t="str">
        <f>HYPERLINK("http://www.ncbi.nlm.nih.gov/protein/21311849","Ggct")</f>
        <v>Ggct</v>
      </c>
      <c r="B2691" s="4"/>
      <c r="C2691" s="3">
        <v>0</v>
      </c>
      <c r="D2691" s="3">
        <v>0</v>
      </c>
      <c r="E2691" s="3">
        <v>78</v>
      </c>
      <c r="F2691" s="3">
        <v>0</v>
      </c>
      <c r="G2691" s="3">
        <v>7068</v>
      </c>
      <c r="H2691" s="2">
        <f t="shared" si="84"/>
        <v>7146</v>
      </c>
      <c r="I2691" t="str">
        <f t="shared" si="85"/>
        <v>Ggct_7146</v>
      </c>
      <c r="J2691" s="3">
        <v>0</v>
      </c>
      <c r="K2691" s="3">
        <v>0</v>
      </c>
      <c r="L2691" s="3">
        <v>78</v>
      </c>
      <c r="M2691" s="3">
        <v>0</v>
      </c>
      <c r="N2691" s="3">
        <v>7068</v>
      </c>
    </row>
    <row r="2692" spans="1:14" x14ac:dyDescent="0.2">
      <c r="A2692" s="5" t="str">
        <f>HYPERLINK("http://www.ncbi.nlm.nih.gov/protein/9790009","Ggcx")</f>
        <v>Ggcx</v>
      </c>
      <c r="B2692" s="4"/>
      <c r="C2692" s="3">
        <v>0</v>
      </c>
      <c r="D2692" s="3">
        <v>19</v>
      </c>
      <c r="E2692" s="3">
        <v>0</v>
      </c>
      <c r="F2692" s="3">
        <v>0</v>
      </c>
      <c r="G2692" s="3">
        <v>0</v>
      </c>
      <c r="H2692" s="2">
        <f t="shared" si="84"/>
        <v>19</v>
      </c>
      <c r="I2692" t="str">
        <f t="shared" si="85"/>
        <v>Ggcx_19</v>
      </c>
      <c r="J2692" s="3">
        <v>0</v>
      </c>
      <c r="K2692" s="3">
        <v>19</v>
      </c>
      <c r="L2692" s="3">
        <v>0</v>
      </c>
      <c r="M2692" s="3">
        <v>0</v>
      </c>
      <c r="N2692" s="3">
        <v>0</v>
      </c>
    </row>
    <row r="2693" spans="1:14" x14ac:dyDescent="0.2">
      <c r="A2693" s="5" t="str">
        <f>HYPERLINK("http://www.ncbi.nlm.nih.gov/protein/6806915","Ggps1")</f>
        <v>Ggps1</v>
      </c>
      <c r="B2693" s="4"/>
      <c r="C2693" s="3">
        <v>0</v>
      </c>
      <c r="D2693" s="3">
        <v>0</v>
      </c>
      <c r="E2693" s="3">
        <v>0</v>
      </c>
      <c r="F2693" s="3">
        <v>868</v>
      </c>
      <c r="G2693" s="3">
        <v>5601</v>
      </c>
      <c r="H2693" s="2">
        <f t="shared" si="84"/>
        <v>6469</v>
      </c>
      <c r="I2693" t="str">
        <f t="shared" si="85"/>
        <v>Ggps1_6469</v>
      </c>
      <c r="J2693" s="3">
        <v>0</v>
      </c>
      <c r="K2693" s="3">
        <v>0</v>
      </c>
      <c r="L2693" s="3">
        <v>0</v>
      </c>
      <c r="M2693" s="3">
        <v>868</v>
      </c>
      <c r="N2693" s="3">
        <v>5601</v>
      </c>
    </row>
    <row r="2694" spans="1:14" x14ac:dyDescent="0.2">
      <c r="A2694" s="5" t="str">
        <f>HYPERLINK("http://www.ncbi.nlm.nih.gov/protein/6679995","Ggt1")</f>
        <v>Ggt1</v>
      </c>
      <c r="B2694" s="4"/>
      <c r="C2694" s="3">
        <v>0</v>
      </c>
      <c r="D2694" s="3">
        <v>0</v>
      </c>
      <c r="E2694" s="3">
        <v>114</v>
      </c>
      <c r="F2694" s="3">
        <v>0</v>
      </c>
      <c r="G2694" s="3">
        <v>0</v>
      </c>
      <c r="H2694" s="2">
        <f t="shared" si="84"/>
        <v>114</v>
      </c>
      <c r="I2694" t="str">
        <f t="shared" si="85"/>
        <v>Ggt1_114</v>
      </c>
      <c r="J2694" s="3">
        <v>0</v>
      </c>
      <c r="K2694" s="3">
        <v>0</v>
      </c>
      <c r="L2694" s="3">
        <v>114</v>
      </c>
      <c r="M2694" s="3">
        <v>0</v>
      </c>
      <c r="N2694" s="3">
        <v>0</v>
      </c>
    </row>
    <row r="2695" spans="1:14" x14ac:dyDescent="0.2">
      <c r="A2695" s="5" t="str">
        <f>HYPERLINK("http://www.ncbi.nlm.nih.gov/protein/6679997","Gh")</f>
        <v>Gh</v>
      </c>
      <c r="B2695" s="4"/>
      <c r="C2695" s="3">
        <v>2416</v>
      </c>
      <c r="D2695" s="3">
        <v>0</v>
      </c>
      <c r="E2695" s="3">
        <v>0</v>
      </c>
      <c r="F2695" s="3">
        <v>0</v>
      </c>
      <c r="G2695" s="3">
        <v>0</v>
      </c>
      <c r="H2695" s="2">
        <f t="shared" si="84"/>
        <v>2416</v>
      </c>
      <c r="I2695" t="str">
        <f t="shared" si="85"/>
        <v>Gh_2416</v>
      </c>
      <c r="J2695" s="3">
        <v>2416</v>
      </c>
      <c r="K2695" s="3">
        <v>0</v>
      </c>
      <c r="L2695" s="3">
        <v>0</v>
      </c>
      <c r="M2695" s="3">
        <v>0</v>
      </c>
      <c r="N2695" s="3">
        <v>0</v>
      </c>
    </row>
    <row r="2696" spans="1:14" x14ac:dyDescent="0.2">
      <c r="A2696" s="5" t="str">
        <f>HYPERLINK("http://www.ncbi.nlm.nih.gov/protein/17505218","Ghitm")</f>
        <v>Ghitm</v>
      </c>
      <c r="B2696" s="4"/>
      <c r="C2696" s="3">
        <v>0</v>
      </c>
      <c r="D2696" s="3">
        <v>1073</v>
      </c>
      <c r="E2696" s="3">
        <v>237</v>
      </c>
      <c r="F2696" s="3">
        <v>0</v>
      </c>
      <c r="G2696" s="3">
        <v>0</v>
      </c>
      <c r="H2696" s="2">
        <f t="shared" si="84"/>
        <v>1310</v>
      </c>
      <c r="I2696" t="str">
        <f t="shared" si="85"/>
        <v>Ghitm_1310</v>
      </c>
      <c r="J2696" s="3">
        <v>0</v>
      </c>
      <c r="K2696" s="3">
        <v>1073</v>
      </c>
      <c r="L2696" s="3">
        <v>237</v>
      </c>
      <c r="M2696" s="3">
        <v>0</v>
      </c>
      <c r="N2696" s="3">
        <v>0</v>
      </c>
    </row>
    <row r="2697" spans="1:14" x14ac:dyDescent="0.2">
      <c r="A2697" s="5" t="str">
        <f>HYPERLINK("http://www.ncbi.nlm.nih.gov/protein/254939696","Gid4")</f>
        <v>Gid4</v>
      </c>
      <c r="B2697" s="4"/>
      <c r="C2697" s="3">
        <v>0</v>
      </c>
      <c r="D2697" s="3">
        <v>0</v>
      </c>
      <c r="E2697" s="3">
        <v>0</v>
      </c>
      <c r="F2697" s="3">
        <v>524</v>
      </c>
      <c r="G2697" s="3">
        <v>0</v>
      </c>
      <c r="H2697" s="2">
        <f t="shared" si="84"/>
        <v>524</v>
      </c>
      <c r="I2697" t="str">
        <f t="shared" si="85"/>
        <v>Gid4_524</v>
      </c>
      <c r="J2697" s="3">
        <v>0</v>
      </c>
      <c r="K2697" s="3">
        <v>0</v>
      </c>
      <c r="L2697" s="3">
        <v>0</v>
      </c>
      <c r="M2697" s="3">
        <v>524</v>
      </c>
      <c r="N2697" s="3">
        <v>0</v>
      </c>
    </row>
    <row r="2698" spans="1:14" x14ac:dyDescent="0.2">
      <c r="A2698" s="5" t="str">
        <f>HYPERLINK("http://www.ncbi.nlm.nih.gov/protein/58037443","Gid8")</f>
        <v>Gid8</v>
      </c>
      <c r="B2698" s="4"/>
      <c r="C2698" s="3">
        <v>0</v>
      </c>
      <c r="D2698" s="3">
        <v>0</v>
      </c>
      <c r="E2698" s="3">
        <v>6</v>
      </c>
      <c r="F2698" s="3">
        <v>2816</v>
      </c>
      <c r="G2698" s="3">
        <v>43</v>
      </c>
      <c r="H2698" s="2">
        <f t="shared" si="84"/>
        <v>2865</v>
      </c>
      <c r="I2698" t="str">
        <f t="shared" si="85"/>
        <v>Gid8_2865</v>
      </c>
      <c r="J2698" s="3">
        <v>0</v>
      </c>
      <c r="K2698" s="3">
        <v>0</v>
      </c>
      <c r="L2698" s="3">
        <v>6</v>
      </c>
      <c r="M2698" s="3">
        <v>2816</v>
      </c>
      <c r="N2698" s="3">
        <v>43</v>
      </c>
    </row>
    <row r="2699" spans="1:14" x14ac:dyDescent="0.2">
      <c r="A2699" s="5" t="str">
        <f>HYPERLINK("http://www.ncbi.nlm.nih.gov/protein/159032014","Gigyf2")</f>
        <v>Gigyf2</v>
      </c>
      <c r="B2699" s="4"/>
      <c r="C2699" s="3">
        <v>0</v>
      </c>
      <c r="D2699" s="3">
        <v>58</v>
      </c>
      <c r="E2699" s="3">
        <v>17228</v>
      </c>
      <c r="F2699" s="3">
        <v>0</v>
      </c>
      <c r="G2699" s="3">
        <v>0</v>
      </c>
      <c r="H2699" s="2">
        <f t="shared" si="84"/>
        <v>17286</v>
      </c>
      <c r="I2699" t="str">
        <f t="shared" si="85"/>
        <v>Gigyf2_17286</v>
      </c>
      <c r="J2699" s="3">
        <v>0</v>
      </c>
      <c r="K2699" s="3">
        <v>58</v>
      </c>
      <c r="L2699" s="3">
        <v>17228</v>
      </c>
      <c r="M2699" s="3">
        <v>0</v>
      </c>
      <c r="N2699" s="3">
        <v>0</v>
      </c>
    </row>
    <row r="2700" spans="1:14" x14ac:dyDescent="0.2">
      <c r="A2700" s="5" t="str">
        <f>HYPERLINK("http://www.ncbi.nlm.nih.gov/protein/159032016","Gigyf2")</f>
        <v>Gigyf2</v>
      </c>
      <c r="B2700" s="4"/>
      <c r="C2700" s="3">
        <v>0</v>
      </c>
      <c r="D2700" s="3">
        <v>58</v>
      </c>
      <c r="E2700" s="3">
        <v>17228</v>
      </c>
      <c r="F2700" s="3">
        <v>0</v>
      </c>
      <c r="G2700" s="3">
        <v>0</v>
      </c>
      <c r="H2700" s="2">
        <f t="shared" si="84"/>
        <v>17286</v>
      </c>
      <c r="I2700" t="str">
        <f t="shared" si="85"/>
        <v>Gigyf2_17286</v>
      </c>
      <c r="J2700" s="3">
        <v>0</v>
      </c>
      <c r="K2700" s="3">
        <v>58</v>
      </c>
      <c r="L2700" s="3">
        <v>17228</v>
      </c>
      <c r="M2700" s="3">
        <v>0</v>
      </c>
      <c r="N2700" s="3">
        <v>0</v>
      </c>
    </row>
    <row r="2701" spans="1:14" x14ac:dyDescent="0.2">
      <c r="A2701" s="5" t="str">
        <f>HYPERLINK("http://www.ncbi.nlm.nih.gov/protein/254553278","Gins1")</f>
        <v>Gins1</v>
      </c>
      <c r="B2701" s="4"/>
      <c r="C2701" s="3">
        <v>0</v>
      </c>
      <c r="D2701" s="3">
        <v>21</v>
      </c>
      <c r="E2701" s="3">
        <v>138</v>
      </c>
      <c r="F2701" s="3">
        <v>769</v>
      </c>
      <c r="G2701" s="3">
        <v>3973</v>
      </c>
      <c r="H2701" s="2">
        <f t="shared" si="84"/>
        <v>4901</v>
      </c>
      <c r="I2701" t="str">
        <f t="shared" si="85"/>
        <v>Gins1_4901</v>
      </c>
      <c r="J2701" s="3">
        <v>0</v>
      </c>
      <c r="K2701" s="3">
        <v>21</v>
      </c>
      <c r="L2701" s="3">
        <v>138</v>
      </c>
      <c r="M2701" s="3">
        <v>769</v>
      </c>
      <c r="N2701" s="3">
        <v>3973</v>
      </c>
    </row>
    <row r="2702" spans="1:14" x14ac:dyDescent="0.2">
      <c r="A2702" s="5" t="str">
        <f>HYPERLINK("http://www.ncbi.nlm.nih.gov/protein/254553280","Gins1")</f>
        <v>Gins1</v>
      </c>
      <c r="B2702" s="4"/>
      <c r="C2702" s="3">
        <v>0</v>
      </c>
      <c r="D2702" s="3">
        <v>21</v>
      </c>
      <c r="E2702" s="3">
        <v>138</v>
      </c>
      <c r="F2702" s="3">
        <v>769</v>
      </c>
      <c r="G2702" s="3">
        <v>3973</v>
      </c>
      <c r="H2702" s="2">
        <f t="shared" si="84"/>
        <v>4901</v>
      </c>
      <c r="I2702" t="str">
        <f t="shared" si="85"/>
        <v>Gins1_4901</v>
      </c>
      <c r="J2702" s="3">
        <v>0</v>
      </c>
      <c r="K2702" s="3">
        <v>21</v>
      </c>
      <c r="L2702" s="3">
        <v>138</v>
      </c>
      <c r="M2702" s="3">
        <v>769</v>
      </c>
      <c r="N2702" s="3">
        <v>3973</v>
      </c>
    </row>
    <row r="2703" spans="1:14" x14ac:dyDescent="0.2">
      <c r="A2703" s="5" t="str">
        <f>HYPERLINK("http://www.ncbi.nlm.nih.gov/protein/124249060","Gins2")</f>
        <v>Gins2</v>
      </c>
      <c r="B2703" s="4"/>
      <c r="C2703" s="3">
        <v>0</v>
      </c>
      <c r="D2703" s="3">
        <v>0</v>
      </c>
      <c r="E2703" s="3">
        <v>25</v>
      </c>
      <c r="F2703" s="3">
        <v>0</v>
      </c>
      <c r="G2703" s="3">
        <v>75</v>
      </c>
      <c r="H2703" s="2">
        <f t="shared" si="84"/>
        <v>100</v>
      </c>
      <c r="I2703" t="str">
        <f t="shared" si="85"/>
        <v>Gins2_100</v>
      </c>
      <c r="J2703" s="3">
        <v>0</v>
      </c>
      <c r="K2703" s="3">
        <v>0</v>
      </c>
      <c r="L2703" s="3">
        <v>25</v>
      </c>
      <c r="M2703" s="3">
        <v>0</v>
      </c>
      <c r="N2703" s="3">
        <v>75</v>
      </c>
    </row>
    <row r="2704" spans="1:14" x14ac:dyDescent="0.2">
      <c r="A2704" s="5" t="str">
        <f>HYPERLINK("http://www.ncbi.nlm.nih.gov/protein/21313504","Gins3")</f>
        <v>Gins3</v>
      </c>
      <c r="B2704" s="4"/>
      <c r="C2704" s="3">
        <v>0</v>
      </c>
      <c r="D2704" s="3">
        <v>0</v>
      </c>
      <c r="E2704" s="3">
        <v>28</v>
      </c>
      <c r="F2704" s="3">
        <v>0</v>
      </c>
      <c r="G2704" s="3">
        <v>14115</v>
      </c>
      <c r="H2704" s="2">
        <f t="shared" si="84"/>
        <v>14143</v>
      </c>
      <c r="I2704" t="str">
        <f t="shared" si="85"/>
        <v>Gins3_14143</v>
      </c>
      <c r="J2704" s="3">
        <v>0</v>
      </c>
      <c r="K2704" s="3">
        <v>0</v>
      </c>
      <c r="L2704" s="3">
        <v>28</v>
      </c>
      <c r="M2704" s="3">
        <v>0</v>
      </c>
      <c r="N2704" s="3">
        <v>14115</v>
      </c>
    </row>
    <row r="2705" spans="1:14" x14ac:dyDescent="0.2">
      <c r="A2705" s="5" t="str">
        <f>HYPERLINK("http://www.ncbi.nlm.nih.gov/protein/13195660","Gins4")</f>
        <v>Gins4</v>
      </c>
      <c r="B2705" s="4"/>
      <c r="C2705" s="3">
        <v>0</v>
      </c>
      <c r="D2705" s="3">
        <v>121</v>
      </c>
      <c r="E2705" s="3">
        <v>54</v>
      </c>
      <c r="F2705" s="3">
        <v>0</v>
      </c>
      <c r="G2705" s="3">
        <v>11727</v>
      </c>
      <c r="H2705" s="2">
        <f t="shared" si="84"/>
        <v>11902</v>
      </c>
      <c r="I2705" t="str">
        <f t="shared" si="85"/>
        <v>Gins4_11902</v>
      </c>
      <c r="J2705" s="3">
        <v>0</v>
      </c>
      <c r="K2705" s="3">
        <v>121</v>
      </c>
      <c r="L2705" s="3">
        <v>54</v>
      </c>
      <c r="M2705" s="3">
        <v>0</v>
      </c>
      <c r="N2705" s="3">
        <v>11727</v>
      </c>
    </row>
    <row r="2706" spans="1:14" x14ac:dyDescent="0.2">
      <c r="A2706" s="5" t="str">
        <f>HYPERLINK("http://www.ncbi.nlm.nih.gov/protein/9055336","Gipc1")</f>
        <v>Gipc1</v>
      </c>
      <c r="B2706" s="4"/>
      <c r="C2706" s="3">
        <v>0</v>
      </c>
      <c r="D2706" s="3">
        <v>150</v>
      </c>
      <c r="E2706" s="3">
        <v>4928</v>
      </c>
      <c r="F2706" s="3">
        <v>12598</v>
      </c>
      <c r="G2706" s="3">
        <v>57146</v>
      </c>
      <c r="H2706" s="2">
        <f t="shared" si="84"/>
        <v>74822</v>
      </c>
      <c r="I2706" t="str">
        <f t="shared" si="85"/>
        <v>Gipc1_74822</v>
      </c>
      <c r="J2706" s="3">
        <v>0</v>
      </c>
      <c r="K2706" s="3">
        <v>150</v>
      </c>
      <c r="L2706" s="3">
        <v>4928</v>
      </c>
      <c r="M2706" s="3">
        <v>12598</v>
      </c>
      <c r="N2706" s="3">
        <v>57146</v>
      </c>
    </row>
    <row r="2707" spans="1:14" x14ac:dyDescent="0.2">
      <c r="A2707" s="5" t="str">
        <f>HYPERLINK("http://www.ncbi.nlm.nih.gov/protein/8394258","Gipc2")</f>
        <v>Gipc2</v>
      </c>
      <c r="B2707" s="4"/>
      <c r="C2707" s="3">
        <v>6737</v>
      </c>
      <c r="D2707" s="3">
        <v>7016</v>
      </c>
      <c r="E2707" s="3">
        <v>9772</v>
      </c>
      <c r="F2707" s="3">
        <v>29755</v>
      </c>
      <c r="G2707" s="3">
        <v>26367</v>
      </c>
      <c r="H2707" s="2">
        <f t="shared" si="84"/>
        <v>79647</v>
      </c>
      <c r="I2707" t="str">
        <f t="shared" si="85"/>
        <v>Gipc2_79647</v>
      </c>
      <c r="J2707" s="3">
        <v>6737</v>
      </c>
      <c r="K2707" s="3">
        <v>7016</v>
      </c>
      <c r="L2707" s="3">
        <v>9772</v>
      </c>
      <c r="M2707" s="3">
        <v>29755</v>
      </c>
      <c r="N2707" s="3">
        <v>26367</v>
      </c>
    </row>
    <row r="2708" spans="1:14" x14ac:dyDescent="0.2">
      <c r="A2708" s="5" t="str">
        <f>HYPERLINK("http://www.ncbi.nlm.nih.gov/protein/22507363","Gipc3")</f>
        <v>Gipc3</v>
      </c>
      <c r="B2708" s="4"/>
      <c r="C2708" s="3">
        <v>0</v>
      </c>
      <c r="D2708" s="3">
        <v>0</v>
      </c>
      <c r="E2708" s="3">
        <v>0</v>
      </c>
      <c r="F2708" s="3">
        <v>0</v>
      </c>
      <c r="G2708" s="3">
        <v>6137</v>
      </c>
      <c r="H2708" s="2">
        <f t="shared" si="84"/>
        <v>6137</v>
      </c>
      <c r="I2708" t="str">
        <f t="shared" si="85"/>
        <v>Gipc3_6137</v>
      </c>
      <c r="J2708" s="3">
        <v>0</v>
      </c>
      <c r="K2708" s="3">
        <v>0</v>
      </c>
      <c r="L2708" s="3">
        <v>0</v>
      </c>
      <c r="M2708" s="3">
        <v>0</v>
      </c>
      <c r="N2708" s="3">
        <v>6137</v>
      </c>
    </row>
    <row r="2709" spans="1:14" x14ac:dyDescent="0.2">
      <c r="A2709" s="5" t="str">
        <f>HYPERLINK("http://www.ncbi.nlm.nih.gov/protein/51921285","Git1")</f>
        <v>Git1</v>
      </c>
      <c r="B2709" s="4"/>
      <c r="C2709" s="3">
        <v>0</v>
      </c>
      <c r="D2709" s="3">
        <v>0</v>
      </c>
      <c r="E2709" s="3">
        <v>985</v>
      </c>
      <c r="F2709" s="3">
        <v>9250</v>
      </c>
      <c r="G2709" s="3">
        <v>675</v>
      </c>
      <c r="H2709" s="2">
        <f t="shared" si="84"/>
        <v>10910</v>
      </c>
      <c r="I2709" t="str">
        <f t="shared" si="85"/>
        <v>Git1_10910</v>
      </c>
      <c r="J2709" s="3">
        <v>0</v>
      </c>
      <c r="K2709" s="3">
        <v>0</v>
      </c>
      <c r="L2709" s="3">
        <v>985</v>
      </c>
      <c r="M2709" s="3">
        <v>9250</v>
      </c>
      <c r="N2709" s="3">
        <v>675</v>
      </c>
    </row>
    <row r="2710" spans="1:14" x14ac:dyDescent="0.2">
      <c r="A2710" s="5" t="str">
        <f>HYPERLINK("http://www.ncbi.nlm.nih.gov/protein/116517290","Git2")</f>
        <v>Git2</v>
      </c>
      <c r="B2710" s="4"/>
      <c r="C2710" s="3">
        <v>0</v>
      </c>
      <c r="D2710" s="3">
        <v>0</v>
      </c>
      <c r="E2710" s="3">
        <v>20</v>
      </c>
      <c r="F2710" s="3">
        <v>606</v>
      </c>
      <c r="G2710" s="3">
        <v>0</v>
      </c>
      <c r="H2710" s="2">
        <f t="shared" si="84"/>
        <v>626</v>
      </c>
      <c r="I2710" t="str">
        <f t="shared" si="85"/>
        <v>Git2_626</v>
      </c>
      <c r="J2710" s="3">
        <v>0</v>
      </c>
      <c r="K2710" s="3">
        <v>0</v>
      </c>
      <c r="L2710" s="3">
        <v>20</v>
      </c>
      <c r="M2710" s="3">
        <v>606</v>
      </c>
      <c r="N2710" s="3">
        <v>0</v>
      </c>
    </row>
    <row r="2711" spans="1:14" x14ac:dyDescent="0.2">
      <c r="A2711" s="5" t="str">
        <f>HYPERLINK("http://www.ncbi.nlm.nih.gov/protein/116517295","Git2")</f>
        <v>Git2</v>
      </c>
      <c r="B2711" s="4"/>
      <c r="C2711" s="3">
        <v>0</v>
      </c>
      <c r="D2711" s="3">
        <v>0</v>
      </c>
      <c r="E2711" s="3">
        <v>20</v>
      </c>
      <c r="F2711" s="3">
        <v>606</v>
      </c>
      <c r="G2711" s="3">
        <v>0</v>
      </c>
      <c r="H2711" s="2">
        <f t="shared" si="84"/>
        <v>626</v>
      </c>
      <c r="I2711" t="str">
        <f t="shared" si="85"/>
        <v>Git2_626</v>
      </c>
      <c r="J2711" s="3">
        <v>0</v>
      </c>
      <c r="K2711" s="3">
        <v>0</v>
      </c>
      <c r="L2711" s="3">
        <v>20</v>
      </c>
      <c r="M2711" s="3">
        <v>606</v>
      </c>
      <c r="N2711" s="3">
        <v>0</v>
      </c>
    </row>
    <row r="2712" spans="1:14" x14ac:dyDescent="0.2">
      <c r="A2712" s="5" t="str">
        <f>HYPERLINK("http://www.ncbi.nlm.nih.gov/protein/116517297","Git2")</f>
        <v>Git2</v>
      </c>
      <c r="B2712" s="4"/>
      <c r="C2712" s="3">
        <v>0</v>
      </c>
      <c r="D2712" s="3">
        <v>0</v>
      </c>
      <c r="E2712" s="3">
        <v>20</v>
      </c>
      <c r="F2712" s="3">
        <v>606</v>
      </c>
      <c r="G2712" s="3">
        <v>0</v>
      </c>
      <c r="H2712" s="2">
        <f t="shared" si="84"/>
        <v>626</v>
      </c>
      <c r="I2712" t="str">
        <f t="shared" si="85"/>
        <v>Git2_626</v>
      </c>
      <c r="J2712" s="3">
        <v>0</v>
      </c>
      <c r="K2712" s="3">
        <v>0</v>
      </c>
      <c r="L2712" s="3">
        <v>20</v>
      </c>
      <c r="M2712" s="3">
        <v>606</v>
      </c>
      <c r="N2712" s="3">
        <v>0</v>
      </c>
    </row>
    <row r="2713" spans="1:14" x14ac:dyDescent="0.2">
      <c r="A2713" s="5" t="str">
        <f>HYPERLINK("http://www.ncbi.nlm.nih.gov/protein/6754000","Gk2")</f>
        <v>Gk2</v>
      </c>
      <c r="B2713" s="4"/>
      <c r="C2713" s="3">
        <v>0</v>
      </c>
      <c r="D2713" s="3">
        <v>0</v>
      </c>
      <c r="E2713" s="3">
        <v>0</v>
      </c>
      <c r="F2713" s="3">
        <v>0</v>
      </c>
      <c r="G2713" s="3">
        <v>1157</v>
      </c>
      <c r="H2713" s="2">
        <f t="shared" si="84"/>
        <v>1157</v>
      </c>
      <c r="I2713" t="str">
        <f t="shared" si="85"/>
        <v>Gk2_1157</v>
      </c>
      <c r="J2713" s="3">
        <v>0</v>
      </c>
      <c r="K2713" s="3">
        <v>0</v>
      </c>
      <c r="L2713" s="3">
        <v>0</v>
      </c>
      <c r="M2713" s="3">
        <v>0</v>
      </c>
      <c r="N2713" s="3">
        <v>1157</v>
      </c>
    </row>
    <row r="2714" spans="1:14" x14ac:dyDescent="0.2">
      <c r="A2714" s="5" t="str">
        <f>HYPERLINK("http://www.ncbi.nlm.nih.gov/protein/9789999","Gkap1")</f>
        <v>Gkap1</v>
      </c>
      <c r="B2714" s="4"/>
      <c r="C2714" s="3">
        <v>0</v>
      </c>
      <c r="D2714" s="3">
        <v>0</v>
      </c>
      <c r="E2714" s="3">
        <v>142</v>
      </c>
      <c r="F2714" s="3">
        <v>0</v>
      </c>
      <c r="G2714" s="3">
        <v>1531</v>
      </c>
      <c r="H2714" s="2">
        <f t="shared" si="84"/>
        <v>1673</v>
      </c>
      <c r="I2714" t="str">
        <f t="shared" si="85"/>
        <v>Gkap1_1673</v>
      </c>
      <c r="J2714" s="3">
        <v>0</v>
      </c>
      <c r="K2714" s="3">
        <v>0</v>
      </c>
      <c r="L2714" s="3">
        <v>142</v>
      </c>
      <c r="M2714" s="3">
        <v>0</v>
      </c>
      <c r="N2714" s="3">
        <v>1531</v>
      </c>
    </row>
    <row r="2715" spans="1:14" x14ac:dyDescent="0.2">
      <c r="A2715" s="5" t="str">
        <f>HYPERLINK("http://www.ncbi.nlm.nih.gov/protein/133778924","Gla")</f>
        <v>Gla</v>
      </c>
      <c r="B2715" s="4"/>
      <c r="C2715" s="3">
        <v>0</v>
      </c>
      <c r="D2715" s="3">
        <v>1935</v>
      </c>
      <c r="E2715" s="3">
        <v>13</v>
      </c>
      <c r="F2715" s="3">
        <v>0</v>
      </c>
      <c r="G2715" s="3">
        <v>643</v>
      </c>
      <c r="H2715" s="2">
        <f t="shared" si="84"/>
        <v>2591</v>
      </c>
      <c r="I2715" t="str">
        <f t="shared" si="85"/>
        <v>Gla_2591</v>
      </c>
      <c r="J2715" s="3">
        <v>0</v>
      </c>
      <c r="K2715" s="3">
        <v>1935</v>
      </c>
      <c r="L2715" s="3">
        <v>13</v>
      </c>
      <c r="M2715" s="3">
        <v>0</v>
      </c>
      <c r="N2715" s="3">
        <v>643</v>
      </c>
    </row>
    <row r="2716" spans="1:14" x14ac:dyDescent="0.2">
      <c r="A2716" s="5" t="str">
        <f>HYPERLINK("http://www.ncbi.nlm.nih.gov/protein/6753190","Glb1")</f>
        <v>Glb1</v>
      </c>
      <c r="B2716" s="4"/>
      <c r="C2716" s="3">
        <v>5290</v>
      </c>
      <c r="D2716" s="3">
        <v>6081</v>
      </c>
      <c r="E2716" s="3">
        <v>2305</v>
      </c>
      <c r="F2716" s="3">
        <v>3020</v>
      </c>
      <c r="G2716" s="3">
        <v>0</v>
      </c>
      <c r="H2716" s="2">
        <f t="shared" si="84"/>
        <v>16696</v>
      </c>
      <c r="I2716" t="str">
        <f t="shared" si="85"/>
        <v>Glb1_16696</v>
      </c>
      <c r="J2716" s="3">
        <v>5290</v>
      </c>
      <c r="K2716" s="3">
        <v>6081</v>
      </c>
      <c r="L2716" s="3">
        <v>2305</v>
      </c>
      <c r="M2716" s="3">
        <v>3020</v>
      </c>
      <c r="N2716" s="3">
        <v>0</v>
      </c>
    </row>
    <row r="2717" spans="1:14" x14ac:dyDescent="0.2">
      <c r="A2717" s="5" t="str">
        <f>HYPERLINK("http://www.ncbi.nlm.nih.gov/protein/65301488","Glce")</f>
        <v>Glce</v>
      </c>
      <c r="B2717" s="4"/>
      <c r="C2717" s="3">
        <v>0</v>
      </c>
      <c r="D2717" s="3">
        <v>447</v>
      </c>
      <c r="E2717" s="3">
        <v>0</v>
      </c>
      <c r="F2717" s="3">
        <v>0</v>
      </c>
      <c r="G2717" s="3">
        <v>0</v>
      </c>
      <c r="H2717" s="2">
        <f t="shared" si="84"/>
        <v>447</v>
      </c>
      <c r="I2717" t="str">
        <f t="shared" si="85"/>
        <v>Glce_447</v>
      </c>
      <c r="J2717" s="3">
        <v>0</v>
      </c>
      <c r="K2717" s="3">
        <v>447</v>
      </c>
      <c r="L2717" s="3">
        <v>0</v>
      </c>
      <c r="M2717" s="3">
        <v>0</v>
      </c>
      <c r="N2717" s="3">
        <v>0</v>
      </c>
    </row>
    <row r="2718" spans="1:14" x14ac:dyDescent="0.2">
      <c r="A2718" s="5" t="str">
        <f>HYPERLINK("http://www.ncbi.nlm.nih.gov/protein/58037369","Gle1")</f>
        <v>Gle1</v>
      </c>
      <c r="B2718" s="4"/>
      <c r="C2718" s="3">
        <v>0</v>
      </c>
      <c r="D2718" s="3">
        <v>0</v>
      </c>
      <c r="E2718" s="3">
        <v>80</v>
      </c>
      <c r="F2718" s="3">
        <v>4035</v>
      </c>
      <c r="G2718" s="3">
        <v>0</v>
      </c>
      <c r="H2718" s="2">
        <f t="shared" si="84"/>
        <v>4115</v>
      </c>
      <c r="I2718" t="str">
        <f t="shared" si="85"/>
        <v>Gle1_4115</v>
      </c>
      <c r="J2718" s="3">
        <v>0</v>
      </c>
      <c r="K2718" s="3">
        <v>0</v>
      </c>
      <c r="L2718" s="3">
        <v>80</v>
      </c>
      <c r="M2718" s="3">
        <v>4035</v>
      </c>
      <c r="N2718" s="3">
        <v>0</v>
      </c>
    </row>
    <row r="2719" spans="1:14" x14ac:dyDescent="0.2">
      <c r="A2719" s="5" t="str">
        <f>HYPERLINK("http://www.ncbi.nlm.nih.gov/protein/6677905","Glg1")</f>
        <v>Glg1</v>
      </c>
      <c r="B2719" s="4"/>
      <c r="C2719" s="3">
        <v>45619</v>
      </c>
      <c r="D2719" s="3">
        <v>6338</v>
      </c>
      <c r="E2719" s="3">
        <v>15100</v>
      </c>
      <c r="F2719" s="3">
        <v>0</v>
      </c>
      <c r="G2719" s="3">
        <v>0</v>
      </c>
      <c r="H2719" s="2">
        <f t="shared" si="84"/>
        <v>67057</v>
      </c>
      <c r="I2719" t="str">
        <f t="shared" si="85"/>
        <v>Glg1_67057</v>
      </c>
      <c r="J2719" s="3">
        <v>45619</v>
      </c>
      <c r="K2719" s="3">
        <v>6338</v>
      </c>
      <c r="L2719" s="3">
        <v>15100</v>
      </c>
      <c r="M2719" s="3">
        <v>0</v>
      </c>
      <c r="N2719" s="3">
        <v>0</v>
      </c>
    </row>
    <row r="2720" spans="1:14" x14ac:dyDescent="0.2">
      <c r="A2720" s="5" t="str">
        <f>HYPERLINK("http://www.ncbi.nlm.nih.gov/protein/47059151","Glipr2")</f>
        <v>Glipr2</v>
      </c>
      <c r="B2720" s="4"/>
      <c r="C2720" s="3">
        <v>0</v>
      </c>
      <c r="D2720" s="3">
        <v>539</v>
      </c>
      <c r="E2720" s="3">
        <v>417</v>
      </c>
      <c r="F2720" s="3">
        <v>0</v>
      </c>
      <c r="G2720" s="3">
        <v>0</v>
      </c>
      <c r="H2720" s="2">
        <f t="shared" si="84"/>
        <v>956</v>
      </c>
      <c r="I2720" t="str">
        <f t="shared" si="85"/>
        <v>Glipr2_956</v>
      </c>
      <c r="J2720" s="3">
        <v>0</v>
      </c>
      <c r="K2720" s="3">
        <v>539</v>
      </c>
      <c r="L2720" s="3">
        <v>417</v>
      </c>
      <c r="M2720" s="3">
        <v>0</v>
      </c>
      <c r="N2720" s="3">
        <v>0</v>
      </c>
    </row>
    <row r="2721" spans="1:14" x14ac:dyDescent="0.2">
      <c r="A2721" s="5" t="str">
        <f>HYPERLINK("http://www.ncbi.nlm.nih.gov/protein/239985596","Glmn")</f>
        <v>Glmn</v>
      </c>
      <c r="B2721" s="4"/>
      <c r="C2721" s="3">
        <v>0</v>
      </c>
      <c r="D2721" s="3">
        <v>0</v>
      </c>
      <c r="E2721" s="3">
        <v>3</v>
      </c>
      <c r="F2721" s="3">
        <v>0</v>
      </c>
      <c r="G2721" s="3">
        <v>107</v>
      </c>
      <c r="H2721" s="2">
        <f t="shared" si="84"/>
        <v>110</v>
      </c>
      <c r="I2721" t="str">
        <f t="shared" si="85"/>
        <v>Glmn_110</v>
      </c>
      <c r="J2721" s="3">
        <v>0</v>
      </c>
      <c r="K2721" s="3">
        <v>0</v>
      </c>
      <c r="L2721" s="3">
        <v>3</v>
      </c>
      <c r="M2721" s="3">
        <v>0</v>
      </c>
      <c r="N2721" s="3">
        <v>107</v>
      </c>
    </row>
    <row r="2722" spans="1:14" x14ac:dyDescent="0.2">
      <c r="A2722" s="5" t="str">
        <f>HYPERLINK("http://www.ncbi.nlm.nih.gov/protein/239985605","Glmn")</f>
        <v>Glmn</v>
      </c>
      <c r="B2722" s="4"/>
      <c r="C2722" s="3">
        <v>0</v>
      </c>
      <c r="D2722" s="3">
        <v>0</v>
      </c>
      <c r="E2722" s="3">
        <v>3</v>
      </c>
      <c r="F2722" s="3">
        <v>0</v>
      </c>
      <c r="G2722" s="3">
        <v>107</v>
      </c>
      <c r="H2722" s="2">
        <f t="shared" si="84"/>
        <v>110</v>
      </c>
      <c r="I2722" t="str">
        <f t="shared" si="85"/>
        <v>Glmn_110</v>
      </c>
      <c r="J2722" s="3">
        <v>0</v>
      </c>
      <c r="K2722" s="3">
        <v>0</v>
      </c>
      <c r="L2722" s="3">
        <v>3</v>
      </c>
      <c r="M2722" s="3">
        <v>0</v>
      </c>
      <c r="N2722" s="3">
        <v>107</v>
      </c>
    </row>
    <row r="2723" spans="1:14" x14ac:dyDescent="0.2">
      <c r="A2723" s="5" t="str">
        <f>HYPERLINK("http://www.ncbi.nlm.nih.gov/protein/165932331","Glo1")</f>
        <v>Glo1</v>
      </c>
      <c r="B2723" s="4"/>
      <c r="C2723" s="3">
        <v>0</v>
      </c>
      <c r="D2723" s="3">
        <v>1728</v>
      </c>
      <c r="E2723" s="3">
        <v>2299</v>
      </c>
      <c r="F2723" s="3">
        <v>1735</v>
      </c>
      <c r="G2723" s="3">
        <v>90431</v>
      </c>
      <c r="H2723" s="2">
        <f t="shared" si="84"/>
        <v>96193</v>
      </c>
      <c r="I2723" t="str">
        <f t="shared" si="85"/>
        <v>Glo1_96193</v>
      </c>
      <c r="J2723" s="3">
        <v>0</v>
      </c>
      <c r="K2723" s="3">
        <v>1728</v>
      </c>
      <c r="L2723" s="3">
        <v>2299</v>
      </c>
      <c r="M2723" s="3">
        <v>1735</v>
      </c>
      <c r="N2723" s="3">
        <v>90431</v>
      </c>
    </row>
    <row r="2724" spans="1:14" x14ac:dyDescent="0.2">
      <c r="A2724" s="5" t="str">
        <f>HYPERLINK("http://www.ncbi.nlm.nih.gov/protein/255003777","Glod4")</f>
        <v>Glod4</v>
      </c>
      <c r="B2724" s="4"/>
      <c r="C2724" s="3">
        <v>4082</v>
      </c>
      <c r="D2724" s="3">
        <v>6843</v>
      </c>
      <c r="E2724" s="3">
        <v>9987</v>
      </c>
      <c r="F2724" s="3">
        <v>1187</v>
      </c>
      <c r="G2724" s="3">
        <v>91673</v>
      </c>
      <c r="H2724" s="2">
        <f t="shared" si="84"/>
        <v>113772</v>
      </c>
      <c r="I2724" t="str">
        <f t="shared" si="85"/>
        <v>Glod4_113772</v>
      </c>
      <c r="J2724" s="3">
        <v>4082</v>
      </c>
      <c r="K2724" s="3">
        <v>6843</v>
      </c>
      <c r="L2724" s="3">
        <v>9987</v>
      </c>
      <c r="M2724" s="3">
        <v>1187</v>
      </c>
      <c r="N2724" s="3">
        <v>91673</v>
      </c>
    </row>
    <row r="2725" spans="1:14" x14ac:dyDescent="0.2">
      <c r="A2725" s="5" t="str">
        <f>HYPERLINK("http://www.ncbi.nlm.nih.gov/protein/31981458","Glrx")</f>
        <v>Glrx</v>
      </c>
      <c r="B2725" s="4"/>
      <c r="C2725" s="3">
        <v>55</v>
      </c>
      <c r="D2725" s="3">
        <v>534</v>
      </c>
      <c r="E2725" s="3">
        <v>420</v>
      </c>
      <c r="F2725" s="3">
        <v>0</v>
      </c>
      <c r="G2725" s="3">
        <v>1060</v>
      </c>
      <c r="H2725" s="2">
        <f t="shared" si="84"/>
        <v>2069</v>
      </c>
      <c r="I2725" t="str">
        <f t="shared" si="85"/>
        <v>Glrx_2069</v>
      </c>
      <c r="J2725" s="3">
        <v>55</v>
      </c>
      <c r="K2725" s="3">
        <v>534</v>
      </c>
      <c r="L2725" s="3">
        <v>420</v>
      </c>
      <c r="M2725" s="3">
        <v>0</v>
      </c>
      <c r="N2725" s="3">
        <v>1060</v>
      </c>
    </row>
    <row r="2726" spans="1:14" x14ac:dyDescent="0.2">
      <c r="A2726" s="5" t="str">
        <f>HYPERLINK("http://www.ncbi.nlm.nih.gov/protein/31981269","Glrx3")</f>
        <v>Glrx3</v>
      </c>
      <c r="B2726" s="4"/>
      <c r="C2726" s="3">
        <v>0</v>
      </c>
      <c r="D2726" s="3">
        <v>75</v>
      </c>
      <c r="E2726" s="3">
        <v>915</v>
      </c>
      <c r="F2726" s="3">
        <v>2005</v>
      </c>
      <c r="G2726" s="3">
        <v>33146</v>
      </c>
      <c r="H2726" s="2">
        <f t="shared" si="84"/>
        <v>36141</v>
      </c>
      <c r="I2726" t="str">
        <f t="shared" si="85"/>
        <v>Glrx3_36141</v>
      </c>
      <c r="J2726" s="3">
        <v>0</v>
      </c>
      <c r="K2726" s="3">
        <v>75</v>
      </c>
      <c r="L2726" s="3">
        <v>915</v>
      </c>
      <c r="M2726" s="3">
        <v>2005</v>
      </c>
      <c r="N2726" s="3">
        <v>33146</v>
      </c>
    </row>
    <row r="2727" spans="1:14" x14ac:dyDescent="0.2">
      <c r="A2727" s="5" t="str">
        <f>HYPERLINK("http://www.ncbi.nlm.nih.gov/protein/21312153","Glrx5")</f>
        <v>Glrx5</v>
      </c>
      <c r="B2727" s="4"/>
      <c r="C2727" s="3">
        <v>14645</v>
      </c>
      <c r="D2727" s="3">
        <v>996</v>
      </c>
      <c r="E2727" s="3">
        <v>0</v>
      </c>
      <c r="F2727" s="3">
        <v>0</v>
      </c>
      <c r="G2727" s="3">
        <v>278</v>
      </c>
      <c r="H2727" s="2">
        <f t="shared" si="84"/>
        <v>15919</v>
      </c>
      <c r="I2727" t="str">
        <f t="shared" si="85"/>
        <v>Glrx5_15919</v>
      </c>
      <c r="J2727" s="3">
        <v>14645</v>
      </c>
      <c r="K2727" s="3">
        <v>996</v>
      </c>
      <c r="L2727" s="3">
        <v>0</v>
      </c>
      <c r="M2727" s="3">
        <v>0</v>
      </c>
      <c r="N2727" s="3">
        <v>278</v>
      </c>
    </row>
    <row r="2728" spans="1:14" x14ac:dyDescent="0.2">
      <c r="A2728" s="5" t="str">
        <f>HYPERLINK("http://www.ncbi.nlm.nih.gov/protein/124487313","Gls")</f>
        <v>Gls</v>
      </c>
      <c r="B2728" s="4"/>
      <c r="C2728" s="3">
        <v>12338</v>
      </c>
      <c r="D2728" s="3">
        <v>14141</v>
      </c>
      <c r="E2728" s="3">
        <v>424</v>
      </c>
      <c r="F2728" s="3">
        <v>90</v>
      </c>
      <c r="G2728" s="3">
        <v>675</v>
      </c>
      <c r="H2728" s="2">
        <f t="shared" si="84"/>
        <v>27668</v>
      </c>
      <c r="I2728" t="str">
        <f t="shared" si="85"/>
        <v>Gls_27668</v>
      </c>
      <c r="J2728" s="3">
        <v>12338</v>
      </c>
      <c r="K2728" s="3">
        <v>14141</v>
      </c>
      <c r="L2728" s="3">
        <v>424</v>
      </c>
      <c r="M2728" s="3">
        <v>90</v>
      </c>
      <c r="N2728" s="3">
        <v>675</v>
      </c>
    </row>
    <row r="2729" spans="1:14" x14ac:dyDescent="0.2">
      <c r="A2729" s="5" t="str">
        <f>HYPERLINK("http://www.ncbi.nlm.nih.gov/protein/164607135","Gls")</f>
        <v>Gls</v>
      </c>
      <c r="B2729" s="4"/>
      <c r="C2729" s="3">
        <v>12979</v>
      </c>
      <c r="D2729" s="3">
        <v>12611</v>
      </c>
      <c r="E2729" s="3">
        <v>424</v>
      </c>
      <c r="F2729" s="3">
        <v>90</v>
      </c>
      <c r="G2729" s="3">
        <v>675</v>
      </c>
      <c r="H2729" s="2">
        <f t="shared" si="84"/>
        <v>26779</v>
      </c>
      <c r="I2729" t="str">
        <f t="shared" si="85"/>
        <v>Gls_26779</v>
      </c>
      <c r="J2729" s="3">
        <v>12979</v>
      </c>
      <c r="K2729" s="3">
        <v>12611</v>
      </c>
      <c r="L2729" s="3">
        <v>424</v>
      </c>
      <c r="M2729" s="3">
        <v>90</v>
      </c>
      <c r="N2729" s="3">
        <v>675</v>
      </c>
    </row>
    <row r="2730" spans="1:14" x14ac:dyDescent="0.2">
      <c r="A2730" s="5" t="str">
        <f>HYPERLINK("http://www.ncbi.nlm.nih.gov/protein/170784829","Glt25d1")</f>
        <v>Glt25d1</v>
      </c>
      <c r="B2730" s="4"/>
      <c r="C2730" s="3">
        <v>0</v>
      </c>
      <c r="D2730" s="3">
        <v>2586</v>
      </c>
      <c r="E2730" s="3">
        <v>183</v>
      </c>
      <c r="F2730" s="3">
        <v>0</v>
      </c>
      <c r="G2730" s="3">
        <v>0</v>
      </c>
      <c r="H2730" s="2">
        <f t="shared" si="84"/>
        <v>2769</v>
      </c>
      <c r="I2730" t="str">
        <f t="shared" si="85"/>
        <v>Glt25d1_2769</v>
      </c>
      <c r="J2730" s="3">
        <v>0</v>
      </c>
      <c r="K2730" s="3">
        <v>2586</v>
      </c>
      <c r="L2730" s="3">
        <v>183</v>
      </c>
      <c r="M2730" s="3">
        <v>0</v>
      </c>
      <c r="N2730" s="3">
        <v>0</v>
      </c>
    </row>
    <row r="2731" spans="1:14" x14ac:dyDescent="0.2">
      <c r="A2731" s="5" t="str">
        <f>HYPERLINK("http://www.ncbi.nlm.nih.gov/protein/31560404","Gltp")</f>
        <v>Gltp</v>
      </c>
      <c r="B2731" s="4"/>
      <c r="C2731" s="3">
        <v>0</v>
      </c>
      <c r="D2731" s="3">
        <v>4313</v>
      </c>
      <c r="E2731" s="3">
        <v>8078</v>
      </c>
      <c r="F2731" s="3">
        <v>10101</v>
      </c>
      <c r="G2731" s="3">
        <v>18570</v>
      </c>
      <c r="H2731" s="2">
        <f t="shared" si="84"/>
        <v>41062</v>
      </c>
      <c r="I2731" t="str">
        <f t="shared" si="85"/>
        <v>Gltp_41062</v>
      </c>
      <c r="J2731" s="3">
        <v>0</v>
      </c>
      <c r="K2731" s="3">
        <v>4313</v>
      </c>
      <c r="L2731" s="3">
        <v>8078</v>
      </c>
      <c r="M2731" s="3">
        <v>10101</v>
      </c>
      <c r="N2731" s="3">
        <v>18570</v>
      </c>
    </row>
    <row r="2732" spans="1:14" x14ac:dyDescent="0.2">
      <c r="A2732" s="5" t="str">
        <f>HYPERLINK("http://www.ncbi.nlm.nih.gov/protein/228480230","Gltscr2")</f>
        <v>Gltscr2</v>
      </c>
      <c r="B2732" s="4"/>
      <c r="C2732" s="3">
        <v>0</v>
      </c>
      <c r="D2732" s="3">
        <v>0</v>
      </c>
      <c r="E2732" s="3">
        <v>0</v>
      </c>
      <c r="F2732" s="3">
        <v>205</v>
      </c>
      <c r="G2732" s="3">
        <v>0</v>
      </c>
      <c r="H2732" s="2">
        <f t="shared" si="84"/>
        <v>205</v>
      </c>
      <c r="I2732" t="str">
        <f t="shared" si="85"/>
        <v>Gltscr2_205</v>
      </c>
      <c r="J2732" s="3">
        <v>0</v>
      </c>
      <c r="K2732" s="3">
        <v>0</v>
      </c>
      <c r="L2732" s="3">
        <v>0</v>
      </c>
      <c r="M2732" s="3">
        <v>205</v>
      </c>
      <c r="N2732" s="3">
        <v>0</v>
      </c>
    </row>
    <row r="2733" spans="1:14" x14ac:dyDescent="0.2">
      <c r="A2733" s="5" t="str">
        <f>HYPERLINK("http://www.ncbi.nlm.nih.gov/protein/6680027","Glud1")</f>
        <v>Glud1</v>
      </c>
      <c r="B2733" s="4"/>
      <c r="C2733" s="3">
        <v>278050</v>
      </c>
      <c r="D2733" s="3">
        <v>104075</v>
      </c>
      <c r="E2733" s="3">
        <v>2338</v>
      </c>
      <c r="F2733" s="3">
        <v>22592</v>
      </c>
      <c r="G2733" s="3">
        <v>10752</v>
      </c>
      <c r="H2733" s="2">
        <f t="shared" si="84"/>
        <v>417807</v>
      </c>
      <c r="I2733" t="str">
        <f t="shared" si="85"/>
        <v>Glud1_417807</v>
      </c>
      <c r="J2733" s="3">
        <v>278050</v>
      </c>
      <c r="K2733" s="3">
        <v>104075</v>
      </c>
      <c r="L2733" s="3">
        <v>2338</v>
      </c>
      <c r="M2733" s="3">
        <v>22592</v>
      </c>
      <c r="N2733" s="3">
        <v>10752</v>
      </c>
    </row>
    <row r="2734" spans="1:14" x14ac:dyDescent="0.2">
      <c r="A2734" s="5" t="str">
        <f>HYPERLINK("http://www.ncbi.nlm.nih.gov/protein/119392066","Glyr1")</f>
        <v>Glyr1</v>
      </c>
      <c r="B2734" s="4"/>
      <c r="C2734" s="3">
        <v>13730</v>
      </c>
      <c r="D2734" s="3">
        <v>0</v>
      </c>
      <c r="E2734" s="3">
        <v>0</v>
      </c>
      <c r="F2734" s="3">
        <v>0</v>
      </c>
      <c r="G2734" s="3">
        <v>0</v>
      </c>
      <c r="H2734" s="2">
        <f t="shared" si="84"/>
        <v>13730</v>
      </c>
      <c r="I2734" t="str">
        <f t="shared" si="85"/>
        <v>Glyr1_13730</v>
      </c>
      <c r="J2734" s="3">
        <v>13730</v>
      </c>
      <c r="K2734" s="3">
        <v>0</v>
      </c>
      <c r="L2734" s="3">
        <v>0</v>
      </c>
      <c r="M2734" s="3">
        <v>0</v>
      </c>
      <c r="N2734" s="3">
        <v>0</v>
      </c>
    </row>
    <row r="2735" spans="1:14" x14ac:dyDescent="0.2">
      <c r="A2735" s="5" t="str">
        <f>HYPERLINK("http://www.ncbi.nlm.nih.gov/protein/119392074","Glyr1")</f>
        <v>Glyr1</v>
      </c>
      <c r="B2735" s="4"/>
      <c r="C2735" s="3">
        <v>13730</v>
      </c>
      <c r="D2735" s="3">
        <v>0</v>
      </c>
      <c r="E2735" s="3">
        <v>0</v>
      </c>
      <c r="F2735" s="3">
        <v>0</v>
      </c>
      <c r="G2735" s="3">
        <v>0</v>
      </c>
      <c r="H2735" s="2">
        <f t="shared" si="84"/>
        <v>13730</v>
      </c>
      <c r="I2735" t="str">
        <f t="shared" si="85"/>
        <v>Glyr1_13730</v>
      </c>
      <c r="J2735" s="3">
        <v>13730</v>
      </c>
      <c r="K2735" s="3">
        <v>0</v>
      </c>
      <c r="L2735" s="3">
        <v>0</v>
      </c>
      <c r="M2735" s="3">
        <v>0</v>
      </c>
      <c r="N2735" s="3">
        <v>0</v>
      </c>
    </row>
    <row r="2736" spans="1:14" x14ac:dyDescent="0.2">
      <c r="A2736" s="5" t="str">
        <f>HYPERLINK("http://www.ncbi.nlm.nih.gov/protein/309269122","Gm10015")</f>
        <v>Gm10015</v>
      </c>
      <c r="B2736" s="4"/>
      <c r="C2736" s="3">
        <v>348</v>
      </c>
      <c r="D2736" s="3">
        <v>3810</v>
      </c>
      <c r="E2736" s="3">
        <v>5856</v>
      </c>
      <c r="F2736" s="3">
        <v>7318</v>
      </c>
      <c r="G2736" s="3">
        <v>35063</v>
      </c>
      <c r="H2736" s="2">
        <f t="shared" si="84"/>
        <v>52395</v>
      </c>
      <c r="I2736" t="str">
        <f t="shared" si="85"/>
        <v>Gm10015_52395</v>
      </c>
      <c r="J2736" s="3">
        <v>348</v>
      </c>
      <c r="K2736" s="3">
        <v>3810</v>
      </c>
      <c r="L2736" s="3">
        <v>5856</v>
      </c>
      <c r="M2736" s="3">
        <v>7318</v>
      </c>
      <c r="N2736" s="3">
        <v>35063</v>
      </c>
    </row>
    <row r="2737" spans="1:14" x14ac:dyDescent="0.2">
      <c r="A2737" s="5" t="str">
        <f>HYPERLINK("http://www.ncbi.nlm.nih.gov/protein/407261621","Gm10015")</f>
        <v>Gm10015</v>
      </c>
      <c r="B2737" s="4"/>
      <c r="C2737" s="3">
        <v>348</v>
      </c>
      <c r="D2737" s="3">
        <v>3810</v>
      </c>
      <c r="E2737" s="3">
        <v>5856</v>
      </c>
      <c r="F2737" s="3">
        <v>7318</v>
      </c>
      <c r="G2737" s="3">
        <v>35063</v>
      </c>
      <c r="H2737" s="2">
        <f t="shared" si="84"/>
        <v>52395</v>
      </c>
      <c r="I2737" t="str">
        <f t="shared" si="85"/>
        <v>Gm10015_52395</v>
      </c>
      <c r="J2737" s="3">
        <v>348</v>
      </c>
      <c r="K2737" s="3">
        <v>3810</v>
      </c>
      <c r="L2737" s="3">
        <v>5856</v>
      </c>
      <c r="M2737" s="3">
        <v>7318</v>
      </c>
      <c r="N2737" s="3">
        <v>35063</v>
      </c>
    </row>
    <row r="2738" spans="1:14" x14ac:dyDescent="0.2">
      <c r="A2738" s="5" t="str">
        <f>HYPERLINK("http://www.ncbi.nlm.nih.gov/protein/309262801","Gm10029")</f>
        <v>Gm10029</v>
      </c>
      <c r="B2738" s="4"/>
      <c r="C2738" s="3">
        <v>5345</v>
      </c>
      <c r="D2738" s="3">
        <v>8183</v>
      </c>
      <c r="E2738" s="3">
        <v>80667</v>
      </c>
      <c r="F2738" s="3">
        <v>186402</v>
      </c>
      <c r="G2738" s="3">
        <v>139</v>
      </c>
      <c r="H2738" s="2">
        <f t="shared" si="84"/>
        <v>280736</v>
      </c>
      <c r="I2738" t="str">
        <f t="shared" si="85"/>
        <v>Gm10029_280736</v>
      </c>
      <c r="J2738" s="3">
        <v>5345</v>
      </c>
      <c r="K2738" s="3">
        <v>8183</v>
      </c>
      <c r="L2738" s="3">
        <v>80667</v>
      </c>
      <c r="M2738" s="3">
        <v>186402</v>
      </c>
      <c r="N2738" s="3">
        <v>139</v>
      </c>
    </row>
    <row r="2739" spans="1:14" x14ac:dyDescent="0.2">
      <c r="A2739" s="5" t="str">
        <f>HYPERLINK("http://www.ncbi.nlm.nih.gov/protein/309266791","Gm10045")</f>
        <v>Gm10045</v>
      </c>
      <c r="B2739" s="4"/>
      <c r="C2739" s="3">
        <v>73096</v>
      </c>
      <c r="D2739" s="3">
        <v>26511</v>
      </c>
      <c r="E2739" s="3">
        <v>63568</v>
      </c>
      <c r="F2739" s="3">
        <v>89272</v>
      </c>
      <c r="G2739" s="3">
        <v>0</v>
      </c>
      <c r="H2739" s="2">
        <f t="shared" si="84"/>
        <v>252447</v>
      </c>
      <c r="I2739" t="str">
        <f t="shared" si="85"/>
        <v>Gm10045_252447</v>
      </c>
      <c r="J2739" s="3">
        <v>73096</v>
      </c>
      <c r="K2739" s="3">
        <v>26511</v>
      </c>
      <c r="L2739" s="3">
        <v>63568</v>
      </c>
      <c r="M2739" s="3">
        <v>89272</v>
      </c>
      <c r="N2739" s="3">
        <v>0</v>
      </c>
    </row>
    <row r="2740" spans="1:14" x14ac:dyDescent="0.2">
      <c r="A2740" s="5" t="str">
        <f>HYPERLINK("http://www.ncbi.nlm.nih.gov/protein/309270949","Gm10045")</f>
        <v>Gm10045</v>
      </c>
      <c r="B2740" s="4"/>
      <c r="C2740" s="3">
        <v>71979</v>
      </c>
      <c r="D2740" s="3">
        <v>39254</v>
      </c>
      <c r="E2740" s="3">
        <v>102103</v>
      </c>
      <c r="F2740" s="3">
        <v>320776</v>
      </c>
      <c r="G2740" s="3">
        <v>0</v>
      </c>
      <c r="H2740" s="2">
        <f t="shared" si="84"/>
        <v>534112</v>
      </c>
      <c r="I2740" t="str">
        <f t="shared" si="85"/>
        <v>Gm10045_534112</v>
      </c>
      <c r="J2740" s="3">
        <v>71979</v>
      </c>
      <c r="K2740" s="3">
        <v>39254</v>
      </c>
      <c r="L2740" s="3">
        <v>102103</v>
      </c>
      <c r="M2740" s="3">
        <v>320776</v>
      </c>
      <c r="N2740" s="3">
        <v>0</v>
      </c>
    </row>
    <row r="2741" spans="1:14" x14ac:dyDescent="0.2">
      <c r="A2741" s="5" t="str">
        <f>HYPERLINK("http://www.ncbi.nlm.nih.gov/protein/309265470","Gm10051")</f>
        <v>Gm10051</v>
      </c>
      <c r="B2741" s="4"/>
      <c r="C2741" s="3">
        <v>19295</v>
      </c>
      <c r="D2741" s="3">
        <v>13408</v>
      </c>
      <c r="E2741" s="3">
        <v>73327</v>
      </c>
      <c r="F2741" s="3">
        <v>142715</v>
      </c>
      <c r="G2741" s="3">
        <v>0</v>
      </c>
      <c r="H2741" s="2">
        <f t="shared" si="84"/>
        <v>248745</v>
      </c>
      <c r="I2741" t="str">
        <f t="shared" si="85"/>
        <v>Gm10051_248745</v>
      </c>
      <c r="J2741" s="3">
        <v>19295</v>
      </c>
      <c r="K2741" s="3">
        <v>13408</v>
      </c>
      <c r="L2741" s="3">
        <v>73327</v>
      </c>
      <c r="M2741" s="3">
        <v>142715</v>
      </c>
      <c r="N2741" s="3">
        <v>0</v>
      </c>
    </row>
    <row r="2742" spans="1:14" x14ac:dyDescent="0.2">
      <c r="A2742" s="5" t="str">
        <f>HYPERLINK("http://www.ncbi.nlm.nih.gov/protein/149258678","Gm10063")</f>
        <v>Gm10063</v>
      </c>
      <c r="B2742" s="4"/>
      <c r="C2742" s="3">
        <v>59916</v>
      </c>
      <c r="D2742" s="3">
        <v>3238</v>
      </c>
      <c r="E2742" s="3">
        <v>53618</v>
      </c>
      <c r="F2742" s="3">
        <v>158972</v>
      </c>
      <c r="G2742" s="3">
        <v>1510</v>
      </c>
      <c r="H2742" s="2">
        <f t="shared" si="84"/>
        <v>277254</v>
      </c>
      <c r="I2742" t="str">
        <f t="shared" si="85"/>
        <v>Gm10063_277254</v>
      </c>
      <c r="J2742" s="3">
        <v>59916</v>
      </c>
      <c r="K2742" s="3">
        <v>3238</v>
      </c>
      <c r="L2742" s="3">
        <v>53618</v>
      </c>
      <c r="M2742" s="3">
        <v>158972</v>
      </c>
      <c r="N2742" s="3">
        <v>1510</v>
      </c>
    </row>
    <row r="2743" spans="1:14" x14ac:dyDescent="0.2">
      <c r="A2743" s="5" t="str">
        <f>HYPERLINK("http://www.ncbi.nlm.nih.gov/protein/149251177","Gm10071")</f>
        <v>Gm10071</v>
      </c>
      <c r="B2743" s="4"/>
      <c r="C2743" s="3">
        <v>365022</v>
      </c>
      <c r="D2743" s="3">
        <v>43464</v>
      </c>
      <c r="E2743" s="3">
        <v>257487</v>
      </c>
      <c r="F2743" s="3">
        <v>497453</v>
      </c>
      <c r="G2743" s="3">
        <v>0</v>
      </c>
      <c r="H2743" s="2">
        <f t="shared" si="84"/>
        <v>1163426</v>
      </c>
      <c r="I2743" t="str">
        <f t="shared" si="85"/>
        <v>Gm10071_1163426</v>
      </c>
      <c r="J2743" s="3">
        <v>365022</v>
      </c>
      <c r="K2743" s="3">
        <v>43464</v>
      </c>
      <c r="L2743" s="3">
        <v>257487</v>
      </c>
      <c r="M2743" s="3">
        <v>497453</v>
      </c>
      <c r="N2743" s="3">
        <v>0</v>
      </c>
    </row>
    <row r="2744" spans="1:14" x14ac:dyDescent="0.2">
      <c r="A2744" s="5" t="str">
        <f>HYPERLINK("http://www.ncbi.nlm.nih.gov/protein/215490077","Gm10094")</f>
        <v>Gm10094</v>
      </c>
      <c r="B2744" s="4"/>
      <c r="C2744" s="3">
        <v>1263</v>
      </c>
      <c r="D2744" s="3">
        <v>0</v>
      </c>
      <c r="E2744" s="3">
        <v>489</v>
      </c>
      <c r="F2744" s="3">
        <v>278</v>
      </c>
      <c r="G2744" s="3">
        <v>0</v>
      </c>
      <c r="H2744" s="2">
        <f t="shared" si="84"/>
        <v>2030</v>
      </c>
      <c r="I2744" t="str">
        <f t="shared" si="85"/>
        <v>Gm10094_2030</v>
      </c>
      <c r="J2744" s="3">
        <v>1263</v>
      </c>
      <c r="K2744" s="3">
        <v>0</v>
      </c>
      <c r="L2744" s="3">
        <v>489</v>
      </c>
      <c r="M2744" s="3">
        <v>278</v>
      </c>
      <c r="N2744" s="3">
        <v>0</v>
      </c>
    </row>
    <row r="2745" spans="1:14" x14ac:dyDescent="0.2">
      <c r="A2745" s="5" t="str">
        <f>HYPERLINK("http://www.ncbi.nlm.nih.gov/protein/309262120","Gm10145")</f>
        <v>Gm10145</v>
      </c>
      <c r="B2745" s="4"/>
      <c r="C2745" s="3">
        <v>952</v>
      </c>
      <c r="D2745" s="3">
        <v>3463</v>
      </c>
      <c r="E2745" s="3">
        <v>5542</v>
      </c>
      <c r="F2745" s="3">
        <v>7744</v>
      </c>
      <c r="G2745" s="3">
        <v>34784</v>
      </c>
      <c r="H2745" s="2">
        <f t="shared" si="84"/>
        <v>52485</v>
      </c>
      <c r="I2745" t="str">
        <f t="shared" si="85"/>
        <v>Gm10145_52485</v>
      </c>
      <c r="J2745" s="3">
        <v>952</v>
      </c>
      <c r="K2745" s="3">
        <v>3463</v>
      </c>
      <c r="L2745" s="3">
        <v>5542</v>
      </c>
      <c r="M2745" s="3">
        <v>7744</v>
      </c>
      <c r="N2745" s="3">
        <v>34784</v>
      </c>
    </row>
    <row r="2746" spans="1:14" x14ac:dyDescent="0.2">
      <c r="A2746" s="5" t="str">
        <f>HYPERLINK("http://www.ncbi.nlm.nih.gov/protein/309265879","Gm10166")</f>
        <v>Gm10166</v>
      </c>
      <c r="B2746" s="4"/>
      <c r="C2746" s="3">
        <v>184360</v>
      </c>
      <c r="D2746" s="3">
        <v>21412</v>
      </c>
      <c r="E2746" s="3">
        <v>89361</v>
      </c>
      <c r="F2746" s="3">
        <v>260923</v>
      </c>
      <c r="G2746" s="3">
        <v>0</v>
      </c>
      <c r="H2746" s="2">
        <f t="shared" si="84"/>
        <v>556056</v>
      </c>
      <c r="I2746" t="str">
        <f t="shared" si="85"/>
        <v>Gm10166_556056</v>
      </c>
      <c r="J2746" s="3">
        <v>184360</v>
      </c>
      <c r="K2746" s="3">
        <v>21412</v>
      </c>
      <c r="L2746" s="3">
        <v>89361</v>
      </c>
      <c r="M2746" s="3">
        <v>260923</v>
      </c>
      <c r="N2746" s="3">
        <v>0</v>
      </c>
    </row>
    <row r="2747" spans="1:14" x14ac:dyDescent="0.2">
      <c r="A2747" s="5" t="str">
        <f>HYPERLINK("http://www.ncbi.nlm.nih.gov/protein/407263363","Gm10166")</f>
        <v>Gm10166</v>
      </c>
      <c r="B2747" s="4"/>
      <c r="C2747" s="3">
        <v>184360</v>
      </c>
      <c r="D2747" s="3">
        <v>21412</v>
      </c>
      <c r="E2747" s="3">
        <v>89361</v>
      </c>
      <c r="F2747" s="3">
        <v>276787</v>
      </c>
      <c r="G2747" s="3">
        <v>0</v>
      </c>
      <c r="H2747" s="2">
        <f t="shared" si="84"/>
        <v>571920</v>
      </c>
      <c r="I2747" t="str">
        <f t="shared" si="85"/>
        <v>Gm10166_571920</v>
      </c>
      <c r="J2747" s="3">
        <v>184360</v>
      </c>
      <c r="K2747" s="3">
        <v>21412</v>
      </c>
      <c r="L2747" s="3">
        <v>89361</v>
      </c>
      <c r="M2747" s="3">
        <v>276787</v>
      </c>
      <c r="N2747" s="3">
        <v>0</v>
      </c>
    </row>
    <row r="2748" spans="1:14" x14ac:dyDescent="0.2">
      <c r="A2748" s="5" t="str">
        <f>HYPERLINK("http://www.ncbi.nlm.nih.gov/protein/309265700","Gm10224")</f>
        <v>Gm10224</v>
      </c>
      <c r="B2748" s="4"/>
      <c r="C2748" s="3">
        <v>56163</v>
      </c>
      <c r="D2748" s="3">
        <v>31824</v>
      </c>
      <c r="E2748" s="3">
        <v>44099</v>
      </c>
      <c r="F2748" s="3">
        <v>122235</v>
      </c>
      <c r="G2748" s="3">
        <v>0</v>
      </c>
      <c r="H2748" s="2">
        <f t="shared" si="84"/>
        <v>254321</v>
      </c>
      <c r="I2748" t="str">
        <f t="shared" si="85"/>
        <v>Gm10224_254321</v>
      </c>
      <c r="J2748" s="3">
        <v>56163</v>
      </c>
      <c r="K2748" s="3">
        <v>31824</v>
      </c>
      <c r="L2748" s="3">
        <v>44099</v>
      </c>
      <c r="M2748" s="3">
        <v>122235</v>
      </c>
      <c r="N2748" s="3">
        <v>0</v>
      </c>
    </row>
    <row r="2749" spans="1:14" x14ac:dyDescent="0.2">
      <c r="A2749" s="5" t="str">
        <f>HYPERLINK("http://www.ncbi.nlm.nih.gov/protein/407262232","Gm10237")</f>
        <v>Gm10237</v>
      </c>
      <c r="B2749" s="4"/>
      <c r="C2749" s="3">
        <v>5345</v>
      </c>
      <c r="D2749" s="3">
        <v>8183</v>
      </c>
      <c r="E2749" s="3">
        <v>75301</v>
      </c>
      <c r="F2749" s="3">
        <v>186402</v>
      </c>
      <c r="G2749" s="3">
        <v>139</v>
      </c>
      <c r="H2749" s="2">
        <f t="shared" si="84"/>
        <v>275370</v>
      </c>
      <c r="I2749" t="str">
        <f t="shared" si="85"/>
        <v>Gm10237_275370</v>
      </c>
      <c r="J2749" s="3">
        <v>5345</v>
      </c>
      <c r="K2749" s="3">
        <v>8183</v>
      </c>
      <c r="L2749" s="3">
        <v>75301</v>
      </c>
      <c r="M2749" s="3">
        <v>186402</v>
      </c>
      <c r="N2749" s="3">
        <v>139</v>
      </c>
    </row>
    <row r="2750" spans="1:14" x14ac:dyDescent="0.2">
      <c r="A2750" s="5" t="str">
        <f>HYPERLINK("http://www.ncbi.nlm.nih.gov/protein/407262068","Gm10257")</f>
        <v>Gm10257</v>
      </c>
      <c r="B2750" s="4"/>
      <c r="C2750" s="3">
        <v>3752513</v>
      </c>
      <c r="D2750" s="3">
        <v>39673</v>
      </c>
      <c r="E2750" s="3">
        <v>75553</v>
      </c>
      <c r="F2750" s="3">
        <v>374301</v>
      </c>
      <c r="G2750" s="3">
        <v>19995</v>
      </c>
      <c r="H2750" s="2">
        <f t="shared" si="84"/>
        <v>4262035</v>
      </c>
      <c r="I2750" t="str">
        <f t="shared" si="85"/>
        <v>Gm10257_4262035</v>
      </c>
      <c r="J2750" s="3">
        <v>3752513</v>
      </c>
      <c r="K2750" s="3">
        <v>39673</v>
      </c>
      <c r="L2750" s="3">
        <v>75553</v>
      </c>
      <c r="M2750" s="3">
        <v>374301</v>
      </c>
      <c r="N2750" s="3">
        <v>19995</v>
      </c>
    </row>
    <row r="2751" spans="1:14" x14ac:dyDescent="0.2">
      <c r="A2751" s="5" t="str">
        <f>HYPERLINK("http://www.ncbi.nlm.nih.gov/protein/309267049","Gm10294")</f>
        <v>Gm10294</v>
      </c>
      <c r="B2751" s="4"/>
      <c r="C2751" s="3">
        <v>190236</v>
      </c>
      <c r="D2751" s="3">
        <v>18715</v>
      </c>
      <c r="E2751" s="3">
        <v>102141</v>
      </c>
      <c r="F2751" s="3">
        <v>235613</v>
      </c>
      <c r="G2751" s="3">
        <v>0</v>
      </c>
      <c r="H2751" s="2">
        <f t="shared" si="84"/>
        <v>546705</v>
      </c>
      <c r="I2751" t="str">
        <f t="shared" si="85"/>
        <v>Gm10294_546705</v>
      </c>
      <c r="J2751" s="3">
        <v>190236</v>
      </c>
      <c r="K2751" s="3">
        <v>18715</v>
      </c>
      <c r="L2751" s="3">
        <v>102141</v>
      </c>
      <c r="M2751" s="3">
        <v>235613</v>
      </c>
      <c r="N2751" s="3">
        <v>0</v>
      </c>
    </row>
    <row r="2752" spans="1:14" x14ac:dyDescent="0.2">
      <c r="A2752" s="5" t="str">
        <f>HYPERLINK("http://www.ncbi.nlm.nih.gov/protein/407263409","Gm10294")</f>
        <v>Gm10294</v>
      </c>
      <c r="B2752" s="4"/>
      <c r="C2752" s="3">
        <v>112747</v>
      </c>
      <c r="D2752" s="3">
        <v>18161</v>
      </c>
      <c r="E2752" s="3">
        <v>64949</v>
      </c>
      <c r="F2752" s="3">
        <v>140628</v>
      </c>
      <c r="G2752" s="3">
        <v>0</v>
      </c>
      <c r="H2752" s="2">
        <f t="shared" si="84"/>
        <v>336485</v>
      </c>
      <c r="I2752" t="str">
        <f t="shared" si="85"/>
        <v>Gm10294_336485</v>
      </c>
      <c r="J2752" s="3">
        <v>112747</v>
      </c>
      <c r="K2752" s="3">
        <v>18161</v>
      </c>
      <c r="L2752" s="3">
        <v>64949</v>
      </c>
      <c r="M2752" s="3">
        <v>140628</v>
      </c>
      <c r="N2752" s="3">
        <v>0</v>
      </c>
    </row>
    <row r="2753" spans="1:14" x14ac:dyDescent="0.2">
      <c r="A2753" s="5" t="str">
        <f>HYPERLINK("http://www.ncbi.nlm.nih.gov/protein/82995559","Gm10349")</f>
        <v>Gm10349</v>
      </c>
      <c r="B2753" s="4"/>
      <c r="C2753" s="3">
        <v>421</v>
      </c>
      <c r="D2753" s="3">
        <v>319</v>
      </c>
      <c r="E2753" s="3">
        <v>669</v>
      </c>
      <c r="F2753" s="3">
        <v>0</v>
      </c>
      <c r="G2753" s="3">
        <v>53601</v>
      </c>
      <c r="H2753" s="2">
        <f t="shared" si="84"/>
        <v>55010</v>
      </c>
      <c r="I2753" t="str">
        <f t="shared" si="85"/>
        <v>Gm10349_55010</v>
      </c>
      <c r="J2753" s="3">
        <v>421</v>
      </c>
      <c r="K2753" s="3">
        <v>319</v>
      </c>
      <c r="L2753" s="3">
        <v>669</v>
      </c>
      <c r="M2753" s="3">
        <v>0</v>
      </c>
      <c r="N2753" s="3">
        <v>53601</v>
      </c>
    </row>
    <row r="2754" spans="1:14" x14ac:dyDescent="0.2">
      <c r="A2754" s="5" t="str">
        <f>HYPERLINK("http://www.ncbi.nlm.nih.gov/protein/309263288","Gm10362")</f>
        <v>Gm10362</v>
      </c>
      <c r="B2754" s="4"/>
      <c r="C2754" s="3">
        <v>184360</v>
      </c>
      <c r="D2754" s="3">
        <v>21412</v>
      </c>
      <c r="E2754" s="3">
        <v>87960</v>
      </c>
      <c r="F2754" s="3">
        <v>272145</v>
      </c>
      <c r="G2754" s="3">
        <v>0</v>
      </c>
      <c r="H2754" s="2">
        <f t="shared" ref="H2754:H2817" si="86">SUM(C2754:G2754)</f>
        <v>565877</v>
      </c>
      <c r="I2754" t="str">
        <f t="shared" ref="I2754:I2817" si="87">A2754&amp;"_"&amp;H2754</f>
        <v>Gm10362_565877</v>
      </c>
      <c r="J2754" s="3">
        <v>184360</v>
      </c>
      <c r="K2754" s="3">
        <v>21412</v>
      </c>
      <c r="L2754" s="3">
        <v>87960</v>
      </c>
      <c r="M2754" s="3">
        <v>272145</v>
      </c>
      <c r="N2754" s="3">
        <v>0</v>
      </c>
    </row>
    <row r="2755" spans="1:14" x14ac:dyDescent="0.2">
      <c r="A2755" s="5" t="str">
        <f>HYPERLINK("http://www.ncbi.nlm.nih.gov/protein/309270584","Gm10362")</f>
        <v>Gm10362</v>
      </c>
      <c r="B2755" s="4"/>
      <c r="C2755" s="3">
        <v>184360</v>
      </c>
      <c r="D2755" s="3">
        <v>21412</v>
      </c>
      <c r="E2755" s="3">
        <v>87960</v>
      </c>
      <c r="F2755" s="3">
        <v>272325</v>
      </c>
      <c r="G2755" s="3">
        <v>0</v>
      </c>
      <c r="H2755" s="2">
        <f t="shared" si="86"/>
        <v>566057</v>
      </c>
      <c r="I2755" t="str">
        <f t="shared" si="87"/>
        <v>Gm10362_566057</v>
      </c>
      <c r="J2755" s="3">
        <v>184360</v>
      </c>
      <c r="K2755" s="3">
        <v>21412</v>
      </c>
      <c r="L2755" s="3">
        <v>87960</v>
      </c>
      <c r="M2755" s="3">
        <v>272325</v>
      </c>
      <c r="N2755" s="3">
        <v>0</v>
      </c>
    </row>
    <row r="2756" spans="1:14" x14ac:dyDescent="0.2">
      <c r="A2756" s="5" t="str">
        <f>HYPERLINK("http://www.ncbi.nlm.nih.gov/protein/82902507","Gm10420")</f>
        <v>Gm10420</v>
      </c>
      <c r="B2756" s="4"/>
      <c r="C2756" s="3">
        <v>144563</v>
      </c>
      <c r="D2756" s="3">
        <v>44902</v>
      </c>
      <c r="E2756" s="3">
        <v>202304</v>
      </c>
      <c r="F2756" s="3">
        <v>767708</v>
      </c>
      <c r="G2756" s="3">
        <v>0</v>
      </c>
      <c r="H2756" s="2">
        <f t="shared" si="86"/>
        <v>1159477</v>
      </c>
      <c r="I2756" t="str">
        <f t="shared" si="87"/>
        <v>Gm10420_1159477</v>
      </c>
      <c r="J2756" s="3">
        <v>144563</v>
      </c>
      <c r="K2756" s="3">
        <v>44902</v>
      </c>
      <c r="L2756" s="3">
        <v>202304</v>
      </c>
      <c r="M2756" s="3">
        <v>767708</v>
      </c>
      <c r="N2756" s="3">
        <v>0</v>
      </c>
    </row>
    <row r="2757" spans="1:14" x14ac:dyDescent="0.2">
      <c r="A2757" s="5" t="str">
        <f>HYPERLINK("http://www.ncbi.nlm.nih.gov/protein/169808401","Gm10639")</f>
        <v>Gm10639</v>
      </c>
      <c r="B2757" s="4"/>
      <c r="C2757" s="3">
        <v>0</v>
      </c>
      <c r="D2757" s="3">
        <v>0</v>
      </c>
      <c r="E2757" s="3">
        <v>0</v>
      </c>
      <c r="F2757" s="3">
        <v>0</v>
      </c>
      <c r="G2757" s="3">
        <v>1788</v>
      </c>
      <c r="H2757" s="2">
        <f t="shared" si="86"/>
        <v>1788</v>
      </c>
      <c r="I2757" t="str">
        <f t="shared" si="87"/>
        <v>Gm10639_1788</v>
      </c>
      <c r="J2757" s="3">
        <v>0</v>
      </c>
      <c r="K2757" s="3">
        <v>0</v>
      </c>
      <c r="L2757" s="3">
        <v>0</v>
      </c>
      <c r="M2757" s="3">
        <v>0</v>
      </c>
      <c r="N2757" s="3">
        <v>1788</v>
      </c>
    </row>
    <row r="2758" spans="1:14" x14ac:dyDescent="0.2">
      <c r="A2758" s="5" t="str">
        <f>HYPERLINK("http://www.ncbi.nlm.nih.gov/protein/149251263","Gm10705")</f>
        <v>Gm10705</v>
      </c>
      <c r="B2758" s="4"/>
      <c r="C2758" s="3">
        <v>348</v>
      </c>
      <c r="D2758" s="3">
        <v>3810</v>
      </c>
      <c r="E2758" s="3">
        <v>5856</v>
      </c>
      <c r="F2758" s="3">
        <v>7318</v>
      </c>
      <c r="G2758" s="3">
        <v>35063</v>
      </c>
      <c r="H2758" s="2">
        <f t="shared" si="86"/>
        <v>52395</v>
      </c>
      <c r="I2758" t="str">
        <f t="shared" si="87"/>
        <v>Gm10705_52395</v>
      </c>
      <c r="J2758" s="3">
        <v>348</v>
      </c>
      <c r="K2758" s="3">
        <v>3810</v>
      </c>
      <c r="L2758" s="3">
        <v>5856</v>
      </c>
      <c r="M2758" s="3">
        <v>7318</v>
      </c>
      <c r="N2758" s="3">
        <v>35063</v>
      </c>
    </row>
    <row r="2759" spans="1:14" x14ac:dyDescent="0.2">
      <c r="A2759" s="5" t="str">
        <f>HYPERLINK("http://www.ncbi.nlm.nih.gov/protein/377833873","Gm10705")</f>
        <v>Gm10705</v>
      </c>
      <c r="B2759" s="4"/>
      <c r="C2759" s="3">
        <v>952</v>
      </c>
      <c r="D2759" s="3">
        <v>3810</v>
      </c>
      <c r="E2759" s="3">
        <v>5856</v>
      </c>
      <c r="F2759" s="3">
        <v>7432</v>
      </c>
      <c r="G2759" s="3">
        <v>35063</v>
      </c>
      <c r="H2759" s="2">
        <f t="shared" si="86"/>
        <v>53113</v>
      </c>
      <c r="I2759" t="str">
        <f t="shared" si="87"/>
        <v>Gm10705_53113</v>
      </c>
      <c r="J2759" s="3">
        <v>952</v>
      </c>
      <c r="K2759" s="3">
        <v>3810</v>
      </c>
      <c r="L2759" s="3">
        <v>5856</v>
      </c>
      <c r="M2759" s="3">
        <v>7432</v>
      </c>
      <c r="N2759" s="3">
        <v>35063</v>
      </c>
    </row>
    <row r="2760" spans="1:14" x14ac:dyDescent="0.2">
      <c r="A2760" s="5" t="str">
        <f>HYPERLINK("http://www.ncbi.nlm.nih.gov/protein/309263481","Gm10913")</f>
        <v>Gm10913</v>
      </c>
      <c r="B2760" s="4"/>
      <c r="C2760" s="3">
        <v>21253</v>
      </c>
      <c r="D2760" s="3">
        <v>956</v>
      </c>
      <c r="E2760" s="3">
        <v>12969</v>
      </c>
      <c r="F2760" s="3">
        <v>25441</v>
      </c>
      <c r="G2760" s="3">
        <v>0</v>
      </c>
      <c r="H2760" s="2">
        <f t="shared" si="86"/>
        <v>60619</v>
      </c>
      <c r="I2760" t="str">
        <f t="shared" si="87"/>
        <v>Gm10913_60619</v>
      </c>
      <c r="J2760" s="3">
        <v>21253</v>
      </c>
      <c r="K2760" s="3">
        <v>956</v>
      </c>
      <c r="L2760" s="3">
        <v>12969</v>
      </c>
      <c r="M2760" s="3">
        <v>25441</v>
      </c>
      <c r="N2760" s="3">
        <v>0</v>
      </c>
    </row>
    <row r="2761" spans="1:14" x14ac:dyDescent="0.2">
      <c r="A2761" s="5" t="str">
        <f>HYPERLINK("http://www.ncbi.nlm.nih.gov/protein/407263845","Gm11397")</f>
        <v>Gm11397</v>
      </c>
      <c r="B2761" s="4"/>
      <c r="C2761" s="3">
        <v>0</v>
      </c>
      <c r="D2761" s="3">
        <v>0</v>
      </c>
      <c r="E2761" s="3">
        <v>0</v>
      </c>
      <c r="F2761" s="3">
        <v>0</v>
      </c>
      <c r="G2761" s="3">
        <v>19588</v>
      </c>
      <c r="H2761" s="2">
        <f t="shared" si="86"/>
        <v>19588</v>
      </c>
      <c r="I2761" t="str">
        <f t="shared" si="87"/>
        <v>Gm11397_19588</v>
      </c>
      <c r="J2761" s="3">
        <v>0</v>
      </c>
      <c r="K2761" s="3">
        <v>0</v>
      </c>
      <c r="L2761" s="3">
        <v>0</v>
      </c>
      <c r="M2761" s="3">
        <v>0</v>
      </c>
      <c r="N2761" s="3">
        <v>19588</v>
      </c>
    </row>
    <row r="2762" spans="1:14" x14ac:dyDescent="0.2">
      <c r="A2762" s="5" t="str">
        <f>HYPERLINK("http://www.ncbi.nlm.nih.gov/protein/149250406","Gm11449")</f>
        <v>Gm11449</v>
      </c>
      <c r="B2762" s="4"/>
      <c r="C2762" s="3">
        <v>7743</v>
      </c>
      <c r="D2762" s="3">
        <v>2325</v>
      </c>
      <c r="E2762" s="3">
        <v>3484</v>
      </c>
      <c r="F2762" s="3">
        <v>51856</v>
      </c>
      <c r="G2762" s="3">
        <v>0</v>
      </c>
      <c r="H2762" s="2">
        <f t="shared" si="86"/>
        <v>65408</v>
      </c>
      <c r="I2762" t="str">
        <f t="shared" si="87"/>
        <v>Gm11449_65408</v>
      </c>
      <c r="J2762" s="3">
        <v>7743</v>
      </c>
      <c r="K2762" s="3">
        <v>2325</v>
      </c>
      <c r="L2762" s="3">
        <v>3484</v>
      </c>
      <c r="M2762" s="3">
        <v>51856</v>
      </c>
      <c r="N2762" s="3">
        <v>0</v>
      </c>
    </row>
    <row r="2763" spans="1:14" x14ac:dyDescent="0.2">
      <c r="A2763" s="5" t="str">
        <f>HYPERLINK("http://www.ncbi.nlm.nih.gov/protein/309267799","Gm11686")</f>
        <v>Gm11686</v>
      </c>
      <c r="B2763" s="4"/>
      <c r="C2763" s="3">
        <v>0</v>
      </c>
      <c r="D2763" s="3">
        <v>2259</v>
      </c>
      <c r="E2763" s="3">
        <v>44605</v>
      </c>
      <c r="F2763" s="3">
        <v>159684</v>
      </c>
      <c r="G2763" s="3">
        <v>0</v>
      </c>
      <c r="H2763" s="2">
        <f t="shared" si="86"/>
        <v>206548</v>
      </c>
      <c r="I2763" t="str">
        <f t="shared" si="87"/>
        <v>Gm11686_206548</v>
      </c>
      <c r="J2763" s="3">
        <v>0</v>
      </c>
      <c r="K2763" s="3">
        <v>2259</v>
      </c>
      <c r="L2763" s="3">
        <v>44605</v>
      </c>
      <c r="M2763" s="3">
        <v>159684</v>
      </c>
      <c r="N2763" s="3">
        <v>0</v>
      </c>
    </row>
    <row r="2764" spans="1:14" x14ac:dyDescent="0.2">
      <c r="A2764" s="5" t="str">
        <f>HYPERLINK("http://www.ncbi.nlm.nih.gov/protein/309264602","Gm11686")</f>
        <v>Gm11686</v>
      </c>
      <c r="B2764" s="4"/>
      <c r="C2764" s="3">
        <v>5345</v>
      </c>
      <c r="D2764" s="3">
        <v>8183</v>
      </c>
      <c r="E2764" s="3">
        <v>79625</v>
      </c>
      <c r="F2764" s="3">
        <v>186402</v>
      </c>
      <c r="G2764" s="3">
        <v>139</v>
      </c>
      <c r="H2764" s="2">
        <f t="shared" si="86"/>
        <v>279694</v>
      </c>
      <c r="I2764" t="str">
        <f t="shared" si="87"/>
        <v>Gm11686_279694</v>
      </c>
      <c r="J2764" s="3">
        <v>5345</v>
      </c>
      <c r="K2764" s="3">
        <v>8183</v>
      </c>
      <c r="L2764" s="3">
        <v>79625</v>
      </c>
      <c r="M2764" s="3">
        <v>186402</v>
      </c>
      <c r="N2764" s="3">
        <v>139</v>
      </c>
    </row>
    <row r="2765" spans="1:14" x14ac:dyDescent="0.2">
      <c r="A2765" s="5" t="str">
        <f>HYPERLINK("http://www.ncbi.nlm.nih.gov/protein/309262452","Gm11703")</f>
        <v>Gm11703</v>
      </c>
      <c r="B2765" s="4"/>
      <c r="C2765" s="3">
        <v>73096</v>
      </c>
      <c r="D2765" s="3">
        <v>37454</v>
      </c>
      <c r="E2765" s="3">
        <v>114846</v>
      </c>
      <c r="F2765" s="3">
        <v>267095</v>
      </c>
      <c r="G2765" s="3">
        <v>0</v>
      </c>
      <c r="H2765" s="2">
        <f t="shared" si="86"/>
        <v>492491</v>
      </c>
      <c r="I2765" t="str">
        <f t="shared" si="87"/>
        <v>Gm11703_492491</v>
      </c>
      <c r="J2765" s="3">
        <v>73096</v>
      </c>
      <c r="K2765" s="3">
        <v>37454</v>
      </c>
      <c r="L2765" s="3">
        <v>114846</v>
      </c>
      <c r="M2765" s="3">
        <v>267095</v>
      </c>
      <c r="N2765" s="3">
        <v>0</v>
      </c>
    </row>
    <row r="2766" spans="1:14" x14ac:dyDescent="0.2">
      <c r="A2766" s="5" t="str">
        <f>HYPERLINK("http://www.ncbi.nlm.nih.gov/protein/309268070","Gm11787")</f>
        <v>Gm11787</v>
      </c>
      <c r="B2766" s="4"/>
      <c r="C2766" s="3">
        <v>2691</v>
      </c>
      <c r="D2766" s="3">
        <v>1910</v>
      </c>
      <c r="E2766" s="3">
        <v>438</v>
      </c>
      <c r="F2766" s="3">
        <v>1686</v>
      </c>
      <c r="G2766" s="3">
        <v>0</v>
      </c>
      <c r="H2766" s="2">
        <f t="shared" si="86"/>
        <v>6725</v>
      </c>
      <c r="I2766" t="str">
        <f t="shared" si="87"/>
        <v>Gm11787_6725</v>
      </c>
      <c r="J2766" s="3">
        <v>2691</v>
      </c>
      <c r="K2766" s="3">
        <v>1910</v>
      </c>
      <c r="L2766" s="3">
        <v>438</v>
      </c>
      <c r="M2766" s="3">
        <v>1686</v>
      </c>
      <c r="N2766" s="3">
        <v>0</v>
      </c>
    </row>
    <row r="2767" spans="1:14" x14ac:dyDescent="0.2">
      <c r="A2767" s="5" t="str">
        <f>HYPERLINK("http://www.ncbi.nlm.nih.gov/protein/149252067","Gm11810")</f>
        <v>Gm11810</v>
      </c>
      <c r="B2767" s="4"/>
      <c r="C2767" s="3">
        <v>5345</v>
      </c>
      <c r="D2767" s="3">
        <v>5924</v>
      </c>
      <c r="E2767" s="3">
        <v>65160</v>
      </c>
      <c r="F2767" s="3">
        <v>73449</v>
      </c>
      <c r="G2767" s="3">
        <v>139</v>
      </c>
      <c r="H2767" s="2">
        <f t="shared" si="86"/>
        <v>150017</v>
      </c>
      <c r="I2767" t="str">
        <f t="shared" si="87"/>
        <v>Gm11810_150017</v>
      </c>
      <c r="J2767" s="3">
        <v>5345</v>
      </c>
      <c r="K2767" s="3">
        <v>5924</v>
      </c>
      <c r="L2767" s="3">
        <v>65160</v>
      </c>
      <c r="M2767" s="3">
        <v>73449</v>
      </c>
      <c r="N2767" s="3">
        <v>139</v>
      </c>
    </row>
    <row r="2768" spans="1:14" x14ac:dyDescent="0.2">
      <c r="A2768" s="5" t="str">
        <f>HYPERLINK("http://www.ncbi.nlm.nih.gov/protein/309264937","Gm11810")</f>
        <v>Gm11810</v>
      </c>
      <c r="B2768" s="4"/>
      <c r="C2768" s="3">
        <v>5345</v>
      </c>
      <c r="D2768" s="3">
        <v>5924</v>
      </c>
      <c r="E2768" s="3">
        <v>64120</v>
      </c>
      <c r="F2768" s="3">
        <v>73449</v>
      </c>
      <c r="G2768" s="3">
        <v>139</v>
      </c>
      <c r="H2768" s="2">
        <f t="shared" si="86"/>
        <v>148977</v>
      </c>
      <c r="I2768" t="str">
        <f t="shared" si="87"/>
        <v>Gm11810_148977</v>
      </c>
      <c r="J2768" s="3">
        <v>5345</v>
      </c>
      <c r="K2768" s="3">
        <v>5924</v>
      </c>
      <c r="L2768" s="3">
        <v>64120</v>
      </c>
      <c r="M2768" s="3">
        <v>73449</v>
      </c>
      <c r="N2768" s="3">
        <v>139</v>
      </c>
    </row>
    <row r="2769" spans="1:14" x14ac:dyDescent="0.2">
      <c r="A2769" s="5" t="str">
        <f>HYPERLINK("http://www.ncbi.nlm.nih.gov/protein/309262489","Gm11964")</f>
        <v>Gm11964</v>
      </c>
      <c r="B2769" s="4"/>
      <c r="C2769" s="3">
        <v>275</v>
      </c>
      <c r="D2769" s="3">
        <v>1672</v>
      </c>
      <c r="E2769" s="3">
        <v>10477</v>
      </c>
      <c r="F2769" s="3">
        <v>2202</v>
      </c>
      <c r="G2769" s="3">
        <v>257</v>
      </c>
      <c r="H2769" s="2">
        <f t="shared" si="86"/>
        <v>14883</v>
      </c>
      <c r="I2769" t="str">
        <f t="shared" si="87"/>
        <v>Gm11964_14883</v>
      </c>
      <c r="J2769" s="3">
        <v>275</v>
      </c>
      <c r="K2769" s="3">
        <v>1672</v>
      </c>
      <c r="L2769" s="3">
        <v>10477</v>
      </c>
      <c r="M2769" s="3">
        <v>2202</v>
      </c>
      <c r="N2769" s="3">
        <v>257</v>
      </c>
    </row>
    <row r="2770" spans="1:14" x14ac:dyDescent="0.2">
      <c r="A2770" s="5" t="str">
        <f>HYPERLINK("http://www.ncbi.nlm.nih.gov/protein/82934691","Gm12271")</f>
        <v>Gm12271</v>
      </c>
      <c r="B2770" s="4"/>
      <c r="C2770" s="3">
        <v>0</v>
      </c>
      <c r="D2770" s="3">
        <v>810</v>
      </c>
      <c r="E2770" s="3">
        <v>0</v>
      </c>
      <c r="F2770" s="3">
        <v>0</v>
      </c>
      <c r="G2770" s="3">
        <v>0</v>
      </c>
      <c r="H2770" s="2">
        <f t="shared" si="86"/>
        <v>810</v>
      </c>
      <c r="I2770" t="str">
        <f t="shared" si="87"/>
        <v>Gm12271_810</v>
      </c>
      <c r="J2770" s="3">
        <v>0</v>
      </c>
      <c r="K2770" s="3">
        <v>810</v>
      </c>
      <c r="L2770" s="3">
        <v>0</v>
      </c>
      <c r="M2770" s="3">
        <v>0</v>
      </c>
      <c r="N2770" s="3">
        <v>0</v>
      </c>
    </row>
    <row r="2771" spans="1:14" x14ac:dyDescent="0.2">
      <c r="A2771" s="5" t="str">
        <f>HYPERLINK("http://www.ncbi.nlm.nih.gov/protein/407261175","Gm12508")</f>
        <v>Gm12508</v>
      </c>
      <c r="B2771" s="4"/>
      <c r="C2771" s="3">
        <v>0</v>
      </c>
      <c r="D2771" s="3">
        <v>954</v>
      </c>
      <c r="E2771" s="3">
        <v>7972</v>
      </c>
      <c r="F2771" s="3">
        <v>25015</v>
      </c>
      <c r="G2771" s="3">
        <v>0</v>
      </c>
      <c r="H2771" s="2">
        <f t="shared" si="86"/>
        <v>33941</v>
      </c>
      <c r="I2771" t="str">
        <f t="shared" si="87"/>
        <v>Gm12508_33941</v>
      </c>
      <c r="J2771" s="3">
        <v>0</v>
      </c>
      <c r="K2771" s="3">
        <v>954</v>
      </c>
      <c r="L2771" s="3">
        <v>7972</v>
      </c>
      <c r="M2771" s="3">
        <v>25015</v>
      </c>
      <c r="N2771" s="3">
        <v>0</v>
      </c>
    </row>
    <row r="2772" spans="1:14" x14ac:dyDescent="0.2">
      <c r="A2772" s="5" t="str">
        <f>HYPERLINK("http://www.ncbi.nlm.nih.gov/protein/407263120","Gm12508")</f>
        <v>Gm12508</v>
      </c>
      <c r="B2772" s="4"/>
      <c r="C2772" s="3">
        <v>28997</v>
      </c>
      <c r="D2772" s="3">
        <v>3282</v>
      </c>
      <c r="E2772" s="3">
        <v>16493</v>
      </c>
      <c r="F2772" s="3">
        <v>77296</v>
      </c>
      <c r="G2772" s="3">
        <v>0</v>
      </c>
      <c r="H2772" s="2">
        <f t="shared" si="86"/>
        <v>126068</v>
      </c>
      <c r="I2772" t="str">
        <f t="shared" si="87"/>
        <v>Gm12508_126068</v>
      </c>
      <c r="J2772" s="3">
        <v>28997</v>
      </c>
      <c r="K2772" s="3">
        <v>3282</v>
      </c>
      <c r="L2772" s="3">
        <v>16493</v>
      </c>
      <c r="M2772" s="3">
        <v>77296</v>
      </c>
      <c r="N2772" s="3">
        <v>0</v>
      </c>
    </row>
    <row r="2773" spans="1:14" x14ac:dyDescent="0.2">
      <c r="A2773" s="5" t="str">
        <f>HYPERLINK("http://www.ncbi.nlm.nih.gov/protein/149252501","Gm12538")</f>
        <v>Gm12538</v>
      </c>
      <c r="B2773" s="4"/>
      <c r="C2773" s="3">
        <v>0</v>
      </c>
      <c r="D2773" s="3">
        <v>0</v>
      </c>
      <c r="E2773" s="3">
        <v>1285</v>
      </c>
      <c r="F2773" s="3">
        <v>0</v>
      </c>
      <c r="G2773" s="3">
        <v>0</v>
      </c>
      <c r="H2773" s="2">
        <f t="shared" si="86"/>
        <v>1285</v>
      </c>
      <c r="I2773" t="str">
        <f t="shared" si="87"/>
        <v>Gm12538_1285</v>
      </c>
      <c r="J2773" s="3">
        <v>0</v>
      </c>
      <c r="K2773" s="3">
        <v>0</v>
      </c>
      <c r="L2773" s="3">
        <v>1285</v>
      </c>
      <c r="M2773" s="3">
        <v>0</v>
      </c>
      <c r="N2773" s="3">
        <v>0</v>
      </c>
    </row>
    <row r="2774" spans="1:14" x14ac:dyDescent="0.2">
      <c r="A2774" s="5" t="str">
        <f>HYPERLINK("http://www.ncbi.nlm.nih.gov/protein/124486606","Gm12657")</f>
        <v>Gm12657</v>
      </c>
      <c r="B2774" s="4"/>
      <c r="C2774" s="3">
        <v>3752513</v>
      </c>
      <c r="D2774" s="3">
        <v>39673</v>
      </c>
      <c r="E2774" s="3">
        <v>75553</v>
      </c>
      <c r="F2774" s="3">
        <v>374301</v>
      </c>
      <c r="G2774" s="3">
        <v>19995</v>
      </c>
      <c r="H2774" s="2">
        <f t="shared" si="86"/>
        <v>4262035</v>
      </c>
      <c r="I2774" t="str">
        <f t="shared" si="87"/>
        <v>Gm12657_4262035</v>
      </c>
      <c r="J2774" s="3">
        <v>3752513</v>
      </c>
      <c r="K2774" s="3">
        <v>39673</v>
      </c>
      <c r="L2774" s="3">
        <v>75553</v>
      </c>
      <c r="M2774" s="3">
        <v>374301</v>
      </c>
      <c r="N2774" s="3">
        <v>19995</v>
      </c>
    </row>
    <row r="2775" spans="1:14" x14ac:dyDescent="0.2">
      <c r="A2775" s="5" t="str">
        <f>HYPERLINK("http://www.ncbi.nlm.nih.gov/protein/407261198","Gm12666")</f>
        <v>Gm12666</v>
      </c>
      <c r="B2775" s="4"/>
      <c r="C2775" s="3">
        <v>805</v>
      </c>
      <c r="D2775" s="3">
        <v>0</v>
      </c>
      <c r="E2775" s="3">
        <v>3041</v>
      </c>
      <c r="F2775" s="3">
        <v>9381</v>
      </c>
      <c r="G2775" s="3">
        <v>15411</v>
      </c>
      <c r="H2775" s="2">
        <f t="shared" si="86"/>
        <v>28638</v>
      </c>
      <c r="I2775" t="str">
        <f t="shared" si="87"/>
        <v>Gm12666_28638</v>
      </c>
      <c r="J2775" s="3">
        <v>805</v>
      </c>
      <c r="K2775" s="3">
        <v>0</v>
      </c>
      <c r="L2775" s="3">
        <v>3041</v>
      </c>
      <c r="M2775" s="3">
        <v>9381</v>
      </c>
      <c r="N2775" s="3">
        <v>15411</v>
      </c>
    </row>
    <row r="2776" spans="1:14" x14ac:dyDescent="0.2">
      <c r="A2776" s="5" t="str">
        <f>HYPERLINK("http://www.ncbi.nlm.nih.gov/protein/149252780","Gm12693")</f>
        <v>Gm12693</v>
      </c>
      <c r="B2776" s="4"/>
      <c r="C2776" s="3">
        <v>0</v>
      </c>
      <c r="D2776" s="3">
        <v>255</v>
      </c>
      <c r="E2776" s="3">
        <v>1905</v>
      </c>
      <c r="F2776" s="3">
        <v>1408</v>
      </c>
      <c r="G2776" s="3">
        <v>15861</v>
      </c>
      <c r="H2776" s="2">
        <f t="shared" si="86"/>
        <v>19429</v>
      </c>
      <c r="I2776" t="str">
        <f t="shared" si="87"/>
        <v>Gm12693_19429</v>
      </c>
      <c r="J2776" s="3">
        <v>0</v>
      </c>
      <c r="K2776" s="3">
        <v>255</v>
      </c>
      <c r="L2776" s="3">
        <v>1905</v>
      </c>
      <c r="M2776" s="3">
        <v>1408</v>
      </c>
      <c r="N2776" s="3">
        <v>15861</v>
      </c>
    </row>
    <row r="2777" spans="1:14" x14ac:dyDescent="0.2">
      <c r="A2777" s="5" t="str">
        <f>HYPERLINK("http://www.ncbi.nlm.nih.gov/protein/124486863","Gm12695")</f>
        <v>Gm12695</v>
      </c>
      <c r="B2777" s="4"/>
      <c r="C2777" s="3">
        <v>0</v>
      </c>
      <c r="D2777" s="3">
        <v>0</v>
      </c>
      <c r="E2777" s="3">
        <v>12</v>
      </c>
      <c r="F2777" s="3">
        <v>0</v>
      </c>
      <c r="G2777" s="3">
        <v>0</v>
      </c>
      <c r="H2777" s="2">
        <f t="shared" si="86"/>
        <v>12</v>
      </c>
      <c r="I2777" t="str">
        <f t="shared" si="87"/>
        <v>Gm12695_12</v>
      </c>
      <c r="J2777" s="3">
        <v>0</v>
      </c>
      <c r="K2777" s="3">
        <v>0</v>
      </c>
      <c r="L2777" s="3">
        <v>12</v>
      </c>
      <c r="M2777" s="3">
        <v>0</v>
      </c>
      <c r="N2777" s="3">
        <v>0</v>
      </c>
    </row>
    <row r="2778" spans="1:14" x14ac:dyDescent="0.2">
      <c r="A2778" s="5" t="str">
        <f>HYPERLINK("http://www.ncbi.nlm.nih.gov/protein/309265873","Gm12770")</f>
        <v>Gm12770</v>
      </c>
      <c r="B2778" s="4"/>
      <c r="C2778" s="3">
        <v>5455</v>
      </c>
      <c r="D2778" s="3">
        <v>29517</v>
      </c>
      <c r="E2778" s="3">
        <v>79646</v>
      </c>
      <c r="F2778" s="3">
        <v>329493</v>
      </c>
      <c r="G2778" s="3">
        <v>0</v>
      </c>
      <c r="H2778" s="2">
        <f t="shared" si="86"/>
        <v>444111</v>
      </c>
      <c r="I2778" t="str">
        <f t="shared" si="87"/>
        <v>Gm12770_444111</v>
      </c>
      <c r="J2778" s="3">
        <v>5455</v>
      </c>
      <c r="K2778" s="3">
        <v>29517</v>
      </c>
      <c r="L2778" s="3">
        <v>79646</v>
      </c>
      <c r="M2778" s="3">
        <v>329493</v>
      </c>
      <c r="N2778" s="3">
        <v>0</v>
      </c>
    </row>
    <row r="2779" spans="1:14" x14ac:dyDescent="0.2">
      <c r="A2779" s="5" t="str">
        <f>HYPERLINK("http://www.ncbi.nlm.nih.gov/protein/309266996","Gm12816")</f>
        <v>Gm12816</v>
      </c>
      <c r="B2779" s="4"/>
      <c r="C2779" s="3">
        <v>33683</v>
      </c>
      <c r="D2779" s="3">
        <v>12122</v>
      </c>
      <c r="E2779" s="3">
        <v>151105</v>
      </c>
      <c r="F2779" s="3">
        <v>70306</v>
      </c>
      <c r="G2779" s="3">
        <v>0</v>
      </c>
      <c r="H2779" s="2">
        <f t="shared" si="86"/>
        <v>267216</v>
      </c>
      <c r="I2779" t="str">
        <f t="shared" si="87"/>
        <v>Gm12816_267216</v>
      </c>
      <c r="J2779" s="3">
        <v>33683</v>
      </c>
      <c r="K2779" s="3">
        <v>12122</v>
      </c>
      <c r="L2779" s="3">
        <v>151105</v>
      </c>
      <c r="M2779" s="3">
        <v>70306</v>
      </c>
      <c r="N2779" s="3">
        <v>0</v>
      </c>
    </row>
    <row r="2780" spans="1:14" x14ac:dyDescent="0.2">
      <c r="A2780" s="5" t="str">
        <f>HYPERLINK("http://www.ncbi.nlm.nih.gov/protein/309268181","Gm12816")</f>
        <v>Gm12816</v>
      </c>
      <c r="B2780" s="4"/>
      <c r="C2780" s="3">
        <v>202721</v>
      </c>
      <c r="D2780" s="3">
        <v>30924</v>
      </c>
      <c r="E2780" s="3">
        <v>246111</v>
      </c>
      <c r="F2780" s="3">
        <v>215706</v>
      </c>
      <c r="G2780" s="3">
        <v>0</v>
      </c>
      <c r="H2780" s="2">
        <f t="shared" si="86"/>
        <v>695462</v>
      </c>
      <c r="I2780" t="str">
        <f t="shared" si="87"/>
        <v>Gm12816_695462</v>
      </c>
      <c r="J2780" s="3">
        <v>202721</v>
      </c>
      <c r="K2780" s="3">
        <v>30924</v>
      </c>
      <c r="L2780" s="3">
        <v>246111</v>
      </c>
      <c r="M2780" s="3">
        <v>215706</v>
      </c>
      <c r="N2780" s="3">
        <v>0</v>
      </c>
    </row>
    <row r="2781" spans="1:14" x14ac:dyDescent="0.2">
      <c r="A2781" s="5" t="str">
        <f>HYPERLINK("http://www.ncbi.nlm.nih.gov/protein/309265057","Gm12854")</f>
        <v>Gm12854</v>
      </c>
      <c r="B2781" s="4"/>
      <c r="C2781" s="3">
        <v>44008</v>
      </c>
      <c r="D2781" s="3">
        <v>420</v>
      </c>
      <c r="E2781" s="3">
        <v>17321</v>
      </c>
      <c r="F2781" s="3">
        <v>180</v>
      </c>
      <c r="G2781" s="3">
        <v>13537</v>
      </c>
      <c r="H2781" s="2">
        <f t="shared" si="86"/>
        <v>75466</v>
      </c>
      <c r="I2781" t="str">
        <f t="shared" si="87"/>
        <v>Gm12854_75466</v>
      </c>
      <c r="J2781" s="3">
        <v>44008</v>
      </c>
      <c r="K2781" s="3">
        <v>420</v>
      </c>
      <c r="L2781" s="3">
        <v>17321</v>
      </c>
      <c r="M2781" s="3">
        <v>180</v>
      </c>
      <c r="N2781" s="3">
        <v>13537</v>
      </c>
    </row>
    <row r="2782" spans="1:14" x14ac:dyDescent="0.2">
      <c r="A2782" s="5" t="str">
        <f>HYPERLINK("http://www.ncbi.nlm.nih.gov/protein/150010657","Gm12942")</f>
        <v>Gm12942</v>
      </c>
      <c r="B2782" s="4"/>
      <c r="C2782" s="3">
        <v>238</v>
      </c>
      <c r="D2782" s="3">
        <v>180</v>
      </c>
      <c r="E2782" s="3">
        <v>0</v>
      </c>
      <c r="F2782" s="3">
        <v>0</v>
      </c>
      <c r="G2782" s="3">
        <v>0</v>
      </c>
      <c r="H2782" s="2">
        <f t="shared" si="86"/>
        <v>418</v>
      </c>
      <c r="I2782" t="str">
        <f t="shared" si="87"/>
        <v>Gm12942_418</v>
      </c>
      <c r="J2782" s="3">
        <v>238</v>
      </c>
      <c r="K2782" s="3">
        <v>180</v>
      </c>
      <c r="L2782" s="3">
        <v>0</v>
      </c>
      <c r="M2782" s="3">
        <v>0</v>
      </c>
      <c r="N2782" s="3">
        <v>0</v>
      </c>
    </row>
    <row r="2783" spans="1:14" x14ac:dyDescent="0.2">
      <c r="A2783" s="5" t="str">
        <f>HYPERLINK("http://www.ncbi.nlm.nih.gov/protein/377837161","Gm13035")</f>
        <v>Gm13035</v>
      </c>
      <c r="B2783" s="4"/>
      <c r="C2783" s="3">
        <v>677</v>
      </c>
      <c r="D2783" s="3">
        <v>507</v>
      </c>
      <c r="E2783" s="3">
        <v>18394</v>
      </c>
      <c r="F2783" s="3">
        <v>2890</v>
      </c>
      <c r="G2783" s="3">
        <v>2892</v>
      </c>
      <c r="H2783" s="2">
        <f t="shared" si="86"/>
        <v>25360</v>
      </c>
      <c r="I2783" t="str">
        <f t="shared" si="87"/>
        <v>Gm13035_25360</v>
      </c>
      <c r="J2783" s="3">
        <v>677</v>
      </c>
      <c r="K2783" s="3">
        <v>507</v>
      </c>
      <c r="L2783" s="3">
        <v>18394</v>
      </c>
      <c r="M2783" s="3">
        <v>2890</v>
      </c>
      <c r="N2783" s="3">
        <v>2892</v>
      </c>
    </row>
    <row r="2784" spans="1:14" x14ac:dyDescent="0.2">
      <c r="A2784" s="5" t="str">
        <f>HYPERLINK("http://www.ncbi.nlm.nih.gov/protein/309267134","Gm13149")</f>
        <v>Gm13149</v>
      </c>
      <c r="B2784" s="4"/>
      <c r="C2784" s="3">
        <v>677</v>
      </c>
      <c r="D2784" s="3">
        <v>507</v>
      </c>
      <c r="E2784" s="3">
        <v>18394</v>
      </c>
      <c r="F2784" s="3">
        <v>2890</v>
      </c>
      <c r="G2784" s="3">
        <v>2892</v>
      </c>
      <c r="H2784" s="2">
        <f t="shared" si="86"/>
        <v>25360</v>
      </c>
      <c r="I2784" t="str">
        <f t="shared" si="87"/>
        <v>Gm13149_25360</v>
      </c>
      <c r="J2784" s="3">
        <v>677</v>
      </c>
      <c r="K2784" s="3">
        <v>507</v>
      </c>
      <c r="L2784" s="3">
        <v>18394</v>
      </c>
      <c r="M2784" s="3">
        <v>2890</v>
      </c>
      <c r="N2784" s="3">
        <v>2892</v>
      </c>
    </row>
    <row r="2785" spans="1:14" x14ac:dyDescent="0.2">
      <c r="A2785" s="5" t="str">
        <f>HYPERLINK("http://www.ncbi.nlm.nih.gov/protein/82896218","Gm13202")</f>
        <v>Gm13202</v>
      </c>
      <c r="B2785" s="4"/>
      <c r="C2785" s="3">
        <v>0</v>
      </c>
      <c r="D2785" s="3">
        <v>2576</v>
      </c>
      <c r="E2785" s="3">
        <v>0</v>
      </c>
      <c r="F2785" s="3">
        <v>0</v>
      </c>
      <c r="G2785" s="3">
        <v>2752</v>
      </c>
      <c r="H2785" s="2">
        <f t="shared" si="86"/>
        <v>5328</v>
      </c>
      <c r="I2785" t="str">
        <f t="shared" si="87"/>
        <v>Gm13202_5328</v>
      </c>
      <c r="J2785" s="3">
        <v>0</v>
      </c>
      <c r="K2785" s="3">
        <v>2576</v>
      </c>
      <c r="L2785" s="3">
        <v>0</v>
      </c>
      <c r="M2785" s="3">
        <v>0</v>
      </c>
      <c r="N2785" s="3">
        <v>2752</v>
      </c>
    </row>
    <row r="2786" spans="1:14" x14ac:dyDescent="0.2">
      <c r="A2786" s="5" t="str">
        <f>HYPERLINK("http://www.ncbi.nlm.nih.gov/protein/377837182","Gm13202")</f>
        <v>Gm13202</v>
      </c>
      <c r="B2786" s="4"/>
      <c r="C2786" s="3">
        <v>256</v>
      </c>
      <c r="D2786" s="3">
        <v>3092</v>
      </c>
      <c r="E2786" s="3">
        <v>0</v>
      </c>
      <c r="F2786" s="3">
        <v>0</v>
      </c>
      <c r="G2786" s="3">
        <v>2752</v>
      </c>
      <c r="H2786" s="2">
        <f t="shared" si="86"/>
        <v>6100</v>
      </c>
      <c r="I2786" t="str">
        <f t="shared" si="87"/>
        <v>Gm13202_6100</v>
      </c>
      <c r="J2786" s="3">
        <v>256</v>
      </c>
      <c r="K2786" s="3">
        <v>3092</v>
      </c>
      <c r="L2786" s="3">
        <v>0</v>
      </c>
      <c r="M2786" s="3">
        <v>0</v>
      </c>
      <c r="N2786" s="3">
        <v>2752</v>
      </c>
    </row>
    <row r="2787" spans="1:14" x14ac:dyDescent="0.2">
      <c r="A2787" s="5" t="str">
        <f>HYPERLINK("http://www.ncbi.nlm.nih.gov/protein/63517178","Gm13213")</f>
        <v>Gm13213</v>
      </c>
      <c r="B2787" s="4"/>
      <c r="C2787" s="3">
        <v>0</v>
      </c>
      <c r="D2787" s="3">
        <v>954</v>
      </c>
      <c r="E2787" s="3">
        <v>7972</v>
      </c>
      <c r="F2787" s="3">
        <v>25015</v>
      </c>
      <c r="G2787" s="3">
        <v>0</v>
      </c>
      <c r="H2787" s="2">
        <f t="shared" si="86"/>
        <v>33941</v>
      </c>
      <c r="I2787" t="str">
        <f t="shared" si="87"/>
        <v>Gm13213_33941</v>
      </c>
      <c r="J2787" s="3">
        <v>0</v>
      </c>
      <c r="K2787" s="3">
        <v>954</v>
      </c>
      <c r="L2787" s="3">
        <v>7972</v>
      </c>
      <c r="M2787" s="3">
        <v>25015</v>
      </c>
      <c r="N2787" s="3">
        <v>0</v>
      </c>
    </row>
    <row r="2788" spans="1:14" x14ac:dyDescent="0.2">
      <c r="A2788" s="5" t="str">
        <f>HYPERLINK("http://www.ncbi.nlm.nih.gov/protein/309265127","Gm13213")</f>
        <v>Gm13213</v>
      </c>
      <c r="B2788" s="4"/>
      <c r="C2788" s="3">
        <v>7743</v>
      </c>
      <c r="D2788" s="3">
        <v>2325</v>
      </c>
      <c r="E2788" s="3">
        <v>3484</v>
      </c>
      <c r="F2788" s="3">
        <v>51856</v>
      </c>
      <c r="G2788" s="3">
        <v>0</v>
      </c>
      <c r="H2788" s="2">
        <f t="shared" si="86"/>
        <v>65408</v>
      </c>
      <c r="I2788" t="str">
        <f t="shared" si="87"/>
        <v>Gm13213_65408</v>
      </c>
      <c r="J2788" s="3">
        <v>7743</v>
      </c>
      <c r="K2788" s="3">
        <v>2325</v>
      </c>
      <c r="L2788" s="3">
        <v>3484</v>
      </c>
      <c r="M2788" s="3">
        <v>51856</v>
      </c>
      <c r="N2788" s="3">
        <v>0</v>
      </c>
    </row>
    <row r="2789" spans="1:14" x14ac:dyDescent="0.2">
      <c r="A2789" s="5" t="str">
        <f>HYPERLINK("http://www.ncbi.nlm.nih.gov/protein/94372927","Gm13229")</f>
        <v>Gm13229</v>
      </c>
      <c r="B2789" s="4"/>
      <c r="C2789" s="3">
        <v>677</v>
      </c>
      <c r="D2789" s="3">
        <v>507</v>
      </c>
      <c r="E2789" s="3">
        <v>18394</v>
      </c>
      <c r="F2789" s="3">
        <v>2890</v>
      </c>
      <c r="G2789" s="3">
        <v>2892</v>
      </c>
      <c r="H2789" s="2">
        <f t="shared" si="86"/>
        <v>25360</v>
      </c>
      <c r="I2789" t="str">
        <f t="shared" si="87"/>
        <v>Gm13229_25360</v>
      </c>
      <c r="J2789" s="3">
        <v>677</v>
      </c>
      <c r="K2789" s="3">
        <v>507</v>
      </c>
      <c r="L2789" s="3">
        <v>18394</v>
      </c>
      <c r="M2789" s="3">
        <v>2890</v>
      </c>
      <c r="N2789" s="3">
        <v>2892</v>
      </c>
    </row>
    <row r="2790" spans="1:14" x14ac:dyDescent="0.2">
      <c r="A2790" s="5" t="str">
        <f>HYPERLINK("http://www.ncbi.nlm.nih.gov/protein/309272470","Gm13249")</f>
        <v>Gm13249</v>
      </c>
      <c r="B2790" s="4"/>
      <c r="C2790" s="3">
        <v>677</v>
      </c>
      <c r="D2790" s="3">
        <v>507</v>
      </c>
      <c r="E2790" s="3">
        <v>18394</v>
      </c>
      <c r="F2790" s="3">
        <v>2890</v>
      </c>
      <c r="G2790" s="3">
        <v>2892</v>
      </c>
      <c r="H2790" s="2">
        <f t="shared" si="86"/>
        <v>25360</v>
      </c>
      <c r="I2790" t="str">
        <f t="shared" si="87"/>
        <v>Gm13249_25360</v>
      </c>
      <c r="J2790" s="3">
        <v>677</v>
      </c>
      <c r="K2790" s="3">
        <v>507</v>
      </c>
      <c r="L2790" s="3">
        <v>18394</v>
      </c>
      <c r="M2790" s="3">
        <v>2890</v>
      </c>
      <c r="N2790" s="3">
        <v>2892</v>
      </c>
    </row>
    <row r="2791" spans="1:14" x14ac:dyDescent="0.2">
      <c r="A2791" s="5" t="str">
        <f>HYPERLINK("http://www.ncbi.nlm.nih.gov/protein/407262645","Gm13249")</f>
        <v>Gm13249</v>
      </c>
      <c r="B2791" s="4"/>
      <c r="C2791" s="3">
        <v>677</v>
      </c>
      <c r="D2791" s="3">
        <v>507</v>
      </c>
      <c r="E2791" s="3">
        <v>18394</v>
      </c>
      <c r="F2791" s="3">
        <v>2890</v>
      </c>
      <c r="G2791" s="3">
        <v>2892</v>
      </c>
      <c r="H2791" s="2">
        <f t="shared" si="86"/>
        <v>25360</v>
      </c>
      <c r="I2791" t="str">
        <f t="shared" si="87"/>
        <v>Gm13249_25360</v>
      </c>
      <c r="J2791" s="3">
        <v>677</v>
      </c>
      <c r="K2791" s="3">
        <v>507</v>
      </c>
      <c r="L2791" s="3">
        <v>18394</v>
      </c>
      <c r="M2791" s="3">
        <v>2890</v>
      </c>
      <c r="N2791" s="3">
        <v>2892</v>
      </c>
    </row>
    <row r="2792" spans="1:14" x14ac:dyDescent="0.2">
      <c r="A2792" s="5" t="str">
        <f>HYPERLINK("http://www.ncbi.nlm.nih.gov/protein/407261047","Gm13552")</f>
        <v>Gm13552</v>
      </c>
      <c r="B2792" s="4"/>
      <c r="C2792" s="3">
        <v>0</v>
      </c>
      <c r="D2792" s="3">
        <v>200</v>
      </c>
      <c r="E2792" s="3">
        <v>0</v>
      </c>
      <c r="F2792" s="3">
        <v>0</v>
      </c>
      <c r="G2792" s="3">
        <v>0</v>
      </c>
      <c r="H2792" s="2">
        <f t="shared" si="86"/>
        <v>200</v>
      </c>
      <c r="I2792" t="str">
        <f t="shared" si="87"/>
        <v>Gm13552_200</v>
      </c>
      <c r="J2792" s="3">
        <v>0</v>
      </c>
      <c r="K2792" s="3">
        <v>200</v>
      </c>
      <c r="L2792" s="3">
        <v>0</v>
      </c>
      <c r="M2792" s="3">
        <v>0</v>
      </c>
      <c r="N2792" s="3">
        <v>0</v>
      </c>
    </row>
    <row r="2793" spans="1:14" x14ac:dyDescent="0.2">
      <c r="A2793" s="5" t="str">
        <f>HYPERLINK("http://www.ncbi.nlm.nih.gov/protein/309264473","Gm13653")</f>
        <v>Gm13653</v>
      </c>
      <c r="B2793" s="4"/>
      <c r="C2793" s="3">
        <v>73096</v>
      </c>
      <c r="D2793" s="3">
        <v>37454</v>
      </c>
      <c r="E2793" s="3">
        <v>114846</v>
      </c>
      <c r="F2793" s="3">
        <v>267095</v>
      </c>
      <c r="G2793" s="3">
        <v>0</v>
      </c>
      <c r="H2793" s="2">
        <f t="shared" si="86"/>
        <v>492491</v>
      </c>
      <c r="I2793" t="str">
        <f t="shared" si="87"/>
        <v>Gm13653_492491</v>
      </c>
      <c r="J2793" s="3">
        <v>73096</v>
      </c>
      <c r="K2793" s="3">
        <v>37454</v>
      </c>
      <c r="L2793" s="3">
        <v>114846</v>
      </c>
      <c r="M2793" s="3">
        <v>267095</v>
      </c>
      <c r="N2793" s="3">
        <v>0</v>
      </c>
    </row>
    <row r="2794" spans="1:14" x14ac:dyDescent="0.2">
      <c r="A2794" s="5" t="str">
        <f>HYPERLINK("http://www.ncbi.nlm.nih.gov/protein/82885184","Gm13777")</f>
        <v>Gm13777</v>
      </c>
      <c r="B2794" s="4"/>
      <c r="C2794" s="3">
        <v>677</v>
      </c>
      <c r="D2794" s="3">
        <v>507</v>
      </c>
      <c r="E2794" s="3">
        <v>18394</v>
      </c>
      <c r="F2794" s="3">
        <v>2890</v>
      </c>
      <c r="G2794" s="3">
        <v>2892</v>
      </c>
      <c r="H2794" s="2">
        <f t="shared" si="86"/>
        <v>25360</v>
      </c>
      <c r="I2794" t="str">
        <f t="shared" si="87"/>
        <v>Gm13777_25360</v>
      </c>
      <c r="J2794" s="3">
        <v>677</v>
      </c>
      <c r="K2794" s="3">
        <v>507</v>
      </c>
      <c r="L2794" s="3">
        <v>18394</v>
      </c>
      <c r="M2794" s="3">
        <v>2890</v>
      </c>
      <c r="N2794" s="3">
        <v>2892</v>
      </c>
    </row>
    <row r="2795" spans="1:14" x14ac:dyDescent="0.2">
      <c r="A2795" s="5" t="str">
        <f>HYPERLINK("http://www.ncbi.nlm.nih.gov/protein/82885753","Gm13981")</f>
        <v>Gm13981</v>
      </c>
      <c r="B2795" s="4"/>
      <c r="C2795" s="3">
        <v>40713</v>
      </c>
      <c r="D2795" s="3">
        <v>1958</v>
      </c>
      <c r="E2795" s="3">
        <v>29831</v>
      </c>
      <c r="F2795" s="3">
        <v>28093</v>
      </c>
      <c r="G2795" s="3">
        <v>0</v>
      </c>
      <c r="H2795" s="2">
        <f t="shared" si="86"/>
        <v>100595</v>
      </c>
      <c r="I2795" t="str">
        <f t="shared" si="87"/>
        <v>Gm13981_100595</v>
      </c>
      <c r="J2795" s="3">
        <v>40713</v>
      </c>
      <c r="K2795" s="3">
        <v>1958</v>
      </c>
      <c r="L2795" s="3">
        <v>29831</v>
      </c>
      <c r="M2795" s="3">
        <v>28093</v>
      </c>
      <c r="N2795" s="3">
        <v>0</v>
      </c>
    </row>
    <row r="2796" spans="1:14" x14ac:dyDescent="0.2">
      <c r="A2796" s="5" t="str">
        <f>HYPERLINK("http://www.ncbi.nlm.nih.gov/protein/309264633","Gm14217")</f>
        <v>Gm14217</v>
      </c>
      <c r="B2796" s="4"/>
      <c r="C2796" s="3">
        <v>113314</v>
      </c>
      <c r="D2796" s="3">
        <v>37047</v>
      </c>
      <c r="E2796" s="3">
        <v>108551</v>
      </c>
      <c r="F2796" s="3">
        <v>412503</v>
      </c>
      <c r="G2796" s="3">
        <v>835</v>
      </c>
      <c r="H2796" s="2">
        <f t="shared" si="86"/>
        <v>672250</v>
      </c>
      <c r="I2796" t="str">
        <f t="shared" si="87"/>
        <v>Gm14217_672250</v>
      </c>
      <c r="J2796" s="3">
        <v>113314</v>
      </c>
      <c r="K2796" s="3">
        <v>37047</v>
      </c>
      <c r="L2796" s="3">
        <v>108551</v>
      </c>
      <c r="M2796" s="3">
        <v>412503</v>
      </c>
      <c r="N2796" s="3">
        <v>835</v>
      </c>
    </row>
    <row r="2797" spans="1:14" x14ac:dyDescent="0.2">
      <c r="A2797" s="5" t="str">
        <f>HYPERLINK("http://www.ncbi.nlm.nih.gov/protein/309267832","Gm14217")</f>
        <v>Gm14217</v>
      </c>
      <c r="B2797" s="4"/>
      <c r="C2797" s="3">
        <v>98761</v>
      </c>
      <c r="D2797" s="3">
        <v>24071</v>
      </c>
      <c r="E2797" s="3">
        <v>120959</v>
      </c>
      <c r="F2797" s="3">
        <v>300230</v>
      </c>
      <c r="G2797" s="3">
        <v>2013</v>
      </c>
      <c r="H2797" s="2">
        <f t="shared" si="86"/>
        <v>546034</v>
      </c>
      <c r="I2797" t="str">
        <f t="shared" si="87"/>
        <v>Gm14217_546034</v>
      </c>
      <c r="J2797" s="3">
        <v>98761</v>
      </c>
      <c r="K2797" s="3">
        <v>24071</v>
      </c>
      <c r="L2797" s="3">
        <v>120959</v>
      </c>
      <c r="M2797" s="3">
        <v>300230</v>
      </c>
      <c r="N2797" s="3">
        <v>2013</v>
      </c>
    </row>
    <row r="2798" spans="1:14" x14ac:dyDescent="0.2">
      <c r="A2798" s="5" t="str">
        <f>HYPERLINK("http://www.ncbi.nlm.nih.gov/protein/309264642","Gm14277")</f>
        <v>Gm14277</v>
      </c>
      <c r="B2798" s="4"/>
      <c r="C2798" s="3">
        <v>989</v>
      </c>
      <c r="D2798" s="3">
        <v>46</v>
      </c>
      <c r="E2798" s="3">
        <v>23</v>
      </c>
      <c r="F2798" s="3">
        <v>6417</v>
      </c>
      <c r="G2798" s="3">
        <v>0</v>
      </c>
      <c r="H2798" s="2">
        <f t="shared" si="86"/>
        <v>7475</v>
      </c>
      <c r="I2798" t="str">
        <f t="shared" si="87"/>
        <v>Gm14277_7475</v>
      </c>
      <c r="J2798" s="3">
        <v>989</v>
      </c>
      <c r="K2798" s="3">
        <v>46</v>
      </c>
      <c r="L2798" s="3">
        <v>23</v>
      </c>
      <c r="M2798" s="3">
        <v>6417</v>
      </c>
      <c r="N2798" s="3">
        <v>0</v>
      </c>
    </row>
    <row r="2799" spans="1:14" x14ac:dyDescent="0.2">
      <c r="A2799" s="5" t="str">
        <f>HYPERLINK("http://www.ncbi.nlm.nih.gov/protein/149250385","Gm14279")</f>
        <v>Gm14279</v>
      </c>
      <c r="B2799" s="4"/>
      <c r="C2799" s="3">
        <v>5345</v>
      </c>
      <c r="D2799" s="3">
        <v>8183</v>
      </c>
      <c r="E2799" s="3">
        <v>80667</v>
      </c>
      <c r="F2799" s="3">
        <v>325163</v>
      </c>
      <c r="G2799" s="3">
        <v>139</v>
      </c>
      <c r="H2799" s="2">
        <f t="shared" si="86"/>
        <v>419497</v>
      </c>
      <c r="I2799" t="str">
        <f t="shared" si="87"/>
        <v>Gm14279_419497</v>
      </c>
      <c r="J2799" s="3">
        <v>5345</v>
      </c>
      <c r="K2799" s="3">
        <v>8183</v>
      </c>
      <c r="L2799" s="3">
        <v>80667</v>
      </c>
      <c r="M2799" s="3">
        <v>325163</v>
      </c>
      <c r="N2799" s="3">
        <v>139</v>
      </c>
    </row>
    <row r="2800" spans="1:14" x14ac:dyDescent="0.2">
      <c r="A2800" s="5" t="str">
        <f>HYPERLINK("http://www.ncbi.nlm.nih.gov/protein/309264679","Gm14407")</f>
        <v>Gm14407</v>
      </c>
      <c r="B2800" s="4"/>
      <c r="C2800" s="3">
        <v>0</v>
      </c>
      <c r="D2800" s="3">
        <v>0</v>
      </c>
      <c r="E2800" s="3">
        <v>3083</v>
      </c>
      <c r="F2800" s="3">
        <v>0</v>
      </c>
      <c r="G2800" s="3">
        <v>0</v>
      </c>
      <c r="H2800" s="2">
        <f t="shared" si="86"/>
        <v>3083</v>
      </c>
      <c r="I2800" t="str">
        <f t="shared" si="87"/>
        <v>Gm14407_3083</v>
      </c>
      <c r="J2800" s="3">
        <v>0</v>
      </c>
      <c r="K2800" s="3">
        <v>0</v>
      </c>
      <c r="L2800" s="3">
        <v>3083</v>
      </c>
      <c r="M2800" s="3">
        <v>0</v>
      </c>
      <c r="N2800" s="3">
        <v>0</v>
      </c>
    </row>
    <row r="2801" spans="1:14" x14ac:dyDescent="0.2">
      <c r="A2801" s="5" t="str">
        <f>HYPERLINK("http://www.ncbi.nlm.nih.gov/protein/82887979","Gm14439")</f>
        <v>Gm14439</v>
      </c>
      <c r="B2801" s="4"/>
      <c r="C2801" s="3">
        <v>0</v>
      </c>
      <c r="D2801" s="3">
        <v>0</v>
      </c>
      <c r="E2801" s="3">
        <v>3083</v>
      </c>
      <c r="F2801" s="3">
        <v>0</v>
      </c>
      <c r="G2801" s="3">
        <v>0</v>
      </c>
      <c r="H2801" s="2">
        <f t="shared" si="86"/>
        <v>3083</v>
      </c>
      <c r="I2801" t="str">
        <f t="shared" si="87"/>
        <v>Gm14439_3083</v>
      </c>
      <c r="J2801" s="3">
        <v>0</v>
      </c>
      <c r="K2801" s="3">
        <v>0</v>
      </c>
      <c r="L2801" s="3">
        <v>3083</v>
      </c>
      <c r="M2801" s="3">
        <v>0</v>
      </c>
      <c r="N2801" s="3">
        <v>0</v>
      </c>
    </row>
    <row r="2802" spans="1:14" x14ac:dyDescent="0.2">
      <c r="A2802" s="5" t="str">
        <f>HYPERLINK("http://www.ncbi.nlm.nih.gov/protein/160333495","Gm14446")</f>
        <v>Gm14446</v>
      </c>
      <c r="B2802" s="4"/>
      <c r="C2802" s="3">
        <v>0</v>
      </c>
      <c r="D2802" s="3">
        <v>328</v>
      </c>
      <c r="E2802" s="3">
        <v>907</v>
      </c>
      <c r="F2802" s="3">
        <v>417</v>
      </c>
      <c r="G2802" s="3">
        <v>0</v>
      </c>
      <c r="H2802" s="2">
        <f t="shared" si="86"/>
        <v>1652</v>
      </c>
      <c r="I2802" t="str">
        <f t="shared" si="87"/>
        <v>Gm14446_1652</v>
      </c>
      <c r="J2802" s="3">
        <v>0</v>
      </c>
      <c r="K2802" s="3">
        <v>328</v>
      </c>
      <c r="L2802" s="3">
        <v>907</v>
      </c>
      <c r="M2802" s="3">
        <v>417</v>
      </c>
      <c r="N2802" s="3">
        <v>0</v>
      </c>
    </row>
    <row r="2803" spans="1:14" x14ac:dyDescent="0.2">
      <c r="A2803" s="5" t="str">
        <f>HYPERLINK("http://www.ncbi.nlm.nih.gov/protein/160333500","Gm14446")</f>
        <v>Gm14446</v>
      </c>
      <c r="B2803" s="4"/>
      <c r="C2803" s="3">
        <v>0</v>
      </c>
      <c r="D2803" s="3">
        <v>328</v>
      </c>
      <c r="E2803" s="3">
        <v>907</v>
      </c>
      <c r="F2803" s="3">
        <v>417</v>
      </c>
      <c r="G2803" s="3">
        <v>0</v>
      </c>
      <c r="H2803" s="2">
        <f t="shared" si="86"/>
        <v>1652</v>
      </c>
      <c r="I2803" t="str">
        <f t="shared" si="87"/>
        <v>Gm14446_1652</v>
      </c>
      <c r="J2803" s="3">
        <v>0</v>
      </c>
      <c r="K2803" s="3">
        <v>328</v>
      </c>
      <c r="L2803" s="3">
        <v>907</v>
      </c>
      <c r="M2803" s="3">
        <v>417</v>
      </c>
      <c r="N2803" s="3">
        <v>0</v>
      </c>
    </row>
    <row r="2804" spans="1:14" x14ac:dyDescent="0.2">
      <c r="A2804" s="5" t="str">
        <f>HYPERLINK("http://www.ncbi.nlm.nih.gov/protein/407262426","Gm14517")</f>
        <v>Gm14517</v>
      </c>
      <c r="B2804" s="4"/>
      <c r="C2804" s="3">
        <v>0</v>
      </c>
      <c r="D2804" s="3">
        <v>0</v>
      </c>
      <c r="E2804" s="3">
        <v>13</v>
      </c>
      <c r="F2804" s="3">
        <v>3520</v>
      </c>
      <c r="G2804" s="3">
        <v>3352</v>
      </c>
      <c r="H2804" s="2">
        <f t="shared" si="86"/>
        <v>6885</v>
      </c>
      <c r="I2804" t="str">
        <f t="shared" si="87"/>
        <v>Gm14517_6885</v>
      </c>
      <c r="J2804" s="3">
        <v>0</v>
      </c>
      <c r="K2804" s="3">
        <v>0</v>
      </c>
      <c r="L2804" s="3">
        <v>13</v>
      </c>
      <c r="M2804" s="3">
        <v>3520</v>
      </c>
      <c r="N2804" s="3">
        <v>3352</v>
      </c>
    </row>
    <row r="2805" spans="1:14" x14ac:dyDescent="0.2">
      <c r="A2805" s="5" t="str">
        <f>HYPERLINK("http://www.ncbi.nlm.nih.gov/protein/309266821","Gm14535")</f>
        <v>Gm14535</v>
      </c>
      <c r="B2805" s="4"/>
      <c r="C2805" s="3">
        <v>0</v>
      </c>
      <c r="D2805" s="3">
        <v>0</v>
      </c>
      <c r="E2805" s="3">
        <v>0</v>
      </c>
      <c r="F2805" s="3">
        <v>638</v>
      </c>
      <c r="G2805" s="3">
        <v>0</v>
      </c>
      <c r="H2805" s="2">
        <f t="shared" si="86"/>
        <v>638</v>
      </c>
      <c r="I2805" t="str">
        <f t="shared" si="87"/>
        <v>Gm14535_638</v>
      </c>
      <c r="J2805" s="3">
        <v>0</v>
      </c>
      <c r="K2805" s="3">
        <v>0</v>
      </c>
      <c r="L2805" s="3">
        <v>0</v>
      </c>
      <c r="M2805" s="3">
        <v>638</v>
      </c>
      <c r="N2805" s="3">
        <v>0</v>
      </c>
    </row>
    <row r="2806" spans="1:14" x14ac:dyDescent="0.2">
      <c r="A2806" s="5" t="str">
        <f>HYPERLINK("http://www.ncbi.nlm.nih.gov/protein/149271597","Gm14680")</f>
        <v>Gm14680</v>
      </c>
      <c r="B2806" s="4"/>
      <c r="C2806" s="3">
        <v>0</v>
      </c>
      <c r="D2806" s="3">
        <v>0</v>
      </c>
      <c r="E2806" s="3">
        <v>0</v>
      </c>
      <c r="F2806" s="3">
        <v>0</v>
      </c>
      <c r="G2806" s="3">
        <v>5655</v>
      </c>
      <c r="H2806" s="2">
        <f t="shared" si="86"/>
        <v>5655</v>
      </c>
      <c r="I2806" t="str">
        <f t="shared" si="87"/>
        <v>Gm14680_5655</v>
      </c>
      <c r="J2806" s="3">
        <v>0</v>
      </c>
      <c r="K2806" s="3">
        <v>0</v>
      </c>
      <c r="L2806" s="3">
        <v>0</v>
      </c>
      <c r="M2806" s="3">
        <v>0</v>
      </c>
      <c r="N2806" s="3">
        <v>5655</v>
      </c>
    </row>
    <row r="2807" spans="1:14" x14ac:dyDescent="0.2">
      <c r="A2807" s="5" t="str">
        <f>HYPERLINK("http://www.ncbi.nlm.nih.gov/protein/309266900","Gm14925")</f>
        <v>Gm14925</v>
      </c>
      <c r="B2807" s="4"/>
      <c r="C2807" s="3">
        <v>0</v>
      </c>
      <c r="D2807" s="3">
        <v>63</v>
      </c>
      <c r="E2807" s="3">
        <v>0</v>
      </c>
      <c r="F2807" s="3">
        <v>0</v>
      </c>
      <c r="G2807" s="3">
        <v>0</v>
      </c>
      <c r="H2807" s="2">
        <f t="shared" si="86"/>
        <v>63</v>
      </c>
      <c r="I2807" t="str">
        <f t="shared" si="87"/>
        <v>Gm14925_63</v>
      </c>
      <c r="J2807" s="3">
        <v>0</v>
      </c>
      <c r="K2807" s="3">
        <v>63</v>
      </c>
      <c r="L2807" s="3">
        <v>0</v>
      </c>
      <c r="M2807" s="3">
        <v>0</v>
      </c>
      <c r="N2807" s="3">
        <v>0</v>
      </c>
    </row>
    <row r="2808" spans="1:14" x14ac:dyDescent="0.2">
      <c r="A2808" s="5" t="str">
        <f>HYPERLINK("http://www.ncbi.nlm.nih.gov/protein/149272225","Gm14958")</f>
        <v>Gm14958</v>
      </c>
      <c r="B2808" s="4"/>
      <c r="C2808" s="3">
        <v>98377</v>
      </c>
      <c r="D2808" s="3">
        <v>17431</v>
      </c>
      <c r="E2808" s="3">
        <v>104320</v>
      </c>
      <c r="F2808" s="3">
        <v>190044</v>
      </c>
      <c r="G2808" s="3">
        <v>1788</v>
      </c>
      <c r="H2808" s="2">
        <f t="shared" si="86"/>
        <v>411960</v>
      </c>
      <c r="I2808" t="str">
        <f t="shared" si="87"/>
        <v>Gm14958_411960</v>
      </c>
      <c r="J2808" s="3">
        <v>98377</v>
      </c>
      <c r="K2808" s="3">
        <v>17431</v>
      </c>
      <c r="L2808" s="3">
        <v>104320</v>
      </c>
      <c r="M2808" s="3">
        <v>190044</v>
      </c>
      <c r="N2808" s="3">
        <v>1788</v>
      </c>
    </row>
    <row r="2809" spans="1:14" x14ac:dyDescent="0.2">
      <c r="A2809" s="5" t="str">
        <f>HYPERLINK("http://www.ncbi.nlm.nih.gov/protein/309266944","Gm15032")</f>
        <v>Gm15032</v>
      </c>
      <c r="B2809" s="4"/>
      <c r="C2809" s="3">
        <v>24237</v>
      </c>
      <c r="D2809" s="3">
        <v>12076</v>
      </c>
      <c r="E2809" s="3">
        <v>25427</v>
      </c>
      <c r="F2809" s="3">
        <v>76175</v>
      </c>
      <c r="G2809" s="3">
        <v>1649</v>
      </c>
      <c r="H2809" s="2">
        <f t="shared" si="86"/>
        <v>139564</v>
      </c>
      <c r="I2809" t="str">
        <f t="shared" si="87"/>
        <v>Gm15032_139564</v>
      </c>
      <c r="J2809" s="3">
        <v>24237</v>
      </c>
      <c r="K2809" s="3">
        <v>12076</v>
      </c>
      <c r="L2809" s="3">
        <v>25427</v>
      </c>
      <c r="M2809" s="3">
        <v>76175</v>
      </c>
      <c r="N2809" s="3">
        <v>1649</v>
      </c>
    </row>
    <row r="2810" spans="1:14" x14ac:dyDescent="0.2">
      <c r="A2810" s="5" t="str">
        <f>HYPERLINK("http://www.ncbi.nlm.nih.gov/protein/377835587","Gm15210")</f>
        <v>Gm15210</v>
      </c>
      <c r="B2810" s="4"/>
      <c r="C2810" s="3">
        <v>0</v>
      </c>
      <c r="D2810" s="3">
        <v>1424</v>
      </c>
      <c r="E2810" s="3">
        <v>1010</v>
      </c>
      <c r="F2810" s="3">
        <v>156590</v>
      </c>
      <c r="G2810" s="3">
        <v>16118</v>
      </c>
      <c r="H2810" s="2">
        <f t="shared" si="86"/>
        <v>175142</v>
      </c>
      <c r="I2810" t="str">
        <f t="shared" si="87"/>
        <v>Gm15210_175142</v>
      </c>
      <c r="J2810" s="3">
        <v>0</v>
      </c>
      <c r="K2810" s="3">
        <v>1424</v>
      </c>
      <c r="L2810" s="3">
        <v>1010</v>
      </c>
      <c r="M2810" s="3">
        <v>156590</v>
      </c>
      <c r="N2810" s="3">
        <v>16118</v>
      </c>
    </row>
    <row r="2811" spans="1:14" x14ac:dyDescent="0.2">
      <c r="A2811" s="5" t="str">
        <f>HYPERLINK("http://www.ncbi.nlm.nih.gov/protein/407262829","Gm15453")</f>
        <v>Gm15453</v>
      </c>
      <c r="B2811" s="4"/>
      <c r="C2811" s="3">
        <v>3368</v>
      </c>
      <c r="D2811" s="3">
        <v>159</v>
      </c>
      <c r="E2811" s="3">
        <v>7053</v>
      </c>
      <c r="F2811" s="3">
        <v>2341</v>
      </c>
      <c r="G2811" s="3">
        <v>1167</v>
      </c>
      <c r="H2811" s="2">
        <f t="shared" si="86"/>
        <v>14088</v>
      </c>
      <c r="I2811" t="str">
        <f t="shared" si="87"/>
        <v>Gm15453_14088</v>
      </c>
      <c r="J2811" s="3">
        <v>3368</v>
      </c>
      <c r="K2811" s="3">
        <v>159</v>
      </c>
      <c r="L2811" s="3">
        <v>7053</v>
      </c>
      <c r="M2811" s="3">
        <v>2341</v>
      </c>
      <c r="N2811" s="3">
        <v>1167</v>
      </c>
    </row>
    <row r="2812" spans="1:14" x14ac:dyDescent="0.2">
      <c r="A2812" s="5" t="str">
        <f>HYPERLINK("http://www.ncbi.nlm.nih.gov/protein/309264693","Gm15466")</f>
        <v>Gm15466</v>
      </c>
      <c r="B2812" s="4"/>
      <c r="C2812" s="3">
        <v>88272</v>
      </c>
      <c r="D2812" s="3">
        <v>129</v>
      </c>
      <c r="E2812" s="3">
        <v>7911</v>
      </c>
      <c r="F2812" s="3">
        <v>123</v>
      </c>
      <c r="G2812" s="3">
        <v>1371</v>
      </c>
      <c r="H2812" s="2">
        <f t="shared" si="86"/>
        <v>97806</v>
      </c>
      <c r="I2812" t="str">
        <f t="shared" si="87"/>
        <v>Gm15466_97806</v>
      </c>
      <c r="J2812" s="3">
        <v>88272</v>
      </c>
      <c r="K2812" s="3">
        <v>129</v>
      </c>
      <c r="L2812" s="3">
        <v>7911</v>
      </c>
      <c r="M2812" s="3">
        <v>123</v>
      </c>
      <c r="N2812" s="3">
        <v>1371</v>
      </c>
    </row>
    <row r="2813" spans="1:14" x14ac:dyDescent="0.2">
      <c r="A2813" s="5" t="str">
        <f>HYPERLINK("http://www.ncbi.nlm.nih.gov/protein/309266131","Gm15483")</f>
        <v>Gm15483</v>
      </c>
      <c r="B2813" s="4"/>
      <c r="C2813" s="3">
        <v>146613</v>
      </c>
      <c r="D2813" s="3">
        <v>51449</v>
      </c>
      <c r="E2813" s="3">
        <v>109948</v>
      </c>
      <c r="F2813" s="3">
        <v>268241</v>
      </c>
      <c r="G2813" s="3">
        <v>0</v>
      </c>
      <c r="H2813" s="2">
        <f t="shared" si="86"/>
        <v>576251</v>
      </c>
      <c r="I2813" t="str">
        <f t="shared" si="87"/>
        <v>Gm15483_576251</v>
      </c>
      <c r="J2813" s="3">
        <v>146613</v>
      </c>
      <c r="K2813" s="3">
        <v>51449</v>
      </c>
      <c r="L2813" s="3">
        <v>109948</v>
      </c>
      <c r="M2813" s="3">
        <v>268241</v>
      </c>
      <c r="N2813" s="3">
        <v>0</v>
      </c>
    </row>
    <row r="2814" spans="1:14" x14ac:dyDescent="0.2">
      <c r="A2814" s="5" t="str">
        <f>HYPERLINK("http://www.ncbi.nlm.nih.gov/protein/149257598","Gm15501")</f>
        <v>Gm15501</v>
      </c>
      <c r="B2814" s="4"/>
      <c r="C2814" s="3">
        <v>360848</v>
      </c>
      <c r="D2814" s="3">
        <v>65523</v>
      </c>
      <c r="E2814" s="3">
        <v>246648</v>
      </c>
      <c r="F2814" s="3">
        <v>542916</v>
      </c>
      <c r="G2814" s="3">
        <v>0</v>
      </c>
      <c r="H2814" s="2">
        <f t="shared" si="86"/>
        <v>1215935</v>
      </c>
      <c r="I2814" t="str">
        <f t="shared" si="87"/>
        <v>Gm15501_1215935</v>
      </c>
      <c r="J2814" s="3">
        <v>360848</v>
      </c>
      <c r="K2814" s="3">
        <v>65523</v>
      </c>
      <c r="L2814" s="3">
        <v>246648</v>
      </c>
      <c r="M2814" s="3">
        <v>542916</v>
      </c>
      <c r="N2814" s="3">
        <v>0</v>
      </c>
    </row>
    <row r="2815" spans="1:14" x14ac:dyDescent="0.2">
      <c r="A2815" s="5" t="str">
        <f>HYPERLINK("http://www.ncbi.nlm.nih.gov/protein/309265983","Gm15501")</f>
        <v>Gm15501</v>
      </c>
      <c r="B2815" s="4"/>
      <c r="C2815" s="3">
        <v>360848</v>
      </c>
      <c r="D2815" s="3">
        <v>65396</v>
      </c>
      <c r="E2815" s="3">
        <v>233123</v>
      </c>
      <c r="F2815" s="3">
        <v>539257</v>
      </c>
      <c r="G2815" s="3">
        <v>0</v>
      </c>
      <c r="H2815" s="2">
        <f t="shared" si="86"/>
        <v>1198624</v>
      </c>
      <c r="I2815" t="str">
        <f t="shared" si="87"/>
        <v>Gm15501_1198624</v>
      </c>
      <c r="J2815" s="3">
        <v>360848</v>
      </c>
      <c r="K2815" s="3">
        <v>65396</v>
      </c>
      <c r="L2815" s="3">
        <v>233123</v>
      </c>
      <c r="M2815" s="3">
        <v>539257</v>
      </c>
      <c r="N2815" s="3">
        <v>0</v>
      </c>
    </row>
    <row r="2816" spans="1:14" x14ac:dyDescent="0.2">
      <c r="A2816" s="5" t="str">
        <f>HYPERLINK("http://www.ncbi.nlm.nih.gov/protein/149234328","Gm15583")</f>
        <v>Gm15583</v>
      </c>
      <c r="B2816" s="4"/>
      <c r="C2816" s="3">
        <v>0</v>
      </c>
      <c r="D2816" s="3">
        <v>0</v>
      </c>
      <c r="E2816" s="3">
        <v>111</v>
      </c>
      <c r="F2816" s="3">
        <v>3233</v>
      </c>
      <c r="G2816" s="3">
        <v>0</v>
      </c>
      <c r="H2816" s="2">
        <f t="shared" si="86"/>
        <v>3344</v>
      </c>
      <c r="I2816" t="str">
        <f t="shared" si="87"/>
        <v>Gm15583_3344</v>
      </c>
      <c r="J2816" s="3">
        <v>0</v>
      </c>
      <c r="K2816" s="3">
        <v>0</v>
      </c>
      <c r="L2816" s="3">
        <v>111</v>
      </c>
      <c r="M2816" s="3">
        <v>3233</v>
      </c>
      <c r="N2816" s="3">
        <v>0</v>
      </c>
    </row>
    <row r="2817" spans="1:14" x14ac:dyDescent="0.2">
      <c r="A2817" s="5" t="str">
        <f>HYPERLINK("http://www.ncbi.nlm.nih.gov/protein/309265319","Gm15682")</f>
        <v>Gm15682</v>
      </c>
      <c r="B2817" s="4"/>
      <c r="C2817" s="3">
        <v>73096</v>
      </c>
      <c r="D2817" s="3">
        <v>26511</v>
      </c>
      <c r="E2817" s="3">
        <v>75005</v>
      </c>
      <c r="F2817" s="3">
        <v>88666</v>
      </c>
      <c r="G2817" s="3">
        <v>0</v>
      </c>
      <c r="H2817" s="2">
        <f t="shared" si="86"/>
        <v>263278</v>
      </c>
      <c r="I2817" t="str">
        <f t="shared" si="87"/>
        <v>Gm15682_263278</v>
      </c>
      <c r="J2817" s="3">
        <v>73096</v>
      </c>
      <c r="K2817" s="3">
        <v>26511</v>
      </c>
      <c r="L2817" s="3">
        <v>75005</v>
      </c>
      <c r="M2817" s="3">
        <v>88666</v>
      </c>
      <c r="N2817" s="3">
        <v>0</v>
      </c>
    </row>
    <row r="2818" spans="1:14" x14ac:dyDescent="0.2">
      <c r="A2818" s="5" t="str">
        <f>HYPERLINK("http://www.ncbi.nlm.nih.gov/protein/359718915","Gm15800")</f>
        <v>Gm15800</v>
      </c>
      <c r="B2818" s="4"/>
      <c r="C2818" s="3">
        <v>0</v>
      </c>
      <c r="D2818" s="3">
        <v>92</v>
      </c>
      <c r="E2818" s="3">
        <v>966</v>
      </c>
      <c r="F2818" s="3">
        <v>1449</v>
      </c>
      <c r="G2818" s="3">
        <v>0</v>
      </c>
      <c r="H2818" s="2">
        <f t="shared" ref="H2818:H2881" si="88">SUM(C2818:G2818)</f>
        <v>2507</v>
      </c>
      <c r="I2818" t="str">
        <f t="shared" ref="I2818:I2881" si="89">A2818&amp;"_"&amp;H2818</f>
        <v>Gm15800_2507</v>
      </c>
      <c r="J2818" s="3">
        <v>0</v>
      </c>
      <c r="K2818" s="3">
        <v>92</v>
      </c>
      <c r="L2818" s="3">
        <v>966</v>
      </c>
      <c r="M2818" s="3">
        <v>1449</v>
      </c>
      <c r="N2818" s="3">
        <v>0</v>
      </c>
    </row>
    <row r="2819" spans="1:14" x14ac:dyDescent="0.2">
      <c r="A2819" s="5" t="str">
        <f>HYPERLINK("http://www.ncbi.nlm.nih.gov/protein/309264895","Gm16500")</f>
        <v>Gm16500</v>
      </c>
      <c r="B2819" s="4"/>
      <c r="C2819" s="3">
        <v>0</v>
      </c>
      <c r="D2819" s="3">
        <v>0</v>
      </c>
      <c r="E2819" s="3">
        <v>6</v>
      </c>
      <c r="F2819" s="3">
        <v>0</v>
      </c>
      <c r="G2819" s="3">
        <v>96</v>
      </c>
      <c r="H2819" s="2">
        <f t="shared" si="88"/>
        <v>102</v>
      </c>
      <c r="I2819" t="str">
        <f t="shared" si="89"/>
        <v>Gm16500_102</v>
      </c>
      <c r="J2819" s="3">
        <v>0</v>
      </c>
      <c r="K2819" s="3">
        <v>0</v>
      </c>
      <c r="L2819" s="3">
        <v>6</v>
      </c>
      <c r="M2819" s="3">
        <v>0</v>
      </c>
      <c r="N2819" s="3">
        <v>96</v>
      </c>
    </row>
    <row r="2820" spans="1:14" x14ac:dyDescent="0.2">
      <c r="A2820" s="5" t="str">
        <f>HYPERLINK("http://www.ncbi.nlm.nih.gov/protein/13384646","Gm16515")</f>
        <v>Gm16515</v>
      </c>
      <c r="B2820" s="4"/>
      <c r="C2820" s="3">
        <v>0</v>
      </c>
      <c r="D2820" s="3">
        <v>0</v>
      </c>
      <c r="E2820" s="3">
        <v>0</v>
      </c>
      <c r="F2820" s="3">
        <v>270</v>
      </c>
      <c r="G2820" s="3">
        <v>1863</v>
      </c>
      <c r="H2820" s="2">
        <f t="shared" si="88"/>
        <v>2133</v>
      </c>
      <c r="I2820" t="str">
        <f t="shared" si="89"/>
        <v>Gm16515_2133</v>
      </c>
      <c r="J2820" s="3">
        <v>0</v>
      </c>
      <c r="K2820" s="3">
        <v>0</v>
      </c>
      <c r="L2820" s="3">
        <v>0</v>
      </c>
      <c r="M2820" s="3">
        <v>270</v>
      </c>
      <c r="N2820" s="3">
        <v>1863</v>
      </c>
    </row>
    <row r="2821" spans="1:14" x14ac:dyDescent="0.2">
      <c r="A2821" s="5" t="str">
        <f>HYPERLINK("http://www.ncbi.nlm.nih.gov/protein/309271517","Gm17267")</f>
        <v>Gm17267</v>
      </c>
      <c r="B2821" s="4"/>
      <c r="C2821" s="3">
        <v>0</v>
      </c>
      <c r="D2821" s="3">
        <v>0</v>
      </c>
      <c r="E2821" s="3">
        <v>0</v>
      </c>
      <c r="F2821" s="3">
        <v>0</v>
      </c>
      <c r="G2821" s="3">
        <v>2677</v>
      </c>
      <c r="H2821" s="2">
        <f t="shared" si="88"/>
        <v>2677</v>
      </c>
      <c r="I2821" t="str">
        <f t="shared" si="89"/>
        <v>Gm17267_2677</v>
      </c>
      <c r="J2821" s="3">
        <v>0</v>
      </c>
      <c r="K2821" s="3">
        <v>0</v>
      </c>
      <c r="L2821" s="3">
        <v>0</v>
      </c>
      <c r="M2821" s="3">
        <v>0</v>
      </c>
      <c r="N2821" s="3">
        <v>2677</v>
      </c>
    </row>
    <row r="2822" spans="1:14" x14ac:dyDescent="0.2">
      <c r="A2822" s="5" t="str">
        <f>HYPERLINK("http://www.ncbi.nlm.nih.gov/protein/309270883","Gm17748")</f>
        <v>Gm17748</v>
      </c>
      <c r="B2822" s="4"/>
      <c r="C2822" s="3">
        <v>1849</v>
      </c>
      <c r="D2822" s="3">
        <v>946</v>
      </c>
      <c r="E2822" s="3">
        <v>822</v>
      </c>
      <c r="F2822" s="3">
        <v>8693</v>
      </c>
      <c r="G2822" s="3">
        <v>4059</v>
      </c>
      <c r="H2822" s="2">
        <f t="shared" si="88"/>
        <v>16369</v>
      </c>
      <c r="I2822" t="str">
        <f t="shared" si="89"/>
        <v>Gm17748_16369</v>
      </c>
      <c r="J2822" s="3">
        <v>1849</v>
      </c>
      <c r="K2822" s="3">
        <v>946</v>
      </c>
      <c r="L2822" s="3">
        <v>822</v>
      </c>
      <c r="M2822" s="3">
        <v>8693</v>
      </c>
      <c r="N2822" s="3">
        <v>4059</v>
      </c>
    </row>
    <row r="2823" spans="1:14" x14ac:dyDescent="0.2">
      <c r="A2823" s="5" t="str">
        <f>HYPERLINK("http://www.ncbi.nlm.nih.gov/protein/407262256","Gm17748")</f>
        <v>Gm17748</v>
      </c>
      <c r="B2823" s="4"/>
      <c r="C2823" s="3">
        <v>1849</v>
      </c>
      <c r="D2823" s="3">
        <v>946</v>
      </c>
      <c r="E2823" s="3">
        <v>822</v>
      </c>
      <c r="F2823" s="3">
        <v>9282</v>
      </c>
      <c r="G2823" s="3">
        <v>4059</v>
      </c>
      <c r="H2823" s="2">
        <f t="shared" si="88"/>
        <v>16958</v>
      </c>
      <c r="I2823" t="str">
        <f t="shared" si="89"/>
        <v>Gm17748_16958</v>
      </c>
      <c r="J2823" s="3">
        <v>1849</v>
      </c>
      <c r="K2823" s="3">
        <v>946</v>
      </c>
      <c r="L2823" s="3">
        <v>822</v>
      </c>
      <c r="M2823" s="3">
        <v>9282</v>
      </c>
      <c r="N2823" s="3">
        <v>4059</v>
      </c>
    </row>
    <row r="2824" spans="1:14" x14ac:dyDescent="0.2">
      <c r="A2824" s="5" t="str">
        <f>HYPERLINK("http://www.ncbi.nlm.nih.gov/protein/467087326","Gm1966")</f>
        <v>Gm1966</v>
      </c>
      <c r="B2824" s="4"/>
      <c r="C2824" s="3">
        <v>3661</v>
      </c>
      <c r="D2824" s="3">
        <v>0</v>
      </c>
      <c r="E2824" s="3">
        <v>0</v>
      </c>
      <c r="F2824" s="3">
        <v>0</v>
      </c>
      <c r="G2824" s="3">
        <v>0</v>
      </c>
      <c r="H2824" s="2">
        <f t="shared" si="88"/>
        <v>3661</v>
      </c>
      <c r="I2824" t="str">
        <f t="shared" si="89"/>
        <v>Gm1966_3661</v>
      </c>
      <c r="J2824" s="3">
        <v>3661</v>
      </c>
      <c r="K2824" s="3">
        <v>0</v>
      </c>
      <c r="L2824" s="3">
        <v>0</v>
      </c>
      <c r="M2824" s="3">
        <v>0</v>
      </c>
      <c r="N2824" s="3">
        <v>0</v>
      </c>
    </row>
    <row r="2825" spans="1:14" x14ac:dyDescent="0.2">
      <c r="A2825" s="5" t="str">
        <f>HYPERLINK("http://www.ncbi.nlm.nih.gov/protein/377834355","Gm1966")</f>
        <v>Gm1966</v>
      </c>
      <c r="B2825" s="4"/>
      <c r="C2825" s="3">
        <v>0</v>
      </c>
      <c r="D2825" s="3">
        <v>0</v>
      </c>
      <c r="E2825" s="3">
        <v>31</v>
      </c>
      <c r="F2825" s="3">
        <v>0</v>
      </c>
      <c r="G2825" s="3">
        <v>0</v>
      </c>
      <c r="H2825" s="2">
        <f t="shared" si="88"/>
        <v>31</v>
      </c>
      <c r="I2825" t="str">
        <f t="shared" si="89"/>
        <v>Gm1966_31</v>
      </c>
      <c r="J2825" s="3">
        <v>0</v>
      </c>
      <c r="K2825" s="3">
        <v>0</v>
      </c>
      <c r="L2825" s="3">
        <v>31</v>
      </c>
      <c r="M2825" s="3">
        <v>0</v>
      </c>
      <c r="N2825" s="3">
        <v>0</v>
      </c>
    </row>
    <row r="2826" spans="1:14" x14ac:dyDescent="0.2">
      <c r="A2826" s="5" t="str">
        <f>HYPERLINK("http://www.ncbi.nlm.nih.gov/protein/467087326;309268933","Gm1966")</f>
        <v>Gm1966</v>
      </c>
      <c r="B2826" s="4"/>
      <c r="C2826" s="3">
        <v>0</v>
      </c>
      <c r="D2826" s="3">
        <v>0</v>
      </c>
      <c r="E2826" s="3">
        <v>5201</v>
      </c>
      <c r="F2826" s="3">
        <v>0</v>
      </c>
      <c r="G2826" s="3">
        <v>0</v>
      </c>
      <c r="H2826" s="2">
        <f t="shared" si="88"/>
        <v>5201</v>
      </c>
      <c r="I2826" t="str">
        <f t="shared" si="89"/>
        <v>Gm1966_5201</v>
      </c>
      <c r="J2826" s="3">
        <v>0</v>
      </c>
      <c r="K2826" s="3">
        <v>0</v>
      </c>
      <c r="L2826" s="3">
        <v>5201</v>
      </c>
      <c r="M2826" s="3">
        <v>0</v>
      </c>
      <c r="N2826" s="3">
        <v>0</v>
      </c>
    </row>
    <row r="2827" spans="1:14" x14ac:dyDescent="0.2">
      <c r="A2827" s="5" t="str">
        <f>HYPERLINK("http://www.ncbi.nlm.nih.gov/protein/309268933","Gm1966")</f>
        <v>Gm1966</v>
      </c>
      <c r="B2827" s="4"/>
      <c r="C2827" s="3">
        <v>0</v>
      </c>
      <c r="D2827" s="3">
        <v>668</v>
      </c>
      <c r="E2827" s="3">
        <v>0</v>
      </c>
      <c r="F2827" s="3">
        <v>6917</v>
      </c>
      <c r="G2827" s="3">
        <v>17360</v>
      </c>
      <c r="H2827" s="2">
        <f t="shared" si="88"/>
        <v>24945</v>
      </c>
      <c r="I2827" t="str">
        <f t="shared" si="89"/>
        <v>Gm1966_24945</v>
      </c>
      <c r="J2827" s="3">
        <v>0</v>
      </c>
      <c r="K2827" s="3">
        <v>668</v>
      </c>
      <c r="L2827" s="3">
        <v>0</v>
      </c>
      <c r="M2827" s="3">
        <v>6917</v>
      </c>
      <c r="N2827" s="3">
        <v>17360</v>
      </c>
    </row>
    <row r="2828" spans="1:14" x14ac:dyDescent="0.2">
      <c r="A2828" s="5" t="str">
        <f>HYPERLINK("http://www.ncbi.nlm.nih.gov/protein/407262653","Gm19843")</f>
        <v>Gm19843</v>
      </c>
      <c r="B2828" s="4"/>
      <c r="C2828" s="3">
        <v>86569</v>
      </c>
      <c r="D2828" s="3">
        <v>31233</v>
      </c>
      <c r="E2828" s="3">
        <v>111695</v>
      </c>
      <c r="F2828" s="3">
        <v>266023</v>
      </c>
      <c r="G2828" s="3">
        <v>0</v>
      </c>
      <c r="H2828" s="2">
        <f t="shared" si="88"/>
        <v>495520</v>
      </c>
      <c r="I2828" t="str">
        <f t="shared" si="89"/>
        <v>Gm19843_495520</v>
      </c>
      <c r="J2828" s="3">
        <v>86569</v>
      </c>
      <c r="K2828" s="3">
        <v>31233</v>
      </c>
      <c r="L2828" s="3">
        <v>111695</v>
      </c>
      <c r="M2828" s="3">
        <v>266023</v>
      </c>
      <c r="N2828" s="3">
        <v>0</v>
      </c>
    </row>
    <row r="2829" spans="1:14" x14ac:dyDescent="0.2">
      <c r="A2829" s="5" t="str">
        <f>HYPERLINK("http://www.ncbi.nlm.nih.gov/protein/407263827","Gm19843")</f>
        <v>Gm19843</v>
      </c>
      <c r="B2829" s="4"/>
      <c r="C2829" s="3">
        <v>130577</v>
      </c>
      <c r="D2829" s="3">
        <v>35006</v>
      </c>
      <c r="E2829" s="3">
        <v>127110</v>
      </c>
      <c r="F2829" s="3">
        <v>305837</v>
      </c>
      <c r="G2829" s="3">
        <v>0</v>
      </c>
      <c r="H2829" s="2">
        <f t="shared" si="88"/>
        <v>598530</v>
      </c>
      <c r="I2829" t="str">
        <f t="shared" si="89"/>
        <v>Gm19843_598530</v>
      </c>
      <c r="J2829" s="3">
        <v>130577</v>
      </c>
      <c r="K2829" s="3">
        <v>35006</v>
      </c>
      <c r="L2829" s="3">
        <v>127110</v>
      </c>
      <c r="M2829" s="3">
        <v>305837</v>
      </c>
      <c r="N2829" s="3">
        <v>0</v>
      </c>
    </row>
    <row r="2830" spans="1:14" x14ac:dyDescent="0.2">
      <c r="A2830" s="5" t="str">
        <f>HYPERLINK("http://www.ncbi.nlm.nih.gov/protein/407263802","Gm2001")</f>
        <v>Gm2001</v>
      </c>
      <c r="B2830" s="4"/>
      <c r="C2830" s="3">
        <v>3496</v>
      </c>
      <c r="D2830" s="3">
        <v>63</v>
      </c>
      <c r="E2830" s="3">
        <v>1294</v>
      </c>
      <c r="F2830" s="3">
        <v>1531</v>
      </c>
      <c r="G2830" s="3">
        <v>1917</v>
      </c>
      <c r="H2830" s="2">
        <f t="shared" si="88"/>
        <v>8301</v>
      </c>
      <c r="I2830" t="str">
        <f t="shared" si="89"/>
        <v>Gm2001_8301</v>
      </c>
      <c r="J2830" s="3">
        <v>3496</v>
      </c>
      <c r="K2830" s="3">
        <v>63</v>
      </c>
      <c r="L2830" s="3">
        <v>1294</v>
      </c>
      <c r="M2830" s="3">
        <v>1531</v>
      </c>
      <c r="N2830" s="3">
        <v>1917</v>
      </c>
    </row>
    <row r="2831" spans="1:14" x14ac:dyDescent="0.2">
      <c r="A2831" s="5" t="str">
        <f>HYPERLINK("http://www.ncbi.nlm.nih.gov/protein/309263466","Gm20056")</f>
        <v>Gm20056</v>
      </c>
      <c r="B2831" s="4"/>
      <c r="C2831" s="3">
        <v>0</v>
      </c>
      <c r="D2831" s="3">
        <v>816</v>
      </c>
      <c r="E2831" s="3">
        <v>2394</v>
      </c>
      <c r="F2831" s="3">
        <v>139</v>
      </c>
      <c r="G2831" s="3">
        <v>0</v>
      </c>
      <c r="H2831" s="2">
        <f t="shared" si="88"/>
        <v>3349</v>
      </c>
      <c r="I2831" t="str">
        <f t="shared" si="89"/>
        <v>Gm20056_3349</v>
      </c>
      <c r="J2831" s="3">
        <v>0</v>
      </c>
      <c r="K2831" s="3">
        <v>816</v>
      </c>
      <c r="L2831" s="3">
        <v>2394</v>
      </c>
      <c r="M2831" s="3">
        <v>139</v>
      </c>
      <c r="N2831" s="3">
        <v>0</v>
      </c>
    </row>
    <row r="2832" spans="1:14" x14ac:dyDescent="0.2">
      <c r="A2832" s="5" t="str">
        <f>HYPERLINK("http://www.ncbi.nlm.nih.gov/protein/309270749","Gm20056")</f>
        <v>Gm20056</v>
      </c>
      <c r="B2832" s="4"/>
      <c r="C2832" s="3">
        <v>13437</v>
      </c>
      <c r="D2832" s="3">
        <v>2075</v>
      </c>
      <c r="E2832" s="3">
        <v>5708</v>
      </c>
      <c r="F2832" s="3">
        <v>237</v>
      </c>
      <c r="G2832" s="3">
        <v>0</v>
      </c>
      <c r="H2832" s="2">
        <f t="shared" si="88"/>
        <v>21457</v>
      </c>
      <c r="I2832" t="str">
        <f t="shared" si="89"/>
        <v>Gm20056_21457</v>
      </c>
      <c r="J2832" s="3">
        <v>13437</v>
      </c>
      <c r="K2832" s="3">
        <v>2075</v>
      </c>
      <c r="L2832" s="3">
        <v>5708</v>
      </c>
      <c r="M2832" s="3">
        <v>237</v>
      </c>
      <c r="N2832" s="3">
        <v>0</v>
      </c>
    </row>
    <row r="2833" spans="1:14" x14ac:dyDescent="0.2">
      <c r="A2833" s="5" t="str">
        <f>HYPERLINK("http://www.ncbi.nlm.nih.gov/protein/169808420","Gm2016")</f>
        <v>Gm2016</v>
      </c>
      <c r="B2833" s="4"/>
      <c r="C2833" s="3">
        <v>494</v>
      </c>
      <c r="D2833" s="3">
        <v>2202</v>
      </c>
      <c r="E2833" s="3">
        <v>15977</v>
      </c>
      <c r="F2833" s="3">
        <v>12778</v>
      </c>
      <c r="G2833" s="3">
        <v>1971</v>
      </c>
      <c r="H2833" s="2">
        <f t="shared" si="88"/>
        <v>33422</v>
      </c>
      <c r="I2833" t="str">
        <f t="shared" si="89"/>
        <v>Gm2016_33422</v>
      </c>
      <c r="J2833" s="3">
        <v>494</v>
      </c>
      <c r="K2833" s="3">
        <v>2202</v>
      </c>
      <c r="L2833" s="3">
        <v>15977</v>
      </c>
      <c r="M2833" s="3">
        <v>12778</v>
      </c>
      <c r="N2833" s="3">
        <v>1971</v>
      </c>
    </row>
    <row r="2834" spans="1:14" x14ac:dyDescent="0.2">
      <c r="A2834" s="5" t="str">
        <f>HYPERLINK("http://www.ncbi.nlm.nih.gov/protein/407262742","Gm2016")</f>
        <v>Gm2016</v>
      </c>
      <c r="B2834" s="4"/>
      <c r="C2834" s="3">
        <v>494</v>
      </c>
      <c r="D2834" s="3">
        <v>1950</v>
      </c>
      <c r="E2834" s="3">
        <v>11249</v>
      </c>
      <c r="F2834" s="3">
        <v>13514</v>
      </c>
      <c r="G2834" s="3">
        <v>1221</v>
      </c>
      <c r="H2834" s="2">
        <f t="shared" si="88"/>
        <v>28428</v>
      </c>
      <c r="I2834" t="str">
        <f t="shared" si="89"/>
        <v>Gm2016_28428</v>
      </c>
      <c r="J2834" s="3">
        <v>494</v>
      </c>
      <c r="K2834" s="3">
        <v>1950</v>
      </c>
      <c r="L2834" s="3">
        <v>11249</v>
      </c>
      <c r="M2834" s="3">
        <v>13514</v>
      </c>
      <c r="N2834" s="3">
        <v>1221</v>
      </c>
    </row>
    <row r="2835" spans="1:14" x14ac:dyDescent="0.2">
      <c r="A2835" s="5" t="str">
        <f>HYPERLINK("http://www.ncbi.nlm.nih.gov/protein/294832030","Gm2022")</f>
        <v>Gm2022</v>
      </c>
      <c r="B2835" s="4"/>
      <c r="C2835" s="3">
        <v>494</v>
      </c>
      <c r="D2835" s="3">
        <v>315</v>
      </c>
      <c r="E2835" s="3">
        <v>10349</v>
      </c>
      <c r="F2835" s="3">
        <v>9209</v>
      </c>
      <c r="G2835" s="3">
        <v>750</v>
      </c>
      <c r="H2835" s="2">
        <f t="shared" si="88"/>
        <v>21117</v>
      </c>
      <c r="I2835" t="str">
        <f t="shared" si="89"/>
        <v>Gm2022_21117</v>
      </c>
      <c r="J2835" s="3">
        <v>494</v>
      </c>
      <c r="K2835" s="3">
        <v>315</v>
      </c>
      <c r="L2835" s="3">
        <v>10349</v>
      </c>
      <c r="M2835" s="3">
        <v>9209</v>
      </c>
      <c r="N2835" s="3">
        <v>750</v>
      </c>
    </row>
    <row r="2836" spans="1:14" x14ac:dyDescent="0.2">
      <c r="A2836" s="5" t="str">
        <f>HYPERLINK("http://www.ncbi.nlm.nih.gov/protein/407262565","Gm2022")</f>
        <v>Gm2022</v>
      </c>
      <c r="B2836" s="4"/>
      <c r="C2836" s="3">
        <v>494</v>
      </c>
      <c r="D2836" s="3">
        <v>1950</v>
      </c>
      <c r="E2836" s="3">
        <v>11249</v>
      </c>
      <c r="F2836" s="3">
        <v>13514</v>
      </c>
      <c r="G2836" s="3">
        <v>1221</v>
      </c>
      <c r="H2836" s="2">
        <f t="shared" si="88"/>
        <v>28428</v>
      </c>
      <c r="I2836" t="str">
        <f t="shared" si="89"/>
        <v>Gm2022_28428</v>
      </c>
      <c r="J2836" s="3">
        <v>494</v>
      </c>
      <c r="K2836" s="3">
        <v>1950</v>
      </c>
      <c r="L2836" s="3">
        <v>11249</v>
      </c>
      <c r="M2836" s="3">
        <v>13514</v>
      </c>
      <c r="N2836" s="3">
        <v>1221</v>
      </c>
    </row>
    <row r="2837" spans="1:14" x14ac:dyDescent="0.2">
      <c r="A2837" s="5" t="str">
        <f>HYPERLINK("http://www.ncbi.nlm.nih.gov/protein/309264649","Gm20267")</f>
        <v>Gm20267</v>
      </c>
      <c r="B2837" s="4"/>
      <c r="C2837" s="3">
        <v>146</v>
      </c>
      <c r="D2837" s="3">
        <v>432</v>
      </c>
      <c r="E2837" s="3">
        <v>0</v>
      </c>
      <c r="F2837" s="3">
        <v>0</v>
      </c>
      <c r="G2837" s="3">
        <v>0</v>
      </c>
      <c r="H2837" s="2">
        <f t="shared" si="88"/>
        <v>578</v>
      </c>
      <c r="I2837" t="str">
        <f t="shared" si="89"/>
        <v>Gm20267_578</v>
      </c>
      <c r="J2837" s="3">
        <v>146</v>
      </c>
      <c r="K2837" s="3">
        <v>432</v>
      </c>
      <c r="L2837" s="3">
        <v>0</v>
      </c>
      <c r="M2837" s="3">
        <v>0</v>
      </c>
      <c r="N2837" s="3">
        <v>0</v>
      </c>
    </row>
    <row r="2838" spans="1:14" x14ac:dyDescent="0.2">
      <c r="A2838" s="5" t="str">
        <f>HYPERLINK("http://www.ncbi.nlm.nih.gov/protein/149263427","Gm2046")</f>
        <v>Gm2046</v>
      </c>
      <c r="B2838" s="4"/>
      <c r="C2838" s="3">
        <v>0</v>
      </c>
      <c r="D2838" s="3">
        <v>253</v>
      </c>
      <c r="E2838" s="3">
        <v>4886</v>
      </c>
      <c r="F2838" s="3">
        <v>6090</v>
      </c>
      <c r="G2838" s="3">
        <v>750</v>
      </c>
      <c r="H2838" s="2">
        <f t="shared" si="88"/>
        <v>11979</v>
      </c>
      <c r="I2838" t="str">
        <f t="shared" si="89"/>
        <v>Gm2046_11979</v>
      </c>
      <c r="J2838" s="3">
        <v>0</v>
      </c>
      <c r="K2838" s="3">
        <v>253</v>
      </c>
      <c r="L2838" s="3">
        <v>4886</v>
      </c>
      <c r="M2838" s="3">
        <v>6090</v>
      </c>
      <c r="N2838" s="3">
        <v>750</v>
      </c>
    </row>
    <row r="2839" spans="1:14" x14ac:dyDescent="0.2">
      <c r="A2839" s="5" t="str">
        <f>HYPERLINK("http://www.ncbi.nlm.nih.gov/protein/219283246","Gm20604")</f>
        <v>Gm20604</v>
      </c>
      <c r="B2839" s="4"/>
      <c r="C2839" s="3">
        <v>0</v>
      </c>
      <c r="D2839" s="3">
        <v>0</v>
      </c>
      <c r="E2839" s="3">
        <v>0</v>
      </c>
      <c r="F2839" s="3">
        <v>319</v>
      </c>
      <c r="G2839" s="3">
        <v>107</v>
      </c>
      <c r="H2839" s="2">
        <f t="shared" si="88"/>
        <v>426</v>
      </c>
      <c r="I2839" t="str">
        <f t="shared" si="89"/>
        <v>Gm20604_426</v>
      </c>
      <c r="J2839" s="3">
        <v>0</v>
      </c>
      <c r="K2839" s="3">
        <v>0</v>
      </c>
      <c r="L2839" s="3">
        <v>0</v>
      </c>
      <c r="M2839" s="3">
        <v>319</v>
      </c>
      <c r="N2839" s="3">
        <v>107</v>
      </c>
    </row>
    <row r="2840" spans="1:14" x14ac:dyDescent="0.2">
      <c r="A2840" s="5" t="str">
        <f>HYPERLINK("http://www.ncbi.nlm.nih.gov/protein/407263654","Gm20746")</f>
        <v>Gm20746</v>
      </c>
      <c r="B2840" s="4"/>
      <c r="C2840" s="3">
        <v>174255</v>
      </c>
      <c r="D2840" s="3">
        <v>6670</v>
      </c>
      <c r="E2840" s="3">
        <v>4879</v>
      </c>
      <c r="F2840" s="3">
        <v>240492</v>
      </c>
      <c r="G2840" s="3">
        <v>0</v>
      </c>
      <c r="H2840" s="2">
        <f t="shared" si="88"/>
        <v>426296</v>
      </c>
      <c r="I2840" t="str">
        <f t="shared" si="89"/>
        <v>Gm20746_426296</v>
      </c>
      <c r="J2840" s="3">
        <v>174255</v>
      </c>
      <c r="K2840" s="3">
        <v>6670</v>
      </c>
      <c r="L2840" s="3">
        <v>4879</v>
      </c>
      <c r="M2840" s="3">
        <v>240492</v>
      </c>
      <c r="N2840" s="3">
        <v>0</v>
      </c>
    </row>
    <row r="2841" spans="1:14" x14ac:dyDescent="0.2">
      <c r="A2841" s="5" t="str">
        <f>HYPERLINK("http://www.ncbi.nlm.nih.gov/protein/149273202","Gm20899")</f>
        <v>Gm20899</v>
      </c>
      <c r="B2841" s="4"/>
      <c r="C2841" s="3">
        <v>2242469</v>
      </c>
      <c r="D2841" s="3">
        <v>208025</v>
      </c>
      <c r="E2841" s="3">
        <v>506486</v>
      </c>
      <c r="F2841" s="3">
        <v>1402727</v>
      </c>
      <c r="G2841" s="3">
        <v>2875448</v>
      </c>
      <c r="H2841" s="2">
        <f t="shared" si="88"/>
        <v>7235155</v>
      </c>
      <c r="I2841" t="str">
        <f t="shared" si="89"/>
        <v>Gm20899_7235155</v>
      </c>
      <c r="J2841" s="3">
        <v>2242469</v>
      </c>
      <c r="K2841" s="3">
        <v>208025</v>
      </c>
      <c r="L2841" s="3">
        <v>506486</v>
      </c>
      <c r="M2841" s="3">
        <v>1402727</v>
      </c>
      <c r="N2841" s="3">
        <v>2875448</v>
      </c>
    </row>
    <row r="2842" spans="1:14" x14ac:dyDescent="0.2">
      <c r="A2842" s="5" t="str">
        <f>HYPERLINK("http://www.ncbi.nlm.nih.gov/protein/398303830","Gm21319")</f>
        <v>Gm21319</v>
      </c>
      <c r="B2842" s="4"/>
      <c r="C2842" s="3">
        <v>494</v>
      </c>
      <c r="D2842" s="3">
        <v>1887</v>
      </c>
      <c r="E2842" s="3">
        <v>5774</v>
      </c>
      <c r="F2842" s="3">
        <v>7285</v>
      </c>
      <c r="G2842" s="3">
        <v>1221</v>
      </c>
      <c r="H2842" s="2">
        <f t="shared" si="88"/>
        <v>16661</v>
      </c>
      <c r="I2842" t="str">
        <f t="shared" si="89"/>
        <v>Gm21319_16661</v>
      </c>
      <c r="J2842" s="3">
        <v>494</v>
      </c>
      <c r="K2842" s="3">
        <v>1887</v>
      </c>
      <c r="L2842" s="3">
        <v>5774</v>
      </c>
      <c r="M2842" s="3">
        <v>7285</v>
      </c>
      <c r="N2842" s="3">
        <v>1221</v>
      </c>
    </row>
    <row r="2843" spans="1:14" x14ac:dyDescent="0.2">
      <c r="A2843" s="5" t="str">
        <f>HYPERLINK("http://www.ncbi.nlm.nih.gov/protein/407263560","Gm21540")</f>
        <v>Gm21540</v>
      </c>
      <c r="B2843" s="4"/>
      <c r="C2843" s="3">
        <v>35715</v>
      </c>
      <c r="D2843" s="3">
        <v>2474</v>
      </c>
      <c r="E2843" s="3">
        <v>11191</v>
      </c>
      <c r="F2843" s="3">
        <v>6409</v>
      </c>
      <c r="G2843" s="3">
        <v>0</v>
      </c>
      <c r="H2843" s="2">
        <f t="shared" si="88"/>
        <v>55789</v>
      </c>
      <c r="I2843" t="str">
        <f t="shared" si="89"/>
        <v>Gm21540_55789</v>
      </c>
      <c r="J2843" s="3">
        <v>35715</v>
      </c>
      <c r="K2843" s="3">
        <v>2474</v>
      </c>
      <c r="L2843" s="3">
        <v>11191</v>
      </c>
      <c r="M2843" s="3">
        <v>6409</v>
      </c>
      <c r="N2843" s="3">
        <v>0</v>
      </c>
    </row>
    <row r="2844" spans="1:14" x14ac:dyDescent="0.2">
      <c r="A2844" s="5" t="str">
        <f>HYPERLINK("http://www.ncbi.nlm.nih.gov/protein/407262920","Gm21596")</f>
        <v>Gm21596</v>
      </c>
      <c r="B2844" s="4"/>
      <c r="C2844" s="3">
        <v>135245</v>
      </c>
      <c r="D2844" s="3">
        <v>17341</v>
      </c>
      <c r="E2844" s="3">
        <v>28577</v>
      </c>
      <c r="F2844" s="3">
        <v>114475</v>
      </c>
      <c r="G2844" s="3">
        <v>266945</v>
      </c>
      <c r="H2844" s="2">
        <f t="shared" si="88"/>
        <v>562583</v>
      </c>
      <c r="I2844" t="str">
        <f t="shared" si="89"/>
        <v>Gm21596_562583</v>
      </c>
      <c r="J2844" s="3">
        <v>135245</v>
      </c>
      <c r="K2844" s="3">
        <v>17341</v>
      </c>
      <c r="L2844" s="3">
        <v>28577</v>
      </c>
      <c r="M2844" s="3">
        <v>114475</v>
      </c>
      <c r="N2844" s="3">
        <v>266945</v>
      </c>
    </row>
    <row r="2845" spans="1:14" x14ac:dyDescent="0.2">
      <c r="A2845" s="5" t="str">
        <f>HYPERLINK("http://www.ncbi.nlm.nih.gov/protein/309272927","Gm2260")</f>
        <v>Gm2260</v>
      </c>
      <c r="B2845" s="4"/>
      <c r="C2845" s="3">
        <v>6169</v>
      </c>
      <c r="D2845" s="3">
        <v>43781</v>
      </c>
      <c r="E2845" s="3">
        <v>134860</v>
      </c>
      <c r="F2845" s="3">
        <v>222467</v>
      </c>
      <c r="G2845" s="3">
        <v>75352</v>
      </c>
      <c r="H2845" s="2">
        <f t="shared" si="88"/>
        <v>482629</v>
      </c>
      <c r="I2845" t="str">
        <f t="shared" si="89"/>
        <v>Gm2260_482629</v>
      </c>
      <c r="J2845" s="3">
        <v>6169</v>
      </c>
      <c r="K2845" s="3">
        <v>43781</v>
      </c>
      <c r="L2845" s="3">
        <v>134860</v>
      </c>
      <c r="M2845" s="3">
        <v>222467</v>
      </c>
      <c r="N2845" s="3">
        <v>75352</v>
      </c>
    </row>
    <row r="2846" spans="1:14" x14ac:dyDescent="0.2">
      <c r="A2846" s="5" t="str">
        <f>HYPERLINK("http://www.ncbi.nlm.nih.gov/protein/309269866","Gm2423")</f>
        <v>Gm2423</v>
      </c>
      <c r="B2846" s="4"/>
      <c r="C2846" s="3">
        <v>528037</v>
      </c>
      <c r="D2846" s="3">
        <v>63287</v>
      </c>
      <c r="E2846" s="3">
        <v>155604</v>
      </c>
      <c r="F2846" s="3">
        <v>329084</v>
      </c>
      <c r="G2846" s="3">
        <v>567893</v>
      </c>
      <c r="H2846" s="2">
        <f t="shared" si="88"/>
        <v>1643905</v>
      </c>
      <c r="I2846" t="str">
        <f t="shared" si="89"/>
        <v>Gm2423_1643905</v>
      </c>
      <c r="J2846" s="3">
        <v>528037</v>
      </c>
      <c r="K2846" s="3">
        <v>63287</v>
      </c>
      <c r="L2846" s="3">
        <v>155604</v>
      </c>
      <c r="M2846" s="3">
        <v>329084</v>
      </c>
      <c r="N2846" s="3">
        <v>567893</v>
      </c>
    </row>
    <row r="2847" spans="1:14" x14ac:dyDescent="0.2">
      <c r="A2847" s="5" t="str">
        <f>HYPERLINK("http://www.ncbi.nlm.nih.gov/protein/149264832","Gm2904")</f>
        <v>Gm2904</v>
      </c>
      <c r="B2847" s="4"/>
      <c r="C2847" s="3">
        <v>0</v>
      </c>
      <c r="D2847" s="3">
        <v>0</v>
      </c>
      <c r="E2847" s="3">
        <v>3477</v>
      </c>
      <c r="F2847" s="3">
        <v>0</v>
      </c>
      <c r="G2847" s="3">
        <v>81467</v>
      </c>
      <c r="H2847" s="2">
        <f t="shared" si="88"/>
        <v>84944</v>
      </c>
      <c r="I2847" t="str">
        <f t="shared" si="89"/>
        <v>Gm2904_84944</v>
      </c>
      <c r="J2847" s="3">
        <v>0</v>
      </c>
      <c r="K2847" s="3">
        <v>0</v>
      </c>
      <c r="L2847" s="3">
        <v>3477</v>
      </c>
      <c r="M2847" s="3">
        <v>0</v>
      </c>
      <c r="N2847" s="3">
        <v>81467</v>
      </c>
    </row>
    <row r="2848" spans="1:14" x14ac:dyDescent="0.2">
      <c r="A2848" s="5" t="str">
        <f>HYPERLINK("http://www.ncbi.nlm.nih.gov/protein/6806917","Gm2a")</f>
        <v>Gm2a</v>
      </c>
      <c r="B2848" s="4"/>
      <c r="C2848" s="3">
        <v>0</v>
      </c>
      <c r="D2848" s="3">
        <v>276</v>
      </c>
      <c r="E2848" s="3">
        <v>1374</v>
      </c>
      <c r="F2848" s="3">
        <v>0</v>
      </c>
      <c r="G2848" s="3">
        <v>19470</v>
      </c>
      <c r="H2848" s="2">
        <f t="shared" si="88"/>
        <v>21120</v>
      </c>
      <c r="I2848" t="str">
        <f t="shared" si="89"/>
        <v>Gm2a_21120</v>
      </c>
      <c r="J2848" s="3">
        <v>0</v>
      </c>
      <c r="K2848" s="3">
        <v>276</v>
      </c>
      <c r="L2848" s="3">
        <v>1374</v>
      </c>
      <c r="M2848" s="3">
        <v>0</v>
      </c>
      <c r="N2848" s="3">
        <v>19470</v>
      </c>
    </row>
    <row r="2849" spans="1:14" x14ac:dyDescent="0.2">
      <c r="A2849" s="5" t="str">
        <f>HYPERLINK("http://www.ncbi.nlm.nih.gov/protein/309267022","Gm3141")</f>
        <v>Gm3141</v>
      </c>
      <c r="B2849" s="4"/>
      <c r="C2849" s="3">
        <v>0</v>
      </c>
      <c r="D2849" s="3">
        <v>61</v>
      </c>
      <c r="E2849" s="3">
        <v>383</v>
      </c>
      <c r="F2849" s="3">
        <v>9250</v>
      </c>
      <c r="G2849" s="3">
        <v>1906</v>
      </c>
      <c r="H2849" s="2">
        <f t="shared" si="88"/>
        <v>11600</v>
      </c>
      <c r="I2849" t="str">
        <f t="shared" si="89"/>
        <v>Gm3141_11600</v>
      </c>
      <c r="J2849" s="3">
        <v>0</v>
      </c>
      <c r="K2849" s="3">
        <v>61</v>
      </c>
      <c r="L2849" s="3">
        <v>383</v>
      </c>
      <c r="M2849" s="3">
        <v>9250</v>
      </c>
      <c r="N2849" s="3">
        <v>1906</v>
      </c>
    </row>
    <row r="2850" spans="1:14" x14ac:dyDescent="0.2">
      <c r="A2850" s="5" t="str">
        <f>HYPERLINK("http://www.ncbi.nlm.nih.gov/protein/309270370","Gm3141")</f>
        <v>Gm3141</v>
      </c>
      <c r="B2850" s="4"/>
      <c r="C2850" s="3">
        <v>0</v>
      </c>
      <c r="D2850" s="3">
        <v>61</v>
      </c>
      <c r="E2850" s="3">
        <v>383</v>
      </c>
      <c r="F2850" s="3">
        <v>9250</v>
      </c>
      <c r="G2850" s="3">
        <v>1906</v>
      </c>
      <c r="H2850" s="2">
        <f t="shared" si="88"/>
        <v>11600</v>
      </c>
      <c r="I2850" t="str">
        <f t="shared" si="89"/>
        <v>Gm3141_11600</v>
      </c>
      <c r="J2850" s="3">
        <v>0</v>
      </c>
      <c r="K2850" s="3">
        <v>61</v>
      </c>
      <c r="L2850" s="3">
        <v>383</v>
      </c>
      <c r="M2850" s="3">
        <v>9250</v>
      </c>
      <c r="N2850" s="3">
        <v>1906</v>
      </c>
    </row>
    <row r="2851" spans="1:14" x14ac:dyDescent="0.2">
      <c r="A2851" s="5" t="str">
        <f>HYPERLINK("http://www.ncbi.nlm.nih.gov/protein/309262094","Gm3213")</f>
        <v>Gm3213</v>
      </c>
      <c r="B2851" s="4"/>
      <c r="C2851" s="3">
        <v>2123</v>
      </c>
      <c r="D2851" s="3">
        <v>96</v>
      </c>
      <c r="E2851" s="3">
        <v>2450</v>
      </c>
      <c r="F2851" s="3">
        <v>16977</v>
      </c>
      <c r="G2851" s="3">
        <v>2934</v>
      </c>
      <c r="H2851" s="2">
        <f t="shared" si="88"/>
        <v>24580</v>
      </c>
      <c r="I2851" t="str">
        <f t="shared" si="89"/>
        <v>Gm3213_24580</v>
      </c>
      <c r="J2851" s="3">
        <v>2123</v>
      </c>
      <c r="K2851" s="3">
        <v>96</v>
      </c>
      <c r="L2851" s="3">
        <v>2450</v>
      </c>
      <c r="M2851" s="3">
        <v>16977</v>
      </c>
      <c r="N2851" s="3">
        <v>2934</v>
      </c>
    </row>
    <row r="2852" spans="1:14" x14ac:dyDescent="0.2">
      <c r="A2852" s="5" t="str">
        <f>HYPERLINK("http://www.ncbi.nlm.nih.gov/protein/149266669","Gm3244")</f>
        <v>Gm3244</v>
      </c>
      <c r="B2852" s="4"/>
      <c r="C2852" s="3">
        <v>9922</v>
      </c>
      <c r="D2852" s="3">
        <v>10573</v>
      </c>
      <c r="E2852" s="3">
        <v>306</v>
      </c>
      <c r="F2852" s="3">
        <v>221</v>
      </c>
      <c r="G2852" s="3">
        <v>0</v>
      </c>
      <c r="H2852" s="2">
        <f t="shared" si="88"/>
        <v>21022</v>
      </c>
      <c r="I2852" t="str">
        <f t="shared" si="89"/>
        <v>Gm3244_21022</v>
      </c>
      <c r="J2852" s="3">
        <v>9922</v>
      </c>
      <c r="K2852" s="3">
        <v>10573</v>
      </c>
      <c r="L2852" s="3">
        <v>306</v>
      </c>
      <c r="M2852" s="3">
        <v>221</v>
      </c>
      <c r="N2852" s="3">
        <v>0</v>
      </c>
    </row>
    <row r="2853" spans="1:14" x14ac:dyDescent="0.2">
      <c r="A2853" s="5" t="str">
        <f>HYPERLINK("http://www.ncbi.nlm.nih.gov/protein/7949148","Gm3258")</f>
        <v>Gm3258</v>
      </c>
      <c r="B2853" s="4"/>
      <c r="C2853" s="3">
        <v>0</v>
      </c>
      <c r="D2853" s="3">
        <v>276</v>
      </c>
      <c r="E2853" s="3">
        <v>0</v>
      </c>
      <c r="F2853" s="3">
        <v>393</v>
      </c>
      <c r="G2853" s="3">
        <v>2324</v>
      </c>
      <c r="H2853" s="2">
        <f t="shared" si="88"/>
        <v>2993</v>
      </c>
      <c r="I2853" t="str">
        <f t="shared" si="89"/>
        <v>Gm3258_2993</v>
      </c>
      <c r="J2853" s="3">
        <v>0</v>
      </c>
      <c r="K2853" s="3">
        <v>276</v>
      </c>
      <c r="L2853" s="3">
        <v>0</v>
      </c>
      <c r="M2853" s="3">
        <v>393</v>
      </c>
      <c r="N2853" s="3">
        <v>2324</v>
      </c>
    </row>
    <row r="2854" spans="1:14" x14ac:dyDescent="0.2">
      <c r="A2854" s="5" t="str">
        <f>HYPERLINK("http://www.ncbi.nlm.nih.gov/protein/309263233","Gm3362")</f>
        <v>Gm3362</v>
      </c>
      <c r="B2854" s="4"/>
      <c r="C2854" s="3">
        <v>150274</v>
      </c>
      <c r="D2854" s="3">
        <v>57056</v>
      </c>
      <c r="E2854" s="3">
        <v>182479</v>
      </c>
      <c r="F2854" s="3">
        <v>559508</v>
      </c>
      <c r="G2854" s="3">
        <v>1810</v>
      </c>
      <c r="H2854" s="2">
        <f t="shared" si="88"/>
        <v>951127</v>
      </c>
      <c r="I2854" t="str">
        <f t="shared" si="89"/>
        <v>Gm3362_951127</v>
      </c>
      <c r="J2854" s="3">
        <v>150274</v>
      </c>
      <c r="K2854" s="3">
        <v>57056</v>
      </c>
      <c r="L2854" s="3">
        <v>182479</v>
      </c>
      <c r="M2854" s="3">
        <v>559508</v>
      </c>
      <c r="N2854" s="3">
        <v>1810</v>
      </c>
    </row>
    <row r="2855" spans="1:14" x14ac:dyDescent="0.2">
      <c r="A2855" s="5" t="str">
        <f>HYPERLINK("http://www.ncbi.nlm.nih.gov/protein/309263978","Gm340")</f>
        <v>Gm340</v>
      </c>
      <c r="B2855" s="4"/>
      <c r="C2855" s="3">
        <v>0</v>
      </c>
      <c r="D2855" s="3">
        <v>0</v>
      </c>
      <c r="E2855" s="3">
        <v>0</v>
      </c>
      <c r="F2855" s="3">
        <v>0</v>
      </c>
      <c r="G2855" s="3">
        <v>6458</v>
      </c>
      <c r="H2855" s="2">
        <f t="shared" si="88"/>
        <v>6458</v>
      </c>
      <c r="I2855" t="str">
        <f t="shared" si="89"/>
        <v>Gm340_6458</v>
      </c>
      <c r="J2855" s="3">
        <v>0</v>
      </c>
      <c r="K2855" s="3">
        <v>0</v>
      </c>
      <c r="L2855" s="3">
        <v>0</v>
      </c>
      <c r="M2855" s="3">
        <v>0</v>
      </c>
      <c r="N2855" s="3">
        <v>6458</v>
      </c>
    </row>
    <row r="2856" spans="1:14" x14ac:dyDescent="0.2">
      <c r="A2856" s="5" t="str">
        <f>HYPERLINK("http://www.ncbi.nlm.nih.gov/protein/309271277","Gm340")</f>
        <v>Gm340</v>
      </c>
      <c r="B2856" s="4"/>
      <c r="C2856" s="3">
        <v>0</v>
      </c>
      <c r="D2856" s="3">
        <v>0</v>
      </c>
      <c r="E2856" s="3">
        <v>0</v>
      </c>
      <c r="F2856" s="3">
        <v>0</v>
      </c>
      <c r="G2856" s="3">
        <v>6458</v>
      </c>
      <c r="H2856" s="2">
        <f t="shared" si="88"/>
        <v>6458</v>
      </c>
      <c r="I2856" t="str">
        <f t="shared" si="89"/>
        <v>Gm340_6458</v>
      </c>
      <c r="J2856" s="3">
        <v>0</v>
      </c>
      <c r="K2856" s="3">
        <v>0</v>
      </c>
      <c r="L2856" s="3">
        <v>0</v>
      </c>
      <c r="M2856" s="3">
        <v>0</v>
      </c>
      <c r="N2856" s="3">
        <v>6458</v>
      </c>
    </row>
    <row r="2857" spans="1:14" x14ac:dyDescent="0.2">
      <c r="A2857" s="5" t="str">
        <f>HYPERLINK("http://www.ncbi.nlm.nih.gov/protein/377833368","Gm3552")</f>
        <v>Gm3552</v>
      </c>
      <c r="B2857" s="4"/>
      <c r="C2857" s="3">
        <v>51110</v>
      </c>
      <c r="D2857" s="3">
        <v>17</v>
      </c>
      <c r="E2857" s="3">
        <v>22436</v>
      </c>
      <c r="F2857" s="3">
        <v>499</v>
      </c>
      <c r="G2857" s="3">
        <v>0</v>
      </c>
      <c r="H2857" s="2">
        <f t="shared" si="88"/>
        <v>74062</v>
      </c>
      <c r="I2857" t="str">
        <f t="shared" si="89"/>
        <v>Gm3552_74062</v>
      </c>
      <c r="J2857" s="3">
        <v>51110</v>
      </c>
      <c r="K2857" s="3">
        <v>17</v>
      </c>
      <c r="L2857" s="3">
        <v>22436</v>
      </c>
      <c r="M2857" s="3">
        <v>499</v>
      </c>
      <c r="N2857" s="3">
        <v>0</v>
      </c>
    </row>
    <row r="2858" spans="1:14" x14ac:dyDescent="0.2">
      <c r="A2858" s="5" t="str">
        <f>HYPERLINK("http://www.ncbi.nlm.nih.gov/protein/377836168","Gm3552")</f>
        <v>Gm3552</v>
      </c>
      <c r="B2858" s="4"/>
      <c r="C2858" s="3">
        <v>51110</v>
      </c>
      <c r="D2858" s="3">
        <v>17</v>
      </c>
      <c r="E2858" s="3">
        <v>22436</v>
      </c>
      <c r="F2858" s="3">
        <v>499</v>
      </c>
      <c r="G2858" s="3">
        <v>0</v>
      </c>
      <c r="H2858" s="2">
        <f t="shared" si="88"/>
        <v>74062</v>
      </c>
      <c r="I2858" t="str">
        <f t="shared" si="89"/>
        <v>Gm3552_74062</v>
      </c>
      <c r="J2858" s="3">
        <v>51110</v>
      </c>
      <c r="K2858" s="3">
        <v>17</v>
      </c>
      <c r="L2858" s="3">
        <v>22436</v>
      </c>
      <c r="M2858" s="3">
        <v>499</v>
      </c>
      <c r="N2858" s="3">
        <v>0</v>
      </c>
    </row>
    <row r="2859" spans="1:14" x14ac:dyDescent="0.2">
      <c r="A2859" s="5" t="str">
        <f>HYPERLINK("http://www.ncbi.nlm.nih.gov/protein/340545553","Gm3776")</f>
        <v>Gm3776</v>
      </c>
      <c r="B2859" s="4"/>
      <c r="C2859" s="3">
        <v>2911</v>
      </c>
      <c r="D2859" s="3">
        <v>299</v>
      </c>
      <c r="E2859" s="3">
        <v>1441</v>
      </c>
      <c r="F2859" s="3">
        <v>2808</v>
      </c>
      <c r="G2859" s="3">
        <v>44037</v>
      </c>
      <c r="H2859" s="2">
        <f t="shared" si="88"/>
        <v>51496</v>
      </c>
      <c r="I2859" t="str">
        <f t="shared" si="89"/>
        <v>Gm3776_51496</v>
      </c>
      <c r="J2859" s="3">
        <v>2911</v>
      </c>
      <c r="K2859" s="3">
        <v>299</v>
      </c>
      <c r="L2859" s="3">
        <v>1441</v>
      </c>
      <c r="M2859" s="3">
        <v>2808</v>
      </c>
      <c r="N2859" s="3">
        <v>44037</v>
      </c>
    </row>
    <row r="2860" spans="1:14" x14ac:dyDescent="0.2">
      <c r="A2860" s="5" t="str">
        <f>HYPERLINK("http://www.ncbi.nlm.nih.gov/protein/309264292","Gm3837")</f>
        <v>Gm3837</v>
      </c>
      <c r="B2860" s="4"/>
      <c r="C2860" s="3">
        <v>18</v>
      </c>
      <c r="D2860" s="3">
        <v>94</v>
      </c>
      <c r="E2860" s="3">
        <v>247</v>
      </c>
      <c r="F2860" s="3">
        <v>7825</v>
      </c>
      <c r="G2860" s="3">
        <v>1531</v>
      </c>
      <c r="H2860" s="2">
        <f t="shared" si="88"/>
        <v>9715</v>
      </c>
      <c r="I2860" t="str">
        <f t="shared" si="89"/>
        <v>Gm3837_9715</v>
      </c>
      <c r="J2860" s="3">
        <v>18</v>
      </c>
      <c r="K2860" s="3">
        <v>94</v>
      </c>
      <c r="L2860" s="3">
        <v>247</v>
      </c>
      <c r="M2860" s="3">
        <v>7825</v>
      </c>
      <c r="N2860" s="3">
        <v>1531</v>
      </c>
    </row>
    <row r="2861" spans="1:14" x14ac:dyDescent="0.2">
      <c r="A2861" s="5" t="str">
        <f>HYPERLINK("http://www.ncbi.nlm.nih.gov/protein/309264301","Gm3934")</f>
        <v>Gm3934</v>
      </c>
      <c r="B2861" s="4"/>
      <c r="C2861" s="3">
        <v>42745</v>
      </c>
      <c r="D2861" s="3">
        <v>8444</v>
      </c>
      <c r="E2861" s="3">
        <v>6463</v>
      </c>
      <c r="F2861" s="3">
        <v>9962</v>
      </c>
      <c r="G2861" s="3">
        <v>97928</v>
      </c>
      <c r="H2861" s="2">
        <f t="shared" si="88"/>
        <v>165542</v>
      </c>
      <c r="I2861" t="str">
        <f t="shared" si="89"/>
        <v>Gm3934_165542</v>
      </c>
      <c r="J2861" s="3">
        <v>42745</v>
      </c>
      <c r="K2861" s="3">
        <v>8444</v>
      </c>
      <c r="L2861" s="3">
        <v>6463</v>
      </c>
      <c r="M2861" s="3">
        <v>9962</v>
      </c>
      <c r="N2861" s="3">
        <v>97928</v>
      </c>
    </row>
    <row r="2862" spans="1:14" x14ac:dyDescent="0.2">
      <c r="A2862" s="5" t="str">
        <f>HYPERLINK("http://www.ncbi.nlm.nih.gov/protein/309262833","Gm4024")</f>
        <v>Gm4024</v>
      </c>
      <c r="B2862" s="4"/>
      <c r="C2862" s="3">
        <v>142659</v>
      </c>
      <c r="D2862" s="3">
        <v>21324</v>
      </c>
      <c r="E2862" s="3">
        <v>15066</v>
      </c>
      <c r="F2862" s="3">
        <v>18499</v>
      </c>
      <c r="G2862" s="3">
        <v>0</v>
      </c>
      <c r="H2862" s="2">
        <f t="shared" si="88"/>
        <v>197548</v>
      </c>
      <c r="I2862" t="str">
        <f t="shared" si="89"/>
        <v>Gm4024_197548</v>
      </c>
      <c r="J2862" s="3">
        <v>142659</v>
      </c>
      <c r="K2862" s="3">
        <v>21324</v>
      </c>
      <c r="L2862" s="3">
        <v>15066</v>
      </c>
      <c r="M2862" s="3">
        <v>18499</v>
      </c>
      <c r="N2862" s="3">
        <v>0</v>
      </c>
    </row>
    <row r="2863" spans="1:14" x14ac:dyDescent="0.2">
      <c r="A2863" s="5" t="str">
        <f>HYPERLINK("http://www.ncbi.nlm.nih.gov/protein/294774578;294774603","Gm4027")</f>
        <v>Gm4027</v>
      </c>
      <c r="B2863" s="4"/>
      <c r="C2863" s="3">
        <v>0</v>
      </c>
      <c r="D2863" s="3">
        <v>0</v>
      </c>
      <c r="E2863" s="3">
        <v>4886</v>
      </c>
      <c r="F2863" s="3">
        <v>0</v>
      </c>
      <c r="G2863" s="3">
        <v>0</v>
      </c>
      <c r="H2863" s="2">
        <f t="shared" si="88"/>
        <v>4886</v>
      </c>
      <c r="I2863" t="str">
        <f t="shared" si="89"/>
        <v>Gm4027_4886</v>
      </c>
      <c r="J2863" s="3">
        <v>0</v>
      </c>
      <c r="K2863" s="3">
        <v>0</v>
      </c>
      <c r="L2863" s="3">
        <v>4886</v>
      </c>
      <c r="M2863" s="3">
        <v>0</v>
      </c>
      <c r="N2863" s="3">
        <v>0</v>
      </c>
    </row>
    <row r="2864" spans="1:14" x14ac:dyDescent="0.2">
      <c r="A2864" s="5" t="str">
        <f>HYPERLINK("http://www.ncbi.nlm.nih.gov/protein/339895904","Gm4070")</f>
        <v>Gm4070</v>
      </c>
      <c r="B2864" s="4"/>
      <c r="C2864" s="3">
        <v>0</v>
      </c>
      <c r="D2864" s="3">
        <v>0</v>
      </c>
      <c r="E2864" s="3">
        <v>31</v>
      </c>
      <c r="F2864" s="3">
        <v>0</v>
      </c>
      <c r="G2864" s="3">
        <v>0</v>
      </c>
      <c r="H2864" s="2">
        <f t="shared" si="88"/>
        <v>31</v>
      </c>
      <c r="I2864" t="str">
        <f t="shared" si="89"/>
        <v>Gm4070_31</v>
      </c>
      <c r="J2864" s="3">
        <v>0</v>
      </c>
      <c r="K2864" s="3">
        <v>0</v>
      </c>
      <c r="L2864" s="3">
        <v>31</v>
      </c>
      <c r="M2864" s="3">
        <v>0</v>
      </c>
      <c r="N2864" s="3">
        <v>0</v>
      </c>
    </row>
    <row r="2865" spans="1:14" x14ac:dyDescent="0.2">
      <c r="A2865" s="5" t="str">
        <f>HYPERLINK("http://www.ncbi.nlm.nih.gov/protein/149267527","Gm4581")</f>
        <v>Gm4581</v>
      </c>
      <c r="B2865" s="4"/>
      <c r="C2865" s="3">
        <v>101251</v>
      </c>
      <c r="D2865" s="3">
        <v>53910</v>
      </c>
      <c r="E2865" s="3">
        <v>109052</v>
      </c>
      <c r="F2865" s="3">
        <v>122153</v>
      </c>
      <c r="G2865" s="3">
        <v>0</v>
      </c>
      <c r="H2865" s="2">
        <f t="shared" si="88"/>
        <v>386366</v>
      </c>
      <c r="I2865" t="str">
        <f t="shared" si="89"/>
        <v>Gm4581_386366</v>
      </c>
      <c r="J2865" s="3">
        <v>101251</v>
      </c>
      <c r="K2865" s="3">
        <v>53910</v>
      </c>
      <c r="L2865" s="3">
        <v>109052</v>
      </c>
      <c r="M2865" s="3">
        <v>122153</v>
      </c>
      <c r="N2865" s="3">
        <v>0</v>
      </c>
    </row>
    <row r="2866" spans="1:14" x14ac:dyDescent="0.2">
      <c r="A2866" s="5" t="str">
        <f>HYPERLINK("http://www.ncbi.nlm.nih.gov/protein/309265658","Gm4604")</f>
        <v>Gm4604</v>
      </c>
      <c r="B2866" s="4"/>
      <c r="C2866" s="3">
        <v>24750</v>
      </c>
      <c r="D2866" s="3">
        <v>26735</v>
      </c>
      <c r="E2866" s="3">
        <v>83525</v>
      </c>
      <c r="F2866" s="3">
        <v>408468</v>
      </c>
      <c r="G2866" s="3">
        <v>0</v>
      </c>
      <c r="H2866" s="2">
        <f t="shared" si="88"/>
        <v>543478</v>
      </c>
      <c r="I2866" t="str">
        <f t="shared" si="89"/>
        <v>Gm4604_543478</v>
      </c>
      <c r="J2866" s="3">
        <v>24750</v>
      </c>
      <c r="K2866" s="3">
        <v>26735</v>
      </c>
      <c r="L2866" s="3">
        <v>83525</v>
      </c>
      <c r="M2866" s="3">
        <v>408468</v>
      </c>
      <c r="N2866" s="3">
        <v>0</v>
      </c>
    </row>
    <row r="2867" spans="1:14" x14ac:dyDescent="0.2">
      <c r="A2867" s="5" t="str">
        <f>HYPERLINK("http://www.ncbi.nlm.nih.gov/protein/168229231","Gm4794")</f>
        <v>Gm4794</v>
      </c>
      <c r="B2867" s="4"/>
      <c r="C2867" s="3">
        <v>0</v>
      </c>
      <c r="D2867" s="3">
        <v>0</v>
      </c>
      <c r="E2867" s="3">
        <v>0</v>
      </c>
      <c r="F2867" s="3">
        <v>0</v>
      </c>
      <c r="G2867" s="3">
        <v>300</v>
      </c>
      <c r="H2867" s="2">
        <f t="shared" si="88"/>
        <v>300</v>
      </c>
      <c r="I2867" t="str">
        <f t="shared" si="89"/>
        <v>Gm4794_300</v>
      </c>
      <c r="J2867" s="3">
        <v>0</v>
      </c>
      <c r="K2867" s="3">
        <v>0</v>
      </c>
      <c r="L2867" s="3">
        <v>0</v>
      </c>
      <c r="M2867" s="3">
        <v>0</v>
      </c>
      <c r="N2867" s="3">
        <v>300</v>
      </c>
    </row>
    <row r="2868" spans="1:14" x14ac:dyDescent="0.2">
      <c r="A2868" s="5" t="str">
        <f>HYPERLINK("http://www.ncbi.nlm.nih.gov/protein/298493250","Gm4832")</f>
        <v>Gm4832</v>
      </c>
      <c r="B2868" s="4"/>
      <c r="C2868" s="3">
        <v>0</v>
      </c>
      <c r="D2868" s="3">
        <v>0</v>
      </c>
      <c r="E2868" s="3">
        <v>88</v>
      </c>
      <c r="F2868" s="3">
        <v>262</v>
      </c>
      <c r="G2868" s="3">
        <v>0</v>
      </c>
      <c r="H2868" s="2">
        <f t="shared" si="88"/>
        <v>350</v>
      </c>
      <c r="I2868" t="str">
        <f t="shared" si="89"/>
        <v>Gm4832_350</v>
      </c>
      <c r="J2868" s="3">
        <v>0</v>
      </c>
      <c r="K2868" s="3">
        <v>0</v>
      </c>
      <c r="L2868" s="3">
        <v>88</v>
      </c>
      <c r="M2868" s="3">
        <v>262</v>
      </c>
      <c r="N2868" s="3">
        <v>0</v>
      </c>
    </row>
    <row r="2869" spans="1:14" x14ac:dyDescent="0.2">
      <c r="A2869" s="5" t="str">
        <f>HYPERLINK("http://www.ncbi.nlm.nih.gov/protein/256221758","Gm4846")</f>
        <v>Gm4846</v>
      </c>
      <c r="B2869" s="4"/>
      <c r="C2869" s="3">
        <v>0</v>
      </c>
      <c r="D2869" s="3">
        <v>0</v>
      </c>
      <c r="E2869" s="3">
        <v>45</v>
      </c>
      <c r="F2869" s="3">
        <v>0</v>
      </c>
      <c r="G2869" s="3">
        <v>0</v>
      </c>
      <c r="H2869" s="2">
        <f t="shared" si="88"/>
        <v>45</v>
      </c>
      <c r="I2869" t="str">
        <f t="shared" si="89"/>
        <v>Gm4846_45</v>
      </c>
      <c r="J2869" s="3">
        <v>0</v>
      </c>
      <c r="K2869" s="3">
        <v>0</v>
      </c>
      <c r="L2869" s="3">
        <v>45</v>
      </c>
      <c r="M2869" s="3">
        <v>0</v>
      </c>
      <c r="N2869" s="3">
        <v>0</v>
      </c>
    </row>
    <row r="2870" spans="1:14" x14ac:dyDescent="0.2">
      <c r="A2870" s="5" t="str">
        <f>HYPERLINK("http://www.ncbi.nlm.nih.gov/protein/256221898","Gm4847")</f>
        <v>Gm4847</v>
      </c>
      <c r="B2870" s="4"/>
      <c r="C2870" s="3">
        <v>0</v>
      </c>
      <c r="D2870" s="3">
        <v>0</v>
      </c>
      <c r="E2870" s="3">
        <v>45</v>
      </c>
      <c r="F2870" s="3">
        <v>0</v>
      </c>
      <c r="G2870" s="3">
        <v>0</v>
      </c>
      <c r="H2870" s="2">
        <f t="shared" si="88"/>
        <v>45</v>
      </c>
      <c r="I2870" t="str">
        <f t="shared" si="89"/>
        <v>Gm4847_45</v>
      </c>
      <c r="J2870" s="3">
        <v>0</v>
      </c>
      <c r="K2870" s="3">
        <v>0</v>
      </c>
      <c r="L2870" s="3">
        <v>45</v>
      </c>
      <c r="M2870" s="3">
        <v>0</v>
      </c>
      <c r="N2870" s="3">
        <v>0</v>
      </c>
    </row>
    <row r="2871" spans="1:14" x14ac:dyDescent="0.2">
      <c r="A2871" s="5" t="str">
        <f>HYPERLINK("http://www.ncbi.nlm.nih.gov/protein/82904428","Gm4883")</f>
        <v>Gm4883</v>
      </c>
      <c r="B2871" s="4"/>
      <c r="C2871" s="3">
        <v>0</v>
      </c>
      <c r="D2871" s="3">
        <v>309</v>
      </c>
      <c r="E2871" s="3">
        <v>32076</v>
      </c>
      <c r="F2871" s="3">
        <v>178871</v>
      </c>
      <c r="G2871" s="3">
        <v>0</v>
      </c>
      <c r="H2871" s="2">
        <f t="shared" si="88"/>
        <v>211256</v>
      </c>
      <c r="I2871" t="str">
        <f t="shared" si="89"/>
        <v>Gm4883_211256</v>
      </c>
      <c r="J2871" s="3">
        <v>0</v>
      </c>
      <c r="K2871" s="3">
        <v>309</v>
      </c>
      <c r="L2871" s="3">
        <v>32076</v>
      </c>
      <c r="M2871" s="3">
        <v>178871</v>
      </c>
      <c r="N2871" s="3">
        <v>0</v>
      </c>
    </row>
    <row r="2872" spans="1:14" x14ac:dyDescent="0.2">
      <c r="A2872" s="5" t="str">
        <f>HYPERLINK("http://www.ncbi.nlm.nih.gov/protein/407261549","Gm4887")</f>
        <v>Gm4887</v>
      </c>
      <c r="B2872" s="4"/>
      <c r="C2872" s="3">
        <v>3680</v>
      </c>
      <c r="D2872" s="3">
        <v>749</v>
      </c>
      <c r="E2872" s="3">
        <v>522</v>
      </c>
      <c r="F2872" s="3">
        <v>81913</v>
      </c>
      <c r="G2872" s="3">
        <v>30169</v>
      </c>
      <c r="H2872" s="2">
        <f t="shared" si="88"/>
        <v>117033</v>
      </c>
      <c r="I2872" t="str">
        <f t="shared" si="89"/>
        <v>Gm4887_117033</v>
      </c>
      <c r="J2872" s="3">
        <v>3680</v>
      </c>
      <c r="K2872" s="3">
        <v>749</v>
      </c>
      <c r="L2872" s="3">
        <v>522</v>
      </c>
      <c r="M2872" s="3">
        <v>81913</v>
      </c>
      <c r="N2872" s="3">
        <v>30169</v>
      </c>
    </row>
    <row r="2873" spans="1:14" x14ac:dyDescent="0.2">
      <c r="A2873" s="5" t="str">
        <f>HYPERLINK("http://www.ncbi.nlm.nih.gov/protein/149258537","Gm4889")</f>
        <v>Gm4889</v>
      </c>
      <c r="B2873" s="4"/>
      <c r="C2873" s="3">
        <v>0</v>
      </c>
      <c r="D2873" s="3">
        <v>954</v>
      </c>
      <c r="E2873" s="3">
        <v>7933</v>
      </c>
      <c r="F2873" s="3">
        <v>25015</v>
      </c>
      <c r="G2873" s="3">
        <v>0</v>
      </c>
      <c r="H2873" s="2">
        <f t="shared" si="88"/>
        <v>33902</v>
      </c>
      <c r="I2873" t="str">
        <f t="shared" si="89"/>
        <v>Gm4889_33902</v>
      </c>
      <c r="J2873" s="3">
        <v>0</v>
      </c>
      <c r="K2873" s="3">
        <v>954</v>
      </c>
      <c r="L2873" s="3">
        <v>7933</v>
      </c>
      <c r="M2873" s="3">
        <v>25015</v>
      </c>
      <c r="N2873" s="3">
        <v>0</v>
      </c>
    </row>
    <row r="2874" spans="1:14" x14ac:dyDescent="0.2">
      <c r="A2874" s="5" t="str">
        <f>HYPERLINK("http://www.ncbi.nlm.nih.gov/protein/309266241","Gm4889")</f>
        <v>Gm4889</v>
      </c>
      <c r="B2874" s="4"/>
      <c r="C2874" s="3">
        <v>7743</v>
      </c>
      <c r="D2874" s="3">
        <v>3279</v>
      </c>
      <c r="E2874" s="3">
        <v>11417</v>
      </c>
      <c r="F2874" s="3">
        <v>76871</v>
      </c>
      <c r="G2874" s="3">
        <v>0</v>
      </c>
      <c r="H2874" s="2">
        <f t="shared" si="88"/>
        <v>99310</v>
      </c>
      <c r="I2874" t="str">
        <f t="shared" si="89"/>
        <v>Gm4889_99310</v>
      </c>
      <c r="J2874" s="3">
        <v>7743</v>
      </c>
      <c r="K2874" s="3">
        <v>3279</v>
      </c>
      <c r="L2874" s="3">
        <v>11417</v>
      </c>
      <c r="M2874" s="3">
        <v>76871</v>
      </c>
      <c r="N2874" s="3">
        <v>0</v>
      </c>
    </row>
    <row r="2875" spans="1:14" x14ac:dyDescent="0.2">
      <c r="A2875" s="5" t="str">
        <f>HYPERLINK("http://www.ncbi.nlm.nih.gov/protein/309266922","Gm4916")</f>
        <v>Gm4916</v>
      </c>
      <c r="B2875" s="4"/>
      <c r="C2875" s="3">
        <v>76775</v>
      </c>
      <c r="D2875" s="3">
        <v>820</v>
      </c>
      <c r="E2875" s="3">
        <v>17168</v>
      </c>
      <c r="F2875" s="3">
        <v>3544</v>
      </c>
      <c r="G2875" s="3">
        <v>7775</v>
      </c>
      <c r="H2875" s="2">
        <f t="shared" si="88"/>
        <v>106082</v>
      </c>
      <c r="I2875" t="str">
        <f t="shared" si="89"/>
        <v>Gm4916_106082</v>
      </c>
      <c r="J2875" s="3">
        <v>76775</v>
      </c>
      <c r="K2875" s="3">
        <v>820</v>
      </c>
      <c r="L2875" s="3">
        <v>17168</v>
      </c>
      <c r="M2875" s="3">
        <v>3544</v>
      </c>
      <c r="N2875" s="3">
        <v>7775</v>
      </c>
    </row>
    <row r="2876" spans="1:14" x14ac:dyDescent="0.2">
      <c r="A2876" s="5" t="str">
        <f>HYPERLINK("http://www.ncbi.nlm.nih.gov/protein/81230474","Gm4925")</f>
        <v>Gm4925</v>
      </c>
      <c r="B2876" s="4"/>
      <c r="C2876" s="3">
        <v>51129</v>
      </c>
      <c r="D2876" s="3">
        <v>2336</v>
      </c>
      <c r="E2876" s="3">
        <v>29460</v>
      </c>
      <c r="F2876" s="3">
        <v>73171</v>
      </c>
      <c r="G2876" s="3">
        <v>1510</v>
      </c>
      <c r="H2876" s="2">
        <f t="shared" si="88"/>
        <v>157606</v>
      </c>
      <c r="I2876" t="str">
        <f t="shared" si="89"/>
        <v>Gm4925_157606</v>
      </c>
      <c r="J2876" s="3">
        <v>51129</v>
      </c>
      <c r="K2876" s="3">
        <v>2336</v>
      </c>
      <c r="L2876" s="3">
        <v>29460</v>
      </c>
      <c r="M2876" s="3">
        <v>73171</v>
      </c>
      <c r="N2876" s="3">
        <v>1510</v>
      </c>
    </row>
    <row r="2877" spans="1:14" x14ac:dyDescent="0.2">
      <c r="A2877" s="5" t="str">
        <f>HYPERLINK("http://www.ncbi.nlm.nih.gov/protein/149267789","Gm4943")</f>
        <v>Gm4943</v>
      </c>
      <c r="B2877" s="4"/>
      <c r="C2877" s="3">
        <v>2453</v>
      </c>
      <c r="D2877" s="3">
        <v>624</v>
      </c>
      <c r="E2877" s="3">
        <v>116</v>
      </c>
      <c r="F2877" s="3">
        <v>0</v>
      </c>
      <c r="G2877" s="3">
        <v>0</v>
      </c>
      <c r="H2877" s="2">
        <f t="shared" si="88"/>
        <v>3193</v>
      </c>
      <c r="I2877" t="str">
        <f t="shared" si="89"/>
        <v>Gm4943_3193</v>
      </c>
      <c r="J2877" s="3">
        <v>2453</v>
      </c>
      <c r="K2877" s="3">
        <v>624</v>
      </c>
      <c r="L2877" s="3">
        <v>116</v>
      </c>
      <c r="M2877" s="3">
        <v>0</v>
      </c>
      <c r="N2877" s="3">
        <v>0</v>
      </c>
    </row>
    <row r="2878" spans="1:14" x14ac:dyDescent="0.2">
      <c r="A2878" s="5" t="str">
        <f>HYPERLINK("http://www.ncbi.nlm.nih.gov/protein/20846986","Gm4963")</f>
        <v>Gm4963</v>
      </c>
      <c r="B2878" s="4"/>
      <c r="C2878" s="3">
        <v>216469</v>
      </c>
      <c r="D2878" s="3">
        <v>55242</v>
      </c>
      <c r="E2878" s="3">
        <v>149142</v>
      </c>
      <c r="F2878" s="3">
        <v>235204</v>
      </c>
      <c r="G2878" s="3">
        <v>4027</v>
      </c>
      <c r="H2878" s="2">
        <f t="shared" si="88"/>
        <v>660084</v>
      </c>
      <c r="I2878" t="str">
        <f t="shared" si="89"/>
        <v>Gm4963_660084</v>
      </c>
      <c r="J2878" s="3">
        <v>216469</v>
      </c>
      <c r="K2878" s="3">
        <v>55242</v>
      </c>
      <c r="L2878" s="3">
        <v>149142</v>
      </c>
      <c r="M2878" s="3">
        <v>235204</v>
      </c>
      <c r="N2878" s="3">
        <v>4027</v>
      </c>
    </row>
    <row r="2879" spans="1:14" x14ac:dyDescent="0.2">
      <c r="A2879" s="5" t="str">
        <f>HYPERLINK("http://www.ncbi.nlm.nih.gov/protein/307574641","Gm4975")</f>
        <v>Gm4975</v>
      </c>
      <c r="B2879" s="4"/>
      <c r="C2879" s="3">
        <v>0</v>
      </c>
      <c r="D2879" s="3">
        <v>0</v>
      </c>
      <c r="E2879" s="3">
        <v>342</v>
      </c>
      <c r="F2879" s="3">
        <v>0</v>
      </c>
      <c r="G2879" s="3">
        <v>0</v>
      </c>
      <c r="H2879" s="2">
        <f t="shared" si="88"/>
        <v>342</v>
      </c>
      <c r="I2879" t="str">
        <f t="shared" si="89"/>
        <v>Gm4975_342</v>
      </c>
      <c r="J2879" s="3">
        <v>0</v>
      </c>
      <c r="K2879" s="3">
        <v>0</v>
      </c>
      <c r="L2879" s="3">
        <v>342</v>
      </c>
      <c r="M2879" s="3">
        <v>0</v>
      </c>
      <c r="N2879" s="3">
        <v>0</v>
      </c>
    </row>
    <row r="2880" spans="1:14" x14ac:dyDescent="0.2">
      <c r="A2880" s="5" t="str">
        <f>HYPERLINK("http://www.ncbi.nlm.nih.gov/protein/25032837","Gm5058")</f>
        <v>Gm5058</v>
      </c>
      <c r="B2880" s="4"/>
      <c r="C2880" s="3">
        <v>5455</v>
      </c>
      <c r="D2880" s="3">
        <v>29517</v>
      </c>
      <c r="E2880" s="3">
        <v>79646</v>
      </c>
      <c r="F2880" s="3">
        <v>329493</v>
      </c>
      <c r="G2880" s="3">
        <v>0</v>
      </c>
      <c r="H2880" s="2">
        <f t="shared" si="88"/>
        <v>444111</v>
      </c>
      <c r="I2880" t="str">
        <f t="shared" si="89"/>
        <v>Gm5058_444111</v>
      </c>
      <c r="J2880" s="3">
        <v>5455</v>
      </c>
      <c r="K2880" s="3">
        <v>29517</v>
      </c>
      <c r="L2880" s="3">
        <v>79646</v>
      </c>
      <c r="M2880" s="3">
        <v>329493</v>
      </c>
      <c r="N2880" s="3">
        <v>0</v>
      </c>
    </row>
    <row r="2881" spans="1:14" x14ac:dyDescent="0.2">
      <c r="A2881" s="5" t="str">
        <f>HYPERLINK("http://www.ncbi.nlm.nih.gov/protein/407261991","Gm5068")</f>
        <v>Gm5068</v>
      </c>
      <c r="B2881" s="4"/>
      <c r="C2881" s="3">
        <v>824</v>
      </c>
      <c r="D2881" s="3">
        <v>0</v>
      </c>
      <c r="E2881" s="3">
        <v>1362</v>
      </c>
      <c r="F2881" s="3">
        <v>0</v>
      </c>
      <c r="G2881" s="3">
        <v>139</v>
      </c>
      <c r="H2881" s="2">
        <f t="shared" si="88"/>
        <v>2325</v>
      </c>
      <c r="I2881" t="str">
        <f t="shared" si="89"/>
        <v>Gm5068_2325</v>
      </c>
      <c r="J2881" s="3">
        <v>824</v>
      </c>
      <c r="K2881" s="3">
        <v>0</v>
      </c>
      <c r="L2881" s="3">
        <v>1362</v>
      </c>
      <c r="M2881" s="3">
        <v>0</v>
      </c>
      <c r="N2881" s="3">
        <v>139</v>
      </c>
    </row>
    <row r="2882" spans="1:14" x14ac:dyDescent="0.2">
      <c r="A2882" s="5" t="str">
        <f>HYPERLINK("http://www.ncbi.nlm.nih.gov/protein/149263303","Gm5068")</f>
        <v>Gm5068</v>
      </c>
      <c r="B2882" s="4"/>
      <c r="C2882" s="3">
        <v>23011</v>
      </c>
      <c r="D2882" s="3">
        <v>142</v>
      </c>
      <c r="E2882" s="3">
        <v>11796</v>
      </c>
      <c r="F2882" s="3">
        <v>180</v>
      </c>
      <c r="G2882" s="3">
        <v>7936</v>
      </c>
      <c r="H2882" s="2">
        <f t="shared" ref="H2882:H2945" si="90">SUM(C2882:G2882)</f>
        <v>43065</v>
      </c>
      <c r="I2882" t="str">
        <f t="shared" ref="I2882:I2945" si="91">A2882&amp;"_"&amp;H2882</f>
        <v>Gm5068_43065</v>
      </c>
      <c r="J2882" s="3">
        <v>23011</v>
      </c>
      <c r="K2882" s="3">
        <v>142</v>
      </c>
      <c r="L2882" s="3">
        <v>11796</v>
      </c>
      <c r="M2882" s="3">
        <v>180</v>
      </c>
      <c r="N2882" s="3">
        <v>7936</v>
      </c>
    </row>
    <row r="2883" spans="1:14" x14ac:dyDescent="0.2">
      <c r="A2883" s="5" t="str">
        <f>HYPERLINK("http://www.ncbi.nlm.nih.gov/protein/82994207","Gm5093")</f>
        <v>Gm5093</v>
      </c>
      <c r="B2883" s="4"/>
      <c r="C2883" s="3">
        <v>205467</v>
      </c>
      <c r="D2883" s="3">
        <v>6450</v>
      </c>
      <c r="E2883" s="3">
        <v>32230</v>
      </c>
      <c r="F2883" s="3">
        <v>163785</v>
      </c>
      <c r="G2883" s="3">
        <v>2356</v>
      </c>
      <c r="H2883" s="2">
        <f t="shared" si="90"/>
        <v>410288</v>
      </c>
      <c r="I2883" t="str">
        <f t="shared" si="91"/>
        <v>Gm5093_410288</v>
      </c>
      <c r="J2883" s="3">
        <v>205467</v>
      </c>
      <c r="K2883" s="3">
        <v>6450</v>
      </c>
      <c r="L2883" s="3">
        <v>32230</v>
      </c>
      <c r="M2883" s="3">
        <v>163785</v>
      </c>
      <c r="N2883" s="3">
        <v>2356</v>
      </c>
    </row>
    <row r="2884" spans="1:14" x14ac:dyDescent="0.2">
      <c r="A2884" s="5" t="str">
        <f>HYPERLINK("http://www.ncbi.nlm.nih.gov/protein/407262170","Gm5215")</f>
        <v>Gm5215</v>
      </c>
      <c r="B2884" s="4"/>
      <c r="C2884" s="3">
        <v>78807</v>
      </c>
      <c r="D2884" s="3">
        <v>18516</v>
      </c>
      <c r="E2884" s="3">
        <v>165624</v>
      </c>
      <c r="F2884" s="3">
        <v>453259</v>
      </c>
      <c r="G2884" s="3">
        <v>268</v>
      </c>
      <c r="H2884" s="2">
        <f t="shared" si="90"/>
        <v>716474</v>
      </c>
      <c r="I2884" t="str">
        <f t="shared" si="91"/>
        <v>Gm5215_716474</v>
      </c>
      <c r="J2884" s="3">
        <v>78807</v>
      </c>
      <c r="K2884" s="3">
        <v>18516</v>
      </c>
      <c r="L2884" s="3">
        <v>165624</v>
      </c>
      <c r="M2884" s="3">
        <v>453259</v>
      </c>
      <c r="N2884" s="3">
        <v>268</v>
      </c>
    </row>
    <row r="2885" spans="1:14" x14ac:dyDescent="0.2">
      <c r="A2885" s="5" t="str">
        <f>HYPERLINK("http://www.ncbi.nlm.nih.gov/protein/407264077","Gm5215")</f>
        <v>Gm5215</v>
      </c>
      <c r="B2885" s="4"/>
      <c r="C2885" s="3">
        <v>78807</v>
      </c>
      <c r="D2885" s="3">
        <v>18516</v>
      </c>
      <c r="E2885" s="3">
        <v>165550</v>
      </c>
      <c r="F2885" s="3">
        <v>443535</v>
      </c>
      <c r="G2885" s="3">
        <v>268</v>
      </c>
      <c r="H2885" s="2">
        <f t="shared" si="90"/>
        <v>706676</v>
      </c>
      <c r="I2885" t="str">
        <f t="shared" si="91"/>
        <v>Gm5215_706676</v>
      </c>
      <c r="J2885" s="3">
        <v>78807</v>
      </c>
      <c r="K2885" s="3">
        <v>18516</v>
      </c>
      <c r="L2885" s="3">
        <v>165550</v>
      </c>
      <c r="M2885" s="3">
        <v>443535</v>
      </c>
      <c r="N2885" s="3">
        <v>268</v>
      </c>
    </row>
    <row r="2886" spans="1:14" x14ac:dyDescent="0.2">
      <c r="A2886" s="5" t="str">
        <f>HYPERLINK("http://www.ncbi.nlm.nih.gov/protein/309263329","Gm5218")</f>
        <v>Gm5218</v>
      </c>
      <c r="B2886" s="4"/>
      <c r="C2886" s="3">
        <v>21253</v>
      </c>
      <c r="D2886" s="3">
        <v>956</v>
      </c>
      <c r="E2886" s="3">
        <v>12969</v>
      </c>
      <c r="F2886" s="3">
        <v>25441</v>
      </c>
      <c r="G2886" s="3">
        <v>0</v>
      </c>
      <c r="H2886" s="2">
        <f t="shared" si="90"/>
        <v>60619</v>
      </c>
      <c r="I2886" t="str">
        <f t="shared" si="91"/>
        <v>Gm5218_60619</v>
      </c>
      <c r="J2886" s="3">
        <v>21253</v>
      </c>
      <c r="K2886" s="3">
        <v>956</v>
      </c>
      <c r="L2886" s="3">
        <v>12969</v>
      </c>
      <c r="M2886" s="3">
        <v>25441</v>
      </c>
      <c r="N2886" s="3">
        <v>0</v>
      </c>
    </row>
    <row r="2887" spans="1:14" x14ac:dyDescent="0.2">
      <c r="A2887" s="5" t="str">
        <f>HYPERLINK("http://www.ncbi.nlm.nih.gov/protein/94380332","Gm5331")</f>
        <v>Gm5331</v>
      </c>
      <c r="B2887" s="4"/>
      <c r="C2887" s="3">
        <v>0</v>
      </c>
      <c r="D2887" s="3">
        <v>785</v>
      </c>
      <c r="E2887" s="3">
        <v>726</v>
      </c>
      <c r="F2887" s="3">
        <v>0</v>
      </c>
      <c r="G2887" s="3">
        <v>0</v>
      </c>
      <c r="H2887" s="2">
        <f t="shared" si="90"/>
        <v>1511</v>
      </c>
      <c r="I2887" t="str">
        <f t="shared" si="91"/>
        <v>Gm5331_1511</v>
      </c>
      <c r="J2887" s="3">
        <v>0</v>
      </c>
      <c r="K2887" s="3">
        <v>785</v>
      </c>
      <c r="L2887" s="3">
        <v>726</v>
      </c>
      <c r="M2887" s="3">
        <v>0</v>
      </c>
      <c r="N2887" s="3">
        <v>0</v>
      </c>
    </row>
    <row r="2888" spans="1:14" x14ac:dyDescent="0.2">
      <c r="A2888" s="5" t="str">
        <f>HYPERLINK("http://www.ncbi.nlm.nih.gov/protein/407264363","Gm5396")</f>
        <v>Gm5396</v>
      </c>
      <c r="B2888" s="4"/>
      <c r="C2888" s="3">
        <v>38022</v>
      </c>
      <c r="D2888" s="3">
        <v>7747</v>
      </c>
      <c r="E2888" s="3">
        <v>1333</v>
      </c>
      <c r="F2888" s="3">
        <v>2971</v>
      </c>
      <c r="G2888" s="3">
        <v>131727</v>
      </c>
      <c r="H2888" s="2">
        <f t="shared" si="90"/>
        <v>181800</v>
      </c>
      <c r="I2888" t="str">
        <f t="shared" si="91"/>
        <v>Gm5396_181800</v>
      </c>
      <c r="J2888" s="3">
        <v>38022</v>
      </c>
      <c r="K2888" s="3">
        <v>7747</v>
      </c>
      <c r="L2888" s="3">
        <v>1333</v>
      </c>
      <c r="M2888" s="3">
        <v>2971</v>
      </c>
      <c r="N2888" s="3">
        <v>131727</v>
      </c>
    </row>
    <row r="2889" spans="1:14" x14ac:dyDescent="0.2">
      <c r="A2889" s="5" t="str">
        <f>HYPERLINK("http://www.ncbi.nlm.nih.gov/protein/83004259","Gm5396")</f>
        <v>Gm5396</v>
      </c>
      <c r="B2889" s="4"/>
      <c r="C2889" s="3">
        <v>38022</v>
      </c>
      <c r="D2889" s="3">
        <v>7747</v>
      </c>
      <c r="E2889" s="3">
        <v>1333</v>
      </c>
      <c r="F2889" s="3">
        <v>2971</v>
      </c>
      <c r="G2889" s="3">
        <v>131727</v>
      </c>
      <c r="H2889" s="2">
        <f t="shared" si="90"/>
        <v>181800</v>
      </c>
      <c r="I2889" t="str">
        <f t="shared" si="91"/>
        <v>Gm5396_181800</v>
      </c>
      <c r="J2889" s="3">
        <v>38022</v>
      </c>
      <c r="K2889" s="3">
        <v>7747</v>
      </c>
      <c r="L2889" s="3">
        <v>1333</v>
      </c>
      <c r="M2889" s="3">
        <v>2971</v>
      </c>
      <c r="N2889" s="3">
        <v>131727</v>
      </c>
    </row>
    <row r="2890" spans="1:14" x14ac:dyDescent="0.2">
      <c r="A2890" s="5" t="str">
        <f>HYPERLINK("http://www.ncbi.nlm.nih.gov/protein/256017236","Gm5415")</f>
        <v>Gm5415</v>
      </c>
      <c r="B2890" s="4"/>
      <c r="C2890" s="3">
        <v>0</v>
      </c>
      <c r="D2890" s="3">
        <v>0</v>
      </c>
      <c r="E2890" s="3">
        <v>31</v>
      </c>
      <c r="F2890" s="3">
        <v>0</v>
      </c>
      <c r="G2890" s="3">
        <v>0</v>
      </c>
      <c r="H2890" s="2">
        <f t="shared" si="90"/>
        <v>31</v>
      </c>
      <c r="I2890" t="str">
        <f t="shared" si="91"/>
        <v>Gm5415_31</v>
      </c>
      <c r="J2890" s="3">
        <v>0</v>
      </c>
      <c r="K2890" s="3">
        <v>0</v>
      </c>
      <c r="L2890" s="3">
        <v>31</v>
      </c>
      <c r="M2890" s="3">
        <v>0</v>
      </c>
      <c r="N2890" s="3">
        <v>0</v>
      </c>
    </row>
    <row r="2891" spans="1:14" x14ac:dyDescent="0.2">
      <c r="A2891" s="5" t="str">
        <f>HYPERLINK("http://www.ncbi.nlm.nih.gov/protein/407261829","Gm5428")</f>
        <v>Gm5428</v>
      </c>
      <c r="B2891" s="4"/>
      <c r="C2891" s="3">
        <v>231004</v>
      </c>
      <c r="D2891" s="3">
        <v>98069</v>
      </c>
      <c r="E2891" s="3">
        <v>190950</v>
      </c>
      <c r="F2891" s="3">
        <v>980639</v>
      </c>
      <c r="G2891" s="3">
        <v>0</v>
      </c>
      <c r="H2891" s="2">
        <f t="shared" si="90"/>
        <v>1500662</v>
      </c>
      <c r="I2891" t="str">
        <f t="shared" si="91"/>
        <v>Gm5428_1500662</v>
      </c>
      <c r="J2891" s="3">
        <v>231004</v>
      </c>
      <c r="K2891" s="3">
        <v>98069</v>
      </c>
      <c r="L2891" s="3">
        <v>190950</v>
      </c>
      <c r="M2891" s="3">
        <v>980639</v>
      </c>
      <c r="N2891" s="3">
        <v>0</v>
      </c>
    </row>
    <row r="2892" spans="1:14" x14ac:dyDescent="0.2">
      <c r="A2892" s="5" t="str">
        <f>HYPERLINK("http://www.ncbi.nlm.nih.gov/protein/82949522","Gm5445")</f>
        <v>Gm5445</v>
      </c>
      <c r="B2892" s="4"/>
      <c r="C2892" s="3">
        <v>73096</v>
      </c>
      <c r="D2892" s="3">
        <v>26511</v>
      </c>
      <c r="E2892" s="3">
        <v>75005</v>
      </c>
      <c r="F2892" s="3">
        <v>88756</v>
      </c>
      <c r="G2892" s="3">
        <v>0</v>
      </c>
      <c r="H2892" s="2">
        <f t="shared" si="90"/>
        <v>263368</v>
      </c>
      <c r="I2892" t="str">
        <f t="shared" si="91"/>
        <v>Gm5445_263368</v>
      </c>
      <c r="J2892" s="3">
        <v>73096</v>
      </c>
      <c r="K2892" s="3">
        <v>26511</v>
      </c>
      <c r="L2892" s="3">
        <v>75005</v>
      </c>
      <c r="M2892" s="3">
        <v>88756</v>
      </c>
      <c r="N2892" s="3">
        <v>0</v>
      </c>
    </row>
    <row r="2893" spans="1:14" x14ac:dyDescent="0.2">
      <c r="A2893" s="5" t="str">
        <f>HYPERLINK("http://www.ncbi.nlm.nih.gov/protein/407262054","Gm5451")</f>
        <v>Gm5451</v>
      </c>
      <c r="B2893" s="4"/>
      <c r="C2893" s="3">
        <v>272723</v>
      </c>
      <c r="D2893" s="3">
        <v>13648</v>
      </c>
      <c r="E2893" s="3">
        <v>56071</v>
      </c>
      <c r="F2893" s="3">
        <v>64019</v>
      </c>
      <c r="G2893" s="3">
        <v>0</v>
      </c>
      <c r="H2893" s="2">
        <f t="shared" si="90"/>
        <v>406461</v>
      </c>
      <c r="I2893" t="str">
        <f t="shared" si="91"/>
        <v>Gm5451_406461</v>
      </c>
      <c r="J2893" s="3">
        <v>272723</v>
      </c>
      <c r="K2893" s="3">
        <v>13648</v>
      </c>
      <c r="L2893" s="3">
        <v>56071</v>
      </c>
      <c r="M2893" s="3">
        <v>64019</v>
      </c>
      <c r="N2893" s="3">
        <v>0</v>
      </c>
    </row>
    <row r="2894" spans="1:14" x14ac:dyDescent="0.2">
      <c r="A2894" s="5" t="str">
        <f>HYPERLINK("http://www.ncbi.nlm.nih.gov/protein/51767763","Gm5451")</f>
        <v>Gm5451</v>
      </c>
      <c r="B2894" s="4"/>
      <c r="C2894" s="3">
        <v>310470</v>
      </c>
      <c r="D2894" s="3">
        <v>24601</v>
      </c>
      <c r="E2894" s="3">
        <v>122369</v>
      </c>
      <c r="F2894" s="3">
        <v>105430</v>
      </c>
      <c r="G2894" s="3">
        <v>0</v>
      </c>
      <c r="H2894" s="2">
        <f t="shared" si="90"/>
        <v>562870</v>
      </c>
      <c r="I2894" t="str">
        <f t="shared" si="91"/>
        <v>Gm5451_562870</v>
      </c>
      <c r="J2894" s="3">
        <v>310470</v>
      </c>
      <c r="K2894" s="3">
        <v>24601</v>
      </c>
      <c r="L2894" s="3">
        <v>122369</v>
      </c>
      <c r="M2894" s="3">
        <v>105430</v>
      </c>
      <c r="N2894" s="3">
        <v>0</v>
      </c>
    </row>
    <row r="2895" spans="1:14" x14ac:dyDescent="0.2">
      <c r="A2895" s="5" t="str">
        <f>HYPERLINK("http://www.ncbi.nlm.nih.gov/protein/82951993","Gm5453")</f>
        <v>Gm5453</v>
      </c>
      <c r="B2895" s="4"/>
      <c r="C2895" s="3">
        <v>90194</v>
      </c>
      <c r="D2895" s="3">
        <v>2762</v>
      </c>
      <c r="E2895" s="3">
        <v>16003</v>
      </c>
      <c r="F2895" s="3">
        <v>260407</v>
      </c>
      <c r="G2895" s="3">
        <v>0</v>
      </c>
      <c r="H2895" s="2">
        <f t="shared" si="90"/>
        <v>369366</v>
      </c>
      <c r="I2895" t="str">
        <f t="shared" si="91"/>
        <v>Gm5453_369366</v>
      </c>
      <c r="J2895" s="3">
        <v>90194</v>
      </c>
      <c r="K2895" s="3">
        <v>2762</v>
      </c>
      <c r="L2895" s="3">
        <v>16003</v>
      </c>
      <c r="M2895" s="3">
        <v>260407</v>
      </c>
      <c r="N2895" s="3">
        <v>0</v>
      </c>
    </row>
    <row r="2896" spans="1:14" x14ac:dyDescent="0.2">
      <c r="A2896" s="5" t="str">
        <f>HYPERLINK("http://www.ncbi.nlm.nih.gov/protein/82957080","Gm5471")</f>
        <v>Gm5471</v>
      </c>
      <c r="B2896" s="4"/>
      <c r="C2896" s="3">
        <v>0</v>
      </c>
      <c r="D2896" s="3">
        <v>0</v>
      </c>
      <c r="E2896" s="3">
        <v>0</v>
      </c>
      <c r="F2896" s="3">
        <v>33</v>
      </c>
      <c r="G2896" s="3">
        <v>0</v>
      </c>
      <c r="H2896" s="2">
        <f t="shared" si="90"/>
        <v>33</v>
      </c>
      <c r="I2896" t="str">
        <f t="shared" si="91"/>
        <v>Gm5471_33</v>
      </c>
      <c r="J2896" s="3">
        <v>0</v>
      </c>
      <c r="K2896" s="3">
        <v>0</v>
      </c>
      <c r="L2896" s="3">
        <v>0</v>
      </c>
      <c r="M2896" s="3">
        <v>33</v>
      </c>
      <c r="N2896" s="3">
        <v>0</v>
      </c>
    </row>
    <row r="2897" spans="1:14" x14ac:dyDescent="0.2">
      <c r="A2897" s="5" t="str">
        <f>HYPERLINK("http://www.ncbi.nlm.nih.gov/protein/82964986","Gm5481")</f>
        <v>Gm5481</v>
      </c>
      <c r="B2897" s="4"/>
      <c r="C2897" s="3">
        <v>0</v>
      </c>
      <c r="D2897" s="3">
        <v>0</v>
      </c>
      <c r="E2897" s="3">
        <v>3105</v>
      </c>
      <c r="F2897" s="3">
        <v>65</v>
      </c>
      <c r="G2897" s="3">
        <v>0</v>
      </c>
      <c r="H2897" s="2">
        <f t="shared" si="90"/>
        <v>3170</v>
      </c>
      <c r="I2897" t="str">
        <f t="shared" si="91"/>
        <v>Gm5481_3170</v>
      </c>
      <c r="J2897" s="3">
        <v>0</v>
      </c>
      <c r="K2897" s="3">
        <v>0</v>
      </c>
      <c r="L2897" s="3">
        <v>3105</v>
      </c>
      <c r="M2897" s="3">
        <v>65</v>
      </c>
      <c r="N2897" s="3">
        <v>0</v>
      </c>
    </row>
    <row r="2898" spans="1:14" x14ac:dyDescent="0.2">
      <c r="A2898" s="5" t="str">
        <f>HYPERLINK("http://www.ncbi.nlm.nih.gov/protein/70794816","Gm5506")</f>
        <v>Gm5506</v>
      </c>
      <c r="B2898" s="4"/>
      <c r="C2898" s="3">
        <v>907850</v>
      </c>
      <c r="D2898" s="3">
        <v>191909</v>
      </c>
      <c r="E2898" s="3">
        <v>0</v>
      </c>
      <c r="F2898" s="3">
        <v>802725</v>
      </c>
      <c r="G2898" s="3">
        <v>2825135</v>
      </c>
      <c r="H2898" s="2">
        <f t="shared" si="90"/>
        <v>4727619</v>
      </c>
      <c r="I2898" t="str">
        <f t="shared" si="91"/>
        <v>Gm5506_4727619</v>
      </c>
      <c r="J2898" s="3">
        <v>907850</v>
      </c>
      <c r="K2898" s="3">
        <v>191909</v>
      </c>
      <c r="L2898" s="3">
        <v>0</v>
      </c>
      <c r="M2898" s="3">
        <v>802725</v>
      </c>
      <c r="N2898" s="3">
        <v>2825135</v>
      </c>
    </row>
    <row r="2899" spans="1:14" x14ac:dyDescent="0.2">
      <c r="A2899" s="5" t="str">
        <f>HYPERLINK("http://www.ncbi.nlm.nih.gov/protein/82879797","Gm5528")</f>
        <v>Gm5528</v>
      </c>
      <c r="B2899" s="4"/>
      <c r="C2899" s="3">
        <v>71979</v>
      </c>
      <c r="D2899" s="3">
        <v>39254</v>
      </c>
      <c r="E2899" s="3">
        <v>113540</v>
      </c>
      <c r="F2899" s="3">
        <v>260235</v>
      </c>
      <c r="G2899" s="3">
        <v>0</v>
      </c>
      <c r="H2899" s="2">
        <f t="shared" si="90"/>
        <v>485008</v>
      </c>
      <c r="I2899" t="str">
        <f t="shared" si="91"/>
        <v>Gm5528_485008</v>
      </c>
      <c r="J2899" s="3">
        <v>71979</v>
      </c>
      <c r="K2899" s="3">
        <v>39254</v>
      </c>
      <c r="L2899" s="3">
        <v>113540</v>
      </c>
      <c r="M2899" s="3">
        <v>260235</v>
      </c>
      <c r="N2899" s="3">
        <v>0</v>
      </c>
    </row>
    <row r="2900" spans="1:14" x14ac:dyDescent="0.2">
      <c r="A2900" s="5" t="str">
        <f>HYPERLINK("http://www.ncbi.nlm.nih.gov/protein/82896822","Gm5553")</f>
        <v>Gm5553</v>
      </c>
      <c r="B2900" s="4"/>
      <c r="C2900" s="3">
        <v>0</v>
      </c>
      <c r="D2900" s="3">
        <v>0</v>
      </c>
      <c r="E2900" s="3">
        <v>1285</v>
      </c>
      <c r="F2900" s="3">
        <v>0</v>
      </c>
      <c r="G2900" s="3">
        <v>0</v>
      </c>
      <c r="H2900" s="2">
        <f t="shared" si="90"/>
        <v>1285</v>
      </c>
      <c r="I2900" t="str">
        <f t="shared" si="91"/>
        <v>Gm5553_1285</v>
      </c>
      <c r="J2900" s="3">
        <v>0</v>
      </c>
      <c r="K2900" s="3">
        <v>0</v>
      </c>
      <c r="L2900" s="3">
        <v>1285</v>
      </c>
      <c r="M2900" s="3">
        <v>0</v>
      </c>
      <c r="N2900" s="3">
        <v>0</v>
      </c>
    </row>
    <row r="2901" spans="1:14" x14ac:dyDescent="0.2">
      <c r="A2901" s="5" t="str">
        <f>HYPERLINK("http://www.ncbi.nlm.nih.gov/protein/94375800","Gm5566")</f>
        <v>Gm5566</v>
      </c>
      <c r="B2901" s="4"/>
      <c r="C2901" s="3">
        <v>42031</v>
      </c>
      <c r="D2901" s="3">
        <v>51622</v>
      </c>
      <c r="E2901" s="3">
        <v>77518</v>
      </c>
      <c r="F2901" s="3">
        <v>184650</v>
      </c>
      <c r="G2901" s="3">
        <v>648032</v>
      </c>
      <c r="H2901" s="2">
        <f t="shared" si="90"/>
        <v>1003853</v>
      </c>
      <c r="I2901" t="str">
        <f t="shared" si="91"/>
        <v>Gm5566_1003853</v>
      </c>
      <c r="J2901" s="3">
        <v>42031</v>
      </c>
      <c r="K2901" s="3">
        <v>51622</v>
      </c>
      <c r="L2901" s="3">
        <v>77518</v>
      </c>
      <c r="M2901" s="3">
        <v>184650</v>
      </c>
      <c r="N2901" s="3">
        <v>648032</v>
      </c>
    </row>
    <row r="2902" spans="1:14" x14ac:dyDescent="0.2">
      <c r="A2902" s="5" t="str">
        <f>HYPERLINK("http://www.ncbi.nlm.nih.gov/protein/82902181","Gm5576")</f>
        <v>Gm5576</v>
      </c>
      <c r="B2902" s="4"/>
      <c r="C2902" s="3">
        <v>192396</v>
      </c>
      <c r="D2902" s="3">
        <v>38924</v>
      </c>
      <c r="E2902" s="3">
        <v>79117</v>
      </c>
      <c r="F2902" s="3">
        <v>74243</v>
      </c>
      <c r="G2902" s="3">
        <v>49649</v>
      </c>
      <c r="H2902" s="2">
        <f t="shared" si="90"/>
        <v>434329</v>
      </c>
      <c r="I2902" t="str">
        <f t="shared" si="91"/>
        <v>Gm5576_434329</v>
      </c>
      <c r="J2902" s="3">
        <v>192396</v>
      </c>
      <c r="K2902" s="3">
        <v>38924</v>
      </c>
      <c r="L2902" s="3">
        <v>79117</v>
      </c>
      <c r="M2902" s="3">
        <v>74243</v>
      </c>
      <c r="N2902" s="3">
        <v>49649</v>
      </c>
    </row>
    <row r="2903" spans="1:14" x14ac:dyDescent="0.2">
      <c r="A2903" s="5" t="str">
        <f>HYPERLINK("http://www.ncbi.nlm.nih.gov/protein/85701806","Gm561")</f>
        <v>Gm561</v>
      </c>
      <c r="B2903" s="4"/>
      <c r="C2903" s="3">
        <v>0</v>
      </c>
      <c r="D2903" s="3">
        <v>102</v>
      </c>
      <c r="E2903" s="3">
        <v>20</v>
      </c>
      <c r="F2903" s="3">
        <v>0</v>
      </c>
      <c r="G2903" s="3">
        <v>0</v>
      </c>
      <c r="H2903" s="2">
        <f t="shared" si="90"/>
        <v>122</v>
      </c>
      <c r="I2903" t="str">
        <f t="shared" si="91"/>
        <v>Gm561_122</v>
      </c>
      <c r="J2903" s="3">
        <v>0</v>
      </c>
      <c r="K2903" s="3">
        <v>102</v>
      </c>
      <c r="L2903" s="3">
        <v>20</v>
      </c>
      <c r="M2903" s="3">
        <v>0</v>
      </c>
      <c r="N2903" s="3">
        <v>0</v>
      </c>
    </row>
    <row r="2904" spans="1:14" x14ac:dyDescent="0.2">
      <c r="A2904" s="5" t="str">
        <f>HYPERLINK("http://www.ncbi.nlm.nih.gov/protein/82930689","Gm5620")</f>
        <v>Gm5620</v>
      </c>
      <c r="B2904" s="4"/>
      <c r="C2904" s="3">
        <v>493622</v>
      </c>
      <c r="D2904" s="3">
        <v>100299</v>
      </c>
      <c r="E2904" s="3">
        <v>170726</v>
      </c>
      <c r="F2904" s="3">
        <v>881037</v>
      </c>
      <c r="G2904" s="3">
        <v>584161</v>
      </c>
      <c r="H2904" s="2">
        <f t="shared" si="90"/>
        <v>2229845</v>
      </c>
      <c r="I2904" t="str">
        <f t="shared" si="91"/>
        <v>Gm5620_2229845</v>
      </c>
      <c r="J2904" s="3">
        <v>493622</v>
      </c>
      <c r="K2904" s="3">
        <v>100299</v>
      </c>
      <c r="L2904" s="3">
        <v>170726</v>
      </c>
      <c r="M2904" s="3">
        <v>881037</v>
      </c>
      <c r="N2904" s="3">
        <v>584161</v>
      </c>
    </row>
    <row r="2905" spans="1:14" x14ac:dyDescent="0.2">
      <c r="A2905" s="5" t="str">
        <f>HYPERLINK("http://www.ncbi.nlm.nih.gov/protein/309266590","Gm5621")</f>
        <v>Gm5621</v>
      </c>
      <c r="B2905" s="4"/>
      <c r="C2905" s="3">
        <v>50360</v>
      </c>
      <c r="D2905" s="3">
        <v>4160</v>
      </c>
      <c r="E2905" s="3">
        <v>57036</v>
      </c>
      <c r="F2905" s="3">
        <v>85768</v>
      </c>
      <c r="G2905" s="3">
        <v>0</v>
      </c>
      <c r="H2905" s="2">
        <f t="shared" si="90"/>
        <v>197324</v>
      </c>
      <c r="I2905" t="str">
        <f t="shared" si="91"/>
        <v>Gm5621_197324</v>
      </c>
      <c r="J2905" s="3">
        <v>50360</v>
      </c>
      <c r="K2905" s="3">
        <v>4160</v>
      </c>
      <c r="L2905" s="3">
        <v>57036</v>
      </c>
      <c r="M2905" s="3">
        <v>85768</v>
      </c>
      <c r="N2905" s="3">
        <v>0</v>
      </c>
    </row>
    <row r="2906" spans="1:14" x14ac:dyDescent="0.2">
      <c r="A2906" s="5" t="str">
        <f>HYPERLINK("http://www.ncbi.nlm.nih.gov/protein/82931053","Gm5621")</f>
        <v>Gm5621</v>
      </c>
      <c r="B2906" s="4"/>
      <c r="C2906" s="3">
        <v>27917</v>
      </c>
      <c r="D2906" s="3">
        <v>2912</v>
      </c>
      <c r="E2906" s="3">
        <v>41077</v>
      </c>
      <c r="F2906" s="3">
        <v>54000</v>
      </c>
      <c r="G2906" s="3">
        <v>0</v>
      </c>
      <c r="H2906" s="2">
        <f t="shared" si="90"/>
        <v>125906</v>
      </c>
      <c r="I2906" t="str">
        <f t="shared" si="91"/>
        <v>Gm5621_125906</v>
      </c>
      <c r="J2906" s="3">
        <v>27917</v>
      </c>
      <c r="K2906" s="3">
        <v>2912</v>
      </c>
      <c r="L2906" s="3">
        <v>41077</v>
      </c>
      <c r="M2906" s="3">
        <v>54000</v>
      </c>
      <c r="N2906" s="3">
        <v>0</v>
      </c>
    </row>
    <row r="2907" spans="1:14" x14ac:dyDescent="0.2">
      <c r="A2907" s="5" t="str">
        <f>HYPERLINK("http://www.ncbi.nlm.nih.gov/protein/149262895","Gm5633")</f>
        <v>Gm5633</v>
      </c>
      <c r="B2907" s="4"/>
      <c r="C2907" s="3">
        <v>494</v>
      </c>
      <c r="D2907" s="3">
        <v>142</v>
      </c>
      <c r="E2907" s="3">
        <v>571</v>
      </c>
      <c r="F2907" s="3">
        <v>9397</v>
      </c>
      <c r="G2907" s="3">
        <v>0</v>
      </c>
      <c r="H2907" s="2">
        <f t="shared" si="90"/>
        <v>10604</v>
      </c>
      <c r="I2907" t="str">
        <f t="shared" si="91"/>
        <v>Gm5633_10604</v>
      </c>
      <c r="J2907" s="3">
        <v>494</v>
      </c>
      <c r="K2907" s="3">
        <v>142</v>
      </c>
      <c r="L2907" s="3">
        <v>571</v>
      </c>
      <c r="M2907" s="3">
        <v>9397</v>
      </c>
      <c r="N2907" s="3">
        <v>0</v>
      </c>
    </row>
    <row r="2908" spans="1:14" x14ac:dyDescent="0.2">
      <c r="A2908" s="5" t="str">
        <f>HYPERLINK("http://www.ncbi.nlm.nih.gov/protein/83001127","Gm5637")</f>
        <v>Gm5637</v>
      </c>
      <c r="B2908" s="4"/>
      <c r="C2908" s="3">
        <v>13418</v>
      </c>
      <c r="D2908" s="3">
        <v>238</v>
      </c>
      <c r="E2908" s="3">
        <v>8121</v>
      </c>
      <c r="F2908" s="3">
        <v>66180</v>
      </c>
      <c r="G2908" s="3">
        <v>24021</v>
      </c>
      <c r="H2908" s="2">
        <f t="shared" si="90"/>
        <v>111978</v>
      </c>
      <c r="I2908" t="str">
        <f t="shared" si="91"/>
        <v>Gm5637_111978</v>
      </c>
      <c r="J2908" s="3">
        <v>13418</v>
      </c>
      <c r="K2908" s="3">
        <v>238</v>
      </c>
      <c r="L2908" s="3">
        <v>8121</v>
      </c>
      <c r="M2908" s="3">
        <v>66180</v>
      </c>
      <c r="N2908" s="3">
        <v>24021</v>
      </c>
    </row>
    <row r="2909" spans="1:14" x14ac:dyDescent="0.2">
      <c r="A2909" s="5" t="str">
        <f>HYPERLINK("http://www.ncbi.nlm.nih.gov/protein/85701506","Gm5662")</f>
        <v>Gm5662</v>
      </c>
      <c r="B2909" s="4"/>
      <c r="C2909" s="3">
        <v>0</v>
      </c>
      <c r="D2909" s="3">
        <v>2140</v>
      </c>
      <c r="E2909" s="3">
        <v>10515</v>
      </c>
      <c r="F2909" s="3">
        <v>13375</v>
      </c>
      <c r="G2909" s="3">
        <v>1971</v>
      </c>
      <c r="H2909" s="2">
        <f t="shared" si="90"/>
        <v>28001</v>
      </c>
      <c r="I2909" t="str">
        <f t="shared" si="91"/>
        <v>Gm5662_28001</v>
      </c>
      <c r="J2909" s="3">
        <v>0</v>
      </c>
      <c r="K2909" s="3">
        <v>2140</v>
      </c>
      <c r="L2909" s="3">
        <v>10515</v>
      </c>
      <c r="M2909" s="3">
        <v>13375</v>
      </c>
      <c r="N2909" s="3">
        <v>1971</v>
      </c>
    </row>
    <row r="2910" spans="1:14" x14ac:dyDescent="0.2">
      <c r="A2910" s="5" t="str">
        <f>HYPERLINK("http://www.ncbi.nlm.nih.gov/protein/407262667","Gm5662")</f>
        <v>Gm5662</v>
      </c>
      <c r="B2910" s="4"/>
      <c r="C2910" s="3">
        <v>494</v>
      </c>
      <c r="D2910" s="3">
        <v>2202</v>
      </c>
      <c r="E2910" s="3">
        <v>15977</v>
      </c>
      <c r="F2910" s="3">
        <v>12778</v>
      </c>
      <c r="G2910" s="3">
        <v>1971</v>
      </c>
      <c r="H2910" s="2">
        <f t="shared" si="90"/>
        <v>33422</v>
      </c>
      <c r="I2910" t="str">
        <f t="shared" si="91"/>
        <v>Gm5662_33422</v>
      </c>
      <c r="J2910" s="3">
        <v>494</v>
      </c>
      <c r="K2910" s="3">
        <v>2202</v>
      </c>
      <c r="L2910" s="3">
        <v>15977</v>
      </c>
      <c r="M2910" s="3">
        <v>12778</v>
      </c>
      <c r="N2910" s="3">
        <v>1971</v>
      </c>
    </row>
    <row r="2911" spans="1:14" x14ac:dyDescent="0.2">
      <c r="A2911" s="5" t="str">
        <f>HYPERLINK("http://www.ncbi.nlm.nih.gov/protein/82950935","Gm5792")</f>
        <v>Gm5792</v>
      </c>
      <c r="B2911" s="4"/>
      <c r="C2911" s="3">
        <v>118293</v>
      </c>
      <c r="D2911" s="3">
        <v>2549</v>
      </c>
      <c r="E2911" s="3">
        <v>1826</v>
      </c>
      <c r="F2911" s="3">
        <v>5231</v>
      </c>
      <c r="G2911" s="3">
        <v>13622</v>
      </c>
      <c r="H2911" s="2">
        <f t="shared" si="90"/>
        <v>141521</v>
      </c>
      <c r="I2911" t="str">
        <f t="shared" si="91"/>
        <v>Gm5792_141521</v>
      </c>
      <c r="J2911" s="3">
        <v>118293</v>
      </c>
      <c r="K2911" s="3">
        <v>2549</v>
      </c>
      <c r="L2911" s="3">
        <v>1826</v>
      </c>
      <c r="M2911" s="3">
        <v>5231</v>
      </c>
      <c r="N2911" s="3">
        <v>13622</v>
      </c>
    </row>
    <row r="2912" spans="1:14" x14ac:dyDescent="0.2">
      <c r="A2912" s="5" t="str">
        <f>HYPERLINK("http://www.ncbi.nlm.nih.gov/protein/260304980","Gm5803")</f>
        <v>Gm5803</v>
      </c>
      <c r="B2912" s="4"/>
      <c r="C2912" s="3">
        <v>547643</v>
      </c>
      <c r="D2912" s="3">
        <v>12151</v>
      </c>
      <c r="E2912" s="3">
        <v>21426</v>
      </c>
      <c r="F2912" s="3">
        <v>40265</v>
      </c>
      <c r="G2912" s="3">
        <v>493</v>
      </c>
      <c r="H2912" s="2">
        <f t="shared" si="90"/>
        <v>621978</v>
      </c>
      <c r="I2912" t="str">
        <f t="shared" si="91"/>
        <v>Gm5803_621978</v>
      </c>
      <c r="J2912" s="3">
        <v>547643</v>
      </c>
      <c r="K2912" s="3">
        <v>12151</v>
      </c>
      <c r="L2912" s="3">
        <v>21426</v>
      </c>
      <c r="M2912" s="3">
        <v>40265</v>
      </c>
      <c r="N2912" s="3">
        <v>493</v>
      </c>
    </row>
    <row r="2913" spans="1:14" x14ac:dyDescent="0.2">
      <c r="A2913" s="5" t="str">
        <f>HYPERLINK("http://www.ncbi.nlm.nih.gov/protein/309270629","Gm5806")</f>
        <v>Gm5806</v>
      </c>
      <c r="B2913" s="4"/>
      <c r="C2913" s="3">
        <v>0</v>
      </c>
      <c r="D2913" s="3">
        <v>0</v>
      </c>
      <c r="E2913" s="3">
        <v>290</v>
      </c>
      <c r="F2913" s="3">
        <v>0</v>
      </c>
      <c r="G2913" s="3">
        <v>0</v>
      </c>
      <c r="H2913" s="2">
        <f t="shared" si="90"/>
        <v>290</v>
      </c>
      <c r="I2913" t="str">
        <f t="shared" si="91"/>
        <v>Gm5806_290</v>
      </c>
      <c r="J2913" s="3">
        <v>0</v>
      </c>
      <c r="K2913" s="3">
        <v>0</v>
      </c>
      <c r="L2913" s="3">
        <v>290</v>
      </c>
      <c r="M2913" s="3">
        <v>0</v>
      </c>
      <c r="N2913" s="3">
        <v>0</v>
      </c>
    </row>
    <row r="2914" spans="1:14" x14ac:dyDescent="0.2">
      <c r="A2914" s="5" t="str">
        <f>HYPERLINK("http://www.ncbi.nlm.nih.gov/protein/309264759","Gm5848")</f>
        <v>Gm5848</v>
      </c>
      <c r="B2914" s="4"/>
      <c r="C2914" s="3">
        <v>67824</v>
      </c>
      <c r="D2914" s="3">
        <v>1870</v>
      </c>
      <c r="E2914" s="3">
        <v>10564</v>
      </c>
      <c r="F2914" s="3">
        <v>45332</v>
      </c>
      <c r="G2914" s="3">
        <v>6415</v>
      </c>
      <c r="H2914" s="2">
        <f t="shared" si="90"/>
        <v>132005</v>
      </c>
      <c r="I2914" t="str">
        <f t="shared" si="91"/>
        <v>Gm5848_132005</v>
      </c>
      <c r="J2914" s="3">
        <v>67824</v>
      </c>
      <c r="K2914" s="3">
        <v>1870</v>
      </c>
      <c r="L2914" s="3">
        <v>10564</v>
      </c>
      <c r="M2914" s="3">
        <v>45332</v>
      </c>
      <c r="N2914" s="3">
        <v>6415</v>
      </c>
    </row>
    <row r="2915" spans="1:14" x14ac:dyDescent="0.2">
      <c r="A2915" s="5" t="str">
        <f>HYPERLINK("http://www.ncbi.nlm.nih.gov/protein/63501063","Gm5848")</f>
        <v>Gm5848</v>
      </c>
      <c r="B2915" s="4"/>
      <c r="C2915" s="3">
        <v>67824</v>
      </c>
      <c r="D2915" s="3">
        <v>1870</v>
      </c>
      <c r="E2915" s="3">
        <v>10564</v>
      </c>
      <c r="F2915" s="3">
        <v>45332</v>
      </c>
      <c r="G2915" s="3">
        <v>6415</v>
      </c>
      <c r="H2915" s="2">
        <f t="shared" si="90"/>
        <v>132005</v>
      </c>
      <c r="I2915" t="str">
        <f t="shared" si="91"/>
        <v>Gm5848_132005</v>
      </c>
      <c r="J2915" s="3">
        <v>67824</v>
      </c>
      <c r="K2915" s="3">
        <v>1870</v>
      </c>
      <c r="L2915" s="3">
        <v>10564</v>
      </c>
      <c r="M2915" s="3">
        <v>45332</v>
      </c>
      <c r="N2915" s="3">
        <v>6415</v>
      </c>
    </row>
    <row r="2916" spans="1:14" x14ac:dyDescent="0.2">
      <c r="A2916" s="5" t="str">
        <f>HYPERLINK("http://www.ncbi.nlm.nih.gov/protein/82891539","Gm5858")</f>
        <v>Gm5858</v>
      </c>
      <c r="B2916" s="4"/>
      <c r="C2916" s="3">
        <v>0</v>
      </c>
      <c r="D2916" s="3">
        <v>1286</v>
      </c>
      <c r="E2916" s="3">
        <v>5101</v>
      </c>
      <c r="F2916" s="3">
        <v>2546</v>
      </c>
      <c r="G2916" s="3">
        <v>33799</v>
      </c>
      <c r="H2916" s="2">
        <f t="shared" si="90"/>
        <v>42732</v>
      </c>
      <c r="I2916" t="str">
        <f t="shared" si="91"/>
        <v>Gm5858_42732</v>
      </c>
      <c r="J2916" s="3">
        <v>0</v>
      </c>
      <c r="K2916" s="3">
        <v>1286</v>
      </c>
      <c r="L2916" s="3">
        <v>5101</v>
      </c>
      <c r="M2916" s="3">
        <v>2546</v>
      </c>
      <c r="N2916" s="3">
        <v>33799</v>
      </c>
    </row>
    <row r="2917" spans="1:14" x14ac:dyDescent="0.2">
      <c r="A2917" s="5" t="str">
        <f>HYPERLINK("http://www.ncbi.nlm.nih.gov/protein/309266232","Gm5908")</f>
        <v>Gm5908</v>
      </c>
      <c r="B2917" s="4"/>
      <c r="C2917" s="3">
        <v>155766</v>
      </c>
      <c r="D2917" s="3">
        <v>5837</v>
      </c>
      <c r="E2917" s="3">
        <v>63125</v>
      </c>
      <c r="F2917" s="3">
        <v>77706</v>
      </c>
      <c r="G2917" s="3">
        <v>0</v>
      </c>
      <c r="H2917" s="2">
        <f t="shared" si="90"/>
        <v>302434</v>
      </c>
      <c r="I2917" t="str">
        <f t="shared" si="91"/>
        <v>Gm5908_302434</v>
      </c>
      <c r="J2917" s="3">
        <v>155766</v>
      </c>
      <c r="K2917" s="3">
        <v>5837</v>
      </c>
      <c r="L2917" s="3">
        <v>63125</v>
      </c>
      <c r="M2917" s="3">
        <v>77706</v>
      </c>
      <c r="N2917" s="3">
        <v>0</v>
      </c>
    </row>
    <row r="2918" spans="1:14" x14ac:dyDescent="0.2">
      <c r="A2918" s="5" t="str">
        <f>HYPERLINK("http://www.ncbi.nlm.nih.gov/protein/82965725","Gm5963")</f>
        <v>Gm5963</v>
      </c>
      <c r="B2918" s="4"/>
      <c r="C2918" s="3">
        <v>17189</v>
      </c>
      <c r="D2918" s="3">
        <v>599</v>
      </c>
      <c r="E2918" s="3">
        <v>10499</v>
      </c>
      <c r="F2918" s="3">
        <v>794</v>
      </c>
      <c r="G2918" s="3">
        <v>1424</v>
      </c>
      <c r="H2918" s="2">
        <f t="shared" si="90"/>
        <v>30505</v>
      </c>
      <c r="I2918" t="str">
        <f t="shared" si="91"/>
        <v>Gm5963_30505</v>
      </c>
      <c r="J2918" s="3">
        <v>17189</v>
      </c>
      <c r="K2918" s="3">
        <v>599</v>
      </c>
      <c r="L2918" s="3">
        <v>10499</v>
      </c>
      <c r="M2918" s="3">
        <v>794</v>
      </c>
      <c r="N2918" s="3">
        <v>1424</v>
      </c>
    </row>
    <row r="2919" spans="1:14" x14ac:dyDescent="0.2">
      <c r="A2919" s="5" t="str">
        <f>HYPERLINK("http://www.ncbi.nlm.nih.gov/protein/82952096","Gm6109")</f>
        <v>Gm6109</v>
      </c>
      <c r="B2919" s="4"/>
      <c r="C2919" s="3">
        <v>50122</v>
      </c>
      <c r="D2919" s="3">
        <v>403</v>
      </c>
      <c r="E2919" s="3">
        <v>5441</v>
      </c>
      <c r="F2919" s="3">
        <v>31523</v>
      </c>
      <c r="G2919" s="3">
        <v>11</v>
      </c>
      <c r="H2919" s="2">
        <f t="shared" si="90"/>
        <v>87500</v>
      </c>
      <c r="I2919" t="str">
        <f t="shared" si="91"/>
        <v>Gm6109_87500</v>
      </c>
      <c r="J2919" s="3">
        <v>50122</v>
      </c>
      <c r="K2919" s="3">
        <v>403</v>
      </c>
      <c r="L2919" s="3">
        <v>5441</v>
      </c>
      <c r="M2919" s="3">
        <v>31523</v>
      </c>
      <c r="N2919" s="3">
        <v>11</v>
      </c>
    </row>
    <row r="2920" spans="1:14" x14ac:dyDescent="0.2">
      <c r="A2920" s="5" t="str">
        <f>HYPERLINK("http://www.ncbi.nlm.nih.gov/protein/407262070","Gm6115")</f>
        <v>Gm6115</v>
      </c>
      <c r="B2920" s="4"/>
      <c r="C2920" s="3">
        <v>123090</v>
      </c>
      <c r="D2920" s="3">
        <v>12218</v>
      </c>
      <c r="E2920" s="3">
        <v>24767</v>
      </c>
      <c r="F2920" s="3">
        <v>85744</v>
      </c>
      <c r="G2920" s="3">
        <v>191871</v>
      </c>
      <c r="H2920" s="2">
        <f t="shared" si="90"/>
        <v>437690</v>
      </c>
      <c r="I2920" t="str">
        <f t="shared" si="91"/>
        <v>Gm6115_437690</v>
      </c>
      <c r="J2920" s="3">
        <v>123090</v>
      </c>
      <c r="K2920" s="3">
        <v>12218</v>
      </c>
      <c r="L2920" s="3">
        <v>24767</v>
      </c>
      <c r="M2920" s="3">
        <v>85744</v>
      </c>
      <c r="N2920" s="3">
        <v>191871</v>
      </c>
    </row>
    <row r="2921" spans="1:14" x14ac:dyDescent="0.2">
      <c r="A2921" s="5" t="str">
        <f>HYPERLINK("http://www.ncbi.nlm.nih.gov/protein/407263905","Gm6115")</f>
        <v>Gm6115</v>
      </c>
      <c r="B2921" s="4"/>
      <c r="C2921" s="3">
        <v>123090</v>
      </c>
      <c r="D2921" s="3">
        <v>12218</v>
      </c>
      <c r="E2921" s="3">
        <v>24767</v>
      </c>
      <c r="F2921" s="3">
        <v>85744</v>
      </c>
      <c r="G2921" s="3">
        <v>191871</v>
      </c>
      <c r="H2921" s="2">
        <f t="shared" si="90"/>
        <v>437690</v>
      </c>
      <c r="I2921" t="str">
        <f t="shared" si="91"/>
        <v>Gm6115_437690</v>
      </c>
      <c r="J2921" s="3">
        <v>123090</v>
      </c>
      <c r="K2921" s="3">
        <v>12218</v>
      </c>
      <c r="L2921" s="3">
        <v>24767</v>
      </c>
      <c r="M2921" s="3">
        <v>85744</v>
      </c>
      <c r="N2921" s="3">
        <v>191871</v>
      </c>
    </row>
    <row r="2922" spans="1:14" x14ac:dyDescent="0.2">
      <c r="A2922" s="5" t="str">
        <f>HYPERLINK("http://www.ncbi.nlm.nih.gov/protein/407261316","Gm6139")</f>
        <v>Gm6139</v>
      </c>
      <c r="B2922" s="4"/>
      <c r="C2922" s="3">
        <v>194630</v>
      </c>
      <c r="D2922" s="3">
        <v>51497</v>
      </c>
      <c r="E2922" s="3">
        <v>240782</v>
      </c>
      <c r="F2922" s="3">
        <v>571614</v>
      </c>
      <c r="G2922" s="3">
        <v>0</v>
      </c>
      <c r="H2922" s="2">
        <f t="shared" si="90"/>
        <v>1058523</v>
      </c>
      <c r="I2922" t="str">
        <f t="shared" si="91"/>
        <v>Gm6139_1058523</v>
      </c>
      <c r="J2922" s="3">
        <v>194630</v>
      </c>
      <c r="K2922" s="3">
        <v>51497</v>
      </c>
      <c r="L2922" s="3">
        <v>240782</v>
      </c>
      <c r="M2922" s="3">
        <v>571614</v>
      </c>
      <c r="N2922" s="3">
        <v>0</v>
      </c>
    </row>
    <row r="2923" spans="1:14" x14ac:dyDescent="0.2">
      <c r="A2923" s="5" t="str">
        <f>HYPERLINK("http://www.ncbi.nlm.nih.gov/protein/85701852","Gm614")</f>
        <v>Gm614</v>
      </c>
      <c r="B2923" s="4"/>
      <c r="C2923" s="3">
        <v>0</v>
      </c>
      <c r="D2923" s="3">
        <v>0</v>
      </c>
      <c r="E2923" s="3">
        <v>79</v>
      </c>
      <c r="F2923" s="3">
        <v>0</v>
      </c>
      <c r="G2923" s="3">
        <v>0</v>
      </c>
      <c r="H2923" s="2">
        <f t="shared" si="90"/>
        <v>79</v>
      </c>
      <c r="I2923" t="str">
        <f t="shared" si="91"/>
        <v>Gm614_79</v>
      </c>
      <c r="J2923" s="3">
        <v>0</v>
      </c>
      <c r="K2923" s="3">
        <v>0</v>
      </c>
      <c r="L2923" s="3">
        <v>79</v>
      </c>
      <c r="M2923" s="3">
        <v>0</v>
      </c>
      <c r="N2923" s="3">
        <v>0</v>
      </c>
    </row>
    <row r="2924" spans="1:14" x14ac:dyDescent="0.2">
      <c r="A2924" s="5" t="str">
        <f>HYPERLINK("http://www.ncbi.nlm.nih.gov/protein/309265975","Gm6155")</f>
        <v>Gm6155</v>
      </c>
      <c r="B2924" s="4"/>
      <c r="C2924" s="3">
        <v>3625</v>
      </c>
      <c r="D2924" s="3">
        <v>2597</v>
      </c>
      <c r="E2924" s="3">
        <v>2750</v>
      </c>
      <c r="F2924" s="3">
        <v>3372</v>
      </c>
      <c r="G2924" s="3">
        <v>2967</v>
      </c>
      <c r="H2924" s="2">
        <f t="shared" si="90"/>
        <v>15311</v>
      </c>
      <c r="I2924" t="str">
        <f t="shared" si="91"/>
        <v>Gm6155_15311</v>
      </c>
      <c r="J2924" s="3">
        <v>3625</v>
      </c>
      <c r="K2924" s="3">
        <v>2597</v>
      </c>
      <c r="L2924" s="3">
        <v>2750</v>
      </c>
      <c r="M2924" s="3">
        <v>3372</v>
      </c>
      <c r="N2924" s="3">
        <v>2967</v>
      </c>
    </row>
    <row r="2925" spans="1:14" x14ac:dyDescent="0.2">
      <c r="A2925" s="5" t="str">
        <f>HYPERLINK("http://www.ncbi.nlm.nih.gov/protein/309268860","Gm6155")</f>
        <v>Gm6155</v>
      </c>
      <c r="B2925" s="4"/>
      <c r="C2925" s="3">
        <v>3625</v>
      </c>
      <c r="D2925" s="3">
        <v>2597</v>
      </c>
      <c r="E2925" s="3">
        <v>2750</v>
      </c>
      <c r="F2925" s="3">
        <v>3372</v>
      </c>
      <c r="G2925" s="3">
        <v>2967</v>
      </c>
      <c r="H2925" s="2">
        <f t="shared" si="90"/>
        <v>15311</v>
      </c>
      <c r="I2925" t="str">
        <f t="shared" si="91"/>
        <v>Gm6155_15311</v>
      </c>
      <c r="J2925" s="3">
        <v>3625</v>
      </c>
      <c r="K2925" s="3">
        <v>2597</v>
      </c>
      <c r="L2925" s="3">
        <v>2750</v>
      </c>
      <c r="M2925" s="3">
        <v>3372</v>
      </c>
      <c r="N2925" s="3">
        <v>2967</v>
      </c>
    </row>
    <row r="2926" spans="1:14" x14ac:dyDescent="0.2">
      <c r="A2926" s="5" t="str">
        <f>HYPERLINK("http://www.ncbi.nlm.nih.gov/protein/407262102","Gm6158")</f>
        <v>Gm6158</v>
      </c>
      <c r="B2926" s="4"/>
      <c r="C2926" s="3">
        <v>0</v>
      </c>
      <c r="D2926" s="3">
        <v>2691</v>
      </c>
      <c r="E2926" s="3">
        <v>11382</v>
      </c>
      <c r="F2926" s="3">
        <v>2218</v>
      </c>
      <c r="G2926" s="3">
        <v>889</v>
      </c>
      <c r="H2926" s="2">
        <f t="shared" si="90"/>
        <v>17180</v>
      </c>
      <c r="I2926" t="str">
        <f t="shared" si="91"/>
        <v>Gm6158_17180</v>
      </c>
      <c r="J2926" s="3">
        <v>0</v>
      </c>
      <c r="K2926" s="3">
        <v>2691</v>
      </c>
      <c r="L2926" s="3">
        <v>11382</v>
      </c>
      <c r="M2926" s="3">
        <v>2218</v>
      </c>
      <c r="N2926" s="3">
        <v>889</v>
      </c>
    </row>
    <row r="2927" spans="1:14" x14ac:dyDescent="0.2">
      <c r="A2927" s="5" t="str">
        <f>HYPERLINK("http://www.ncbi.nlm.nih.gov/protein/377833664","Gm6177")</f>
        <v>Gm6177</v>
      </c>
      <c r="B2927" s="4"/>
      <c r="C2927" s="3">
        <v>77013</v>
      </c>
      <c r="D2927" s="3">
        <v>2799</v>
      </c>
      <c r="E2927" s="3">
        <v>23641</v>
      </c>
      <c r="F2927" s="3">
        <v>12106</v>
      </c>
      <c r="G2927" s="3">
        <v>0</v>
      </c>
      <c r="H2927" s="2">
        <f t="shared" si="90"/>
        <v>115559</v>
      </c>
      <c r="I2927" t="str">
        <f t="shared" si="91"/>
        <v>Gm6177_115559</v>
      </c>
      <c r="J2927" s="3">
        <v>77013</v>
      </c>
      <c r="K2927" s="3">
        <v>2799</v>
      </c>
      <c r="L2927" s="3">
        <v>23641</v>
      </c>
      <c r="M2927" s="3">
        <v>12106</v>
      </c>
      <c r="N2927" s="3">
        <v>0</v>
      </c>
    </row>
    <row r="2928" spans="1:14" x14ac:dyDescent="0.2">
      <c r="A2928" s="5" t="str">
        <f>HYPERLINK("http://www.ncbi.nlm.nih.gov/protein/82883044","Gm6177")</f>
        <v>Gm6177</v>
      </c>
      <c r="B2928" s="4"/>
      <c r="C2928" s="3">
        <v>77013</v>
      </c>
      <c r="D2928" s="3">
        <v>2799</v>
      </c>
      <c r="E2928" s="3">
        <v>23641</v>
      </c>
      <c r="F2928" s="3">
        <v>12106</v>
      </c>
      <c r="G2928" s="3">
        <v>0</v>
      </c>
      <c r="H2928" s="2">
        <f t="shared" si="90"/>
        <v>115559</v>
      </c>
      <c r="I2928" t="str">
        <f t="shared" si="91"/>
        <v>Gm6177_115559</v>
      </c>
      <c r="J2928" s="3">
        <v>77013</v>
      </c>
      <c r="K2928" s="3">
        <v>2799</v>
      </c>
      <c r="L2928" s="3">
        <v>23641</v>
      </c>
      <c r="M2928" s="3">
        <v>12106</v>
      </c>
      <c r="N2928" s="3">
        <v>0</v>
      </c>
    </row>
    <row r="2929" spans="1:14" x14ac:dyDescent="0.2">
      <c r="A2929" s="5" t="str">
        <f>HYPERLINK("http://www.ncbi.nlm.nih.gov/protein/82795390","Gm6195")</f>
        <v>Gm6195</v>
      </c>
      <c r="B2929" s="4"/>
      <c r="C2929" s="3">
        <v>0</v>
      </c>
      <c r="D2929" s="3">
        <v>167</v>
      </c>
      <c r="E2929" s="3">
        <v>29</v>
      </c>
      <c r="F2929" s="3">
        <v>319</v>
      </c>
      <c r="G2929" s="3">
        <v>13462</v>
      </c>
      <c r="H2929" s="2">
        <f t="shared" si="90"/>
        <v>13977</v>
      </c>
      <c r="I2929" t="str">
        <f t="shared" si="91"/>
        <v>Gm6195_13977</v>
      </c>
      <c r="J2929" s="3">
        <v>0</v>
      </c>
      <c r="K2929" s="3">
        <v>167</v>
      </c>
      <c r="L2929" s="3">
        <v>29</v>
      </c>
      <c r="M2929" s="3">
        <v>319</v>
      </c>
      <c r="N2929" s="3">
        <v>13462</v>
      </c>
    </row>
    <row r="2930" spans="1:14" x14ac:dyDescent="0.2">
      <c r="A2930" s="5" t="str">
        <f>HYPERLINK("http://www.ncbi.nlm.nih.gov/protein/82795935","Gm6195")</f>
        <v>Gm6195</v>
      </c>
      <c r="B2930" s="4"/>
      <c r="C2930" s="3">
        <v>0</v>
      </c>
      <c r="D2930" s="3">
        <v>167</v>
      </c>
      <c r="E2930" s="3">
        <v>29</v>
      </c>
      <c r="F2930" s="3">
        <v>319</v>
      </c>
      <c r="G2930" s="3">
        <v>13462</v>
      </c>
      <c r="H2930" s="2">
        <f t="shared" si="90"/>
        <v>13977</v>
      </c>
      <c r="I2930" t="str">
        <f t="shared" si="91"/>
        <v>Gm6195_13977</v>
      </c>
      <c r="J2930" s="3">
        <v>0</v>
      </c>
      <c r="K2930" s="3">
        <v>167</v>
      </c>
      <c r="L2930" s="3">
        <v>29</v>
      </c>
      <c r="M2930" s="3">
        <v>319</v>
      </c>
      <c r="N2930" s="3">
        <v>13462</v>
      </c>
    </row>
    <row r="2931" spans="1:14" x14ac:dyDescent="0.2">
      <c r="A2931" s="5" t="str">
        <f>HYPERLINK("http://www.ncbi.nlm.nih.gov/protein/283945554","Gm6251")</f>
        <v>Gm6251</v>
      </c>
      <c r="B2931" s="4"/>
      <c r="C2931" s="3">
        <v>19844</v>
      </c>
      <c r="D2931" s="3">
        <v>4578</v>
      </c>
      <c r="E2931" s="3">
        <v>26180</v>
      </c>
      <c r="F2931" s="3">
        <v>33864</v>
      </c>
      <c r="G2931" s="3">
        <v>0</v>
      </c>
      <c r="H2931" s="2">
        <f t="shared" si="90"/>
        <v>84466</v>
      </c>
      <c r="I2931" t="str">
        <f t="shared" si="91"/>
        <v>Gm6251_84466</v>
      </c>
      <c r="J2931" s="3">
        <v>19844</v>
      </c>
      <c r="K2931" s="3">
        <v>4578</v>
      </c>
      <c r="L2931" s="3">
        <v>26180</v>
      </c>
      <c r="M2931" s="3">
        <v>33864</v>
      </c>
      <c r="N2931" s="3">
        <v>0</v>
      </c>
    </row>
    <row r="2932" spans="1:14" x14ac:dyDescent="0.2">
      <c r="A2932" s="5" t="str">
        <f>HYPERLINK("http://www.ncbi.nlm.nih.gov/protein/309265684","Gm6253")</f>
        <v>Gm6253</v>
      </c>
      <c r="B2932" s="4"/>
      <c r="C2932" s="3">
        <v>0</v>
      </c>
      <c r="D2932" s="3">
        <v>0</v>
      </c>
      <c r="E2932" s="3">
        <v>0</v>
      </c>
      <c r="F2932" s="3">
        <v>180</v>
      </c>
      <c r="G2932" s="3">
        <v>86</v>
      </c>
      <c r="H2932" s="2">
        <f t="shared" si="90"/>
        <v>266</v>
      </c>
      <c r="I2932" t="str">
        <f t="shared" si="91"/>
        <v>Gm6253_266</v>
      </c>
      <c r="J2932" s="3">
        <v>0</v>
      </c>
      <c r="K2932" s="3">
        <v>0</v>
      </c>
      <c r="L2932" s="3">
        <v>0</v>
      </c>
      <c r="M2932" s="3">
        <v>180</v>
      </c>
      <c r="N2932" s="3">
        <v>86</v>
      </c>
    </row>
    <row r="2933" spans="1:14" x14ac:dyDescent="0.2">
      <c r="A2933" s="5" t="str">
        <f>HYPERLINK("http://www.ncbi.nlm.nih.gov/protein/82914650","Gm6314")</f>
        <v>Gm6314</v>
      </c>
      <c r="B2933" s="4"/>
      <c r="C2933" s="3">
        <v>1318</v>
      </c>
      <c r="D2933" s="3">
        <v>0</v>
      </c>
      <c r="E2933" s="3">
        <v>20</v>
      </c>
      <c r="F2933" s="3">
        <v>0</v>
      </c>
      <c r="G2933" s="3">
        <v>0</v>
      </c>
      <c r="H2933" s="2">
        <f t="shared" si="90"/>
        <v>1338</v>
      </c>
      <c r="I2933" t="str">
        <f t="shared" si="91"/>
        <v>Gm6314_1338</v>
      </c>
      <c r="J2933" s="3">
        <v>1318</v>
      </c>
      <c r="K2933" s="3">
        <v>0</v>
      </c>
      <c r="L2933" s="3">
        <v>20</v>
      </c>
      <c r="M2933" s="3">
        <v>0</v>
      </c>
      <c r="N2933" s="3">
        <v>0</v>
      </c>
    </row>
    <row r="2934" spans="1:14" x14ac:dyDescent="0.2">
      <c r="A2934" s="5" t="str">
        <f>HYPERLINK("http://www.ncbi.nlm.nih.gov/protein/407264048","Gm6330")</f>
        <v>Gm6330</v>
      </c>
      <c r="B2934" s="4"/>
      <c r="C2934" s="3">
        <v>0</v>
      </c>
      <c r="D2934" s="3">
        <v>0</v>
      </c>
      <c r="E2934" s="3">
        <v>275</v>
      </c>
      <c r="F2934" s="3">
        <v>0</v>
      </c>
      <c r="G2934" s="3">
        <v>0</v>
      </c>
      <c r="H2934" s="2">
        <f t="shared" si="90"/>
        <v>275</v>
      </c>
      <c r="I2934" t="str">
        <f t="shared" si="91"/>
        <v>Gm6330_275</v>
      </c>
      <c r="J2934" s="3">
        <v>0</v>
      </c>
      <c r="K2934" s="3">
        <v>0</v>
      </c>
      <c r="L2934" s="3">
        <v>275</v>
      </c>
      <c r="M2934" s="3">
        <v>0</v>
      </c>
      <c r="N2934" s="3">
        <v>0</v>
      </c>
    </row>
    <row r="2935" spans="1:14" x14ac:dyDescent="0.2">
      <c r="A2935" s="5" t="str">
        <f>HYPERLINK("http://www.ncbi.nlm.nih.gov/protein/407263925","Gm6404")</f>
        <v>Gm6404</v>
      </c>
      <c r="B2935" s="4"/>
      <c r="C2935" s="3">
        <v>18324</v>
      </c>
      <c r="D2935" s="3">
        <v>0</v>
      </c>
      <c r="E2935" s="3">
        <v>11819</v>
      </c>
      <c r="F2935" s="3">
        <v>62063</v>
      </c>
      <c r="G2935" s="3">
        <v>0</v>
      </c>
      <c r="H2935" s="2">
        <f t="shared" si="90"/>
        <v>92206</v>
      </c>
      <c r="I2935" t="str">
        <f t="shared" si="91"/>
        <v>Gm6404_92206</v>
      </c>
      <c r="J2935" s="3">
        <v>18324</v>
      </c>
      <c r="K2935" s="3">
        <v>0</v>
      </c>
      <c r="L2935" s="3">
        <v>11819</v>
      </c>
      <c r="M2935" s="3">
        <v>62063</v>
      </c>
      <c r="N2935" s="3">
        <v>0</v>
      </c>
    </row>
    <row r="2936" spans="1:14" x14ac:dyDescent="0.2">
      <c r="A2936" s="5" t="str">
        <f>HYPERLINK("http://www.ncbi.nlm.nih.gov/protein/309265963","Gm6415")</f>
        <v>Gm6415</v>
      </c>
      <c r="B2936" s="4"/>
      <c r="C2936" s="3">
        <v>8384</v>
      </c>
      <c r="D2936" s="3">
        <v>1081</v>
      </c>
      <c r="E2936" s="3">
        <v>10</v>
      </c>
      <c r="F2936" s="3">
        <v>0</v>
      </c>
      <c r="G2936" s="3">
        <v>0</v>
      </c>
      <c r="H2936" s="2">
        <f t="shared" si="90"/>
        <v>9475</v>
      </c>
      <c r="I2936" t="str">
        <f t="shared" si="91"/>
        <v>Gm6415_9475</v>
      </c>
      <c r="J2936" s="3">
        <v>8384</v>
      </c>
      <c r="K2936" s="3">
        <v>1081</v>
      </c>
      <c r="L2936" s="3">
        <v>10</v>
      </c>
      <c r="M2936" s="3">
        <v>0</v>
      </c>
      <c r="N2936" s="3">
        <v>0</v>
      </c>
    </row>
    <row r="2937" spans="1:14" x14ac:dyDescent="0.2">
      <c r="A2937" s="5" t="str">
        <f>HYPERLINK("http://www.ncbi.nlm.nih.gov/protein/82906344","Gm6415")</f>
        <v>Gm6415</v>
      </c>
      <c r="B2937" s="4"/>
      <c r="C2937" s="3">
        <v>8384</v>
      </c>
      <c r="D2937" s="3">
        <v>1081</v>
      </c>
      <c r="E2937" s="3">
        <v>10</v>
      </c>
      <c r="F2937" s="3">
        <v>0</v>
      </c>
      <c r="G2937" s="3">
        <v>0</v>
      </c>
      <c r="H2937" s="2">
        <f t="shared" si="90"/>
        <v>9475</v>
      </c>
      <c r="I2937" t="str">
        <f t="shared" si="91"/>
        <v>Gm6415_9475</v>
      </c>
      <c r="J2937" s="3">
        <v>8384</v>
      </c>
      <c r="K2937" s="3">
        <v>1081</v>
      </c>
      <c r="L2937" s="3">
        <v>10</v>
      </c>
      <c r="M2937" s="3">
        <v>0</v>
      </c>
      <c r="N2937" s="3">
        <v>0</v>
      </c>
    </row>
    <row r="2938" spans="1:14" x14ac:dyDescent="0.2">
      <c r="A2938" s="5" t="str">
        <f>HYPERLINK("http://www.ncbi.nlm.nih.gov/protein/348041355","Gm6432")</f>
        <v>Gm6432</v>
      </c>
      <c r="B2938" s="4"/>
      <c r="C2938" s="3">
        <v>0</v>
      </c>
      <c r="D2938" s="3">
        <v>0</v>
      </c>
      <c r="E2938" s="3">
        <v>19</v>
      </c>
      <c r="F2938" s="3">
        <v>442</v>
      </c>
      <c r="G2938" s="3">
        <v>193</v>
      </c>
      <c r="H2938" s="2">
        <f t="shared" si="90"/>
        <v>654</v>
      </c>
      <c r="I2938" t="str">
        <f t="shared" si="91"/>
        <v>Gm6432_654</v>
      </c>
      <c r="J2938" s="3">
        <v>0</v>
      </c>
      <c r="K2938" s="3">
        <v>0</v>
      </c>
      <c r="L2938" s="3">
        <v>19</v>
      </c>
      <c r="M2938" s="3">
        <v>442</v>
      </c>
      <c r="N2938" s="3">
        <v>193</v>
      </c>
    </row>
    <row r="2939" spans="1:14" x14ac:dyDescent="0.2">
      <c r="A2939" s="5" t="str">
        <f>HYPERLINK("http://www.ncbi.nlm.nih.gov/protein/82952669","Gm6436")</f>
        <v>Gm6436</v>
      </c>
      <c r="B2939" s="4"/>
      <c r="C2939" s="3">
        <v>210775</v>
      </c>
      <c r="D2939" s="3">
        <v>6415</v>
      </c>
      <c r="E2939" s="3">
        <v>188942</v>
      </c>
      <c r="F2939" s="3">
        <v>289613</v>
      </c>
      <c r="G2939" s="3">
        <v>975</v>
      </c>
      <c r="H2939" s="2">
        <f t="shared" si="90"/>
        <v>696720</v>
      </c>
      <c r="I2939" t="str">
        <f t="shared" si="91"/>
        <v>Gm6436_696720</v>
      </c>
      <c r="J2939" s="3">
        <v>210775</v>
      </c>
      <c r="K2939" s="3">
        <v>6415</v>
      </c>
      <c r="L2939" s="3">
        <v>188942</v>
      </c>
      <c r="M2939" s="3">
        <v>289613</v>
      </c>
      <c r="N2939" s="3">
        <v>975</v>
      </c>
    </row>
    <row r="2940" spans="1:14" x14ac:dyDescent="0.2">
      <c r="A2940" s="5" t="str">
        <f>HYPERLINK("http://www.ncbi.nlm.nih.gov/protein/407262458","Gm6500")</f>
        <v>Gm6500</v>
      </c>
      <c r="B2940" s="4"/>
      <c r="C2940" s="3">
        <v>0</v>
      </c>
      <c r="D2940" s="3">
        <v>109</v>
      </c>
      <c r="E2940" s="3">
        <v>16</v>
      </c>
      <c r="F2940" s="3">
        <v>1973</v>
      </c>
      <c r="G2940" s="3">
        <v>0</v>
      </c>
      <c r="H2940" s="2">
        <f t="shared" si="90"/>
        <v>2098</v>
      </c>
      <c r="I2940" t="str">
        <f t="shared" si="91"/>
        <v>Gm6500_2098</v>
      </c>
      <c r="J2940" s="3">
        <v>0</v>
      </c>
      <c r="K2940" s="3">
        <v>109</v>
      </c>
      <c r="L2940" s="3">
        <v>16</v>
      </c>
      <c r="M2940" s="3">
        <v>1973</v>
      </c>
      <c r="N2940" s="3">
        <v>0</v>
      </c>
    </row>
    <row r="2941" spans="1:14" x14ac:dyDescent="0.2">
      <c r="A2941" s="5" t="str">
        <f>HYPERLINK("http://www.ncbi.nlm.nih.gov/protein/407264342","Gm6500")</f>
        <v>Gm6500</v>
      </c>
      <c r="B2941" s="4"/>
      <c r="C2941" s="3">
        <v>0</v>
      </c>
      <c r="D2941" s="3">
        <v>109</v>
      </c>
      <c r="E2941" s="3">
        <v>16</v>
      </c>
      <c r="F2941" s="3">
        <v>1973</v>
      </c>
      <c r="G2941" s="3">
        <v>0</v>
      </c>
      <c r="H2941" s="2">
        <f t="shared" si="90"/>
        <v>2098</v>
      </c>
      <c r="I2941" t="str">
        <f t="shared" si="91"/>
        <v>Gm6500_2098</v>
      </c>
      <c r="J2941" s="3">
        <v>0</v>
      </c>
      <c r="K2941" s="3">
        <v>109</v>
      </c>
      <c r="L2941" s="3">
        <v>16</v>
      </c>
      <c r="M2941" s="3">
        <v>1973</v>
      </c>
      <c r="N2941" s="3">
        <v>0</v>
      </c>
    </row>
    <row r="2942" spans="1:14" x14ac:dyDescent="0.2">
      <c r="A2942" s="5" t="str">
        <f>HYPERLINK("http://www.ncbi.nlm.nih.gov/protein/85702318","Gm6531")</f>
        <v>Gm6531</v>
      </c>
      <c r="B2942" s="4"/>
      <c r="C2942" s="3">
        <v>0</v>
      </c>
      <c r="D2942" s="3">
        <v>0</v>
      </c>
      <c r="E2942" s="3">
        <v>0</v>
      </c>
      <c r="F2942" s="3">
        <v>0</v>
      </c>
      <c r="G2942" s="3">
        <v>525</v>
      </c>
      <c r="H2942" s="2">
        <f t="shared" si="90"/>
        <v>525</v>
      </c>
      <c r="I2942" t="str">
        <f t="shared" si="91"/>
        <v>Gm6531_525</v>
      </c>
      <c r="J2942" s="3">
        <v>0</v>
      </c>
      <c r="K2942" s="3">
        <v>0</v>
      </c>
      <c r="L2942" s="3">
        <v>0</v>
      </c>
      <c r="M2942" s="3">
        <v>0</v>
      </c>
      <c r="N2942" s="3">
        <v>525</v>
      </c>
    </row>
    <row r="2943" spans="1:14" x14ac:dyDescent="0.2">
      <c r="A2943" s="5" t="str">
        <f>HYPERLINK("http://www.ncbi.nlm.nih.gov/protein/149251558","Gm6570")</f>
        <v>Gm6570</v>
      </c>
      <c r="B2943" s="4"/>
      <c r="C2943" s="3">
        <v>156846</v>
      </c>
      <c r="D2943" s="3">
        <v>6866</v>
      </c>
      <c r="E2943" s="3">
        <v>59077</v>
      </c>
      <c r="F2943" s="3">
        <v>61171</v>
      </c>
      <c r="G2943" s="3">
        <v>793</v>
      </c>
      <c r="H2943" s="2">
        <f t="shared" si="90"/>
        <v>284753</v>
      </c>
      <c r="I2943" t="str">
        <f t="shared" si="91"/>
        <v>Gm6570_284753</v>
      </c>
      <c r="J2943" s="3">
        <v>156846</v>
      </c>
      <c r="K2943" s="3">
        <v>6866</v>
      </c>
      <c r="L2943" s="3">
        <v>59077</v>
      </c>
      <c r="M2943" s="3">
        <v>61171</v>
      </c>
      <c r="N2943" s="3">
        <v>793</v>
      </c>
    </row>
    <row r="2944" spans="1:14" x14ac:dyDescent="0.2">
      <c r="A2944" s="5" t="str">
        <f>HYPERLINK("http://www.ncbi.nlm.nih.gov/protein/82890078","Gm6570")</f>
        <v>Gm6570</v>
      </c>
      <c r="B2944" s="4"/>
      <c r="C2944" s="3">
        <v>156846</v>
      </c>
      <c r="D2944" s="3">
        <v>6866</v>
      </c>
      <c r="E2944" s="3">
        <v>62182</v>
      </c>
      <c r="F2944" s="3">
        <v>95632</v>
      </c>
      <c r="G2944" s="3">
        <v>793</v>
      </c>
      <c r="H2944" s="2">
        <f t="shared" si="90"/>
        <v>322319</v>
      </c>
      <c r="I2944" t="str">
        <f t="shared" si="91"/>
        <v>Gm6570_322319</v>
      </c>
      <c r="J2944" s="3">
        <v>156846</v>
      </c>
      <c r="K2944" s="3">
        <v>6866</v>
      </c>
      <c r="L2944" s="3">
        <v>62182</v>
      </c>
      <c r="M2944" s="3">
        <v>95632</v>
      </c>
      <c r="N2944" s="3">
        <v>793</v>
      </c>
    </row>
    <row r="2945" spans="1:14" x14ac:dyDescent="0.2">
      <c r="A2945" s="5" t="str">
        <f>HYPERLINK("http://www.ncbi.nlm.nih.gov/protein/309262251","Gm6613")</f>
        <v>Gm6613</v>
      </c>
      <c r="B2945" s="4"/>
      <c r="C2945" s="3">
        <v>68336</v>
      </c>
      <c r="D2945" s="3">
        <v>8546</v>
      </c>
      <c r="E2945" s="3">
        <v>31482</v>
      </c>
      <c r="F2945" s="3">
        <v>94862</v>
      </c>
      <c r="G2945" s="3">
        <v>0</v>
      </c>
      <c r="H2945" s="2">
        <f t="shared" si="90"/>
        <v>203226</v>
      </c>
      <c r="I2945" t="str">
        <f t="shared" si="91"/>
        <v>Gm6613_203226</v>
      </c>
      <c r="J2945" s="3">
        <v>68336</v>
      </c>
      <c r="K2945" s="3">
        <v>8546</v>
      </c>
      <c r="L2945" s="3">
        <v>31482</v>
      </c>
      <c r="M2945" s="3">
        <v>94862</v>
      </c>
      <c r="N2945" s="3">
        <v>0</v>
      </c>
    </row>
    <row r="2946" spans="1:14" x14ac:dyDescent="0.2">
      <c r="A2946" s="5" t="str">
        <f>HYPERLINK("http://www.ncbi.nlm.nih.gov/protein/309271811","Gm6625")</f>
        <v>Gm6625</v>
      </c>
      <c r="B2946" s="4"/>
      <c r="C2946" s="3">
        <v>87796</v>
      </c>
      <c r="D2946" s="3">
        <v>129</v>
      </c>
      <c r="E2946" s="3">
        <v>7911</v>
      </c>
      <c r="F2946" s="3">
        <v>123</v>
      </c>
      <c r="G2946" s="3">
        <v>1371</v>
      </c>
      <c r="H2946" s="2">
        <f t="shared" ref="H2946:H3009" si="92">SUM(C2946:G2946)</f>
        <v>97330</v>
      </c>
      <c r="I2946" t="str">
        <f t="shared" ref="I2946:I3009" si="93">A2946&amp;"_"&amp;H2946</f>
        <v>Gm6625_97330</v>
      </c>
      <c r="J2946" s="3">
        <v>87796</v>
      </c>
      <c r="K2946" s="3">
        <v>129</v>
      </c>
      <c r="L2946" s="3">
        <v>7911</v>
      </c>
      <c r="M2946" s="3">
        <v>123</v>
      </c>
      <c r="N2946" s="3">
        <v>1371</v>
      </c>
    </row>
    <row r="2947" spans="1:14" x14ac:dyDescent="0.2">
      <c r="A2947" s="5" t="str">
        <f>HYPERLINK("http://www.ncbi.nlm.nih.gov/protein/407264254","Gm6747")</f>
        <v>Gm6747</v>
      </c>
      <c r="B2947" s="4"/>
      <c r="C2947" s="3">
        <v>0</v>
      </c>
      <c r="D2947" s="3">
        <v>0</v>
      </c>
      <c r="E2947" s="3">
        <v>186</v>
      </c>
      <c r="F2947" s="3">
        <v>33</v>
      </c>
      <c r="G2947" s="3">
        <v>21</v>
      </c>
      <c r="H2947" s="2">
        <f t="shared" si="92"/>
        <v>240</v>
      </c>
      <c r="I2947" t="str">
        <f t="shared" si="93"/>
        <v>Gm6747_240</v>
      </c>
      <c r="J2947" s="3">
        <v>0</v>
      </c>
      <c r="K2947" s="3">
        <v>0</v>
      </c>
      <c r="L2947" s="3">
        <v>186</v>
      </c>
      <c r="M2947" s="3">
        <v>33</v>
      </c>
      <c r="N2947" s="3">
        <v>21</v>
      </c>
    </row>
    <row r="2948" spans="1:14" x14ac:dyDescent="0.2">
      <c r="A2948" s="5" t="str">
        <f>HYPERLINK("http://www.ncbi.nlm.nih.gov/protein/82998543","Gm6747")</f>
        <v>Gm6747</v>
      </c>
      <c r="B2948" s="4"/>
      <c r="C2948" s="3">
        <v>0</v>
      </c>
      <c r="D2948" s="3">
        <v>0</v>
      </c>
      <c r="E2948" s="3">
        <v>186</v>
      </c>
      <c r="F2948" s="3">
        <v>33</v>
      </c>
      <c r="G2948" s="3">
        <v>21</v>
      </c>
      <c r="H2948" s="2">
        <f t="shared" si="92"/>
        <v>240</v>
      </c>
      <c r="I2948" t="str">
        <f t="shared" si="93"/>
        <v>Gm6747_240</v>
      </c>
      <c r="J2948" s="3">
        <v>0</v>
      </c>
      <c r="K2948" s="3">
        <v>0</v>
      </c>
      <c r="L2948" s="3">
        <v>186</v>
      </c>
      <c r="M2948" s="3">
        <v>33</v>
      </c>
      <c r="N2948" s="3">
        <v>21</v>
      </c>
    </row>
    <row r="2949" spans="1:14" x14ac:dyDescent="0.2">
      <c r="A2949" s="5" t="str">
        <f>HYPERLINK("http://www.ncbi.nlm.nih.gov/protein/149255259","Gm6749")</f>
        <v>Gm6749</v>
      </c>
      <c r="B2949" s="4"/>
      <c r="C2949" s="3">
        <v>3410996</v>
      </c>
      <c r="D2949" s="3">
        <v>14692</v>
      </c>
      <c r="E2949" s="3">
        <v>75553</v>
      </c>
      <c r="F2949" s="3">
        <v>360983</v>
      </c>
      <c r="G2949" s="3">
        <v>19995</v>
      </c>
      <c r="H2949" s="2">
        <f t="shared" si="92"/>
        <v>3882219</v>
      </c>
      <c r="I2949" t="str">
        <f t="shared" si="93"/>
        <v>Gm6749_3882219</v>
      </c>
      <c r="J2949" s="3">
        <v>3410996</v>
      </c>
      <c r="K2949" s="3">
        <v>14692</v>
      </c>
      <c r="L2949" s="3">
        <v>75553</v>
      </c>
      <c r="M2949" s="3">
        <v>360983</v>
      </c>
      <c r="N2949" s="3">
        <v>19995</v>
      </c>
    </row>
    <row r="2950" spans="1:14" x14ac:dyDescent="0.2">
      <c r="A2950" s="5" t="str">
        <f>HYPERLINK("http://www.ncbi.nlm.nih.gov/protein/309265661","Gm6749")</f>
        <v>Gm6749</v>
      </c>
      <c r="B2950" s="4"/>
      <c r="C2950" s="3">
        <v>3410996</v>
      </c>
      <c r="D2950" s="3">
        <v>14692</v>
      </c>
      <c r="E2950" s="3">
        <v>75553</v>
      </c>
      <c r="F2950" s="3">
        <v>360983</v>
      </c>
      <c r="G2950" s="3">
        <v>19995</v>
      </c>
      <c r="H2950" s="2">
        <f t="shared" si="92"/>
        <v>3882219</v>
      </c>
      <c r="I2950" t="str">
        <f t="shared" si="93"/>
        <v>Gm6749_3882219</v>
      </c>
      <c r="J2950" s="3">
        <v>3410996</v>
      </c>
      <c r="K2950" s="3">
        <v>14692</v>
      </c>
      <c r="L2950" s="3">
        <v>75553</v>
      </c>
      <c r="M2950" s="3">
        <v>360983</v>
      </c>
      <c r="N2950" s="3">
        <v>19995</v>
      </c>
    </row>
    <row r="2951" spans="1:14" x14ac:dyDescent="0.2">
      <c r="A2951" s="5" t="str">
        <f>HYPERLINK("http://www.ncbi.nlm.nih.gov/protein/309266388","Gm6834")</f>
        <v>Gm6834</v>
      </c>
      <c r="B2951" s="4"/>
      <c r="C2951" s="3">
        <v>146613</v>
      </c>
      <c r="D2951" s="3">
        <v>51449</v>
      </c>
      <c r="E2951" s="3">
        <v>111820</v>
      </c>
      <c r="F2951" s="3">
        <v>268200</v>
      </c>
      <c r="G2951" s="3">
        <v>0</v>
      </c>
      <c r="H2951" s="2">
        <f t="shared" si="92"/>
        <v>578082</v>
      </c>
      <c r="I2951" t="str">
        <f t="shared" si="93"/>
        <v>Gm6834_578082</v>
      </c>
      <c r="J2951" s="3">
        <v>146613</v>
      </c>
      <c r="K2951" s="3">
        <v>51449</v>
      </c>
      <c r="L2951" s="3">
        <v>111820</v>
      </c>
      <c r="M2951" s="3">
        <v>268200</v>
      </c>
      <c r="N2951" s="3">
        <v>0</v>
      </c>
    </row>
    <row r="2952" spans="1:14" x14ac:dyDescent="0.2">
      <c r="A2952" s="5" t="str">
        <f>HYPERLINK("http://www.ncbi.nlm.nih.gov/protein/82905251","Gm6851")</f>
        <v>Gm6851</v>
      </c>
      <c r="B2952" s="4"/>
      <c r="C2952" s="3">
        <v>165</v>
      </c>
      <c r="D2952" s="3">
        <v>353</v>
      </c>
      <c r="E2952" s="3">
        <v>1266</v>
      </c>
      <c r="F2952" s="3">
        <v>3061</v>
      </c>
      <c r="G2952" s="3">
        <v>1778</v>
      </c>
      <c r="H2952" s="2">
        <f t="shared" si="92"/>
        <v>6623</v>
      </c>
      <c r="I2952" t="str">
        <f t="shared" si="93"/>
        <v>Gm6851_6623</v>
      </c>
      <c r="J2952" s="3">
        <v>165</v>
      </c>
      <c r="K2952" s="3">
        <v>353</v>
      </c>
      <c r="L2952" s="3">
        <v>1266</v>
      </c>
      <c r="M2952" s="3">
        <v>3061</v>
      </c>
      <c r="N2952" s="3">
        <v>1778</v>
      </c>
    </row>
    <row r="2953" spans="1:14" x14ac:dyDescent="0.2">
      <c r="A2953" s="5" t="str">
        <f>HYPERLINK("http://www.ncbi.nlm.nih.gov/protein/82950919","Gm6901")</f>
        <v>Gm6901</v>
      </c>
      <c r="B2953" s="4"/>
      <c r="C2953" s="3">
        <v>118293</v>
      </c>
      <c r="D2953" s="3">
        <v>2549</v>
      </c>
      <c r="E2953" s="3">
        <v>1826</v>
      </c>
      <c r="F2953" s="3">
        <v>5231</v>
      </c>
      <c r="G2953" s="3">
        <v>13622</v>
      </c>
      <c r="H2953" s="2">
        <f t="shared" si="92"/>
        <v>141521</v>
      </c>
      <c r="I2953" t="str">
        <f t="shared" si="93"/>
        <v>Gm6901_141521</v>
      </c>
      <c r="J2953" s="3">
        <v>118293</v>
      </c>
      <c r="K2953" s="3">
        <v>2549</v>
      </c>
      <c r="L2953" s="3">
        <v>1826</v>
      </c>
      <c r="M2953" s="3">
        <v>5231</v>
      </c>
      <c r="N2953" s="3">
        <v>13622</v>
      </c>
    </row>
    <row r="2954" spans="1:14" x14ac:dyDescent="0.2">
      <c r="A2954" s="5" t="str">
        <f>HYPERLINK("http://www.ncbi.nlm.nih.gov/protein/407263864","Gm6910")</f>
        <v>Gm6910</v>
      </c>
      <c r="B2954" s="4"/>
      <c r="C2954" s="3">
        <v>0</v>
      </c>
      <c r="D2954" s="3">
        <v>0</v>
      </c>
      <c r="E2954" s="3">
        <v>0</v>
      </c>
      <c r="F2954" s="3">
        <v>25</v>
      </c>
      <c r="G2954" s="3">
        <v>0</v>
      </c>
      <c r="H2954" s="2">
        <f t="shared" si="92"/>
        <v>25</v>
      </c>
      <c r="I2954" t="str">
        <f t="shared" si="93"/>
        <v>Gm6910_25</v>
      </c>
      <c r="J2954" s="3">
        <v>0</v>
      </c>
      <c r="K2954" s="3">
        <v>0</v>
      </c>
      <c r="L2954" s="3">
        <v>0</v>
      </c>
      <c r="M2954" s="3">
        <v>25</v>
      </c>
      <c r="N2954" s="3">
        <v>0</v>
      </c>
    </row>
    <row r="2955" spans="1:14" x14ac:dyDescent="0.2">
      <c r="A2955" s="5" t="str">
        <f>HYPERLINK("http://www.ncbi.nlm.nih.gov/protein/309267035","Gm6917")</f>
        <v>Gm6917</v>
      </c>
      <c r="B2955" s="4"/>
      <c r="C2955" s="3">
        <v>118293</v>
      </c>
      <c r="D2955" s="3">
        <v>2549</v>
      </c>
      <c r="E2955" s="3">
        <v>2022</v>
      </c>
      <c r="F2955" s="3">
        <v>5435</v>
      </c>
      <c r="G2955" s="3">
        <v>16439</v>
      </c>
      <c r="H2955" s="2">
        <f t="shared" si="92"/>
        <v>144738</v>
      </c>
      <c r="I2955" t="str">
        <f t="shared" si="93"/>
        <v>Gm6917_144738</v>
      </c>
      <c r="J2955" s="3">
        <v>118293</v>
      </c>
      <c r="K2955" s="3">
        <v>2549</v>
      </c>
      <c r="L2955" s="3">
        <v>2022</v>
      </c>
      <c r="M2955" s="3">
        <v>5435</v>
      </c>
      <c r="N2955" s="3">
        <v>16439</v>
      </c>
    </row>
    <row r="2956" spans="1:14" x14ac:dyDescent="0.2">
      <c r="A2956" s="5" t="str">
        <f>HYPERLINK("http://www.ncbi.nlm.nih.gov/protein/309269987","Gm6917")</f>
        <v>Gm6917</v>
      </c>
      <c r="B2956" s="4"/>
      <c r="C2956" s="3">
        <v>118293</v>
      </c>
      <c r="D2956" s="3">
        <v>2549</v>
      </c>
      <c r="E2956" s="3">
        <v>1826</v>
      </c>
      <c r="F2956" s="3">
        <v>5231</v>
      </c>
      <c r="G2956" s="3">
        <v>13622</v>
      </c>
      <c r="H2956" s="2">
        <f t="shared" si="92"/>
        <v>141521</v>
      </c>
      <c r="I2956" t="str">
        <f t="shared" si="93"/>
        <v>Gm6917_141521</v>
      </c>
      <c r="J2956" s="3">
        <v>118293</v>
      </c>
      <c r="K2956" s="3">
        <v>2549</v>
      </c>
      <c r="L2956" s="3">
        <v>1826</v>
      </c>
      <c r="M2956" s="3">
        <v>5231</v>
      </c>
      <c r="N2956" s="3">
        <v>13622</v>
      </c>
    </row>
    <row r="2957" spans="1:14" x14ac:dyDescent="0.2">
      <c r="A2957" s="5" t="str">
        <f>HYPERLINK("http://www.ncbi.nlm.nih.gov/protein/309266416","Gm6921")</f>
        <v>Gm6921</v>
      </c>
      <c r="B2957" s="4"/>
      <c r="C2957" s="3">
        <v>0</v>
      </c>
      <c r="D2957" s="3">
        <v>2042</v>
      </c>
      <c r="E2957" s="3">
        <v>10313</v>
      </c>
      <c r="F2957" s="3">
        <v>53280</v>
      </c>
      <c r="G2957" s="3">
        <v>0</v>
      </c>
      <c r="H2957" s="2">
        <f t="shared" si="92"/>
        <v>65635</v>
      </c>
      <c r="I2957" t="str">
        <f t="shared" si="93"/>
        <v>Gm6921_65635</v>
      </c>
      <c r="J2957" s="3">
        <v>0</v>
      </c>
      <c r="K2957" s="3">
        <v>2042</v>
      </c>
      <c r="L2957" s="3">
        <v>10313</v>
      </c>
      <c r="M2957" s="3">
        <v>53280</v>
      </c>
      <c r="N2957" s="3">
        <v>0</v>
      </c>
    </row>
    <row r="2958" spans="1:14" x14ac:dyDescent="0.2">
      <c r="A2958" s="5" t="str">
        <f>HYPERLINK("http://www.ncbi.nlm.nih.gov/protein/82918545","Gm6921")</f>
        <v>Gm6921</v>
      </c>
      <c r="B2958" s="4"/>
      <c r="C2958" s="3">
        <v>0</v>
      </c>
      <c r="D2958" s="3">
        <v>2042</v>
      </c>
      <c r="E2958" s="3">
        <v>10313</v>
      </c>
      <c r="F2958" s="3">
        <v>53280</v>
      </c>
      <c r="G2958" s="3">
        <v>0</v>
      </c>
      <c r="H2958" s="2">
        <f t="shared" si="92"/>
        <v>65635</v>
      </c>
      <c r="I2958" t="str">
        <f t="shared" si="93"/>
        <v>Gm6921_65635</v>
      </c>
      <c r="J2958" s="3">
        <v>0</v>
      </c>
      <c r="K2958" s="3">
        <v>2042</v>
      </c>
      <c r="L2958" s="3">
        <v>10313</v>
      </c>
      <c r="M2958" s="3">
        <v>53280</v>
      </c>
      <c r="N2958" s="3">
        <v>0</v>
      </c>
    </row>
    <row r="2959" spans="1:14" x14ac:dyDescent="0.2">
      <c r="A2959" s="5" t="str">
        <f>HYPERLINK("http://www.ncbi.nlm.nih.gov/protein/149267906","Gm6958")</f>
        <v>Gm6958</v>
      </c>
      <c r="B2959" s="4"/>
      <c r="C2959" s="3">
        <v>458</v>
      </c>
      <c r="D2959" s="3">
        <v>827</v>
      </c>
      <c r="E2959" s="3">
        <v>2616</v>
      </c>
      <c r="F2959" s="3">
        <v>3389</v>
      </c>
      <c r="G2959" s="3">
        <v>0</v>
      </c>
      <c r="H2959" s="2">
        <f t="shared" si="92"/>
        <v>7290</v>
      </c>
      <c r="I2959" t="str">
        <f t="shared" si="93"/>
        <v>Gm6958_7290</v>
      </c>
      <c r="J2959" s="3">
        <v>458</v>
      </c>
      <c r="K2959" s="3">
        <v>827</v>
      </c>
      <c r="L2959" s="3">
        <v>2616</v>
      </c>
      <c r="M2959" s="3">
        <v>3389</v>
      </c>
      <c r="N2959" s="3">
        <v>0</v>
      </c>
    </row>
    <row r="2960" spans="1:14" x14ac:dyDescent="0.2">
      <c r="A2960" s="5" t="str">
        <f>HYPERLINK("http://www.ncbi.nlm.nih.gov/protein/83002589","Gm6987")</f>
        <v>Gm6987</v>
      </c>
      <c r="B2960" s="4"/>
      <c r="C2960" s="3">
        <v>83842</v>
      </c>
      <c r="D2960" s="3">
        <v>27724</v>
      </c>
      <c r="E2960" s="3">
        <v>6430</v>
      </c>
      <c r="F2960" s="3">
        <v>5394</v>
      </c>
      <c r="G2960" s="3">
        <v>278</v>
      </c>
      <c r="H2960" s="2">
        <f t="shared" si="92"/>
        <v>123668</v>
      </c>
      <c r="I2960" t="str">
        <f t="shared" si="93"/>
        <v>Gm6987_123668</v>
      </c>
      <c r="J2960" s="3">
        <v>83842</v>
      </c>
      <c r="K2960" s="3">
        <v>27724</v>
      </c>
      <c r="L2960" s="3">
        <v>6430</v>
      </c>
      <c r="M2960" s="3">
        <v>5394</v>
      </c>
      <c r="N2960" s="3">
        <v>278</v>
      </c>
    </row>
    <row r="2961" spans="1:14" x14ac:dyDescent="0.2">
      <c r="A2961" s="5" t="str">
        <f>HYPERLINK("http://www.ncbi.nlm.nih.gov/protein/309262778","Gm6988")</f>
        <v>Gm6988</v>
      </c>
      <c r="B2961" s="4"/>
      <c r="C2961" s="3">
        <v>216469</v>
      </c>
      <c r="D2961" s="3">
        <v>55242</v>
      </c>
      <c r="E2961" s="3">
        <v>149142</v>
      </c>
      <c r="F2961" s="3">
        <v>63790</v>
      </c>
      <c r="G2961" s="3">
        <v>4027</v>
      </c>
      <c r="H2961" s="2">
        <f t="shared" si="92"/>
        <v>488670</v>
      </c>
      <c r="I2961" t="str">
        <f t="shared" si="93"/>
        <v>Gm6988_488670</v>
      </c>
      <c r="J2961" s="3">
        <v>216469</v>
      </c>
      <c r="K2961" s="3">
        <v>55242</v>
      </c>
      <c r="L2961" s="3">
        <v>149142</v>
      </c>
      <c r="M2961" s="3">
        <v>63790</v>
      </c>
      <c r="N2961" s="3">
        <v>4027</v>
      </c>
    </row>
    <row r="2962" spans="1:14" x14ac:dyDescent="0.2">
      <c r="A2962" s="5" t="str">
        <f>HYPERLINK("http://www.ncbi.nlm.nih.gov/protein/82943174","Gm6988")</f>
        <v>Gm6988</v>
      </c>
      <c r="B2962" s="4"/>
      <c r="C2962" s="3">
        <v>169624</v>
      </c>
      <c r="D2962" s="3">
        <v>55676</v>
      </c>
      <c r="E2962" s="3">
        <v>125505</v>
      </c>
      <c r="F2962" s="3">
        <v>45201</v>
      </c>
      <c r="G2962" s="3">
        <v>3020</v>
      </c>
      <c r="H2962" s="2">
        <f t="shared" si="92"/>
        <v>399026</v>
      </c>
      <c r="I2962" t="str">
        <f t="shared" si="93"/>
        <v>Gm6988_399026</v>
      </c>
      <c r="J2962" s="3">
        <v>169624</v>
      </c>
      <c r="K2962" s="3">
        <v>55676</v>
      </c>
      <c r="L2962" s="3">
        <v>125505</v>
      </c>
      <c r="M2962" s="3">
        <v>45201</v>
      </c>
      <c r="N2962" s="3">
        <v>3020</v>
      </c>
    </row>
    <row r="2963" spans="1:14" x14ac:dyDescent="0.2">
      <c r="A2963" s="5" t="str">
        <f>HYPERLINK("http://www.ncbi.nlm.nih.gov/protein/309266895","Gm7061")</f>
        <v>Gm7061</v>
      </c>
      <c r="B2963" s="4"/>
      <c r="C2963" s="3">
        <v>58103</v>
      </c>
      <c r="D2963" s="3">
        <v>1134</v>
      </c>
      <c r="E2963" s="3">
        <v>524</v>
      </c>
      <c r="F2963" s="3">
        <v>7670</v>
      </c>
      <c r="G2963" s="3">
        <v>0</v>
      </c>
      <c r="H2963" s="2">
        <f t="shared" si="92"/>
        <v>67431</v>
      </c>
      <c r="I2963" t="str">
        <f t="shared" si="93"/>
        <v>Gm7061_67431</v>
      </c>
      <c r="J2963" s="3">
        <v>58103</v>
      </c>
      <c r="K2963" s="3">
        <v>1134</v>
      </c>
      <c r="L2963" s="3">
        <v>524</v>
      </c>
      <c r="M2963" s="3">
        <v>7670</v>
      </c>
      <c r="N2963" s="3">
        <v>0</v>
      </c>
    </row>
    <row r="2964" spans="1:14" x14ac:dyDescent="0.2">
      <c r="A2964" s="5" t="str">
        <f>HYPERLINK("http://www.ncbi.nlm.nih.gov/protein/309271453","Gm7061")</f>
        <v>Gm7061</v>
      </c>
      <c r="B2964" s="4"/>
      <c r="C2964" s="3">
        <v>64163</v>
      </c>
      <c r="D2964" s="3">
        <v>2616</v>
      </c>
      <c r="E2964" s="3">
        <v>7394</v>
      </c>
      <c r="F2964" s="3">
        <v>164857</v>
      </c>
      <c r="G2964" s="3">
        <v>24985</v>
      </c>
      <c r="H2964" s="2">
        <f t="shared" si="92"/>
        <v>264015</v>
      </c>
      <c r="I2964" t="str">
        <f t="shared" si="93"/>
        <v>Gm7061_264015</v>
      </c>
      <c r="J2964" s="3">
        <v>64163</v>
      </c>
      <c r="K2964" s="3">
        <v>2616</v>
      </c>
      <c r="L2964" s="3">
        <v>7394</v>
      </c>
      <c r="M2964" s="3">
        <v>164857</v>
      </c>
      <c r="N2964" s="3">
        <v>24985</v>
      </c>
    </row>
    <row r="2965" spans="1:14" x14ac:dyDescent="0.2">
      <c r="A2965" s="5" t="str">
        <f>HYPERLINK("http://www.ncbi.nlm.nih.gov/protein/377834609","Gm7061")</f>
        <v>Gm7061</v>
      </c>
      <c r="B2965" s="4"/>
      <c r="C2965" s="3">
        <v>6078</v>
      </c>
      <c r="D2965" s="3">
        <v>1482</v>
      </c>
      <c r="E2965" s="3">
        <v>6812</v>
      </c>
      <c r="F2965" s="3">
        <v>157842</v>
      </c>
      <c r="G2965" s="3">
        <v>24985</v>
      </c>
      <c r="H2965" s="2">
        <f t="shared" si="92"/>
        <v>197199</v>
      </c>
      <c r="I2965" t="str">
        <f t="shared" si="93"/>
        <v>Gm7061_197199</v>
      </c>
      <c r="J2965" s="3">
        <v>6078</v>
      </c>
      <c r="K2965" s="3">
        <v>1482</v>
      </c>
      <c r="L2965" s="3">
        <v>6812</v>
      </c>
      <c r="M2965" s="3">
        <v>157842</v>
      </c>
      <c r="N2965" s="3">
        <v>24985</v>
      </c>
    </row>
    <row r="2966" spans="1:14" x14ac:dyDescent="0.2">
      <c r="A2966" s="5" t="str">
        <f>HYPERLINK("http://www.ncbi.nlm.nih.gov/protein/407262228","Gm7250")</f>
        <v>Gm7250</v>
      </c>
      <c r="B2966" s="4"/>
      <c r="C2966" s="3">
        <v>6682</v>
      </c>
      <c r="D2966" s="3">
        <v>253</v>
      </c>
      <c r="E2966" s="3">
        <v>1330</v>
      </c>
      <c r="F2966" s="3">
        <v>909</v>
      </c>
      <c r="G2966" s="3">
        <v>0</v>
      </c>
      <c r="H2966" s="2">
        <f t="shared" si="92"/>
        <v>9174</v>
      </c>
      <c r="I2966" t="str">
        <f t="shared" si="93"/>
        <v>Gm7250_9174</v>
      </c>
      <c r="J2966" s="3">
        <v>6682</v>
      </c>
      <c r="K2966" s="3">
        <v>253</v>
      </c>
      <c r="L2966" s="3">
        <v>1330</v>
      </c>
      <c r="M2966" s="3">
        <v>909</v>
      </c>
      <c r="N2966" s="3">
        <v>0</v>
      </c>
    </row>
    <row r="2967" spans="1:14" x14ac:dyDescent="0.2">
      <c r="A2967" s="5" t="str">
        <f>HYPERLINK("http://www.ncbi.nlm.nih.gov/protein/94408110","Gm7429")</f>
        <v>Gm7429</v>
      </c>
      <c r="B2967" s="4"/>
      <c r="C2967" s="3">
        <v>192817</v>
      </c>
      <c r="D2967" s="3">
        <v>15212</v>
      </c>
      <c r="E2967" s="3">
        <v>93033</v>
      </c>
      <c r="F2967" s="3">
        <v>331302</v>
      </c>
      <c r="G2967" s="3">
        <v>793</v>
      </c>
      <c r="H2967" s="2">
        <f t="shared" si="92"/>
        <v>633157</v>
      </c>
      <c r="I2967" t="str">
        <f t="shared" si="93"/>
        <v>Gm7429_633157</v>
      </c>
      <c r="J2967" s="3">
        <v>192817</v>
      </c>
      <c r="K2967" s="3">
        <v>15212</v>
      </c>
      <c r="L2967" s="3">
        <v>93033</v>
      </c>
      <c r="M2967" s="3">
        <v>331302</v>
      </c>
      <c r="N2967" s="3">
        <v>793</v>
      </c>
    </row>
    <row r="2968" spans="1:14" x14ac:dyDescent="0.2">
      <c r="A2968" s="5" t="str">
        <f>HYPERLINK("http://www.ncbi.nlm.nih.gov/protein/309265940","Gm7546")</f>
        <v>Gm7546</v>
      </c>
      <c r="B2968" s="4"/>
      <c r="C2968" s="3">
        <v>0</v>
      </c>
      <c r="D2968" s="3">
        <v>0</v>
      </c>
      <c r="E2968" s="3">
        <v>0</v>
      </c>
      <c r="F2968" s="3">
        <v>1138</v>
      </c>
      <c r="G2968" s="3">
        <v>0</v>
      </c>
      <c r="H2968" s="2">
        <f t="shared" si="92"/>
        <v>1138</v>
      </c>
      <c r="I2968" t="str">
        <f t="shared" si="93"/>
        <v>Gm7546_1138</v>
      </c>
      <c r="J2968" s="3">
        <v>0</v>
      </c>
      <c r="K2968" s="3">
        <v>0</v>
      </c>
      <c r="L2968" s="3">
        <v>0</v>
      </c>
      <c r="M2968" s="3">
        <v>1138</v>
      </c>
      <c r="N2968" s="3">
        <v>0</v>
      </c>
    </row>
    <row r="2969" spans="1:14" x14ac:dyDescent="0.2">
      <c r="A2969" s="5" t="str">
        <f>HYPERLINK("http://www.ncbi.nlm.nih.gov/protein/312176359","Gm7694")</f>
        <v>Gm7694</v>
      </c>
      <c r="B2969" s="4"/>
      <c r="C2969" s="3">
        <v>0</v>
      </c>
      <c r="D2969" s="3">
        <v>0</v>
      </c>
      <c r="E2969" s="3">
        <v>6</v>
      </c>
      <c r="F2969" s="3">
        <v>0</v>
      </c>
      <c r="G2969" s="3">
        <v>0</v>
      </c>
      <c r="H2969" s="2">
        <f t="shared" si="92"/>
        <v>6</v>
      </c>
      <c r="I2969" t="str">
        <f t="shared" si="93"/>
        <v>Gm7694_6</v>
      </c>
      <c r="J2969" s="3">
        <v>0</v>
      </c>
      <c r="K2969" s="3">
        <v>0</v>
      </c>
      <c r="L2969" s="3">
        <v>6</v>
      </c>
      <c r="M2969" s="3">
        <v>0</v>
      </c>
      <c r="N2969" s="3">
        <v>0</v>
      </c>
    </row>
    <row r="2970" spans="1:14" x14ac:dyDescent="0.2">
      <c r="A2970" s="5" t="str">
        <f>HYPERLINK("http://www.ncbi.nlm.nih.gov/protein/407264240","Gm7810")</f>
        <v>Gm7810</v>
      </c>
      <c r="B2970" s="4"/>
      <c r="C2970" s="3">
        <v>86569</v>
      </c>
      <c r="D2970" s="3">
        <v>33342</v>
      </c>
      <c r="E2970" s="3">
        <v>117897</v>
      </c>
      <c r="F2970" s="3">
        <v>276074</v>
      </c>
      <c r="G2970" s="3">
        <v>0</v>
      </c>
      <c r="H2970" s="2">
        <f t="shared" si="92"/>
        <v>513882</v>
      </c>
      <c r="I2970" t="str">
        <f t="shared" si="93"/>
        <v>Gm7810_513882</v>
      </c>
      <c r="J2970" s="3">
        <v>86569</v>
      </c>
      <c r="K2970" s="3">
        <v>33342</v>
      </c>
      <c r="L2970" s="3">
        <v>117897</v>
      </c>
      <c r="M2970" s="3">
        <v>276074</v>
      </c>
      <c r="N2970" s="3">
        <v>0</v>
      </c>
    </row>
    <row r="2971" spans="1:14" x14ac:dyDescent="0.2">
      <c r="A2971" s="5" t="str">
        <f>HYPERLINK("http://www.ncbi.nlm.nih.gov/protein/149260017","Gm7866")</f>
        <v>Gm7866</v>
      </c>
      <c r="B2971" s="4"/>
      <c r="C2971" s="3">
        <v>1577210</v>
      </c>
      <c r="D2971" s="3">
        <v>13087</v>
      </c>
      <c r="E2971" s="3">
        <v>42062</v>
      </c>
      <c r="F2971" s="3">
        <v>108843</v>
      </c>
      <c r="G2971" s="3">
        <v>91491</v>
      </c>
      <c r="H2971" s="2">
        <f t="shared" si="92"/>
        <v>1832693</v>
      </c>
      <c r="I2971" t="str">
        <f t="shared" si="93"/>
        <v>Gm7866_1832693</v>
      </c>
      <c r="J2971" s="3">
        <v>1577210</v>
      </c>
      <c r="K2971" s="3">
        <v>13087</v>
      </c>
      <c r="L2971" s="3">
        <v>42062</v>
      </c>
      <c r="M2971" s="3">
        <v>108843</v>
      </c>
      <c r="N2971" s="3">
        <v>91491</v>
      </c>
    </row>
    <row r="2972" spans="1:14" x14ac:dyDescent="0.2">
      <c r="A2972" s="5" t="str">
        <f>HYPERLINK("http://www.ncbi.nlm.nih.gov/protein/309266537","Gm7866")</f>
        <v>Gm7866</v>
      </c>
      <c r="B2972" s="4"/>
      <c r="C2972" s="3">
        <v>1577210</v>
      </c>
      <c r="D2972" s="3">
        <v>13087</v>
      </c>
      <c r="E2972" s="3">
        <v>42062</v>
      </c>
      <c r="F2972" s="3">
        <v>108418</v>
      </c>
      <c r="G2972" s="3">
        <v>91491</v>
      </c>
      <c r="H2972" s="2">
        <f t="shared" si="92"/>
        <v>1832268</v>
      </c>
      <c r="I2972" t="str">
        <f t="shared" si="93"/>
        <v>Gm7866_1832268</v>
      </c>
      <c r="J2972" s="3">
        <v>1577210</v>
      </c>
      <c r="K2972" s="3">
        <v>13087</v>
      </c>
      <c r="L2972" s="3">
        <v>42062</v>
      </c>
      <c r="M2972" s="3">
        <v>108418</v>
      </c>
      <c r="N2972" s="3">
        <v>91491</v>
      </c>
    </row>
    <row r="2973" spans="1:14" x14ac:dyDescent="0.2">
      <c r="A2973" s="5" t="str">
        <f>HYPERLINK("http://www.ncbi.nlm.nih.gov/protein/407262833","Gm7889")</f>
        <v>Gm7889</v>
      </c>
      <c r="B2973" s="4"/>
      <c r="C2973" s="3">
        <v>0</v>
      </c>
      <c r="D2973" s="3">
        <v>1096</v>
      </c>
      <c r="E2973" s="3">
        <v>0</v>
      </c>
      <c r="F2973" s="3">
        <v>0</v>
      </c>
      <c r="G2973" s="3">
        <v>0</v>
      </c>
      <c r="H2973" s="2">
        <f t="shared" si="92"/>
        <v>1096</v>
      </c>
      <c r="I2973" t="str">
        <f t="shared" si="93"/>
        <v>Gm7889_1096</v>
      </c>
      <c r="J2973" s="3">
        <v>0</v>
      </c>
      <c r="K2973" s="3">
        <v>1096</v>
      </c>
      <c r="L2973" s="3">
        <v>0</v>
      </c>
      <c r="M2973" s="3">
        <v>0</v>
      </c>
      <c r="N2973" s="3">
        <v>0</v>
      </c>
    </row>
    <row r="2974" spans="1:14" x14ac:dyDescent="0.2">
      <c r="A2974" s="5" t="str">
        <f>HYPERLINK("http://www.ncbi.nlm.nih.gov/protein/94374770","Gm8069")</f>
        <v>Gm8069</v>
      </c>
      <c r="B2974" s="4"/>
      <c r="C2974" s="3">
        <v>2984</v>
      </c>
      <c r="D2974" s="3">
        <v>1052</v>
      </c>
      <c r="E2974" s="3">
        <v>0</v>
      </c>
      <c r="F2974" s="3">
        <v>0</v>
      </c>
      <c r="G2974" s="3">
        <v>0</v>
      </c>
      <c r="H2974" s="2">
        <f t="shared" si="92"/>
        <v>4036</v>
      </c>
      <c r="I2974" t="str">
        <f t="shared" si="93"/>
        <v>Gm8069_4036</v>
      </c>
      <c r="J2974" s="3">
        <v>2984</v>
      </c>
      <c r="K2974" s="3">
        <v>1052</v>
      </c>
      <c r="L2974" s="3">
        <v>0</v>
      </c>
      <c r="M2974" s="3">
        <v>0</v>
      </c>
      <c r="N2974" s="3">
        <v>0</v>
      </c>
    </row>
    <row r="2975" spans="1:14" x14ac:dyDescent="0.2">
      <c r="A2975" s="5" t="str">
        <f>HYPERLINK("http://www.ncbi.nlm.nih.gov/protein/94388464","Gm8112")</f>
        <v>Gm8112</v>
      </c>
      <c r="B2975" s="4"/>
      <c r="C2975" s="3">
        <v>73261</v>
      </c>
      <c r="D2975" s="3">
        <v>54257</v>
      </c>
      <c r="E2975" s="3">
        <v>158838</v>
      </c>
      <c r="F2975" s="3">
        <v>513366</v>
      </c>
      <c r="G2975" s="3">
        <v>1810</v>
      </c>
      <c r="H2975" s="2">
        <f t="shared" si="92"/>
        <v>801532</v>
      </c>
      <c r="I2975" t="str">
        <f t="shared" si="93"/>
        <v>Gm8112_801532</v>
      </c>
      <c r="J2975" s="3">
        <v>73261</v>
      </c>
      <c r="K2975" s="3">
        <v>54257</v>
      </c>
      <c r="L2975" s="3">
        <v>158838</v>
      </c>
      <c r="M2975" s="3">
        <v>513366</v>
      </c>
      <c r="N2975" s="3">
        <v>1810</v>
      </c>
    </row>
    <row r="2976" spans="1:14" x14ac:dyDescent="0.2">
      <c r="A2976" s="5" t="str">
        <f>HYPERLINK("http://www.ncbi.nlm.nih.gov/protein/94388474","Gm8137")</f>
        <v>Gm8137</v>
      </c>
      <c r="B2976" s="4"/>
      <c r="C2976" s="3">
        <v>73261</v>
      </c>
      <c r="D2976" s="3">
        <v>54257</v>
      </c>
      <c r="E2976" s="3">
        <v>158838</v>
      </c>
      <c r="F2976" s="3">
        <v>512482</v>
      </c>
      <c r="G2976" s="3">
        <v>1810</v>
      </c>
      <c r="H2976" s="2">
        <f t="shared" si="92"/>
        <v>800648</v>
      </c>
      <c r="I2976" t="str">
        <f t="shared" si="93"/>
        <v>Gm8137_800648</v>
      </c>
      <c r="J2976" s="3">
        <v>73261</v>
      </c>
      <c r="K2976" s="3">
        <v>54257</v>
      </c>
      <c r="L2976" s="3">
        <v>158838</v>
      </c>
      <c r="M2976" s="3">
        <v>512482</v>
      </c>
      <c r="N2976" s="3">
        <v>1810</v>
      </c>
    </row>
    <row r="2977" spans="1:14" x14ac:dyDescent="0.2">
      <c r="A2977" s="5" t="str">
        <f>HYPERLINK("http://www.ncbi.nlm.nih.gov/protein/94363330","Gm8210")</f>
        <v>Gm8210</v>
      </c>
      <c r="B2977" s="4"/>
      <c r="C2977" s="3">
        <v>28997</v>
      </c>
      <c r="D2977" s="3">
        <v>3282</v>
      </c>
      <c r="E2977" s="3">
        <v>16493</v>
      </c>
      <c r="F2977" s="3">
        <v>77296</v>
      </c>
      <c r="G2977" s="3">
        <v>0</v>
      </c>
      <c r="H2977" s="2">
        <f t="shared" si="92"/>
        <v>126068</v>
      </c>
      <c r="I2977" t="str">
        <f t="shared" si="93"/>
        <v>Gm8210_126068</v>
      </c>
      <c r="J2977" s="3">
        <v>28997</v>
      </c>
      <c r="K2977" s="3">
        <v>3282</v>
      </c>
      <c r="L2977" s="3">
        <v>16493</v>
      </c>
      <c r="M2977" s="3">
        <v>77296</v>
      </c>
      <c r="N2977" s="3">
        <v>0</v>
      </c>
    </row>
    <row r="2978" spans="1:14" x14ac:dyDescent="0.2">
      <c r="A2978" s="5" t="str">
        <f>HYPERLINK("http://www.ncbi.nlm.nih.gov/protein/309265674","Gm8213")</f>
        <v>Gm8213</v>
      </c>
      <c r="B2978" s="4"/>
      <c r="C2978" s="3">
        <v>79576</v>
      </c>
      <c r="D2978" s="3">
        <v>3075</v>
      </c>
      <c r="E2978" s="3">
        <v>50205</v>
      </c>
      <c r="F2978" s="3">
        <v>55318</v>
      </c>
      <c r="G2978" s="3">
        <v>0</v>
      </c>
      <c r="H2978" s="2">
        <f t="shared" si="92"/>
        <v>188174</v>
      </c>
      <c r="I2978" t="str">
        <f t="shared" si="93"/>
        <v>Gm8213_188174</v>
      </c>
      <c r="J2978" s="3">
        <v>79576</v>
      </c>
      <c r="K2978" s="3">
        <v>3075</v>
      </c>
      <c r="L2978" s="3">
        <v>50205</v>
      </c>
      <c r="M2978" s="3">
        <v>55318</v>
      </c>
      <c r="N2978" s="3">
        <v>0</v>
      </c>
    </row>
    <row r="2979" spans="1:14" x14ac:dyDescent="0.2">
      <c r="A2979" s="5" t="str">
        <f>HYPERLINK("http://www.ncbi.nlm.nih.gov/protein/94388507","Gm8290")</f>
        <v>Gm8290</v>
      </c>
      <c r="B2979" s="4"/>
      <c r="C2979" s="3">
        <v>97791</v>
      </c>
      <c r="D2979" s="3">
        <v>54593</v>
      </c>
      <c r="E2979" s="3">
        <v>159127</v>
      </c>
      <c r="F2979" s="3">
        <v>473608</v>
      </c>
      <c r="G2979" s="3">
        <v>0</v>
      </c>
      <c r="H2979" s="2">
        <f t="shared" si="92"/>
        <v>785119</v>
      </c>
      <c r="I2979" t="str">
        <f t="shared" si="93"/>
        <v>Gm8290_785119</v>
      </c>
      <c r="J2979" s="3">
        <v>97791</v>
      </c>
      <c r="K2979" s="3">
        <v>54593</v>
      </c>
      <c r="L2979" s="3">
        <v>159127</v>
      </c>
      <c r="M2979" s="3">
        <v>473608</v>
      </c>
      <c r="N2979" s="3">
        <v>0</v>
      </c>
    </row>
    <row r="2980" spans="1:14" x14ac:dyDescent="0.2">
      <c r="A2980" s="5" t="str">
        <f>HYPERLINK("http://www.ncbi.nlm.nih.gov/protein/309265697","Gm8430")</f>
        <v>Gm8430</v>
      </c>
      <c r="B2980" s="4"/>
      <c r="C2980" s="3">
        <v>1589273</v>
      </c>
      <c r="D2980" s="3">
        <v>33640</v>
      </c>
      <c r="E2980" s="3">
        <v>82742</v>
      </c>
      <c r="F2980" s="3">
        <v>196175</v>
      </c>
      <c r="G2980" s="3">
        <v>91491</v>
      </c>
      <c r="H2980" s="2">
        <f t="shared" si="92"/>
        <v>1993321</v>
      </c>
      <c r="I2980" t="str">
        <f t="shared" si="93"/>
        <v>Gm8430_1993321</v>
      </c>
      <c r="J2980" s="3">
        <v>1589273</v>
      </c>
      <c r="K2980" s="3">
        <v>33640</v>
      </c>
      <c r="L2980" s="3">
        <v>82742</v>
      </c>
      <c r="M2980" s="3">
        <v>196175</v>
      </c>
      <c r="N2980" s="3">
        <v>91491</v>
      </c>
    </row>
    <row r="2981" spans="1:14" x14ac:dyDescent="0.2">
      <c r="A2981" s="5" t="str">
        <f>HYPERLINK("http://www.ncbi.nlm.nih.gov/protein/94378076","Gm8430")</f>
        <v>Gm8430</v>
      </c>
      <c r="B2981" s="4"/>
      <c r="C2981" s="3">
        <v>1589273</v>
      </c>
      <c r="D2981" s="3">
        <v>33640</v>
      </c>
      <c r="E2981" s="3">
        <v>82742</v>
      </c>
      <c r="F2981" s="3">
        <v>196175</v>
      </c>
      <c r="G2981" s="3">
        <v>91491</v>
      </c>
      <c r="H2981" s="2">
        <f t="shared" si="92"/>
        <v>1993321</v>
      </c>
      <c r="I2981" t="str">
        <f t="shared" si="93"/>
        <v>Gm8430_1993321</v>
      </c>
      <c r="J2981" s="3">
        <v>1589273</v>
      </c>
      <c r="K2981" s="3">
        <v>33640</v>
      </c>
      <c r="L2981" s="3">
        <v>82742</v>
      </c>
      <c r="M2981" s="3">
        <v>196175</v>
      </c>
      <c r="N2981" s="3">
        <v>91491</v>
      </c>
    </row>
    <row r="2982" spans="1:14" x14ac:dyDescent="0.2">
      <c r="A2982" s="5" t="str">
        <f>HYPERLINK("http://www.ncbi.nlm.nih.gov/protein/377833325","Gm8526")</f>
        <v>Gm8526</v>
      </c>
      <c r="B2982" s="4"/>
      <c r="C2982" s="3">
        <v>0</v>
      </c>
      <c r="D2982" s="3">
        <v>0</v>
      </c>
      <c r="E2982" s="3">
        <v>11437</v>
      </c>
      <c r="F2982" s="3">
        <v>47705</v>
      </c>
      <c r="G2982" s="3">
        <v>0</v>
      </c>
      <c r="H2982" s="2">
        <f t="shared" si="92"/>
        <v>59142</v>
      </c>
      <c r="I2982" t="str">
        <f t="shared" si="93"/>
        <v>Gm8526_59142</v>
      </c>
      <c r="J2982" s="3">
        <v>0</v>
      </c>
      <c r="K2982" s="3">
        <v>0</v>
      </c>
      <c r="L2982" s="3">
        <v>11437</v>
      </c>
      <c r="M2982" s="3">
        <v>47705</v>
      </c>
      <c r="N2982" s="3">
        <v>0</v>
      </c>
    </row>
    <row r="2983" spans="1:14" x14ac:dyDescent="0.2">
      <c r="A2983" s="5" t="str">
        <f>HYPERLINK("http://www.ncbi.nlm.nih.gov/protein/309265232","Gm8539")</f>
        <v>Gm8539</v>
      </c>
      <c r="B2983" s="4"/>
      <c r="C2983" s="3">
        <v>0</v>
      </c>
      <c r="D2983" s="3">
        <v>121</v>
      </c>
      <c r="E2983" s="3">
        <v>290</v>
      </c>
      <c r="F2983" s="3">
        <v>0</v>
      </c>
      <c r="G2983" s="3">
        <v>664</v>
      </c>
      <c r="H2983" s="2">
        <f t="shared" si="92"/>
        <v>1075</v>
      </c>
      <c r="I2983" t="str">
        <f t="shared" si="93"/>
        <v>Gm8539_1075</v>
      </c>
      <c r="J2983" s="3">
        <v>0</v>
      </c>
      <c r="K2983" s="3">
        <v>121</v>
      </c>
      <c r="L2983" s="3">
        <v>290</v>
      </c>
      <c r="M2983" s="3">
        <v>0</v>
      </c>
      <c r="N2983" s="3">
        <v>664</v>
      </c>
    </row>
    <row r="2984" spans="1:14" x14ac:dyDescent="0.2">
      <c r="A2984" s="5" t="str">
        <f>HYPERLINK("http://www.ncbi.nlm.nih.gov/protein/309265997","Gm8556")</f>
        <v>Gm8556</v>
      </c>
      <c r="B2984" s="4"/>
      <c r="C2984" s="3">
        <v>38022</v>
      </c>
      <c r="D2984" s="3">
        <v>7747</v>
      </c>
      <c r="E2984" s="3">
        <v>1333</v>
      </c>
      <c r="F2984" s="3">
        <v>2971</v>
      </c>
      <c r="G2984" s="3">
        <v>131727</v>
      </c>
      <c r="H2984" s="2">
        <f t="shared" si="92"/>
        <v>181800</v>
      </c>
      <c r="I2984" t="str">
        <f t="shared" si="93"/>
        <v>Gm8556_181800</v>
      </c>
      <c r="J2984" s="3">
        <v>38022</v>
      </c>
      <c r="K2984" s="3">
        <v>7747</v>
      </c>
      <c r="L2984" s="3">
        <v>1333</v>
      </c>
      <c r="M2984" s="3">
        <v>2971</v>
      </c>
      <c r="N2984" s="3">
        <v>131727</v>
      </c>
    </row>
    <row r="2985" spans="1:14" x14ac:dyDescent="0.2">
      <c r="A2985" s="5" t="str">
        <f>HYPERLINK("http://www.ncbi.nlm.nih.gov/protein/407263446","Gm8556")</f>
        <v>Gm8556</v>
      </c>
      <c r="B2985" s="4"/>
      <c r="C2985" s="3">
        <v>124371</v>
      </c>
      <c r="D2985" s="3">
        <v>17341</v>
      </c>
      <c r="E2985" s="3">
        <v>28577</v>
      </c>
      <c r="F2985" s="3">
        <v>113542</v>
      </c>
      <c r="G2985" s="3">
        <v>282260</v>
      </c>
      <c r="H2985" s="2">
        <f t="shared" si="92"/>
        <v>566091</v>
      </c>
      <c r="I2985" t="str">
        <f t="shared" si="93"/>
        <v>Gm8556_566091</v>
      </c>
      <c r="J2985" s="3">
        <v>124371</v>
      </c>
      <c r="K2985" s="3">
        <v>17341</v>
      </c>
      <c r="L2985" s="3">
        <v>28577</v>
      </c>
      <c r="M2985" s="3">
        <v>113542</v>
      </c>
      <c r="N2985" s="3">
        <v>282260</v>
      </c>
    </row>
    <row r="2986" spans="1:14" x14ac:dyDescent="0.2">
      <c r="A2986" s="5" t="str">
        <f>HYPERLINK("http://www.ncbi.nlm.nih.gov/protein/149263421","Gm8587")</f>
        <v>Gm8587</v>
      </c>
      <c r="B2986" s="4"/>
      <c r="C2986" s="3">
        <v>0</v>
      </c>
      <c r="D2986" s="3">
        <v>0</v>
      </c>
      <c r="E2986" s="3">
        <v>0</v>
      </c>
      <c r="F2986" s="3">
        <v>1023</v>
      </c>
      <c r="G2986" s="3">
        <v>0</v>
      </c>
      <c r="H2986" s="2">
        <f t="shared" si="92"/>
        <v>1023</v>
      </c>
      <c r="I2986" t="str">
        <f t="shared" si="93"/>
        <v>Gm8587_1023</v>
      </c>
      <c r="J2986" s="3">
        <v>0</v>
      </c>
      <c r="K2986" s="3">
        <v>0</v>
      </c>
      <c r="L2986" s="3">
        <v>0</v>
      </c>
      <c r="M2986" s="3">
        <v>1023</v>
      </c>
      <c r="N2986" s="3">
        <v>0</v>
      </c>
    </row>
    <row r="2987" spans="1:14" x14ac:dyDescent="0.2">
      <c r="A2987" s="5" t="str">
        <f>HYPERLINK("http://www.ncbi.nlm.nih.gov/protein/149240882","Gm8618")</f>
        <v>Gm8618</v>
      </c>
      <c r="B2987" s="4"/>
      <c r="C2987" s="3">
        <v>58048</v>
      </c>
      <c r="D2987" s="3">
        <v>2221</v>
      </c>
      <c r="E2987" s="3">
        <v>17354</v>
      </c>
      <c r="F2987" s="3">
        <v>39937</v>
      </c>
      <c r="G2987" s="3">
        <v>0</v>
      </c>
      <c r="H2987" s="2">
        <f t="shared" si="92"/>
        <v>117560</v>
      </c>
      <c r="I2987" t="str">
        <f t="shared" si="93"/>
        <v>Gm8618_117560</v>
      </c>
      <c r="J2987" s="3">
        <v>58048</v>
      </c>
      <c r="K2987" s="3">
        <v>2221</v>
      </c>
      <c r="L2987" s="3">
        <v>17354</v>
      </c>
      <c r="M2987" s="3">
        <v>39937</v>
      </c>
      <c r="N2987" s="3">
        <v>0</v>
      </c>
    </row>
    <row r="2988" spans="1:14" x14ac:dyDescent="0.2">
      <c r="A2988" s="5" t="str">
        <f>HYPERLINK("http://www.ncbi.nlm.nih.gov/protein/309266362","Gm8841")</f>
        <v>Gm8841</v>
      </c>
      <c r="B2988" s="4"/>
      <c r="C2988" s="3">
        <v>187142</v>
      </c>
      <c r="D2988" s="3">
        <v>52612</v>
      </c>
      <c r="E2988" s="3">
        <v>251507</v>
      </c>
      <c r="F2988" s="3">
        <v>572768</v>
      </c>
      <c r="G2988" s="3">
        <v>0</v>
      </c>
      <c r="H2988" s="2">
        <f t="shared" si="92"/>
        <v>1064029</v>
      </c>
      <c r="I2988" t="str">
        <f t="shared" si="93"/>
        <v>Gm8841_1064029</v>
      </c>
      <c r="J2988" s="3">
        <v>187142</v>
      </c>
      <c r="K2988" s="3">
        <v>52612</v>
      </c>
      <c r="L2988" s="3">
        <v>251507</v>
      </c>
      <c r="M2988" s="3">
        <v>572768</v>
      </c>
      <c r="N2988" s="3">
        <v>0</v>
      </c>
    </row>
    <row r="2989" spans="1:14" x14ac:dyDescent="0.2">
      <c r="A2989" s="5" t="str">
        <f>HYPERLINK("http://www.ncbi.nlm.nih.gov/protein/94383782","Gm8841")</f>
        <v>Gm8841</v>
      </c>
      <c r="B2989" s="4"/>
      <c r="C2989" s="3">
        <v>187142</v>
      </c>
      <c r="D2989" s="3">
        <v>52612</v>
      </c>
      <c r="E2989" s="3">
        <v>251507</v>
      </c>
      <c r="F2989" s="3">
        <v>530236</v>
      </c>
      <c r="G2989" s="3">
        <v>0</v>
      </c>
      <c r="H2989" s="2">
        <f t="shared" si="92"/>
        <v>1021497</v>
      </c>
      <c r="I2989" t="str">
        <f t="shared" si="93"/>
        <v>Gm8841_1021497</v>
      </c>
      <c r="J2989" s="3">
        <v>187142</v>
      </c>
      <c r="K2989" s="3">
        <v>52612</v>
      </c>
      <c r="L2989" s="3">
        <v>251507</v>
      </c>
      <c r="M2989" s="3">
        <v>530236</v>
      </c>
      <c r="N2989" s="3">
        <v>0</v>
      </c>
    </row>
    <row r="2990" spans="1:14" x14ac:dyDescent="0.2">
      <c r="A2990" s="5" t="str">
        <f>HYPERLINK("http://www.ncbi.nlm.nih.gov/protein/94384306","Gm8842")</f>
        <v>Gm8842</v>
      </c>
      <c r="B2990" s="4"/>
      <c r="C2990" s="3">
        <v>110605</v>
      </c>
      <c r="D2990" s="3">
        <v>41984</v>
      </c>
      <c r="E2990" s="3">
        <v>182896</v>
      </c>
      <c r="F2990" s="3">
        <v>519186</v>
      </c>
      <c r="G2990" s="3">
        <v>0</v>
      </c>
      <c r="H2990" s="2">
        <f t="shared" si="92"/>
        <v>854671</v>
      </c>
      <c r="I2990" t="str">
        <f t="shared" si="93"/>
        <v>Gm8842_854671</v>
      </c>
      <c r="J2990" s="3">
        <v>110605</v>
      </c>
      <c r="K2990" s="3">
        <v>41984</v>
      </c>
      <c r="L2990" s="3">
        <v>182896</v>
      </c>
      <c r="M2990" s="3">
        <v>519186</v>
      </c>
      <c r="N2990" s="3">
        <v>0</v>
      </c>
    </row>
    <row r="2991" spans="1:14" x14ac:dyDescent="0.2">
      <c r="A2991" s="5" t="str">
        <f>HYPERLINK("http://www.ncbi.nlm.nih.gov/protein/309270419","Gm8894")</f>
        <v>Gm8894</v>
      </c>
      <c r="B2991" s="4"/>
      <c r="C2991" s="3">
        <v>52410</v>
      </c>
      <c r="D2991" s="3">
        <v>32167</v>
      </c>
      <c r="E2991" s="3">
        <v>45391</v>
      </c>
      <c r="F2991" s="3">
        <v>186934</v>
      </c>
      <c r="G2991" s="3">
        <v>201210</v>
      </c>
      <c r="H2991" s="2">
        <f t="shared" si="92"/>
        <v>518112</v>
      </c>
      <c r="I2991" t="str">
        <f t="shared" si="93"/>
        <v>Gm8894_518112</v>
      </c>
      <c r="J2991" s="3">
        <v>52410</v>
      </c>
      <c r="K2991" s="3">
        <v>32167</v>
      </c>
      <c r="L2991" s="3">
        <v>45391</v>
      </c>
      <c r="M2991" s="3">
        <v>186934</v>
      </c>
      <c r="N2991" s="3">
        <v>201210</v>
      </c>
    </row>
    <row r="2992" spans="1:14" x14ac:dyDescent="0.2">
      <c r="A2992" s="5" t="str">
        <f>HYPERLINK("http://www.ncbi.nlm.nih.gov/protein/377833377","Gm8894")</f>
        <v>Gm8894</v>
      </c>
      <c r="B2992" s="4"/>
      <c r="C2992" s="3">
        <v>50012</v>
      </c>
      <c r="D2992" s="3">
        <v>18024</v>
      </c>
      <c r="E2992" s="3">
        <v>37127</v>
      </c>
      <c r="F2992" s="3">
        <v>156901</v>
      </c>
      <c r="G2992" s="3">
        <v>170185</v>
      </c>
      <c r="H2992" s="2">
        <f t="shared" si="92"/>
        <v>432249</v>
      </c>
      <c r="I2992" t="str">
        <f t="shared" si="93"/>
        <v>Gm8894_432249</v>
      </c>
      <c r="J2992" s="3">
        <v>50012</v>
      </c>
      <c r="K2992" s="3">
        <v>18024</v>
      </c>
      <c r="L2992" s="3">
        <v>37127</v>
      </c>
      <c r="M2992" s="3">
        <v>156901</v>
      </c>
      <c r="N2992" s="3">
        <v>170185</v>
      </c>
    </row>
    <row r="2993" spans="1:14" x14ac:dyDescent="0.2">
      <c r="A2993" s="5" t="str">
        <f>HYPERLINK("http://www.ncbi.nlm.nih.gov/protein/326320033","Gm8909")</f>
        <v>Gm8909</v>
      </c>
      <c r="B2993" s="4"/>
      <c r="C2993" s="3">
        <v>0</v>
      </c>
      <c r="D2993" s="3">
        <v>0</v>
      </c>
      <c r="E2993" s="3">
        <v>234</v>
      </c>
      <c r="F2993" s="3">
        <v>0</v>
      </c>
      <c r="G2993" s="3">
        <v>0</v>
      </c>
      <c r="H2993" s="2">
        <f t="shared" si="92"/>
        <v>234</v>
      </c>
      <c r="I2993" t="str">
        <f t="shared" si="93"/>
        <v>Gm8909_234</v>
      </c>
      <c r="J2993" s="3">
        <v>0</v>
      </c>
      <c r="K2993" s="3">
        <v>0</v>
      </c>
      <c r="L2993" s="3">
        <v>234</v>
      </c>
      <c r="M2993" s="3">
        <v>0</v>
      </c>
      <c r="N2993" s="3">
        <v>0</v>
      </c>
    </row>
    <row r="2994" spans="1:14" x14ac:dyDescent="0.2">
      <c r="A2994" s="5" t="str">
        <f>HYPERLINK("http://www.ncbi.nlm.nih.gov/protein/218505708","Gm8994")</f>
        <v>Gm8994</v>
      </c>
      <c r="B2994" s="4"/>
      <c r="C2994" s="3">
        <v>193641</v>
      </c>
      <c r="D2994" s="3">
        <v>38091</v>
      </c>
      <c r="E2994" s="3">
        <v>75722</v>
      </c>
      <c r="F2994" s="3">
        <v>52330</v>
      </c>
      <c r="G2994" s="3">
        <v>47475</v>
      </c>
      <c r="H2994" s="2">
        <f t="shared" si="92"/>
        <v>407259</v>
      </c>
      <c r="I2994" t="str">
        <f t="shared" si="93"/>
        <v>Gm8994_407259</v>
      </c>
      <c r="J2994" s="3">
        <v>193641</v>
      </c>
      <c r="K2994" s="3">
        <v>38091</v>
      </c>
      <c r="L2994" s="3">
        <v>75722</v>
      </c>
      <c r="M2994" s="3">
        <v>52330</v>
      </c>
      <c r="N2994" s="3">
        <v>47475</v>
      </c>
    </row>
    <row r="2995" spans="1:14" x14ac:dyDescent="0.2">
      <c r="A2995" s="5" t="str">
        <f>HYPERLINK("http://www.ncbi.nlm.nih.gov/protein/94392404","Gm9178")</f>
        <v>Gm9178</v>
      </c>
      <c r="B2995" s="4"/>
      <c r="C2995" s="3">
        <v>494</v>
      </c>
      <c r="D2995" s="3">
        <v>142</v>
      </c>
      <c r="E2995" s="3">
        <v>351</v>
      </c>
      <c r="F2995" s="3">
        <v>6974</v>
      </c>
      <c r="G2995" s="3">
        <v>0</v>
      </c>
      <c r="H2995" s="2">
        <f t="shared" si="92"/>
        <v>7961</v>
      </c>
      <c r="I2995" t="str">
        <f t="shared" si="93"/>
        <v>Gm9178_7961</v>
      </c>
      <c r="J2995" s="3">
        <v>494</v>
      </c>
      <c r="K2995" s="3">
        <v>142</v>
      </c>
      <c r="L2995" s="3">
        <v>351</v>
      </c>
      <c r="M2995" s="3">
        <v>6974</v>
      </c>
      <c r="N2995" s="3">
        <v>0</v>
      </c>
    </row>
    <row r="2996" spans="1:14" x14ac:dyDescent="0.2">
      <c r="A2996" s="5" t="str">
        <f>HYPERLINK("http://www.ncbi.nlm.nih.gov/protein/407261558","Gm9234")</f>
        <v>Gm9234</v>
      </c>
      <c r="B2996" s="4"/>
      <c r="C2996" s="3">
        <v>813409</v>
      </c>
      <c r="D2996" s="3">
        <v>123535</v>
      </c>
      <c r="E2996" s="3">
        <v>168771</v>
      </c>
      <c r="F2996" s="3">
        <v>400225</v>
      </c>
      <c r="G2996" s="3">
        <v>523609</v>
      </c>
      <c r="H2996" s="2">
        <f t="shared" si="92"/>
        <v>2029549</v>
      </c>
      <c r="I2996" t="str">
        <f t="shared" si="93"/>
        <v>Gm9234_2029549</v>
      </c>
      <c r="J2996" s="3">
        <v>813409</v>
      </c>
      <c r="K2996" s="3">
        <v>123535</v>
      </c>
      <c r="L2996" s="3">
        <v>168771</v>
      </c>
      <c r="M2996" s="3">
        <v>400225</v>
      </c>
      <c r="N2996" s="3">
        <v>523609</v>
      </c>
    </row>
    <row r="2997" spans="1:14" x14ac:dyDescent="0.2">
      <c r="A2997" s="5" t="str">
        <f>HYPERLINK("http://www.ncbi.nlm.nih.gov/protein/94370353","Gm9372")</f>
        <v>Gm9372</v>
      </c>
      <c r="B2997" s="4"/>
      <c r="C2997" s="3">
        <v>0</v>
      </c>
      <c r="D2997" s="3">
        <v>0</v>
      </c>
      <c r="E2997" s="3">
        <v>275</v>
      </c>
      <c r="F2997" s="3">
        <v>0</v>
      </c>
      <c r="G2997" s="3">
        <v>0</v>
      </c>
      <c r="H2997" s="2">
        <f t="shared" si="92"/>
        <v>275</v>
      </c>
      <c r="I2997" t="str">
        <f t="shared" si="93"/>
        <v>Gm9372_275</v>
      </c>
      <c r="J2997" s="3">
        <v>0</v>
      </c>
      <c r="K2997" s="3">
        <v>0</v>
      </c>
      <c r="L2997" s="3">
        <v>275</v>
      </c>
      <c r="M2997" s="3">
        <v>0</v>
      </c>
      <c r="N2997" s="3">
        <v>0</v>
      </c>
    </row>
    <row r="2998" spans="1:14" x14ac:dyDescent="0.2">
      <c r="A2998" s="5" t="str">
        <f>HYPERLINK("http://www.ncbi.nlm.nih.gov/protein/407263600","Gm9385")</f>
        <v>Gm9385</v>
      </c>
      <c r="B2998" s="4"/>
      <c r="C2998" s="3">
        <v>93690</v>
      </c>
      <c r="D2998" s="3">
        <v>35534</v>
      </c>
      <c r="E2998" s="3">
        <v>151562</v>
      </c>
      <c r="F2998" s="3">
        <v>249103</v>
      </c>
      <c r="G2998" s="3">
        <v>535</v>
      </c>
      <c r="H2998" s="2">
        <f t="shared" si="92"/>
        <v>530424</v>
      </c>
      <c r="I2998" t="str">
        <f t="shared" si="93"/>
        <v>Gm9385_530424</v>
      </c>
      <c r="J2998" s="3">
        <v>93690</v>
      </c>
      <c r="K2998" s="3">
        <v>35534</v>
      </c>
      <c r="L2998" s="3">
        <v>151562</v>
      </c>
      <c r="M2998" s="3">
        <v>249103</v>
      </c>
      <c r="N2998" s="3">
        <v>535</v>
      </c>
    </row>
    <row r="2999" spans="1:14" x14ac:dyDescent="0.2">
      <c r="A2999" s="5" t="str">
        <f>HYPERLINK("http://www.ncbi.nlm.nih.gov/protein/94403170","Gm9386")</f>
        <v>Gm9386</v>
      </c>
      <c r="B2999" s="4"/>
      <c r="C2999" s="3">
        <v>0</v>
      </c>
      <c r="D2999" s="3">
        <v>0</v>
      </c>
      <c r="E2999" s="3">
        <v>107</v>
      </c>
      <c r="F2999" s="3">
        <v>0</v>
      </c>
      <c r="G2999" s="3">
        <v>53076</v>
      </c>
      <c r="H2999" s="2">
        <f t="shared" si="92"/>
        <v>53183</v>
      </c>
      <c r="I2999" t="str">
        <f t="shared" si="93"/>
        <v>Gm9386_53183</v>
      </c>
      <c r="J2999" s="3">
        <v>0</v>
      </c>
      <c r="K2999" s="3">
        <v>0</v>
      </c>
      <c r="L2999" s="3">
        <v>107</v>
      </c>
      <c r="M2999" s="3">
        <v>0</v>
      </c>
      <c r="N2999" s="3">
        <v>53076</v>
      </c>
    </row>
    <row r="3000" spans="1:14" x14ac:dyDescent="0.2">
      <c r="A3000" s="5" t="str">
        <f>HYPERLINK("http://www.ncbi.nlm.nih.gov/protein/309266196","Gm9457")</f>
        <v>Gm9457</v>
      </c>
      <c r="B3000" s="4"/>
      <c r="C3000" s="3">
        <v>14389</v>
      </c>
      <c r="D3000" s="3">
        <v>3530</v>
      </c>
      <c r="E3000" s="3">
        <v>19349</v>
      </c>
      <c r="F3000" s="3">
        <v>11157</v>
      </c>
      <c r="G3000" s="3">
        <v>2442</v>
      </c>
      <c r="H3000" s="2">
        <f t="shared" si="92"/>
        <v>50867</v>
      </c>
      <c r="I3000" t="str">
        <f t="shared" si="93"/>
        <v>Gm9457_50867</v>
      </c>
      <c r="J3000" s="3">
        <v>14389</v>
      </c>
      <c r="K3000" s="3">
        <v>3530</v>
      </c>
      <c r="L3000" s="3">
        <v>19349</v>
      </c>
      <c r="M3000" s="3">
        <v>11157</v>
      </c>
      <c r="N3000" s="3">
        <v>2442</v>
      </c>
    </row>
    <row r="3001" spans="1:14" x14ac:dyDescent="0.2">
      <c r="A3001" s="5" t="str">
        <f>HYPERLINK("http://www.ncbi.nlm.nih.gov/protein/377834619","Gm9670")</f>
        <v>Gm9670</v>
      </c>
      <c r="B3001" s="4"/>
      <c r="C3001" s="3">
        <v>23871</v>
      </c>
      <c r="D3001" s="3">
        <v>8423</v>
      </c>
      <c r="E3001" s="3">
        <v>41605</v>
      </c>
      <c r="F3001" s="3">
        <v>205081</v>
      </c>
      <c r="G3001" s="3">
        <v>0</v>
      </c>
      <c r="H3001" s="2">
        <f t="shared" si="92"/>
        <v>278980</v>
      </c>
      <c r="I3001" t="str">
        <f t="shared" si="93"/>
        <v>Gm9670_278980</v>
      </c>
      <c r="J3001" s="3">
        <v>23871</v>
      </c>
      <c r="K3001" s="3">
        <v>8423</v>
      </c>
      <c r="L3001" s="3">
        <v>41605</v>
      </c>
      <c r="M3001" s="3">
        <v>205081</v>
      </c>
      <c r="N3001" s="3">
        <v>0</v>
      </c>
    </row>
    <row r="3002" spans="1:14" x14ac:dyDescent="0.2">
      <c r="A3002" s="5" t="str">
        <f>HYPERLINK("http://www.ncbi.nlm.nih.gov/protein/309268396","Gm9835")</f>
        <v>Gm9835</v>
      </c>
      <c r="B3002" s="4"/>
      <c r="C3002" s="3">
        <v>0</v>
      </c>
      <c r="D3002" s="3">
        <v>0</v>
      </c>
      <c r="E3002" s="3">
        <v>0</v>
      </c>
      <c r="F3002" s="3">
        <v>41</v>
      </c>
      <c r="G3002" s="3">
        <v>0</v>
      </c>
      <c r="H3002" s="2">
        <f t="shared" si="92"/>
        <v>41</v>
      </c>
      <c r="I3002" t="str">
        <f t="shared" si="93"/>
        <v>Gm9835_41</v>
      </c>
      <c r="J3002" s="3">
        <v>0</v>
      </c>
      <c r="K3002" s="3">
        <v>0</v>
      </c>
      <c r="L3002" s="3">
        <v>0</v>
      </c>
      <c r="M3002" s="3">
        <v>41</v>
      </c>
      <c r="N3002" s="3">
        <v>0</v>
      </c>
    </row>
    <row r="3003" spans="1:14" x14ac:dyDescent="0.2">
      <c r="A3003" s="5" t="str">
        <f>HYPERLINK("http://www.ncbi.nlm.nih.gov/protein/309265531","Gm9835")</f>
        <v>Gm9835</v>
      </c>
      <c r="B3003" s="4"/>
      <c r="C3003" s="3">
        <v>0</v>
      </c>
      <c r="D3003" s="3">
        <v>0</v>
      </c>
      <c r="E3003" s="3">
        <v>1291</v>
      </c>
      <c r="F3003" s="3">
        <v>4142</v>
      </c>
      <c r="G3003" s="3">
        <v>8054</v>
      </c>
      <c r="H3003" s="2">
        <f t="shared" si="92"/>
        <v>13487</v>
      </c>
      <c r="I3003" t="str">
        <f t="shared" si="93"/>
        <v>Gm9835_13487</v>
      </c>
      <c r="J3003" s="3">
        <v>0</v>
      </c>
      <c r="K3003" s="3">
        <v>0</v>
      </c>
      <c r="L3003" s="3">
        <v>1291</v>
      </c>
      <c r="M3003" s="3">
        <v>4142</v>
      </c>
      <c r="N3003" s="3">
        <v>8054</v>
      </c>
    </row>
    <row r="3004" spans="1:14" x14ac:dyDescent="0.2">
      <c r="A3004" s="5" t="str">
        <f>HYPERLINK("http://www.ncbi.nlm.nih.gov/protein/316659416","Gm9839")</f>
        <v>Gm9839</v>
      </c>
      <c r="B3004" s="4"/>
      <c r="C3004" s="3">
        <v>0</v>
      </c>
      <c r="D3004" s="3">
        <v>0</v>
      </c>
      <c r="E3004" s="3">
        <v>31</v>
      </c>
      <c r="F3004" s="3">
        <v>0</v>
      </c>
      <c r="G3004" s="3">
        <v>0</v>
      </c>
      <c r="H3004" s="2">
        <f t="shared" si="92"/>
        <v>31</v>
      </c>
      <c r="I3004" t="str">
        <f t="shared" si="93"/>
        <v>Gm9839_31</v>
      </c>
      <c r="J3004" s="3">
        <v>0</v>
      </c>
      <c r="K3004" s="3">
        <v>0</v>
      </c>
      <c r="L3004" s="3">
        <v>31</v>
      </c>
      <c r="M3004" s="3">
        <v>0</v>
      </c>
      <c r="N3004" s="3">
        <v>0</v>
      </c>
    </row>
    <row r="3005" spans="1:14" x14ac:dyDescent="0.2">
      <c r="A3005" s="5" t="str">
        <f>HYPERLINK("http://www.ncbi.nlm.nih.gov/protein/22122523","Gmds")</f>
        <v>Gmds</v>
      </c>
      <c r="B3005" s="4"/>
      <c r="C3005" s="3">
        <v>0</v>
      </c>
      <c r="D3005" s="3">
        <v>610</v>
      </c>
      <c r="E3005" s="3">
        <v>12573</v>
      </c>
      <c r="F3005" s="3">
        <v>49162</v>
      </c>
      <c r="G3005" s="3">
        <v>183936</v>
      </c>
      <c r="H3005" s="2">
        <f t="shared" si="92"/>
        <v>246281</v>
      </c>
      <c r="I3005" t="str">
        <f t="shared" si="93"/>
        <v>Gmds_246281</v>
      </c>
      <c r="J3005" s="3">
        <v>0</v>
      </c>
      <c r="K3005" s="3">
        <v>610</v>
      </c>
      <c r="L3005" s="3">
        <v>12573</v>
      </c>
      <c r="M3005" s="3">
        <v>49162</v>
      </c>
      <c r="N3005" s="3">
        <v>183936</v>
      </c>
    </row>
    <row r="3006" spans="1:14" x14ac:dyDescent="0.2">
      <c r="A3006" s="5" t="str">
        <f>HYPERLINK("http://www.ncbi.nlm.nih.gov/protein/188528613","Gmfb")</f>
        <v>Gmfb</v>
      </c>
      <c r="B3006" s="4"/>
      <c r="C3006" s="3">
        <v>238</v>
      </c>
      <c r="D3006" s="3">
        <v>706</v>
      </c>
      <c r="E3006" s="3">
        <v>1703</v>
      </c>
      <c r="F3006" s="3">
        <v>4297</v>
      </c>
      <c r="G3006" s="3">
        <v>8482</v>
      </c>
      <c r="H3006" s="2">
        <f t="shared" si="92"/>
        <v>15426</v>
      </c>
      <c r="I3006" t="str">
        <f t="shared" si="93"/>
        <v>Gmfb_15426</v>
      </c>
      <c r="J3006" s="3">
        <v>238</v>
      </c>
      <c r="K3006" s="3">
        <v>706</v>
      </c>
      <c r="L3006" s="3">
        <v>1703</v>
      </c>
      <c r="M3006" s="3">
        <v>4297</v>
      </c>
      <c r="N3006" s="3">
        <v>8482</v>
      </c>
    </row>
    <row r="3007" spans="1:14" x14ac:dyDescent="0.2">
      <c r="A3007" s="5" t="str">
        <f>HYPERLINK("http://www.ncbi.nlm.nih.gov/protein/11993950","Gmfg")</f>
        <v>Gmfg</v>
      </c>
      <c r="B3007" s="4"/>
      <c r="C3007" s="3">
        <v>0</v>
      </c>
      <c r="D3007" s="3">
        <v>0</v>
      </c>
      <c r="E3007" s="3">
        <v>1291</v>
      </c>
      <c r="F3007" s="3">
        <v>4142</v>
      </c>
      <c r="G3007" s="3">
        <v>8054</v>
      </c>
      <c r="H3007" s="2">
        <f t="shared" si="92"/>
        <v>13487</v>
      </c>
      <c r="I3007" t="str">
        <f t="shared" si="93"/>
        <v>Gmfg_13487</v>
      </c>
      <c r="J3007" s="3">
        <v>0</v>
      </c>
      <c r="K3007" s="3">
        <v>0</v>
      </c>
      <c r="L3007" s="3">
        <v>1291</v>
      </c>
      <c r="M3007" s="3">
        <v>4142</v>
      </c>
      <c r="N3007" s="3">
        <v>8054</v>
      </c>
    </row>
    <row r="3008" spans="1:14" x14ac:dyDescent="0.2">
      <c r="A3008" s="5" t="str">
        <f>HYPERLINK("http://www.ncbi.nlm.nih.gov/protein/37674214","Gmip")</f>
        <v>Gmip</v>
      </c>
      <c r="B3008" s="4"/>
      <c r="C3008" s="3">
        <v>0</v>
      </c>
      <c r="D3008" s="3">
        <v>0</v>
      </c>
      <c r="E3008" s="3">
        <v>0</v>
      </c>
      <c r="F3008" s="3">
        <v>0</v>
      </c>
      <c r="G3008" s="3">
        <v>32</v>
      </c>
      <c r="H3008" s="2">
        <f t="shared" si="92"/>
        <v>32</v>
      </c>
      <c r="I3008" t="str">
        <f t="shared" si="93"/>
        <v>Gmip_32</v>
      </c>
      <c r="J3008" s="3">
        <v>0</v>
      </c>
      <c r="K3008" s="3">
        <v>0</v>
      </c>
      <c r="L3008" s="3">
        <v>0</v>
      </c>
      <c r="M3008" s="3">
        <v>0</v>
      </c>
      <c r="N3008" s="3">
        <v>32</v>
      </c>
    </row>
    <row r="3009" spans="1:14" x14ac:dyDescent="0.2">
      <c r="A3009" s="5" t="str">
        <f>HYPERLINK("http://www.ncbi.nlm.nih.gov/protein/19526884","Gmppa")</f>
        <v>Gmppa</v>
      </c>
      <c r="B3009" s="4"/>
      <c r="C3009" s="3">
        <v>0</v>
      </c>
      <c r="D3009" s="3">
        <v>119</v>
      </c>
      <c r="E3009" s="3">
        <v>255</v>
      </c>
      <c r="F3009" s="3">
        <v>14177</v>
      </c>
      <c r="G3009" s="3">
        <v>7347</v>
      </c>
      <c r="H3009" s="2">
        <f t="shared" si="92"/>
        <v>21898</v>
      </c>
      <c r="I3009" t="str">
        <f t="shared" si="93"/>
        <v>Gmppa_21898</v>
      </c>
      <c r="J3009" s="3">
        <v>0</v>
      </c>
      <c r="K3009" s="3">
        <v>119</v>
      </c>
      <c r="L3009" s="3">
        <v>255</v>
      </c>
      <c r="M3009" s="3">
        <v>14177</v>
      </c>
      <c r="N3009" s="3">
        <v>7347</v>
      </c>
    </row>
    <row r="3010" spans="1:14" x14ac:dyDescent="0.2">
      <c r="A3010" s="5" t="str">
        <f>HYPERLINK("http://www.ncbi.nlm.nih.gov/protein/29244556","Gmppb")</f>
        <v>Gmppb</v>
      </c>
      <c r="B3010" s="4"/>
      <c r="C3010" s="3">
        <v>0</v>
      </c>
      <c r="D3010" s="3">
        <v>13</v>
      </c>
      <c r="E3010" s="3">
        <v>664</v>
      </c>
      <c r="F3010" s="3">
        <v>32488</v>
      </c>
      <c r="G3010" s="3">
        <v>25596</v>
      </c>
      <c r="H3010" s="2">
        <f t="shared" ref="H3010:H3073" si="94">SUM(C3010:G3010)</f>
        <v>58761</v>
      </c>
      <c r="I3010" t="str">
        <f t="shared" ref="I3010:I3073" si="95">A3010&amp;"_"&amp;H3010</f>
        <v>Gmppb_58761</v>
      </c>
      <c r="J3010" s="3">
        <v>0</v>
      </c>
      <c r="K3010" s="3">
        <v>13</v>
      </c>
      <c r="L3010" s="3">
        <v>664</v>
      </c>
      <c r="M3010" s="3">
        <v>32488</v>
      </c>
      <c r="N3010" s="3">
        <v>25596</v>
      </c>
    </row>
    <row r="3011" spans="1:14" x14ac:dyDescent="0.2">
      <c r="A3011" s="5" t="str">
        <f>HYPERLINK("http://www.ncbi.nlm.nih.gov/protein/17975500","Gmpr")</f>
        <v>Gmpr</v>
      </c>
      <c r="B3011" s="4"/>
      <c r="C3011" s="3">
        <v>110</v>
      </c>
      <c r="D3011" s="3">
        <v>0</v>
      </c>
      <c r="E3011" s="3">
        <v>129</v>
      </c>
      <c r="F3011" s="3">
        <v>5010</v>
      </c>
      <c r="G3011" s="3">
        <v>75</v>
      </c>
      <c r="H3011" s="2">
        <f t="shared" si="94"/>
        <v>5324</v>
      </c>
      <c r="I3011" t="str">
        <f t="shared" si="95"/>
        <v>Gmpr_5324</v>
      </c>
      <c r="J3011" s="3">
        <v>110</v>
      </c>
      <c r="K3011" s="3">
        <v>0</v>
      </c>
      <c r="L3011" s="3">
        <v>129</v>
      </c>
      <c r="M3011" s="3">
        <v>5010</v>
      </c>
      <c r="N3011" s="3">
        <v>75</v>
      </c>
    </row>
    <row r="3012" spans="1:14" x14ac:dyDescent="0.2">
      <c r="A3012" s="5" t="str">
        <f>HYPERLINK("http://www.ncbi.nlm.nih.gov/protein/29568082","Gmpr2")</f>
        <v>Gmpr2</v>
      </c>
      <c r="B3012" s="4"/>
      <c r="C3012" s="3">
        <v>110</v>
      </c>
      <c r="D3012" s="3">
        <v>0</v>
      </c>
      <c r="E3012" s="3">
        <v>15</v>
      </c>
      <c r="F3012" s="3">
        <v>15954</v>
      </c>
      <c r="G3012" s="3">
        <v>19491</v>
      </c>
      <c r="H3012" s="2">
        <f t="shared" si="94"/>
        <v>35570</v>
      </c>
      <c r="I3012" t="str">
        <f t="shared" si="95"/>
        <v>Gmpr2_35570</v>
      </c>
      <c r="J3012" s="3">
        <v>110</v>
      </c>
      <c r="K3012" s="3">
        <v>0</v>
      </c>
      <c r="L3012" s="3">
        <v>15</v>
      </c>
      <c r="M3012" s="3">
        <v>15954</v>
      </c>
      <c r="N3012" s="3">
        <v>19491</v>
      </c>
    </row>
    <row r="3013" spans="1:14" x14ac:dyDescent="0.2">
      <c r="A3013" s="5" t="str">
        <f>HYPERLINK("http://www.ncbi.nlm.nih.gov/protein/85861218","Gmps")</f>
        <v>Gmps</v>
      </c>
      <c r="B3013" s="4"/>
      <c r="C3013" s="3">
        <v>2874</v>
      </c>
      <c r="D3013" s="3">
        <v>10041</v>
      </c>
      <c r="E3013" s="3">
        <v>16317</v>
      </c>
      <c r="F3013" s="3">
        <v>54090</v>
      </c>
      <c r="G3013" s="3">
        <v>88193</v>
      </c>
      <c r="H3013" s="2">
        <f t="shared" si="94"/>
        <v>171515</v>
      </c>
      <c r="I3013" t="str">
        <f t="shared" si="95"/>
        <v>Gmps_171515</v>
      </c>
      <c r="J3013" s="3">
        <v>2874</v>
      </c>
      <c r="K3013" s="3">
        <v>10041</v>
      </c>
      <c r="L3013" s="3">
        <v>16317</v>
      </c>
      <c r="M3013" s="3">
        <v>54090</v>
      </c>
      <c r="N3013" s="3">
        <v>88193</v>
      </c>
    </row>
    <row r="3014" spans="1:14" x14ac:dyDescent="0.2">
      <c r="A3014" s="5" t="str">
        <f>HYPERLINK("http://www.ncbi.nlm.nih.gov/protein/6754004","Gna11")</f>
        <v>Gna11</v>
      </c>
      <c r="B3014" s="4"/>
      <c r="C3014" s="3">
        <v>15999</v>
      </c>
      <c r="D3014" s="3">
        <v>998</v>
      </c>
      <c r="E3014" s="3">
        <v>39017</v>
      </c>
      <c r="F3014" s="3">
        <v>3880</v>
      </c>
      <c r="G3014" s="3">
        <v>696</v>
      </c>
      <c r="H3014" s="2">
        <f t="shared" si="94"/>
        <v>60590</v>
      </c>
      <c r="I3014" t="str">
        <f t="shared" si="95"/>
        <v>Gna11_60590</v>
      </c>
      <c r="J3014" s="3">
        <v>15999</v>
      </c>
      <c r="K3014" s="3">
        <v>998</v>
      </c>
      <c r="L3014" s="3">
        <v>39017</v>
      </c>
      <c r="M3014" s="3">
        <v>3880</v>
      </c>
      <c r="N3014" s="3">
        <v>696</v>
      </c>
    </row>
    <row r="3015" spans="1:14" x14ac:dyDescent="0.2">
      <c r="A3015" s="5" t="str">
        <f>HYPERLINK("http://www.ncbi.nlm.nih.gov/protein/6754006","Gna12")</f>
        <v>Gna12</v>
      </c>
      <c r="B3015" s="4"/>
      <c r="C3015" s="3">
        <v>28667</v>
      </c>
      <c r="D3015" s="3">
        <v>5361</v>
      </c>
      <c r="E3015" s="3">
        <v>36841</v>
      </c>
      <c r="F3015" s="3">
        <v>41</v>
      </c>
      <c r="G3015" s="3">
        <v>17028</v>
      </c>
      <c r="H3015" s="2">
        <f t="shared" si="94"/>
        <v>87938</v>
      </c>
      <c r="I3015" t="str">
        <f t="shared" si="95"/>
        <v>Gna12_87938</v>
      </c>
      <c r="J3015" s="3">
        <v>28667</v>
      </c>
      <c r="K3015" s="3">
        <v>5361</v>
      </c>
      <c r="L3015" s="3">
        <v>36841</v>
      </c>
      <c r="M3015" s="3">
        <v>41</v>
      </c>
      <c r="N3015" s="3">
        <v>17028</v>
      </c>
    </row>
    <row r="3016" spans="1:14" x14ac:dyDescent="0.2">
      <c r="A3016" s="5" t="str">
        <f>HYPERLINK("http://www.ncbi.nlm.nih.gov/protein/89001109","Gna13")</f>
        <v>Gna13</v>
      </c>
      <c r="B3016" s="4"/>
      <c r="C3016" s="3">
        <v>29070</v>
      </c>
      <c r="D3016" s="3">
        <v>5622</v>
      </c>
      <c r="E3016" s="3">
        <v>45953</v>
      </c>
      <c r="F3016" s="3">
        <v>41</v>
      </c>
      <c r="G3016" s="3">
        <v>17028</v>
      </c>
      <c r="H3016" s="2">
        <f t="shared" si="94"/>
        <v>97714</v>
      </c>
      <c r="I3016" t="str">
        <f t="shared" si="95"/>
        <v>Gna13_97714</v>
      </c>
      <c r="J3016" s="3">
        <v>29070</v>
      </c>
      <c r="K3016" s="3">
        <v>5622</v>
      </c>
      <c r="L3016" s="3">
        <v>45953</v>
      </c>
      <c r="M3016" s="3">
        <v>41</v>
      </c>
      <c r="N3016" s="3">
        <v>17028</v>
      </c>
    </row>
    <row r="3017" spans="1:14" x14ac:dyDescent="0.2">
      <c r="A3017" s="5" t="str">
        <f>HYPERLINK("http://www.ncbi.nlm.nih.gov/protein/160298199","Gna14")</f>
        <v>Gna14</v>
      </c>
      <c r="B3017" s="4"/>
      <c r="C3017" s="3">
        <v>0</v>
      </c>
      <c r="D3017" s="3">
        <v>0</v>
      </c>
      <c r="E3017" s="3">
        <v>10013</v>
      </c>
      <c r="F3017" s="3">
        <v>0</v>
      </c>
      <c r="G3017" s="3">
        <v>0</v>
      </c>
      <c r="H3017" s="2">
        <f t="shared" si="94"/>
        <v>10013</v>
      </c>
      <c r="I3017" t="str">
        <f t="shared" si="95"/>
        <v>Gna14_10013</v>
      </c>
      <c r="J3017" s="3">
        <v>0</v>
      </c>
      <c r="K3017" s="3">
        <v>0</v>
      </c>
      <c r="L3017" s="3">
        <v>10013</v>
      </c>
      <c r="M3017" s="3">
        <v>0</v>
      </c>
      <c r="N3017" s="3">
        <v>0</v>
      </c>
    </row>
    <row r="3018" spans="1:14" x14ac:dyDescent="0.2">
      <c r="A3018" s="5" t="str">
        <f>HYPERLINK("http://www.ncbi.nlm.nih.gov/protein/74271899","Gnai1")</f>
        <v>Gnai1</v>
      </c>
      <c r="B3018" s="4"/>
      <c r="C3018" s="3">
        <v>66030</v>
      </c>
      <c r="D3018" s="3">
        <v>7344</v>
      </c>
      <c r="E3018" s="3">
        <v>85815</v>
      </c>
      <c r="F3018" s="3">
        <v>14104</v>
      </c>
      <c r="G3018" s="3">
        <v>52937</v>
      </c>
      <c r="H3018" s="2">
        <f t="shared" si="94"/>
        <v>226230</v>
      </c>
      <c r="I3018" t="str">
        <f t="shared" si="95"/>
        <v>Gnai1_226230</v>
      </c>
      <c r="J3018" s="3">
        <v>66030</v>
      </c>
      <c r="K3018" s="3">
        <v>7344</v>
      </c>
      <c r="L3018" s="3">
        <v>85815</v>
      </c>
      <c r="M3018" s="3">
        <v>14104</v>
      </c>
      <c r="N3018" s="3">
        <v>52937</v>
      </c>
    </row>
    <row r="3019" spans="1:14" x14ac:dyDescent="0.2">
      <c r="A3019" s="5" t="str">
        <f>HYPERLINK("http://www.ncbi.nlm.nih.gov/protein/41054806","Gnai2")</f>
        <v>Gnai2</v>
      </c>
      <c r="B3019" s="4"/>
      <c r="C3019" s="3">
        <v>158823</v>
      </c>
      <c r="D3019" s="3">
        <v>11803</v>
      </c>
      <c r="E3019" s="3">
        <v>135318</v>
      </c>
      <c r="F3019" s="3">
        <v>55588</v>
      </c>
      <c r="G3019" s="3">
        <v>125290</v>
      </c>
      <c r="H3019" s="2">
        <f t="shared" si="94"/>
        <v>486822</v>
      </c>
      <c r="I3019" t="str">
        <f t="shared" si="95"/>
        <v>Gnai2_486822</v>
      </c>
      <c r="J3019" s="3">
        <v>158823</v>
      </c>
      <c r="K3019" s="3">
        <v>11803</v>
      </c>
      <c r="L3019" s="3">
        <v>135318</v>
      </c>
      <c r="M3019" s="3">
        <v>55588</v>
      </c>
      <c r="N3019" s="3">
        <v>125290</v>
      </c>
    </row>
    <row r="3020" spans="1:14" x14ac:dyDescent="0.2">
      <c r="A3020" s="5" t="str">
        <f>HYPERLINK("http://www.ncbi.nlm.nih.gov/protein/33563256","Gnai3")</f>
        <v>Gnai3</v>
      </c>
      <c r="B3020" s="4"/>
      <c r="C3020" s="3">
        <v>89937</v>
      </c>
      <c r="D3020" s="3">
        <v>8576</v>
      </c>
      <c r="E3020" s="3">
        <v>122578</v>
      </c>
      <c r="F3020" s="3">
        <v>37040</v>
      </c>
      <c r="G3020" s="3">
        <v>76112</v>
      </c>
      <c r="H3020" s="2">
        <f t="shared" si="94"/>
        <v>334243</v>
      </c>
      <c r="I3020" t="str">
        <f t="shared" si="95"/>
        <v>Gnai3_334243</v>
      </c>
      <c r="J3020" s="3">
        <v>89937</v>
      </c>
      <c r="K3020" s="3">
        <v>8576</v>
      </c>
      <c r="L3020" s="3">
        <v>122578</v>
      </c>
      <c r="M3020" s="3">
        <v>37040</v>
      </c>
      <c r="N3020" s="3">
        <v>76112</v>
      </c>
    </row>
    <row r="3021" spans="1:14" x14ac:dyDescent="0.2">
      <c r="A3021" s="5" t="str">
        <f>HYPERLINK("http://www.ncbi.nlm.nih.gov/protein/47271350","Gnal")</f>
        <v>Gnal</v>
      </c>
      <c r="B3021" s="4"/>
      <c r="C3021" s="3">
        <v>28667</v>
      </c>
      <c r="D3021" s="3">
        <v>10772</v>
      </c>
      <c r="E3021" s="3">
        <v>39631</v>
      </c>
      <c r="F3021" s="3">
        <v>41</v>
      </c>
      <c r="G3021" s="3">
        <v>17028</v>
      </c>
      <c r="H3021" s="2">
        <f t="shared" si="94"/>
        <v>96139</v>
      </c>
      <c r="I3021" t="str">
        <f t="shared" si="95"/>
        <v>Gnal_96139</v>
      </c>
      <c r="J3021" s="3">
        <v>28667</v>
      </c>
      <c r="K3021" s="3">
        <v>10772</v>
      </c>
      <c r="L3021" s="3">
        <v>39631</v>
      </c>
      <c r="M3021" s="3">
        <v>41</v>
      </c>
      <c r="N3021" s="3">
        <v>17028</v>
      </c>
    </row>
    <row r="3022" spans="1:14" x14ac:dyDescent="0.2">
      <c r="A3022" s="5" t="str">
        <f>HYPERLINK("http://www.ncbi.nlm.nih.gov/protein/84000001","Gnal")</f>
        <v>Gnal</v>
      </c>
      <c r="B3022" s="4"/>
      <c r="C3022" s="3">
        <v>28667</v>
      </c>
      <c r="D3022" s="3">
        <v>10772</v>
      </c>
      <c r="E3022" s="3">
        <v>39631</v>
      </c>
      <c r="F3022" s="3">
        <v>41</v>
      </c>
      <c r="G3022" s="3">
        <v>17028</v>
      </c>
      <c r="H3022" s="2">
        <f t="shared" si="94"/>
        <v>96139</v>
      </c>
      <c r="I3022" t="str">
        <f t="shared" si="95"/>
        <v>Gnal_96139</v>
      </c>
      <c r="J3022" s="3">
        <v>28667</v>
      </c>
      <c r="K3022" s="3">
        <v>10772</v>
      </c>
      <c r="L3022" s="3">
        <v>39631</v>
      </c>
      <c r="M3022" s="3">
        <v>41</v>
      </c>
      <c r="N3022" s="3">
        <v>17028</v>
      </c>
    </row>
    <row r="3023" spans="1:14" x14ac:dyDescent="0.2">
      <c r="A3023" s="5" t="str">
        <f>HYPERLINK("http://www.ncbi.nlm.nih.gov/protein/164607137","Gnao1")</f>
        <v>Gnao1</v>
      </c>
      <c r="B3023" s="4"/>
      <c r="C3023" s="3">
        <v>44575</v>
      </c>
      <c r="D3023" s="3">
        <v>6250</v>
      </c>
      <c r="E3023" s="3">
        <v>64111</v>
      </c>
      <c r="F3023" s="3">
        <v>3880</v>
      </c>
      <c r="G3023" s="3">
        <v>39797</v>
      </c>
      <c r="H3023" s="2">
        <f t="shared" si="94"/>
        <v>158613</v>
      </c>
      <c r="I3023" t="str">
        <f t="shared" si="95"/>
        <v>Gnao1_158613</v>
      </c>
      <c r="J3023" s="3">
        <v>44575</v>
      </c>
      <c r="K3023" s="3">
        <v>6250</v>
      </c>
      <c r="L3023" s="3">
        <v>64111</v>
      </c>
      <c r="M3023" s="3">
        <v>3880</v>
      </c>
      <c r="N3023" s="3">
        <v>39797</v>
      </c>
    </row>
    <row r="3024" spans="1:14" x14ac:dyDescent="0.2">
      <c r="A3024" s="5" t="str">
        <f>HYPERLINK("http://www.ncbi.nlm.nih.gov/protein/6754012","Gnao1")</f>
        <v>Gnao1</v>
      </c>
      <c r="B3024" s="4"/>
      <c r="C3024" s="3">
        <v>37912</v>
      </c>
      <c r="D3024" s="3">
        <v>5828</v>
      </c>
      <c r="E3024" s="3">
        <v>41746</v>
      </c>
      <c r="F3024" s="3">
        <v>3880</v>
      </c>
      <c r="G3024" s="3">
        <v>20787</v>
      </c>
      <c r="H3024" s="2">
        <f t="shared" si="94"/>
        <v>110153</v>
      </c>
      <c r="I3024" t="str">
        <f t="shared" si="95"/>
        <v>Gnao1_110153</v>
      </c>
      <c r="J3024" s="3">
        <v>37912</v>
      </c>
      <c r="K3024" s="3">
        <v>5828</v>
      </c>
      <c r="L3024" s="3">
        <v>41746</v>
      </c>
      <c r="M3024" s="3">
        <v>3880</v>
      </c>
      <c r="N3024" s="3">
        <v>20787</v>
      </c>
    </row>
    <row r="3025" spans="1:14" x14ac:dyDescent="0.2">
      <c r="A3025" s="5" t="str">
        <f>HYPERLINK("http://www.ncbi.nlm.nih.gov/protein/84662745","Gnaq")</f>
        <v>Gnaq</v>
      </c>
      <c r="B3025" s="4"/>
      <c r="C3025" s="3">
        <v>1281</v>
      </c>
      <c r="D3025" s="3">
        <v>756</v>
      </c>
      <c r="E3025" s="3">
        <v>31292</v>
      </c>
      <c r="F3025" s="3">
        <v>1735</v>
      </c>
      <c r="G3025" s="3">
        <v>0</v>
      </c>
      <c r="H3025" s="2">
        <f t="shared" si="94"/>
        <v>35064</v>
      </c>
      <c r="I3025" t="str">
        <f t="shared" si="95"/>
        <v>Gnaq_35064</v>
      </c>
      <c r="J3025" s="3">
        <v>1281</v>
      </c>
      <c r="K3025" s="3">
        <v>756</v>
      </c>
      <c r="L3025" s="3">
        <v>31292</v>
      </c>
      <c r="M3025" s="3">
        <v>1735</v>
      </c>
      <c r="N3025" s="3">
        <v>0</v>
      </c>
    </row>
    <row r="3026" spans="1:14" x14ac:dyDescent="0.2">
      <c r="A3026" s="5" t="str">
        <f>HYPERLINK("http://www.ncbi.nlm.nih.gov/protein/117959921","Gnas")</f>
        <v>Gnas</v>
      </c>
      <c r="B3026" s="4"/>
      <c r="C3026" s="3">
        <v>35788</v>
      </c>
      <c r="D3026" s="3">
        <v>26263</v>
      </c>
      <c r="E3026" s="3">
        <v>79286</v>
      </c>
      <c r="F3026" s="3">
        <v>2202</v>
      </c>
      <c r="G3026" s="3">
        <v>17681</v>
      </c>
      <c r="H3026" s="2">
        <f t="shared" si="94"/>
        <v>161220</v>
      </c>
      <c r="I3026" t="str">
        <f t="shared" si="95"/>
        <v>Gnas_161220</v>
      </c>
      <c r="J3026" s="3">
        <v>35788</v>
      </c>
      <c r="K3026" s="3">
        <v>26263</v>
      </c>
      <c r="L3026" s="3">
        <v>79286</v>
      </c>
      <c r="M3026" s="3">
        <v>2202</v>
      </c>
      <c r="N3026" s="3">
        <v>17681</v>
      </c>
    </row>
    <row r="3027" spans="1:14" x14ac:dyDescent="0.2">
      <c r="A3027" s="5" t="str">
        <f>HYPERLINK("http://www.ncbi.nlm.nih.gov/protein/117959928","Gnas")</f>
        <v>Gnas</v>
      </c>
      <c r="B3027" s="4"/>
      <c r="C3027" s="3">
        <v>35788</v>
      </c>
      <c r="D3027" s="3">
        <v>26263</v>
      </c>
      <c r="E3027" s="3">
        <v>79286</v>
      </c>
      <c r="F3027" s="3">
        <v>2202</v>
      </c>
      <c r="G3027" s="3">
        <v>17681</v>
      </c>
      <c r="H3027" s="2">
        <f t="shared" si="94"/>
        <v>161220</v>
      </c>
      <c r="I3027" t="str">
        <f t="shared" si="95"/>
        <v>Gnas_161220</v>
      </c>
      <c r="J3027" s="3">
        <v>35788</v>
      </c>
      <c r="K3027" s="3">
        <v>26263</v>
      </c>
      <c r="L3027" s="3">
        <v>79286</v>
      </c>
      <c r="M3027" s="3">
        <v>2202</v>
      </c>
      <c r="N3027" s="3">
        <v>17681</v>
      </c>
    </row>
    <row r="3028" spans="1:14" x14ac:dyDescent="0.2">
      <c r="A3028" s="5" t="str">
        <f>HYPERLINK("http://www.ncbi.nlm.nih.gov/protein/117959930","Gnas")</f>
        <v>Gnas</v>
      </c>
      <c r="B3028" s="4"/>
      <c r="C3028" s="3">
        <v>35788</v>
      </c>
      <c r="D3028" s="3">
        <v>30624</v>
      </c>
      <c r="E3028" s="3">
        <v>89652</v>
      </c>
      <c r="F3028" s="3">
        <v>2202</v>
      </c>
      <c r="G3028" s="3">
        <v>17681</v>
      </c>
      <c r="H3028" s="2">
        <f t="shared" si="94"/>
        <v>175947</v>
      </c>
      <c r="I3028" t="str">
        <f t="shared" si="95"/>
        <v>Gnas_175947</v>
      </c>
      <c r="J3028" s="3">
        <v>35788</v>
      </c>
      <c r="K3028" s="3">
        <v>30624</v>
      </c>
      <c r="L3028" s="3">
        <v>89652</v>
      </c>
      <c r="M3028" s="3">
        <v>2202</v>
      </c>
      <c r="N3028" s="3">
        <v>17681</v>
      </c>
    </row>
    <row r="3029" spans="1:14" x14ac:dyDescent="0.2">
      <c r="A3029" s="5" t="str">
        <f>HYPERLINK("http://www.ncbi.nlm.nih.gov/protein/47271396","Gnas")</f>
        <v>Gnas</v>
      </c>
      <c r="B3029" s="4"/>
      <c r="C3029" s="3">
        <v>35788</v>
      </c>
      <c r="D3029" s="3">
        <v>30624</v>
      </c>
      <c r="E3029" s="3">
        <v>89652</v>
      </c>
      <c r="F3029" s="3">
        <v>2202</v>
      </c>
      <c r="G3029" s="3">
        <v>17681</v>
      </c>
      <c r="H3029" s="2">
        <f t="shared" si="94"/>
        <v>175947</v>
      </c>
      <c r="I3029" t="str">
        <f t="shared" si="95"/>
        <v>Gnas_175947</v>
      </c>
      <c r="J3029" s="3">
        <v>35788</v>
      </c>
      <c r="K3029" s="3">
        <v>30624</v>
      </c>
      <c r="L3029" s="3">
        <v>89652</v>
      </c>
      <c r="M3029" s="3">
        <v>2202</v>
      </c>
      <c r="N3029" s="3">
        <v>17681</v>
      </c>
    </row>
    <row r="3030" spans="1:14" x14ac:dyDescent="0.2">
      <c r="A3030" s="5" t="str">
        <f>HYPERLINK("http://www.ncbi.nlm.nih.gov/protein/6680041","Gnat1")</f>
        <v>Gnat1</v>
      </c>
      <c r="B3030" s="4"/>
      <c r="C3030" s="3">
        <v>28667</v>
      </c>
      <c r="D3030" s="3">
        <v>5828</v>
      </c>
      <c r="E3030" s="3">
        <v>37632</v>
      </c>
      <c r="F3030" s="3">
        <v>5083</v>
      </c>
      <c r="G3030" s="3">
        <v>17028</v>
      </c>
      <c r="H3030" s="2">
        <f t="shared" si="94"/>
        <v>94238</v>
      </c>
      <c r="I3030" t="str">
        <f t="shared" si="95"/>
        <v>Gnat1_94238</v>
      </c>
      <c r="J3030" s="3">
        <v>28667</v>
      </c>
      <c r="K3030" s="3">
        <v>5828</v>
      </c>
      <c r="L3030" s="3">
        <v>37632</v>
      </c>
      <c r="M3030" s="3">
        <v>5083</v>
      </c>
      <c r="N3030" s="3">
        <v>17028</v>
      </c>
    </row>
    <row r="3031" spans="1:14" x14ac:dyDescent="0.2">
      <c r="A3031" s="5" t="str">
        <f>HYPERLINK("http://www.ncbi.nlm.nih.gov/protein/6680043","Gnat2")</f>
        <v>Gnat2</v>
      </c>
      <c r="B3031" s="4"/>
      <c r="C3031" s="3">
        <v>28667</v>
      </c>
      <c r="D3031" s="3">
        <v>5828</v>
      </c>
      <c r="E3031" s="3">
        <v>37632</v>
      </c>
      <c r="F3031" s="3">
        <v>5083</v>
      </c>
      <c r="G3031" s="3">
        <v>17028</v>
      </c>
      <c r="H3031" s="2">
        <f t="shared" si="94"/>
        <v>94238</v>
      </c>
      <c r="I3031" t="str">
        <f t="shared" si="95"/>
        <v>Gnat2_94238</v>
      </c>
      <c r="J3031" s="3">
        <v>28667</v>
      </c>
      <c r="K3031" s="3">
        <v>5828</v>
      </c>
      <c r="L3031" s="3">
        <v>37632</v>
      </c>
      <c r="M3031" s="3">
        <v>5083</v>
      </c>
      <c r="N3031" s="3">
        <v>17028</v>
      </c>
    </row>
    <row r="3032" spans="1:14" x14ac:dyDescent="0.2">
      <c r="A3032" s="5" t="str">
        <f>HYPERLINK("http://www.ncbi.nlm.nih.gov/protein/124487259","Gnat3")</f>
        <v>Gnat3</v>
      </c>
      <c r="B3032" s="4"/>
      <c r="C3032" s="3">
        <v>28667</v>
      </c>
      <c r="D3032" s="3">
        <v>5828</v>
      </c>
      <c r="E3032" s="3">
        <v>37632</v>
      </c>
      <c r="F3032" s="3">
        <v>5083</v>
      </c>
      <c r="G3032" s="3">
        <v>17028</v>
      </c>
      <c r="H3032" s="2">
        <f t="shared" si="94"/>
        <v>94238</v>
      </c>
      <c r="I3032" t="str">
        <f t="shared" si="95"/>
        <v>Gnat3_94238</v>
      </c>
      <c r="J3032" s="3">
        <v>28667</v>
      </c>
      <c r="K3032" s="3">
        <v>5828</v>
      </c>
      <c r="L3032" s="3">
        <v>37632</v>
      </c>
      <c r="M3032" s="3">
        <v>5083</v>
      </c>
      <c r="N3032" s="3">
        <v>17028</v>
      </c>
    </row>
    <row r="3033" spans="1:14" x14ac:dyDescent="0.2">
      <c r="A3033" s="5" t="str">
        <f>HYPERLINK("http://www.ncbi.nlm.nih.gov/protein/27532946","Gnaz")</f>
        <v>Gnaz</v>
      </c>
      <c r="B3033" s="4"/>
      <c r="C3033" s="3">
        <v>0</v>
      </c>
      <c r="D3033" s="3">
        <v>0</v>
      </c>
      <c r="E3033" s="3">
        <v>1809</v>
      </c>
      <c r="F3033" s="3">
        <v>0</v>
      </c>
      <c r="G3033" s="3">
        <v>0</v>
      </c>
      <c r="H3033" s="2">
        <f t="shared" si="94"/>
        <v>1809</v>
      </c>
      <c r="I3033" t="str">
        <f t="shared" si="95"/>
        <v>Gnaz_1809</v>
      </c>
      <c r="J3033" s="3">
        <v>0</v>
      </c>
      <c r="K3033" s="3">
        <v>0</v>
      </c>
      <c r="L3033" s="3">
        <v>1809</v>
      </c>
      <c r="M3033" s="3">
        <v>0</v>
      </c>
      <c r="N3033" s="3">
        <v>0</v>
      </c>
    </row>
    <row r="3034" spans="1:14" x14ac:dyDescent="0.2">
      <c r="A3034" s="5" t="str">
        <f>HYPERLINK("http://www.ncbi.nlm.nih.gov/protein/6680045","Gnb1")</f>
        <v>Gnb1</v>
      </c>
      <c r="B3034" s="4"/>
      <c r="C3034" s="3">
        <v>207114</v>
      </c>
      <c r="D3034" s="3">
        <v>50599</v>
      </c>
      <c r="E3034" s="3">
        <v>116136</v>
      </c>
      <c r="F3034" s="3">
        <v>19563</v>
      </c>
      <c r="G3034" s="3">
        <v>3084</v>
      </c>
      <c r="H3034" s="2">
        <f t="shared" si="94"/>
        <v>396496</v>
      </c>
      <c r="I3034" t="str">
        <f t="shared" si="95"/>
        <v>Gnb1_396496</v>
      </c>
      <c r="J3034" s="3">
        <v>207114</v>
      </c>
      <c r="K3034" s="3">
        <v>50599</v>
      </c>
      <c r="L3034" s="3">
        <v>116136</v>
      </c>
      <c r="M3034" s="3">
        <v>19563</v>
      </c>
      <c r="N3034" s="3">
        <v>3084</v>
      </c>
    </row>
    <row r="3035" spans="1:14" x14ac:dyDescent="0.2">
      <c r="A3035" s="5" t="str">
        <f>HYPERLINK("http://www.ncbi.nlm.nih.gov/protein/13937391","Gnb2")</f>
        <v>Gnb2</v>
      </c>
      <c r="B3035" s="4"/>
      <c r="C3035" s="3">
        <v>229612</v>
      </c>
      <c r="D3035" s="3">
        <v>56985</v>
      </c>
      <c r="E3035" s="3">
        <v>109856</v>
      </c>
      <c r="F3035" s="3">
        <v>29288</v>
      </c>
      <c r="G3035" s="3">
        <v>6372</v>
      </c>
      <c r="H3035" s="2">
        <f t="shared" si="94"/>
        <v>432113</v>
      </c>
      <c r="I3035" t="str">
        <f t="shared" si="95"/>
        <v>Gnb2_432113</v>
      </c>
      <c r="J3035" s="3">
        <v>229612</v>
      </c>
      <c r="K3035" s="3">
        <v>56985</v>
      </c>
      <c r="L3035" s="3">
        <v>109856</v>
      </c>
      <c r="M3035" s="3">
        <v>29288</v>
      </c>
      <c r="N3035" s="3">
        <v>6372</v>
      </c>
    </row>
    <row r="3036" spans="1:14" x14ac:dyDescent="0.2">
      <c r="A3036" s="5" t="str">
        <f>HYPERLINK("http://www.ncbi.nlm.nih.gov/protein/6680047","Gnb2l1")</f>
        <v>Gnb2l1</v>
      </c>
      <c r="B3036" s="4"/>
      <c r="C3036" s="3">
        <v>595074</v>
      </c>
      <c r="D3036" s="3">
        <v>140250</v>
      </c>
      <c r="E3036" s="3">
        <v>225597</v>
      </c>
      <c r="F3036" s="3">
        <v>901738</v>
      </c>
      <c r="G3036" s="3">
        <v>3930</v>
      </c>
      <c r="H3036" s="2">
        <f t="shared" si="94"/>
        <v>1866589</v>
      </c>
      <c r="I3036" t="str">
        <f t="shared" si="95"/>
        <v>Gnb2l1_1866589</v>
      </c>
      <c r="J3036" s="3">
        <v>595074</v>
      </c>
      <c r="K3036" s="3">
        <v>140250</v>
      </c>
      <c r="L3036" s="3">
        <v>225597</v>
      </c>
      <c r="M3036" s="3">
        <v>901738</v>
      </c>
      <c r="N3036" s="3">
        <v>3930</v>
      </c>
    </row>
    <row r="3037" spans="1:14" x14ac:dyDescent="0.2">
      <c r="A3037" s="5" t="str">
        <f>HYPERLINK("http://www.ncbi.nlm.nih.gov/protein/20502976","Gnb3")</f>
        <v>Gnb3</v>
      </c>
      <c r="B3037" s="4"/>
      <c r="C3037" s="3">
        <v>87960</v>
      </c>
      <c r="D3037" s="3">
        <v>4112</v>
      </c>
      <c r="E3037" s="3">
        <v>45375</v>
      </c>
      <c r="F3037" s="3">
        <v>1956</v>
      </c>
      <c r="G3037" s="3">
        <v>3084</v>
      </c>
      <c r="H3037" s="2">
        <f t="shared" si="94"/>
        <v>142487</v>
      </c>
      <c r="I3037" t="str">
        <f t="shared" si="95"/>
        <v>Gnb3_142487</v>
      </c>
      <c r="J3037" s="3">
        <v>87960</v>
      </c>
      <c r="K3037" s="3">
        <v>4112</v>
      </c>
      <c r="L3037" s="3">
        <v>45375</v>
      </c>
      <c r="M3037" s="3">
        <v>1956</v>
      </c>
      <c r="N3037" s="3">
        <v>3084</v>
      </c>
    </row>
    <row r="3038" spans="1:14" x14ac:dyDescent="0.2">
      <c r="A3038" s="5" t="str">
        <f>HYPERLINK("http://www.ncbi.nlm.nih.gov/protein/31542899","Gnb4")</f>
        <v>Gnb4</v>
      </c>
      <c r="B3038" s="4"/>
      <c r="C3038" s="3">
        <v>175152</v>
      </c>
      <c r="D3038" s="3">
        <v>8951</v>
      </c>
      <c r="E3038" s="3">
        <v>69572</v>
      </c>
      <c r="F3038" s="3">
        <v>8104</v>
      </c>
      <c r="G3038" s="3">
        <v>3084</v>
      </c>
      <c r="H3038" s="2">
        <f t="shared" si="94"/>
        <v>264863</v>
      </c>
      <c r="I3038" t="str">
        <f t="shared" si="95"/>
        <v>Gnb4_264863</v>
      </c>
      <c r="J3038" s="3">
        <v>175152</v>
      </c>
      <c r="K3038" s="3">
        <v>8951</v>
      </c>
      <c r="L3038" s="3">
        <v>69572</v>
      </c>
      <c r="M3038" s="3">
        <v>8104</v>
      </c>
      <c r="N3038" s="3">
        <v>3084</v>
      </c>
    </row>
    <row r="3039" spans="1:14" x14ac:dyDescent="0.2">
      <c r="A3039" s="5" t="str">
        <f>HYPERLINK("http://www.ncbi.nlm.nih.gov/protein/13384616","Gng10")</f>
        <v>Gng10</v>
      </c>
      <c r="B3039" s="4"/>
      <c r="C3039" s="3">
        <v>0</v>
      </c>
      <c r="D3039" s="3">
        <v>0</v>
      </c>
      <c r="E3039" s="3">
        <v>139</v>
      </c>
      <c r="F3039" s="3">
        <v>0</v>
      </c>
      <c r="G3039" s="3">
        <v>0</v>
      </c>
      <c r="H3039" s="2">
        <f t="shared" si="94"/>
        <v>139</v>
      </c>
      <c r="I3039" t="str">
        <f t="shared" si="95"/>
        <v>Gng10_139</v>
      </c>
      <c r="J3039" s="3">
        <v>0</v>
      </c>
      <c r="K3039" s="3">
        <v>0</v>
      </c>
      <c r="L3039" s="3">
        <v>139</v>
      </c>
      <c r="M3039" s="3">
        <v>0</v>
      </c>
      <c r="N3039" s="3">
        <v>0</v>
      </c>
    </row>
    <row r="3040" spans="1:14" x14ac:dyDescent="0.2">
      <c r="A3040" s="5" t="str">
        <f>HYPERLINK("http://www.ncbi.nlm.nih.gov/protein/294774560","Gng12")</f>
        <v>Gng12</v>
      </c>
      <c r="B3040" s="4"/>
      <c r="C3040" s="3">
        <v>28246</v>
      </c>
      <c r="D3040" s="3">
        <v>3741</v>
      </c>
      <c r="E3040" s="3">
        <v>30295</v>
      </c>
      <c r="F3040" s="3">
        <v>115</v>
      </c>
      <c r="G3040" s="3">
        <v>0</v>
      </c>
      <c r="H3040" s="2">
        <f t="shared" si="94"/>
        <v>62397</v>
      </c>
      <c r="I3040" t="str">
        <f t="shared" si="95"/>
        <v>Gng12_62397</v>
      </c>
      <c r="J3040" s="3">
        <v>28246</v>
      </c>
      <c r="K3040" s="3">
        <v>3741</v>
      </c>
      <c r="L3040" s="3">
        <v>30295</v>
      </c>
      <c r="M3040" s="3">
        <v>115</v>
      </c>
      <c r="N3040" s="3">
        <v>0</v>
      </c>
    </row>
    <row r="3041" spans="1:14" x14ac:dyDescent="0.2">
      <c r="A3041" s="5" t="str">
        <f>HYPERLINK("http://www.ncbi.nlm.nih.gov/protein/84579919","Gng7")</f>
        <v>Gng7</v>
      </c>
      <c r="B3041" s="4"/>
      <c r="C3041" s="3">
        <v>0</v>
      </c>
      <c r="D3041" s="3">
        <v>4</v>
      </c>
      <c r="E3041" s="3">
        <v>148</v>
      </c>
      <c r="F3041" s="3">
        <v>0</v>
      </c>
      <c r="G3041" s="3">
        <v>0</v>
      </c>
      <c r="H3041" s="2">
        <f t="shared" si="94"/>
        <v>152</v>
      </c>
      <c r="I3041" t="str">
        <f t="shared" si="95"/>
        <v>Gng7_152</v>
      </c>
      <c r="J3041" s="3">
        <v>0</v>
      </c>
      <c r="K3041" s="3">
        <v>4</v>
      </c>
      <c r="L3041" s="3">
        <v>148</v>
      </c>
      <c r="M3041" s="3">
        <v>0</v>
      </c>
      <c r="N3041" s="3">
        <v>0</v>
      </c>
    </row>
    <row r="3042" spans="1:14" x14ac:dyDescent="0.2">
      <c r="A3042" s="5" t="str">
        <f>HYPERLINK("http://www.ncbi.nlm.nih.gov/protein/122937361","Gnl1")</f>
        <v>Gnl1</v>
      </c>
      <c r="B3042" s="4"/>
      <c r="C3042" s="3">
        <v>0</v>
      </c>
      <c r="D3042" s="3">
        <v>344</v>
      </c>
      <c r="E3042" s="3">
        <v>467</v>
      </c>
      <c r="F3042" s="3">
        <v>17525</v>
      </c>
      <c r="G3042" s="3">
        <v>1649</v>
      </c>
      <c r="H3042" s="2">
        <f t="shared" si="94"/>
        <v>19985</v>
      </c>
      <c r="I3042" t="str">
        <f t="shared" si="95"/>
        <v>Gnl1_19985</v>
      </c>
      <c r="J3042" s="3">
        <v>0</v>
      </c>
      <c r="K3042" s="3">
        <v>344</v>
      </c>
      <c r="L3042" s="3">
        <v>467</v>
      </c>
      <c r="M3042" s="3">
        <v>17525</v>
      </c>
      <c r="N3042" s="3">
        <v>1649</v>
      </c>
    </row>
    <row r="3043" spans="1:14" x14ac:dyDescent="0.2">
      <c r="A3043" s="5" t="str">
        <f>HYPERLINK("http://www.ncbi.nlm.nih.gov/protein/240120093","Gnl2")</f>
        <v>Gnl2</v>
      </c>
      <c r="B3043" s="4"/>
      <c r="C3043" s="3">
        <v>0</v>
      </c>
      <c r="D3043" s="3">
        <v>0</v>
      </c>
      <c r="E3043" s="3">
        <v>18</v>
      </c>
      <c r="F3043" s="3">
        <v>0</v>
      </c>
      <c r="G3043" s="3">
        <v>0</v>
      </c>
      <c r="H3043" s="2">
        <f t="shared" si="94"/>
        <v>18</v>
      </c>
      <c r="I3043" t="str">
        <f t="shared" si="95"/>
        <v>Gnl2_18</v>
      </c>
      <c r="J3043" s="3">
        <v>0</v>
      </c>
      <c r="K3043" s="3">
        <v>0</v>
      </c>
      <c r="L3043" s="3">
        <v>18</v>
      </c>
      <c r="M3043" s="3">
        <v>0</v>
      </c>
      <c r="N3043" s="3">
        <v>0</v>
      </c>
    </row>
    <row r="3044" spans="1:14" x14ac:dyDescent="0.2">
      <c r="A3044" s="5" t="str">
        <f>HYPERLINK("http://www.ncbi.nlm.nih.gov/protein/30524920","Gnl3")</f>
        <v>Gnl3</v>
      </c>
      <c r="B3044" s="4"/>
      <c r="C3044" s="3">
        <v>165</v>
      </c>
      <c r="D3044" s="3">
        <v>0</v>
      </c>
      <c r="E3044" s="3">
        <v>3</v>
      </c>
      <c r="F3044" s="3">
        <v>393</v>
      </c>
      <c r="G3044" s="3">
        <v>0</v>
      </c>
      <c r="H3044" s="2">
        <f t="shared" si="94"/>
        <v>561</v>
      </c>
      <c r="I3044" t="str">
        <f t="shared" si="95"/>
        <v>Gnl3_561</v>
      </c>
      <c r="J3044" s="3">
        <v>165</v>
      </c>
      <c r="K3044" s="3">
        <v>0</v>
      </c>
      <c r="L3044" s="3">
        <v>3</v>
      </c>
      <c r="M3044" s="3">
        <v>393</v>
      </c>
      <c r="N3044" s="3">
        <v>0</v>
      </c>
    </row>
    <row r="3045" spans="1:14" x14ac:dyDescent="0.2">
      <c r="A3045" s="5" t="str">
        <f>HYPERLINK("http://www.ncbi.nlm.nih.gov/protein/160298207","Gnpat")</f>
        <v>Gnpat</v>
      </c>
      <c r="B3045" s="4"/>
      <c r="C3045" s="3">
        <v>0</v>
      </c>
      <c r="D3045" s="3">
        <v>1194</v>
      </c>
      <c r="E3045" s="3">
        <v>1844</v>
      </c>
      <c r="F3045" s="3">
        <v>0</v>
      </c>
      <c r="G3045" s="3">
        <v>0</v>
      </c>
      <c r="H3045" s="2">
        <f t="shared" si="94"/>
        <v>3038</v>
      </c>
      <c r="I3045" t="str">
        <f t="shared" si="95"/>
        <v>Gnpat_3038</v>
      </c>
      <c r="J3045" s="3">
        <v>0</v>
      </c>
      <c r="K3045" s="3">
        <v>1194</v>
      </c>
      <c r="L3045" s="3">
        <v>1844</v>
      </c>
      <c r="M3045" s="3">
        <v>0</v>
      </c>
      <c r="N3045" s="3">
        <v>0</v>
      </c>
    </row>
    <row r="3046" spans="1:14" x14ac:dyDescent="0.2">
      <c r="A3046" s="5" t="str">
        <f>HYPERLINK("http://www.ncbi.nlm.nih.gov/protein/188219582","Gnpda1")</f>
        <v>Gnpda1</v>
      </c>
      <c r="B3046" s="4"/>
      <c r="C3046" s="3">
        <v>0</v>
      </c>
      <c r="D3046" s="3">
        <v>144</v>
      </c>
      <c r="E3046" s="3">
        <v>402</v>
      </c>
      <c r="F3046" s="3">
        <v>13089</v>
      </c>
      <c r="G3046" s="3">
        <v>15036</v>
      </c>
      <c r="H3046" s="2">
        <f t="shared" si="94"/>
        <v>28671</v>
      </c>
      <c r="I3046" t="str">
        <f t="shared" si="95"/>
        <v>Gnpda1_28671</v>
      </c>
      <c r="J3046" s="3">
        <v>0</v>
      </c>
      <c r="K3046" s="3">
        <v>144</v>
      </c>
      <c r="L3046" s="3">
        <v>402</v>
      </c>
      <c r="M3046" s="3">
        <v>13089</v>
      </c>
      <c r="N3046" s="3">
        <v>15036</v>
      </c>
    </row>
    <row r="3047" spans="1:14" x14ac:dyDescent="0.2">
      <c r="A3047" s="5" t="str">
        <f>HYPERLINK("http://www.ncbi.nlm.nih.gov/protein/83999999","Gnpda2")</f>
        <v>Gnpda2</v>
      </c>
      <c r="B3047" s="4"/>
      <c r="C3047" s="3">
        <v>0</v>
      </c>
      <c r="D3047" s="3">
        <v>0</v>
      </c>
      <c r="E3047" s="3">
        <v>86</v>
      </c>
      <c r="F3047" s="3">
        <v>2914</v>
      </c>
      <c r="G3047" s="3">
        <v>4434</v>
      </c>
      <c r="H3047" s="2">
        <f t="shared" si="94"/>
        <v>7434</v>
      </c>
      <c r="I3047" t="str">
        <f t="shared" si="95"/>
        <v>Gnpda2_7434</v>
      </c>
      <c r="J3047" s="3">
        <v>0</v>
      </c>
      <c r="K3047" s="3">
        <v>0</v>
      </c>
      <c r="L3047" s="3">
        <v>86</v>
      </c>
      <c r="M3047" s="3">
        <v>2914</v>
      </c>
      <c r="N3047" s="3">
        <v>4434</v>
      </c>
    </row>
    <row r="3048" spans="1:14" x14ac:dyDescent="0.2">
      <c r="A3048" s="5" t="str">
        <f>HYPERLINK("http://www.ncbi.nlm.nih.gov/protein/9506761","Gnpnat1")</f>
        <v>Gnpnat1</v>
      </c>
      <c r="B3048" s="4"/>
      <c r="C3048" s="3">
        <v>0</v>
      </c>
      <c r="D3048" s="3">
        <v>52</v>
      </c>
      <c r="E3048" s="3">
        <v>266</v>
      </c>
      <c r="F3048" s="3">
        <v>237</v>
      </c>
      <c r="G3048" s="3">
        <v>8760</v>
      </c>
      <c r="H3048" s="2">
        <f t="shared" si="94"/>
        <v>9315</v>
      </c>
      <c r="I3048" t="str">
        <f t="shared" si="95"/>
        <v>Gnpnat1_9315</v>
      </c>
      <c r="J3048" s="3">
        <v>0</v>
      </c>
      <c r="K3048" s="3">
        <v>52</v>
      </c>
      <c r="L3048" s="3">
        <v>266</v>
      </c>
      <c r="M3048" s="3">
        <v>237</v>
      </c>
      <c r="N3048" s="3">
        <v>8760</v>
      </c>
    </row>
    <row r="3049" spans="1:14" x14ac:dyDescent="0.2">
      <c r="A3049" s="5" t="str">
        <f>HYPERLINK("http://www.ncbi.nlm.nih.gov/protein/29789239","Gns")</f>
        <v>Gns</v>
      </c>
      <c r="B3049" s="4"/>
      <c r="C3049" s="3">
        <v>14022</v>
      </c>
      <c r="D3049" s="3">
        <v>16297</v>
      </c>
      <c r="E3049" s="3">
        <v>7840</v>
      </c>
      <c r="F3049" s="3">
        <v>0</v>
      </c>
      <c r="G3049" s="3">
        <v>53183</v>
      </c>
      <c r="H3049" s="2">
        <f t="shared" si="94"/>
        <v>91342</v>
      </c>
      <c r="I3049" t="str">
        <f t="shared" si="95"/>
        <v>Gns_91342</v>
      </c>
      <c r="J3049" s="3">
        <v>14022</v>
      </c>
      <c r="K3049" s="3">
        <v>16297</v>
      </c>
      <c r="L3049" s="3">
        <v>7840</v>
      </c>
      <c r="M3049" s="3">
        <v>0</v>
      </c>
      <c r="N3049" s="3">
        <v>53183</v>
      </c>
    </row>
    <row r="3050" spans="1:14" x14ac:dyDescent="0.2">
      <c r="A3050" s="5" t="str">
        <f>HYPERLINK("http://www.ncbi.nlm.nih.gov/protein/30794192","Golga1")</f>
        <v>Golga1</v>
      </c>
      <c r="B3050" s="4"/>
      <c r="C3050" s="3">
        <v>0</v>
      </c>
      <c r="D3050" s="3">
        <v>1115</v>
      </c>
      <c r="E3050" s="3">
        <v>871</v>
      </c>
      <c r="F3050" s="3">
        <v>0</v>
      </c>
      <c r="G3050" s="3">
        <v>0</v>
      </c>
      <c r="H3050" s="2">
        <f t="shared" si="94"/>
        <v>1986</v>
      </c>
      <c r="I3050" t="str">
        <f t="shared" si="95"/>
        <v>Golga1_1986</v>
      </c>
      <c r="J3050" s="3">
        <v>0</v>
      </c>
      <c r="K3050" s="3">
        <v>1115</v>
      </c>
      <c r="L3050" s="3">
        <v>871</v>
      </c>
      <c r="M3050" s="3">
        <v>0</v>
      </c>
      <c r="N3050" s="3">
        <v>0</v>
      </c>
    </row>
    <row r="3051" spans="1:14" x14ac:dyDescent="0.2">
      <c r="A3051" s="5" t="str">
        <f>HYPERLINK("http://www.ncbi.nlm.nih.gov/protein/124378030","Golga2")</f>
        <v>Golga2</v>
      </c>
      <c r="B3051" s="4"/>
      <c r="C3051" s="3">
        <v>7743</v>
      </c>
      <c r="D3051" s="3">
        <v>4467</v>
      </c>
      <c r="E3051" s="3">
        <v>495</v>
      </c>
      <c r="F3051" s="3">
        <v>0</v>
      </c>
      <c r="G3051" s="3">
        <v>0</v>
      </c>
      <c r="H3051" s="2">
        <f t="shared" si="94"/>
        <v>12705</v>
      </c>
      <c r="I3051" t="str">
        <f t="shared" si="95"/>
        <v>Golga2_12705</v>
      </c>
      <c r="J3051" s="3">
        <v>7743</v>
      </c>
      <c r="K3051" s="3">
        <v>4467</v>
      </c>
      <c r="L3051" s="3">
        <v>495</v>
      </c>
      <c r="M3051" s="3">
        <v>0</v>
      </c>
      <c r="N3051" s="3">
        <v>0</v>
      </c>
    </row>
    <row r="3052" spans="1:14" x14ac:dyDescent="0.2">
      <c r="A3052" s="5" t="str">
        <f>HYPERLINK("http://www.ncbi.nlm.nih.gov/protein/124378042","Golga2")</f>
        <v>Golga2</v>
      </c>
      <c r="B3052" s="4"/>
      <c r="C3052" s="3">
        <v>7743</v>
      </c>
      <c r="D3052" s="3">
        <v>4467</v>
      </c>
      <c r="E3052" s="3">
        <v>495</v>
      </c>
      <c r="F3052" s="3">
        <v>0</v>
      </c>
      <c r="G3052" s="3">
        <v>0</v>
      </c>
      <c r="H3052" s="2">
        <f t="shared" si="94"/>
        <v>12705</v>
      </c>
      <c r="I3052" t="str">
        <f t="shared" si="95"/>
        <v>Golga2_12705</v>
      </c>
      <c r="J3052" s="3">
        <v>7743</v>
      </c>
      <c r="K3052" s="3">
        <v>4467</v>
      </c>
      <c r="L3052" s="3">
        <v>495</v>
      </c>
      <c r="M3052" s="3">
        <v>0</v>
      </c>
      <c r="N3052" s="3">
        <v>0</v>
      </c>
    </row>
    <row r="3053" spans="1:14" x14ac:dyDescent="0.2">
      <c r="A3053" s="5" t="str">
        <f>HYPERLINK("http://www.ncbi.nlm.nih.gov/protein/31982330","Golga3")</f>
        <v>Golga3</v>
      </c>
      <c r="B3053" s="4"/>
      <c r="C3053" s="3">
        <v>0</v>
      </c>
      <c r="D3053" s="3">
        <v>0</v>
      </c>
      <c r="E3053" s="3">
        <v>0</v>
      </c>
      <c r="F3053" s="3">
        <v>0</v>
      </c>
      <c r="G3053" s="3">
        <v>718</v>
      </c>
      <c r="H3053" s="2">
        <f t="shared" si="94"/>
        <v>718</v>
      </c>
      <c r="I3053" t="str">
        <f t="shared" si="95"/>
        <v>Golga3_718</v>
      </c>
      <c r="J3053" s="3">
        <v>0</v>
      </c>
      <c r="K3053" s="3">
        <v>0</v>
      </c>
      <c r="L3053" s="3">
        <v>0</v>
      </c>
      <c r="M3053" s="3">
        <v>0</v>
      </c>
      <c r="N3053" s="3">
        <v>718</v>
      </c>
    </row>
    <row r="3054" spans="1:14" x14ac:dyDescent="0.2">
      <c r="A3054" s="5" t="str">
        <f>HYPERLINK("http://www.ncbi.nlm.nih.gov/protein/20127150","Golga4")</f>
        <v>Golga4</v>
      </c>
      <c r="B3054" s="4"/>
      <c r="C3054" s="3">
        <v>860</v>
      </c>
      <c r="D3054" s="3">
        <v>4064</v>
      </c>
      <c r="E3054" s="3">
        <v>1127</v>
      </c>
      <c r="F3054" s="3">
        <v>0</v>
      </c>
      <c r="G3054" s="3">
        <v>1906</v>
      </c>
      <c r="H3054" s="2">
        <f t="shared" si="94"/>
        <v>7957</v>
      </c>
      <c r="I3054" t="str">
        <f t="shared" si="95"/>
        <v>Golga4_7957</v>
      </c>
      <c r="J3054" s="3">
        <v>860</v>
      </c>
      <c r="K3054" s="3">
        <v>4064</v>
      </c>
      <c r="L3054" s="3">
        <v>1127</v>
      </c>
      <c r="M3054" s="3">
        <v>0</v>
      </c>
      <c r="N3054" s="3">
        <v>1906</v>
      </c>
    </row>
    <row r="3055" spans="1:14" x14ac:dyDescent="0.2">
      <c r="A3055" s="5" t="str">
        <f>HYPERLINK("http://www.ncbi.nlm.nih.gov/protein/7305095","Golga5")</f>
        <v>Golga5</v>
      </c>
      <c r="B3055" s="4"/>
      <c r="C3055" s="3">
        <v>1098</v>
      </c>
      <c r="D3055" s="3">
        <v>0</v>
      </c>
      <c r="E3055" s="3">
        <v>0</v>
      </c>
      <c r="F3055" s="3">
        <v>0</v>
      </c>
      <c r="G3055" s="3">
        <v>0</v>
      </c>
      <c r="H3055" s="2">
        <f t="shared" si="94"/>
        <v>1098</v>
      </c>
      <c r="I3055" t="str">
        <f t="shared" si="95"/>
        <v>Golga5_1098</v>
      </c>
      <c r="J3055" s="3">
        <v>1098</v>
      </c>
      <c r="K3055" s="3">
        <v>0</v>
      </c>
      <c r="L3055" s="3">
        <v>0</v>
      </c>
      <c r="M3055" s="3">
        <v>0</v>
      </c>
      <c r="N3055" s="3">
        <v>0</v>
      </c>
    </row>
    <row r="3056" spans="1:14" x14ac:dyDescent="0.2">
      <c r="A3056" s="5" t="str">
        <f>HYPERLINK("http://www.ncbi.nlm.nih.gov/protein/312222675;7305095","Golga5")</f>
        <v>Golga5</v>
      </c>
      <c r="B3056" s="4"/>
      <c r="C3056" s="3">
        <v>0</v>
      </c>
      <c r="D3056" s="3">
        <v>2010</v>
      </c>
      <c r="E3056" s="3">
        <v>2008</v>
      </c>
      <c r="F3056" s="3">
        <v>0</v>
      </c>
      <c r="G3056" s="3">
        <v>107</v>
      </c>
      <c r="H3056" s="2">
        <f t="shared" si="94"/>
        <v>4125</v>
      </c>
      <c r="I3056" t="str">
        <f t="shared" si="95"/>
        <v>Golga5_4125</v>
      </c>
      <c r="J3056" s="3">
        <v>0</v>
      </c>
      <c r="K3056" s="3">
        <v>2010</v>
      </c>
      <c r="L3056" s="3">
        <v>2008</v>
      </c>
      <c r="M3056" s="3">
        <v>0</v>
      </c>
      <c r="N3056" s="3">
        <v>107</v>
      </c>
    </row>
    <row r="3057" spans="1:14" x14ac:dyDescent="0.2">
      <c r="A3057" s="5" t="str">
        <f>HYPERLINK("http://www.ncbi.nlm.nih.gov/protein/109809743","Golga7")</f>
        <v>Golga7</v>
      </c>
      <c r="B3057" s="4"/>
      <c r="C3057" s="3">
        <v>439</v>
      </c>
      <c r="D3057" s="3">
        <v>198</v>
      </c>
      <c r="E3057" s="3">
        <v>2180</v>
      </c>
      <c r="F3057" s="3">
        <v>196</v>
      </c>
      <c r="G3057" s="3">
        <v>0</v>
      </c>
      <c r="H3057" s="2">
        <f t="shared" si="94"/>
        <v>3013</v>
      </c>
      <c r="I3057" t="str">
        <f t="shared" si="95"/>
        <v>Golga7_3013</v>
      </c>
      <c r="J3057" s="3">
        <v>439</v>
      </c>
      <c r="K3057" s="3">
        <v>198</v>
      </c>
      <c r="L3057" s="3">
        <v>2180</v>
      </c>
      <c r="M3057" s="3">
        <v>196</v>
      </c>
      <c r="N3057" s="3">
        <v>0</v>
      </c>
    </row>
    <row r="3058" spans="1:14" x14ac:dyDescent="0.2">
      <c r="A3058" s="5" t="str">
        <f>HYPERLINK("http://www.ncbi.nlm.nih.gov/protein/226958601","Golgb1")</f>
        <v>Golgb1</v>
      </c>
      <c r="B3058" s="4"/>
      <c r="C3058" s="3">
        <v>0</v>
      </c>
      <c r="D3058" s="3">
        <v>8724</v>
      </c>
      <c r="E3058" s="3">
        <v>56</v>
      </c>
      <c r="F3058" s="3">
        <v>0</v>
      </c>
      <c r="G3058" s="3">
        <v>0</v>
      </c>
      <c r="H3058" s="2">
        <f t="shared" si="94"/>
        <v>8780</v>
      </c>
      <c r="I3058" t="str">
        <f t="shared" si="95"/>
        <v>Golgb1_8780</v>
      </c>
      <c r="J3058" s="3">
        <v>0</v>
      </c>
      <c r="K3058" s="3">
        <v>8724</v>
      </c>
      <c r="L3058" s="3">
        <v>56</v>
      </c>
      <c r="M3058" s="3">
        <v>0</v>
      </c>
      <c r="N3058" s="3">
        <v>0</v>
      </c>
    </row>
    <row r="3059" spans="1:14" x14ac:dyDescent="0.2">
      <c r="A3059" s="5" t="str">
        <f>HYPERLINK("http://www.ncbi.nlm.nih.gov/protein/30424814","Golim4")</f>
        <v>Golim4</v>
      </c>
      <c r="B3059" s="4"/>
      <c r="C3059" s="3">
        <v>0</v>
      </c>
      <c r="D3059" s="3">
        <v>0</v>
      </c>
      <c r="E3059" s="3">
        <v>13</v>
      </c>
      <c r="F3059" s="3">
        <v>0</v>
      </c>
      <c r="G3059" s="3">
        <v>0</v>
      </c>
      <c r="H3059" s="2">
        <f t="shared" si="94"/>
        <v>13</v>
      </c>
      <c r="I3059" t="str">
        <f t="shared" si="95"/>
        <v>Golim4_13</v>
      </c>
      <c r="J3059" s="3">
        <v>0</v>
      </c>
      <c r="K3059" s="3">
        <v>0</v>
      </c>
      <c r="L3059" s="3">
        <v>13</v>
      </c>
      <c r="M3059" s="3">
        <v>0</v>
      </c>
      <c r="N3059" s="3">
        <v>0</v>
      </c>
    </row>
    <row r="3060" spans="1:14" x14ac:dyDescent="0.2">
      <c r="A3060" s="5" t="str">
        <f>HYPERLINK("http://www.ncbi.nlm.nih.gov/protein/78190502","Golm1")</f>
        <v>Golm1</v>
      </c>
      <c r="B3060" s="4"/>
      <c r="C3060" s="3">
        <v>2874</v>
      </c>
      <c r="D3060" s="3">
        <v>4317</v>
      </c>
      <c r="E3060" s="3">
        <v>2100</v>
      </c>
      <c r="F3060" s="3">
        <v>0</v>
      </c>
      <c r="G3060" s="3">
        <v>0</v>
      </c>
      <c r="H3060" s="2">
        <f t="shared" si="94"/>
        <v>9291</v>
      </c>
      <c r="I3060" t="str">
        <f t="shared" si="95"/>
        <v>Golm1_9291</v>
      </c>
      <c r="J3060" s="3">
        <v>2874</v>
      </c>
      <c r="K3060" s="3">
        <v>4317</v>
      </c>
      <c r="L3060" s="3">
        <v>2100</v>
      </c>
      <c r="M3060" s="3">
        <v>0</v>
      </c>
      <c r="N3060" s="3">
        <v>0</v>
      </c>
    </row>
    <row r="3061" spans="1:14" x14ac:dyDescent="0.2">
      <c r="A3061" s="5" t="str">
        <f>HYPERLINK("http://www.ncbi.nlm.nih.gov/protein/14140240","Golph3")</f>
        <v>Golph3</v>
      </c>
      <c r="B3061" s="4"/>
      <c r="C3061" s="3">
        <v>5620</v>
      </c>
      <c r="D3061" s="3">
        <v>6467</v>
      </c>
      <c r="E3061" s="3">
        <v>459</v>
      </c>
      <c r="F3061" s="3">
        <v>0</v>
      </c>
      <c r="G3061" s="3">
        <v>0</v>
      </c>
      <c r="H3061" s="2">
        <f t="shared" si="94"/>
        <v>12546</v>
      </c>
      <c r="I3061" t="str">
        <f t="shared" si="95"/>
        <v>Golph3_12546</v>
      </c>
      <c r="J3061" s="3">
        <v>5620</v>
      </c>
      <c r="K3061" s="3">
        <v>6467</v>
      </c>
      <c r="L3061" s="3">
        <v>459</v>
      </c>
      <c r="M3061" s="3">
        <v>0</v>
      </c>
      <c r="N3061" s="3">
        <v>0</v>
      </c>
    </row>
    <row r="3062" spans="1:14" x14ac:dyDescent="0.2">
      <c r="A3062" s="5" t="str">
        <f>HYPERLINK("http://www.ncbi.nlm.nih.gov/protein/295054274","Golph3l")</f>
        <v>Golph3l</v>
      </c>
      <c r="B3062" s="4"/>
      <c r="C3062" s="3">
        <v>0</v>
      </c>
      <c r="D3062" s="3">
        <v>4985</v>
      </c>
      <c r="E3062" s="3">
        <v>236</v>
      </c>
      <c r="F3062" s="3">
        <v>0</v>
      </c>
      <c r="G3062" s="3">
        <v>3052</v>
      </c>
      <c r="H3062" s="2">
        <f t="shared" si="94"/>
        <v>8273</v>
      </c>
      <c r="I3062" t="str">
        <f t="shared" si="95"/>
        <v>Golph3l_8273</v>
      </c>
      <c r="J3062" s="3">
        <v>0</v>
      </c>
      <c r="K3062" s="3">
        <v>4985</v>
      </c>
      <c r="L3062" s="3">
        <v>236</v>
      </c>
      <c r="M3062" s="3">
        <v>0</v>
      </c>
      <c r="N3062" s="3">
        <v>3052</v>
      </c>
    </row>
    <row r="3063" spans="1:14" x14ac:dyDescent="0.2">
      <c r="A3063" s="5" t="str">
        <f>HYPERLINK("http://www.ncbi.nlm.nih.gov/protein/295054280","Golph3l")</f>
        <v>Golph3l</v>
      </c>
      <c r="B3063" s="4"/>
      <c r="C3063" s="3">
        <v>0</v>
      </c>
      <c r="D3063" s="3">
        <v>5242</v>
      </c>
      <c r="E3063" s="3">
        <v>189</v>
      </c>
      <c r="F3063" s="3">
        <v>0</v>
      </c>
      <c r="G3063" s="3">
        <v>3052</v>
      </c>
      <c r="H3063" s="2">
        <f t="shared" si="94"/>
        <v>8483</v>
      </c>
      <c r="I3063" t="str">
        <f t="shared" si="95"/>
        <v>Golph3l_8483</v>
      </c>
      <c r="J3063" s="3">
        <v>0</v>
      </c>
      <c r="K3063" s="3">
        <v>5242</v>
      </c>
      <c r="L3063" s="3">
        <v>189</v>
      </c>
      <c r="M3063" s="3">
        <v>0</v>
      </c>
      <c r="N3063" s="3">
        <v>3052</v>
      </c>
    </row>
    <row r="3064" spans="1:14" x14ac:dyDescent="0.2">
      <c r="A3064" s="5" t="str">
        <f>HYPERLINK("http://www.ncbi.nlm.nih.gov/protein/295054284","Golph3l")</f>
        <v>Golph3l</v>
      </c>
      <c r="B3064" s="4"/>
      <c r="C3064" s="3">
        <v>0</v>
      </c>
      <c r="D3064" s="3">
        <v>2386</v>
      </c>
      <c r="E3064" s="3">
        <v>236</v>
      </c>
      <c r="F3064" s="3">
        <v>0</v>
      </c>
      <c r="G3064" s="3">
        <v>1124</v>
      </c>
      <c r="H3064" s="2">
        <f t="shared" si="94"/>
        <v>3746</v>
      </c>
      <c r="I3064" t="str">
        <f t="shared" si="95"/>
        <v>Golph3l_3746</v>
      </c>
      <c r="J3064" s="3">
        <v>0</v>
      </c>
      <c r="K3064" s="3">
        <v>2386</v>
      </c>
      <c r="L3064" s="3">
        <v>236</v>
      </c>
      <c r="M3064" s="3">
        <v>0</v>
      </c>
      <c r="N3064" s="3">
        <v>1124</v>
      </c>
    </row>
    <row r="3065" spans="1:14" x14ac:dyDescent="0.2">
      <c r="A3065" s="5" t="str">
        <f>HYPERLINK("http://www.ncbi.nlm.nih.gov/protein/13385354","Golt1b")</f>
        <v>Golt1b</v>
      </c>
      <c r="B3065" s="4"/>
      <c r="C3065" s="3">
        <v>10855</v>
      </c>
      <c r="D3065" s="3">
        <v>29</v>
      </c>
      <c r="E3065" s="3">
        <v>0</v>
      </c>
      <c r="F3065" s="3">
        <v>106</v>
      </c>
      <c r="G3065" s="3">
        <v>0</v>
      </c>
      <c r="H3065" s="2">
        <f t="shared" si="94"/>
        <v>10990</v>
      </c>
      <c r="I3065" t="str">
        <f t="shared" si="95"/>
        <v>Golt1b_10990</v>
      </c>
      <c r="J3065" s="3">
        <v>10855</v>
      </c>
      <c r="K3065" s="3">
        <v>29</v>
      </c>
      <c r="L3065" s="3">
        <v>0</v>
      </c>
      <c r="M3065" s="3">
        <v>106</v>
      </c>
      <c r="N3065" s="3">
        <v>0</v>
      </c>
    </row>
    <row r="3066" spans="1:14" x14ac:dyDescent="0.2">
      <c r="A3066" s="5" t="str">
        <f>HYPERLINK("http://www.ncbi.nlm.nih.gov/protein/313151170","Gopc")</f>
        <v>Gopc</v>
      </c>
      <c r="B3066" s="4"/>
      <c r="C3066" s="3">
        <v>0</v>
      </c>
      <c r="D3066" s="3">
        <v>0</v>
      </c>
      <c r="E3066" s="3">
        <v>675</v>
      </c>
      <c r="F3066" s="3">
        <v>0</v>
      </c>
      <c r="G3066" s="3">
        <v>15946</v>
      </c>
      <c r="H3066" s="2">
        <f t="shared" si="94"/>
        <v>16621</v>
      </c>
      <c r="I3066" t="str">
        <f t="shared" si="95"/>
        <v>Gopc_16621</v>
      </c>
      <c r="J3066" s="3">
        <v>0</v>
      </c>
      <c r="K3066" s="3">
        <v>0</v>
      </c>
      <c r="L3066" s="3">
        <v>675</v>
      </c>
      <c r="M3066" s="3">
        <v>0</v>
      </c>
      <c r="N3066" s="3">
        <v>15946</v>
      </c>
    </row>
    <row r="3067" spans="1:14" x14ac:dyDescent="0.2">
      <c r="A3067" s="5" t="str">
        <f>HYPERLINK("http://www.ncbi.nlm.nih.gov/protein/31543485","Gopc")</f>
        <v>Gopc</v>
      </c>
      <c r="B3067" s="4"/>
      <c r="C3067" s="3">
        <v>0</v>
      </c>
      <c r="D3067" s="3">
        <v>0</v>
      </c>
      <c r="E3067" s="3">
        <v>675</v>
      </c>
      <c r="F3067" s="3">
        <v>0</v>
      </c>
      <c r="G3067" s="3">
        <v>15946</v>
      </c>
      <c r="H3067" s="2">
        <f t="shared" si="94"/>
        <v>16621</v>
      </c>
      <c r="I3067" t="str">
        <f t="shared" si="95"/>
        <v>Gopc_16621</v>
      </c>
      <c r="J3067" s="3">
        <v>0</v>
      </c>
      <c r="K3067" s="3">
        <v>0</v>
      </c>
      <c r="L3067" s="3">
        <v>675</v>
      </c>
      <c r="M3067" s="3">
        <v>0</v>
      </c>
      <c r="N3067" s="3">
        <v>15946</v>
      </c>
    </row>
    <row r="3068" spans="1:14" x14ac:dyDescent="0.2">
      <c r="A3068" s="5" t="str">
        <f>HYPERLINK("http://www.ncbi.nlm.nih.gov/protein/30350202","Gorasp1")</f>
        <v>Gorasp1</v>
      </c>
      <c r="B3068" s="4"/>
      <c r="C3068" s="3">
        <v>0</v>
      </c>
      <c r="D3068" s="3">
        <v>2</v>
      </c>
      <c r="E3068" s="3">
        <v>0</v>
      </c>
      <c r="F3068" s="3">
        <v>0</v>
      </c>
      <c r="G3068" s="3">
        <v>0</v>
      </c>
      <c r="H3068" s="2">
        <f t="shared" si="94"/>
        <v>2</v>
      </c>
      <c r="I3068" t="str">
        <f t="shared" si="95"/>
        <v>Gorasp1_2</v>
      </c>
      <c r="J3068" s="3">
        <v>0</v>
      </c>
      <c r="K3068" s="3">
        <v>2</v>
      </c>
      <c r="L3068" s="3">
        <v>0</v>
      </c>
      <c r="M3068" s="3">
        <v>0</v>
      </c>
      <c r="N3068" s="3">
        <v>0</v>
      </c>
    </row>
    <row r="3069" spans="1:14" x14ac:dyDescent="0.2">
      <c r="A3069" s="5" t="str">
        <f>HYPERLINK("http://www.ncbi.nlm.nih.gov/protein/224967109","Gorasp2")</f>
        <v>Gorasp2</v>
      </c>
      <c r="B3069" s="4"/>
      <c r="C3069" s="3">
        <v>0</v>
      </c>
      <c r="D3069" s="3">
        <v>6227</v>
      </c>
      <c r="E3069" s="3">
        <v>2425</v>
      </c>
      <c r="F3069" s="3">
        <v>0</v>
      </c>
      <c r="G3069" s="3">
        <v>16557</v>
      </c>
      <c r="H3069" s="2">
        <f t="shared" si="94"/>
        <v>25209</v>
      </c>
      <c r="I3069" t="str">
        <f t="shared" si="95"/>
        <v>Gorasp2_25209</v>
      </c>
      <c r="J3069" s="3">
        <v>0</v>
      </c>
      <c r="K3069" s="3">
        <v>6227</v>
      </c>
      <c r="L3069" s="3">
        <v>2425</v>
      </c>
      <c r="M3069" s="3">
        <v>0</v>
      </c>
      <c r="N3069" s="3">
        <v>16557</v>
      </c>
    </row>
    <row r="3070" spans="1:14" x14ac:dyDescent="0.2">
      <c r="A3070" s="5" t="str">
        <f>HYPERLINK("http://www.ncbi.nlm.nih.gov/protein/31542904","Gosr1")</f>
        <v>Gosr1</v>
      </c>
      <c r="B3070" s="4"/>
      <c r="C3070" s="3">
        <v>0</v>
      </c>
      <c r="D3070" s="3">
        <v>4474</v>
      </c>
      <c r="E3070" s="3">
        <v>0</v>
      </c>
      <c r="F3070" s="3">
        <v>16</v>
      </c>
      <c r="G3070" s="3">
        <v>0</v>
      </c>
      <c r="H3070" s="2">
        <f t="shared" si="94"/>
        <v>4490</v>
      </c>
      <c r="I3070" t="str">
        <f t="shared" si="95"/>
        <v>Gosr1_4490</v>
      </c>
      <c r="J3070" s="3">
        <v>0</v>
      </c>
      <c r="K3070" s="3">
        <v>4474</v>
      </c>
      <c r="L3070" s="3">
        <v>0</v>
      </c>
      <c r="M3070" s="3">
        <v>16</v>
      </c>
      <c r="N3070" s="3">
        <v>0</v>
      </c>
    </row>
    <row r="3071" spans="1:14" x14ac:dyDescent="0.2">
      <c r="A3071" s="5" t="str">
        <f>HYPERLINK("http://www.ncbi.nlm.nih.gov/protein/24528553","Gosr2")</f>
        <v>Gosr2</v>
      </c>
      <c r="B3071" s="4"/>
      <c r="C3071" s="3">
        <v>0</v>
      </c>
      <c r="D3071" s="3">
        <v>217</v>
      </c>
      <c r="E3071" s="3">
        <v>53</v>
      </c>
      <c r="F3071" s="3">
        <v>0</v>
      </c>
      <c r="G3071" s="3">
        <v>0</v>
      </c>
      <c r="H3071" s="2">
        <f t="shared" si="94"/>
        <v>270</v>
      </c>
      <c r="I3071" t="str">
        <f t="shared" si="95"/>
        <v>Gosr2_270</v>
      </c>
      <c r="J3071" s="3">
        <v>0</v>
      </c>
      <c r="K3071" s="3">
        <v>217</v>
      </c>
      <c r="L3071" s="3">
        <v>53</v>
      </c>
      <c r="M3071" s="3">
        <v>0</v>
      </c>
      <c r="N3071" s="3">
        <v>0</v>
      </c>
    </row>
    <row r="3072" spans="1:14" x14ac:dyDescent="0.2">
      <c r="A3072" s="5" t="str">
        <f>HYPERLINK("http://www.ncbi.nlm.nih.gov/protein/160298209","Got1")</f>
        <v>Got1</v>
      </c>
      <c r="B3072" s="4"/>
      <c r="C3072" s="3">
        <v>5986</v>
      </c>
      <c r="D3072" s="3">
        <v>1705</v>
      </c>
      <c r="E3072" s="3">
        <v>21255</v>
      </c>
      <c r="F3072" s="3">
        <v>26448</v>
      </c>
      <c r="G3072" s="3">
        <v>388776</v>
      </c>
      <c r="H3072" s="2">
        <f t="shared" si="94"/>
        <v>444170</v>
      </c>
      <c r="I3072" t="str">
        <f t="shared" si="95"/>
        <v>Got1_444170</v>
      </c>
      <c r="J3072" s="3">
        <v>5986</v>
      </c>
      <c r="K3072" s="3">
        <v>1705</v>
      </c>
      <c r="L3072" s="3">
        <v>21255</v>
      </c>
      <c r="M3072" s="3">
        <v>26448</v>
      </c>
      <c r="N3072" s="3">
        <v>388776</v>
      </c>
    </row>
    <row r="3073" spans="1:14" x14ac:dyDescent="0.2">
      <c r="A3073" s="5" t="str">
        <f>HYPERLINK("http://www.ncbi.nlm.nih.gov/protein/6754036","Got2")</f>
        <v>Got2</v>
      </c>
      <c r="B3073" s="4"/>
      <c r="C3073" s="3">
        <v>1867342</v>
      </c>
      <c r="D3073" s="3">
        <v>55125</v>
      </c>
      <c r="E3073" s="3">
        <v>24715</v>
      </c>
      <c r="F3073" s="3">
        <v>12671</v>
      </c>
      <c r="G3073" s="3">
        <v>159100</v>
      </c>
      <c r="H3073" s="2">
        <f t="shared" si="94"/>
        <v>2118953</v>
      </c>
      <c r="I3073" t="str">
        <f t="shared" si="95"/>
        <v>Got2_2118953</v>
      </c>
      <c r="J3073" s="3">
        <v>1867342</v>
      </c>
      <c r="K3073" s="3">
        <v>55125</v>
      </c>
      <c r="L3073" s="3">
        <v>24715</v>
      </c>
      <c r="M3073" s="3">
        <v>12671</v>
      </c>
      <c r="N3073" s="3">
        <v>159100</v>
      </c>
    </row>
    <row r="3074" spans="1:14" x14ac:dyDescent="0.2">
      <c r="A3074" s="5" t="str">
        <f>HYPERLINK("http://www.ncbi.nlm.nih.gov/protein/6754046","Gpaa1")</f>
        <v>Gpaa1</v>
      </c>
      <c r="B3074" s="4"/>
      <c r="C3074" s="3">
        <v>0</v>
      </c>
      <c r="D3074" s="3">
        <v>1042</v>
      </c>
      <c r="E3074" s="3">
        <v>184</v>
      </c>
      <c r="F3074" s="3">
        <v>0</v>
      </c>
      <c r="G3074" s="3">
        <v>0</v>
      </c>
      <c r="H3074" s="2">
        <f t="shared" ref="H3074:H3137" si="96">SUM(C3074:G3074)</f>
        <v>1226</v>
      </c>
      <c r="I3074" t="str">
        <f t="shared" ref="I3074:I3137" si="97">A3074&amp;"_"&amp;H3074</f>
        <v>Gpaa1_1226</v>
      </c>
      <c r="J3074" s="3">
        <v>0</v>
      </c>
      <c r="K3074" s="3">
        <v>1042</v>
      </c>
      <c r="L3074" s="3">
        <v>184</v>
      </c>
      <c r="M3074" s="3">
        <v>0</v>
      </c>
      <c r="N3074" s="3">
        <v>0</v>
      </c>
    </row>
    <row r="3075" spans="1:14" x14ac:dyDescent="0.2">
      <c r="A3075" s="5" t="str">
        <f>HYPERLINK("http://www.ncbi.nlm.nih.gov/protein/27754089","Gpalpp1")</f>
        <v>Gpalpp1</v>
      </c>
      <c r="B3075" s="4"/>
      <c r="C3075" s="3">
        <v>0</v>
      </c>
      <c r="D3075" s="3">
        <v>0</v>
      </c>
      <c r="E3075" s="3">
        <v>0</v>
      </c>
      <c r="F3075" s="3">
        <v>0</v>
      </c>
      <c r="G3075" s="3">
        <v>814</v>
      </c>
      <c r="H3075" s="2">
        <f t="shared" si="96"/>
        <v>814</v>
      </c>
      <c r="I3075" t="str">
        <f t="shared" si="97"/>
        <v>Gpalpp1_814</v>
      </c>
      <c r="J3075" s="3">
        <v>0</v>
      </c>
      <c r="K3075" s="3">
        <v>0</v>
      </c>
      <c r="L3075" s="3">
        <v>0</v>
      </c>
      <c r="M3075" s="3">
        <v>0</v>
      </c>
      <c r="N3075" s="3">
        <v>814</v>
      </c>
    </row>
    <row r="3076" spans="1:14" x14ac:dyDescent="0.2">
      <c r="A3076" s="5" t="str">
        <f>HYPERLINK("http://www.ncbi.nlm.nih.gov/protein/194473718","Gpatch11")</f>
        <v>Gpatch11</v>
      </c>
      <c r="B3076" s="4"/>
      <c r="C3076" s="3">
        <v>0</v>
      </c>
      <c r="D3076" s="3">
        <v>0</v>
      </c>
      <c r="E3076" s="3">
        <v>0</v>
      </c>
      <c r="F3076" s="3">
        <v>0</v>
      </c>
      <c r="G3076" s="3">
        <v>1060</v>
      </c>
      <c r="H3076" s="2">
        <f t="shared" si="96"/>
        <v>1060</v>
      </c>
      <c r="I3076" t="str">
        <f t="shared" si="97"/>
        <v>Gpatch11_1060</v>
      </c>
      <c r="J3076" s="3">
        <v>0</v>
      </c>
      <c r="K3076" s="3">
        <v>0</v>
      </c>
      <c r="L3076" s="3">
        <v>0</v>
      </c>
      <c r="M3076" s="3">
        <v>0</v>
      </c>
      <c r="N3076" s="3">
        <v>1060</v>
      </c>
    </row>
    <row r="3077" spans="1:14" x14ac:dyDescent="0.2">
      <c r="A3077" s="5" t="str">
        <f>HYPERLINK("http://www.ncbi.nlm.nih.gov/protein/27370332","Gpatch3")</f>
        <v>Gpatch3</v>
      </c>
      <c r="B3077" s="4"/>
      <c r="C3077" s="3">
        <v>0</v>
      </c>
      <c r="D3077" s="3">
        <v>0</v>
      </c>
      <c r="E3077" s="3">
        <v>95</v>
      </c>
      <c r="F3077" s="3">
        <v>360</v>
      </c>
      <c r="G3077" s="3">
        <v>0</v>
      </c>
      <c r="H3077" s="2">
        <f t="shared" si="96"/>
        <v>455</v>
      </c>
      <c r="I3077" t="str">
        <f t="shared" si="97"/>
        <v>Gpatch3_455</v>
      </c>
      <c r="J3077" s="3">
        <v>0</v>
      </c>
      <c r="K3077" s="3">
        <v>0</v>
      </c>
      <c r="L3077" s="3">
        <v>95</v>
      </c>
      <c r="M3077" s="3">
        <v>360</v>
      </c>
      <c r="N3077" s="3">
        <v>0</v>
      </c>
    </row>
    <row r="3078" spans="1:14" x14ac:dyDescent="0.2">
      <c r="A3078" s="5" t="str">
        <f>HYPERLINK("http://www.ncbi.nlm.nih.gov/protein/160948594","Gpatch4")</f>
        <v>Gpatch4</v>
      </c>
      <c r="B3078" s="4"/>
      <c r="C3078" s="3">
        <v>0</v>
      </c>
      <c r="D3078" s="3">
        <v>0</v>
      </c>
      <c r="E3078" s="3">
        <v>4</v>
      </c>
      <c r="F3078" s="3">
        <v>0</v>
      </c>
      <c r="G3078" s="3">
        <v>0</v>
      </c>
      <c r="H3078" s="2">
        <f t="shared" si="96"/>
        <v>4</v>
      </c>
      <c r="I3078" t="str">
        <f t="shared" si="97"/>
        <v>Gpatch4_4</v>
      </c>
      <c r="J3078" s="3">
        <v>0</v>
      </c>
      <c r="K3078" s="3">
        <v>0</v>
      </c>
      <c r="L3078" s="3">
        <v>4</v>
      </c>
      <c r="M3078" s="3">
        <v>0</v>
      </c>
      <c r="N3078" s="3">
        <v>0</v>
      </c>
    </row>
    <row r="3079" spans="1:14" x14ac:dyDescent="0.2">
      <c r="A3079" s="5" t="str">
        <f>HYPERLINK("http://www.ncbi.nlm.nih.gov/protein/226958329","Gpatch8")</f>
        <v>Gpatch8</v>
      </c>
      <c r="B3079" s="4"/>
      <c r="C3079" s="3">
        <v>0</v>
      </c>
      <c r="D3079" s="3">
        <v>509</v>
      </c>
      <c r="E3079" s="3">
        <v>351</v>
      </c>
      <c r="F3079" s="3">
        <v>1130</v>
      </c>
      <c r="G3079" s="3">
        <v>54</v>
      </c>
      <c r="H3079" s="2">
        <f t="shared" si="96"/>
        <v>2044</v>
      </c>
      <c r="I3079" t="str">
        <f t="shared" si="97"/>
        <v>Gpatch8_2044</v>
      </c>
      <c r="J3079" s="3">
        <v>0</v>
      </c>
      <c r="K3079" s="3">
        <v>509</v>
      </c>
      <c r="L3079" s="3">
        <v>351</v>
      </c>
      <c r="M3079" s="3">
        <v>1130</v>
      </c>
      <c r="N3079" s="3">
        <v>54</v>
      </c>
    </row>
    <row r="3080" spans="1:14" x14ac:dyDescent="0.2">
      <c r="A3080" s="5" t="str">
        <f>HYPERLINK("http://www.ncbi.nlm.nih.gov/protein/238624186","Gpc4")</f>
        <v>Gpc4</v>
      </c>
      <c r="B3080" s="4"/>
      <c r="C3080" s="3">
        <v>0</v>
      </c>
      <c r="D3080" s="3">
        <v>10</v>
      </c>
      <c r="E3080" s="3">
        <v>0</v>
      </c>
      <c r="F3080" s="3">
        <v>0</v>
      </c>
      <c r="G3080" s="3">
        <v>0</v>
      </c>
      <c r="H3080" s="2">
        <f t="shared" si="96"/>
        <v>10</v>
      </c>
      <c r="I3080" t="str">
        <f t="shared" si="97"/>
        <v>Gpc4_10</v>
      </c>
      <c r="J3080" s="3">
        <v>0</v>
      </c>
      <c r="K3080" s="3">
        <v>10</v>
      </c>
      <c r="L3080" s="3">
        <v>0</v>
      </c>
      <c r="M3080" s="3">
        <v>0</v>
      </c>
      <c r="N3080" s="3">
        <v>0</v>
      </c>
    </row>
    <row r="3081" spans="1:14" x14ac:dyDescent="0.2">
      <c r="A3081" s="5" t="str">
        <f>HYPERLINK("http://www.ncbi.nlm.nih.gov/protein/119943145","Gpc6")</f>
        <v>Gpc6</v>
      </c>
      <c r="B3081" s="4"/>
      <c r="C3081" s="3">
        <v>0</v>
      </c>
      <c r="D3081" s="3">
        <v>10</v>
      </c>
      <c r="E3081" s="3">
        <v>0</v>
      </c>
      <c r="F3081" s="3">
        <v>0</v>
      </c>
      <c r="G3081" s="3">
        <v>0</v>
      </c>
      <c r="H3081" s="2">
        <f t="shared" si="96"/>
        <v>10</v>
      </c>
      <c r="I3081" t="str">
        <f t="shared" si="97"/>
        <v>Gpc6_10</v>
      </c>
      <c r="J3081" s="3">
        <v>0</v>
      </c>
      <c r="K3081" s="3">
        <v>10</v>
      </c>
      <c r="L3081" s="3">
        <v>0</v>
      </c>
      <c r="M3081" s="3">
        <v>0</v>
      </c>
      <c r="N3081" s="3">
        <v>0</v>
      </c>
    </row>
    <row r="3082" spans="1:14" x14ac:dyDescent="0.2">
      <c r="A3082" s="5" t="str">
        <f>HYPERLINK("http://www.ncbi.nlm.nih.gov/protein/7106325","Gpc6")</f>
        <v>Gpc6</v>
      </c>
      <c r="B3082" s="4"/>
      <c r="C3082" s="3">
        <v>0</v>
      </c>
      <c r="D3082" s="3">
        <v>10</v>
      </c>
      <c r="E3082" s="3">
        <v>0</v>
      </c>
      <c r="F3082" s="3">
        <v>0</v>
      </c>
      <c r="G3082" s="3">
        <v>0</v>
      </c>
      <c r="H3082" s="2">
        <f t="shared" si="96"/>
        <v>10</v>
      </c>
      <c r="I3082" t="str">
        <f t="shared" si="97"/>
        <v>Gpc6_10</v>
      </c>
      <c r="J3082" s="3">
        <v>0</v>
      </c>
      <c r="K3082" s="3">
        <v>10</v>
      </c>
      <c r="L3082" s="3">
        <v>0</v>
      </c>
      <c r="M3082" s="3">
        <v>0</v>
      </c>
      <c r="N3082" s="3">
        <v>0</v>
      </c>
    </row>
    <row r="3083" spans="1:14" x14ac:dyDescent="0.2">
      <c r="A3083" s="5" t="str">
        <f>HYPERLINK("http://www.ncbi.nlm.nih.gov/protein/111185942","Gpcpd1")</f>
        <v>Gpcpd1</v>
      </c>
      <c r="B3083" s="4"/>
      <c r="C3083" s="3">
        <v>0</v>
      </c>
      <c r="D3083" s="3">
        <v>0</v>
      </c>
      <c r="E3083" s="3">
        <v>0</v>
      </c>
      <c r="F3083" s="3">
        <v>0</v>
      </c>
      <c r="G3083" s="3">
        <v>621</v>
      </c>
      <c r="H3083" s="2">
        <f t="shared" si="96"/>
        <v>621</v>
      </c>
      <c r="I3083" t="str">
        <f t="shared" si="97"/>
        <v>Gpcpd1_621</v>
      </c>
      <c r="J3083" s="3">
        <v>0</v>
      </c>
      <c r="K3083" s="3">
        <v>0</v>
      </c>
      <c r="L3083" s="3">
        <v>0</v>
      </c>
      <c r="M3083" s="3">
        <v>0</v>
      </c>
      <c r="N3083" s="3">
        <v>621</v>
      </c>
    </row>
    <row r="3084" spans="1:14" x14ac:dyDescent="0.2">
      <c r="A3084" s="5" t="str">
        <f>HYPERLINK("http://www.ncbi.nlm.nih.gov/protein/111185947","Gpcpd1")</f>
        <v>Gpcpd1</v>
      </c>
      <c r="B3084" s="4"/>
      <c r="C3084" s="3">
        <v>0</v>
      </c>
      <c r="D3084" s="3">
        <v>0</v>
      </c>
      <c r="E3084" s="3">
        <v>0</v>
      </c>
      <c r="F3084" s="3">
        <v>0</v>
      </c>
      <c r="G3084" s="3">
        <v>621</v>
      </c>
      <c r="H3084" s="2">
        <f t="shared" si="96"/>
        <v>621</v>
      </c>
      <c r="I3084" t="str">
        <f t="shared" si="97"/>
        <v>Gpcpd1_621</v>
      </c>
      <c r="J3084" s="3">
        <v>0</v>
      </c>
      <c r="K3084" s="3">
        <v>0</v>
      </c>
      <c r="L3084" s="3">
        <v>0</v>
      </c>
      <c r="M3084" s="3">
        <v>0</v>
      </c>
      <c r="N3084" s="3">
        <v>621</v>
      </c>
    </row>
    <row r="3085" spans="1:14" x14ac:dyDescent="0.2">
      <c r="A3085" s="5" t="str">
        <f>HYPERLINK("http://www.ncbi.nlm.nih.gov/protein/6753966","Gpd1")</f>
        <v>Gpd1</v>
      </c>
      <c r="B3085" s="4"/>
      <c r="C3085" s="3">
        <v>13125</v>
      </c>
      <c r="D3085" s="3">
        <v>26157</v>
      </c>
      <c r="E3085" s="3">
        <v>18890</v>
      </c>
      <c r="F3085" s="3">
        <v>23231</v>
      </c>
      <c r="G3085" s="3">
        <v>260155</v>
      </c>
      <c r="H3085" s="2">
        <f t="shared" si="96"/>
        <v>341558</v>
      </c>
      <c r="I3085" t="str">
        <f t="shared" si="97"/>
        <v>Gpd1_341558</v>
      </c>
      <c r="J3085" s="3">
        <v>13125</v>
      </c>
      <c r="K3085" s="3">
        <v>26157</v>
      </c>
      <c r="L3085" s="3">
        <v>18890</v>
      </c>
      <c r="M3085" s="3">
        <v>23231</v>
      </c>
      <c r="N3085" s="3">
        <v>260155</v>
      </c>
    </row>
    <row r="3086" spans="1:14" x14ac:dyDescent="0.2">
      <c r="A3086" s="5" t="str">
        <f>HYPERLINK("http://www.ncbi.nlm.nih.gov/protein/257467604","Gpd1l")</f>
        <v>Gpd1l</v>
      </c>
      <c r="B3086" s="4"/>
      <c r="C3086" s="3">
        <v>0</v>
      </c>
      <c r="D3086" s="3">
        <v>3555</v>
      </c>
      <c r="E3086" s="3">
        <v>2631</v>
      </c>
      <c r="F3086" s="3">
        <v>1915</v>
      </c>
      <c r="G3086" s="3">
        <v>33456</v>
      </c>
      <c r="H3086" s="2">
        <f t="shared" si="96"/>
        <v>41557</v>
      </c>
      <c r="I3086" t="str">
        <f t="shared" si="97"/>
        <v>Gpd1l_41557</v>
      </c>
      <c r="J3086" s="3">
        <v>0</v>
      </c>
      <c r="K3086" s="3">
        <v>3555</v>
      </c>
      <c r="L3086" s="3">
        <v>2631</v>
      </c>
      <c r="M3086" s="3">
        <v>1915</v>
      </c>
      <c r="N3086" s="3">
        <v>33456</v>
      </c>
    </row>
    <row r="3087" spans="1:14" x14ac:dyDescent="0.2">
      <c r="A3087" s="5" t="str">
        <f>HYPERLINK("http://www.ncbi.nlm.nih.gov/protein/224922803","Gpd2")</f>
        <v>Gpd2</v>
      </c>
      <c r="B3087" s="4"/>
      <c r="C3087" s="3">
        <v>195197</v>
      </c>
      <c r="D3087" s="3">
        <v>88252</v>
      </c>
      <c r="E3087" s="3">
        <v>12012</v>
      </c>
      <c r="F3087" s="3">
        <v>0</v>
      </c>
      <c r="G3087" s="3">
        <v>0</v>
      </c>
      <c r="H3087" s="2">
        <f t="shared" si="96"/>
        <v>295461</v>
      </c>
      <c r="I3087" t="str">
        <f t="shared" si="97"/>
        <v>Gpd2_295461</v>
      </c>
      <c r="J3087" s="3">
        <v>195197</v>
      </c>
      <c r="K3087" s="3">
        <v>88252</v>
      </c>
      <c r="L3087" s="3">
        <v>12012</v>
      </c>
      <c r="M3087" s="3">
        <v>0</v>
      </c>
      <c r="N3087" s="3">
        <v>0</v>
      </c>
    </row>
    <row r="3088" spans="1:14" x14ac:dyDescent="0.2">
      <c r="A3088" s="5" t="str">
        <f>HYPERLINK("http://www.ncbi.nlm.nih.gov/protein/269973915","Gphn")</f>
        <v>Gphn</v>
      </c>
      <c r="B3088" s="4"/>
      <c r="C3088" s="3">
        <v>0</v>
      </c>
      <c r="D3088" s="3">
        <v>244</v>
      </c>
      <c r="E3088" s="3">
        <v>2381</v>
      </c>
      <c r="F3088" s="3">
        <v>52396</v>
      </c>
      <c r="G3088" s="3">
        <v>32246</v>
      </c>
      <c r="H3088" s="2">
        <f t="shared" si="96"/>
        <v>87267</v>
      </c>
      <c r="I3088" t="str">
        <f t="shared" si="97"/>
        <v>Gphn_87267</v>
      </c>
      <c r="J3088" s="3">
        <v>0</v>
      </c>
      <c r="K3088" s="3">
        <v>244</v>
      </c>
      <c r="L3088" s="3">
        <v>2381</v>
      </c>
      <c r="M3088" s="3">
        <v>52396</v>
      </c>
      <c r="N3088" s="3">
        <v>32246</v>
      </c>
    </row>
    <row r="3089" spans="1:14" x14ac:dyDescent="0.2">
      <c r="A3089" s="5" t="str">
        <f>HYPERLINK("http://www.ncbi.nlm.nih.gov/protein/269973917","Gphn")</f>
        <v>Gphn</v>
      </c>
      <c r="B3089" s="4"/>
      <c r="C3089" s="3">
        <v>0</v>
      </c>
      <c r="D3089" s="3">
        <v>244</v>
      </c>
      <c r="E3089" s="3">
        <v>2381</v>
      </c>
      <c r="F3089" s="3">
        <v>52396</v>
      </c>
      <c r="G3089" s="3">
        <v>32246</v>
      </c>
      <c r="H3089" s="2">
        <f t="shared" si="96"/>
        <v>87267</v>
      </c>
      <c r="I3089" t="str">
        <f t="shared" si="97"/>
        <v>Gphn_87267</v>
      </c>
      <c r="J3089" s="3">
        <v>0</v>
      </c>
      <c r="K3089" s="3">
        <v>244</v>
      </c>
      <c r="L3089" s="3">
        <v>2381</v>
      </c>
      <c r="M3089" s="3">
        <v>52396</v>
      </c>
      <c r="N3089" s="3">
        <v>32246</v>
      </c>
    </row>
    <row r="3090" spans="1:14" x14ac:dyDescent="0.2">
      <c r="A3090" s="5" t="str">
        <f>HYPERLINK("http://www.ncbi.nlm.nih.gov/protein/254553458","Gpi1")</f>
        <v>Gpi1</v>
      </c>
      <c r="B3090" s="4"/>
      <c r="C3090" s="3">
        <v>97919</v>
      </c>
      <c r="D3090" s="3">
        <v>33406</v>
      </c>
      <c r="E3090" s="3">
        <v>111610</v>
      </c>
      <c r="F3090" s="3">
        <v>253826</v>
      </c>
      <c r="G3090" s="3">
        <v>738035</v>
      </c>
      <c r="H3090" s="2">
        <f t="shared" si="96"/>
        <v>1234796</v>
      </c>
      <c r="I3090" t="str">
        <f t="shared" si="97"/>
        <v>Gpi1_1234796</v>
      </c>
      <c r="J3090" s="3">
        <v>97919</v>
      </c>
      <c r="K3090" s="3">
        <v>33406</v>
      </c>
      <c r="L3090" s="3">
        <v>111610</v>
      </c>
      <c r="M3090" s="3">
        <v>253826</v>
      </c>
      <c r="N3090" s="3">
        <v>738035</v>
      </c>
    </row>
    <row r="3091" spans="1:14" x14ac:dyDescent="0.2">
      <c r="A3091" s="5" t="str">
        <f>HYPERLINK("http://www.ncbi.nlm.nih.gov/protein/377834554","Gpi1")</f>
        <v>Gpi1</v>
      </c>
      <c r="B3091" s="4"/>
      <c r="C3091" s="3">
        <v>19533</v>
      </c>
      <c r="D3091" s="3">
        <v>10444</v>
      </c>
      <c r="E3091" s="3">
        <v>25971</v>
      </c>
      <c r="F3091" s="3">
        <v>119583</v>
      </c>
      <c r="G3091" s="3">
        <v>31861</v>
      </c>
      <c r="H3091" s="2">
        <f t="shared" si="96"/>
        <v>207392</v>
      </c>
      <c r="I3091" t="str">
        <f t="shared" si="97"/>
        <v>Gpi1_207392</v>
      </c>
      <c r="J3091" s="3">
        <v>19533</v>
      </c>
      <c r="K3091" s="3">
        <v>10444</v>
      </c>
      <c r="L3091" s="3">
        <v>25971</v>
      </c>
      <c r="M3091" s="3">
        <v>119583</v>
      </c>
      <c r="N3091" s="3">
        <v>31861</v>
      </c>
    </row>
    <row r="3092" spans="1:14" x14ac:dyDescent="0.2">
      <c r="A3092" s="5" t="str">
        <f>HYPERLINK("http://www.ncbi.nlm.nih.gov/protein/19526970","Gpn1")</f>
        <v>Gpn1</v>
      </c>
      <c r="B3092" s="4"/>
      <c r="C3092" s="3">
        <v>0</v>
      </c>
      <c r="D3092" s="3">
        <v>0</v>
      </c>
      <c r="E3092" s="3">
        <v>618</v>
      </c>
      <c r="F3092" s="3">
        <v>0</v>
      </c>
      <c r="G3092" s="3">
        <v>1414</v>
      </c>
      <c r="H3092" s="2">
        <f t="shared" si="96"/>
        <v>2032</v>
      </c>
      <c r="I3092" t="str">
        <f t="shared" si="97"/>
        <v>Gpn1_2032</v>
      </c>
      <c r="J3092" s="3">
        <v>0</v>
      </c>
      <c r="K3092" s="3">
        <v>0</v>
      </c>
      <c r="L3092" s="3">
        <v>618</v>
      </c>
      <c r="M3092" s="3">
        <v>0</v>
      </c>
      <c r="N3092" s="3">
        <v>1414</v>
      </c>
    </row>
    <row r="3093" spans="1:14" x14ac:dyDescent="0.2">
      <c r="A3093" s="5" t="str">
        <f>HYPERLINK("http://www.ncbi.nlm.nih.gov/protein/21312642","Gpn3")</f>
        <v>Gpn3</v>
      </c>
      <c r="B3093" s="4"/>
      <c r="C3093" s="3">
        <v>0</v>
      </c>
      <c r="D3093" s="3">
        <v>0</v>
      </c>
      <c r="E3093" s="3">
        <v>0</v>
      </c>
      <c r="F3093" s="3">
        <v>0</v>
      </c>
      <c r="G3093" s="3">
        <v>1810</v>
      </c>
      <c r="H3093" s="2">
        <f t="shared" si="96"/>
        <v>1810</v>
      </c>
      <c r="I3093" t="str">
        <f t="shared" si="97"/>
        <v>Gpn3_1810</v>
      </c>
      <c r="J3093" s="3">
        <v>0</v>
      </c>
      <c r="K3093" s="3">
        <v>0</v>
      </c>
      <c r="L3093" s="3">
        <v>0</v>
      </c>
      <c r="M3093" s="3">
        <v>0</v>
      </c>
      <c r="N3093" s="3">
        <v>1810</v>
      </c>
    </row>
    <row r="3094" spans="1:14" x14ac:dyDescent="0.2">
      <c r="A3094" s="5" t="str">
        <f>HYPERLINK("http://www.ncbi.nlm.nih.gov/protein/254692915","Gpr107")</f>
        <v>Gpr107</v>
      </c>
      <c r="B3094" s="4"/>
      <c r="C3094" s="3">
        <v>0</v>
      </c>
      <c r="D3094" s="3">
        <v>0</v>
      </c>
      <c r="E3094" s="3">
        <v>22</v>
      </c>
      <c r="F3094" s="3">
        <v>0</v>
      </c>
      <c r="G3094" s="3">
        <v>0</v>
      </c>
      <c r="H3094" s="2">
        <f t="shared" si="96"/>
        <v>22</v>
      </c>
      <c r="I3094" t="str">
        <f t="shared" si="97"/>
        <v>Gpr107_22</v>
      </c>
      <c r="J3094" s="3">
        <v>0</v>
      </c>
      <c r="K3094" s="3">
        <v>0</v>
      </c>
      <c r="L3094" s="3">
        <v>22</v>
      </c>
      <c r="M3094" s="3">
        <v>0</v>
      </c>
      <c r="N3094" s="3">
        <v>0</v>
      </c>
    </row>
    <row r="3095" spans="1:14" x14ac:dyDescent="0.2">
      <c r="A3095" s="5" t="str">
        <f>HYPERLINK("http://www.ncbi.nlm.nih.gov/protein/50428577","Gpr126")</f>
        <v>Gpr126</v>
      </c>
      <c r="B3095" s="4"/>
      <c r="C3095" s="3">
        <v>0</v>
      </c>
      <c r="D3095" s="3">
        <v>0</v>
      </c>
      <c r="E3095" s="3">
        <v>129</v>
      </c>
      <c r="F3095" s="3">
        <v>0</v>
      </c>
      <c r="G3095" s="3">
        <v>0</v>
      </c>
      <c r="H3095" s="2">
        <f t="shared" si="96"/>
        <v>129</v>
      </c>
      <c r="I3095" t="str">
        <f t="shared" si="97"/>
        <v>Gpr126_129</v>
      </c>
      <c r="J3095" s="3">
        <v>0</v>
      </c>
      <c r="K3095" s="3">
        <v>0</v>
      </c>
      <c r="L3095" s="3">
        <v>129</v>
      </c>
      <c r="M3095" s="3">
        <v>0</v>
      </c>
      <c r="N3095" s="3">
        <v>0</v>
      </c>
    </row>
    <row r="3096" spans="1:14" x14ac:dyDescent="0.2">
      <c r="A3096" s="5" t="str">
        <f>HYPERLINK("http://www.ncbi.nlm.nih.gov/protein/226442795","Gpr39")</f>
        <v>Gpr39</v>
      </c>
      <c r="B3096" s="4"/>
      <c r="C3096" s="3">
        <v>0</v>
      </c>
      <c r="D3096" s="3">
        <v>0</v>
      </c>
      <c r="E3096" s="3">
        <v>129</v>
      </c>
      <c r="F3096" s="3">
        <v>0</v>
      </c>
      <c r="G3096" s="3">
        <v>0</v>
      </c>
      <c r="H3096" s="2">
        <f t="shared" si="96"/>
        <v>129</v>
      </c>
      <c r="I3096" t="str">
        <f t="shared" si="97"/>
        <v>Gpr39_129</v>
      </c>
      <c r="J3096" s="3">
        <v>0</v>
      </c>
      <c r="K3096" s="3">
        <v>0</v>
      </c>
      <c r="L3096" s="3">
        <v>129</v>
      </c>
      <c r="M3096" s="3">
        <v>0</v>
      </c>
      <c r="N3096" s="3">
        <v>0</v>
      </c>
    </row>
    <row r="3097" spans="1:14" x14ac:dyDescent="0.2">
      <c r="A3097" s="5" t="str">
        <f>HYPERLINK("http://www.ncbi.nlm.nih.gov/protein/31982718","Gpr56")</f>
        <v>Gpr56</v>
      </c>
      <c r="B3097" s="4"/>
      <c r="C3097" s="3">
        <v>2252</v>
      </c>
      <c r="D3097" s="3">
        <v>8697</v>
      </c>
      <c r="E3097" s="3">
        <v>10695</v>
      </c>
      <c r="F3097" s="3">
        <v>516</v>
      </c>
      <c r="G3097" s="3">
        <v>0</v>
      </c>
      <c r="H3097" s="2">
        <f t="shared" si="96"/>
        <v>22160</v>
      </c>
      <c r="I3097" t="str">
        <f t="shared" si="97"/>
        <v>Gpr56_22160</v>
      </c>
      <c r="J3097" s="3">
        <v>2252</v>
      </c>
      <c r="K3097" s="3">
        <v>8697</v>
      </c>
      <c r="L3097" s="3">
        <v>10695</v>
      </c>
      <c r="M3097" s="3">
        <v>516</v>
      </c>
      <c r="N3097" s="3">
        <v>0</v>
      </c>
    </row>
    <row r="3098" spans="1:14" x14ac:dyDescent="0.2">
      <c r="A3098" s="5" t="str">
        <f>HYPERLINK("http://www.ncbi.nlm.nih.gov/protein/21312914","Gpr89")</f>
        <v>Gpr89</v>
      </c>
      <c r="B3098" s="4"/>
      <c r="C3098" s="3">
        <v>0</v>
      </c>
      <c r="D3098" s="3">
        <v>0</v>
      </c>
      <c r="E3098" s="3">
        <v>89</v>
      </c>
      <c r="F3098" s="3">
        <v>0</v>
      </c>
      <c r="G3098" s="3">
        <v>0</v>
      </c>
      <c r="H3098" s="2">
        <f t="shared" si="96"/>
        <v>89</v>
      </c>
      <c r="I3098" t="str">
        <f t="shared" si="97"/>
        <v>Gpr89_89</v>
      </c>
      <c r="J3098" s="3">
        <v>0</v>
      </c>
      <c r="K3098" s="3">
        <v>0</v>
      </c>
      <c r="L3098" s="3">
        <v>89</v>
      </c>
      <c r="M3098" s="3">
        <v>0</v>
      </c>
      <c r="N3098" s="3">
        <v>0</v>
      </c>
    </row>
    <row r="3099" spans="1:14" x14ac:dyDescent="0.2">
      <c r="A3099" s="5" t="str">
        <f>HYPERLINK("http://www.ncbi.nlm.nih.gov/protein/153791474","Gpr98")</f>
        <v>Gpr98</v>
      </c>
      <c r="B3099" s="4"/>
      <c r="C3099" s="3">
        <v>0</v>
      </c>
      <c r="D3099" s="3">
        <v>0</v>
      </c>
      <c r="E3099" s="3">
        <v>852</v>
      </c>
      <c r="F3099" s="3">
        <v>0</v>
      </c>
      <c r="G3099" s="3">
        <v>0</v>
      </c>
      <c r="H3099" s="2">
        <f t="shared" si="96"/>
        <v>852</v>
      </c>
      <c r="I3099" t="str">
        <f t="shared" si="97"/>
        <v>Gpr98_852</v>
      </c>
      <c r="J3099" s="3">
        <v>0</v>
      </c>
      <c r="K3099" s="3">
        <v>0</v>
      </c>
      <c r="L3099" s="3">
        <v>852</v>
      </c>
      <c r="M3099" s="3">
        <v>0</v>
      </c>
      <c r="N3099" s="3">
        <v>0</v>
      </c>
    </row>
    <row r="3100" spans="1:14" x14ac:dyDescent="0.2">
      <c r="A3100" s="5" t="str">
        <f>HYPERLINK("http://www.ncbi.nlm.nih.gov/protein/225543465","Gprc5a")</f>
        <v>Gprc5a</v>
      </c>
      <c r="B3100" s="4"/>
      <c r="C3100" s="3">
        <v>5876</v>
      </c>
      <c r="D3100" s="3">
        <v>11258</v>
      </c>
      <c r="E3100" s="3">
        <v>41716</v>
      </c>
      <c r="F3100" s="3">
        <v>3029</v>
      </c>
      <c r="G3100" s="3">
        <v>3309</v>
      </c>
      <c r="H3100" s="2">
        <f t="shared" si="96"/>
        <v>65188</v>
      </c>
      <c r="I3100" t="str">
        <f t="shared" si="97"/>
        <v>Gprc5a_65188</v>
      </c>
      <c r="J3100" s="3">
        <v>5876</v>
      </c>
      <c r="K3100" s="3">
        <v>11258</v>
      </c>
      <c r="L3100" s="3">
        <v>41716</v>
      </c>
      <c r="M3100" s="3">
        <v>3029</v>
      </c>
      <c r="N3100" s="3">
        <v>3309</v>
      </c>
    </row>
    <row r="3101" spans="1:14" x14ac:dyDescent="0.2">
      <c r="A3101" s="5" t="str">
        <f>HYPERLINK("http://www.ncbi.nlm.nih.gov/protein/160333231","Gprc5c")</f>
        <v>Gprc5c</v>
      </c>
      <c r="B3101" s="4"/>
      <c r="C3101" s="3">
        <v>10361</v>
      </c>
      <c r="D3101" s="3">
        <v>10876</v>
      </c>
      <c r="E3101" s="3">
        <v>97110</v>
      </c>
      <c r="F3101" s="3">
        <v>467</v>
      </c>
      <c r="G3101" s="3">
        <v>236</v>
      </c>
      <c r="H3101" s="2">
        <f t="shared" si="96"/>
        <v>119050</v>
      </c>
      <c r="I3101" t="str">
        <f t="shared" si="97"/>
        <v>Gprc5c_119050</v>
      </c>
      <c r="J3101" s="3">
        <v>10361</v>
      </c>
      <c r="K3101" s="3">
        <v>10876</v>
      </c>
      <c r="L3101" s="3">
        <v>97110</v>
      </c>
      <c r="M3101" s="3">
        <v>467</v>
      </c>
      <c r="N3101" s="3">
        <v>236</v>
      </c>
    </row>
    <row r="3102" spans="1:14" x14ac:dyDescent="0.2">
      <c r="A3102" s="5" t="str">
        <f>HYPERLINK("http://www.ncbi.nlm.nih.gov/protein/160333233","Gprc5c")</f>
        <v>Gprc5c</v>
      </c>
      <c r="B3102" s="4"/>
      <c r="C3102" s="3">
        <v>10361</v>
      </c>
      <c r="D3102" s="3">
        <v>10876</v>
      </c>
      <c r="E3102" s="3">
        <v>96395</v>
      </c>
      <c r="F3102" s="3">
        <v>467</v>
      </c>
      <c r="G3102" s="3">
        <v>236</v>
      </c>
      <c r="H3102" s="2">
        <f t="shared" si="96"/>
        <v>118335</v>
      </c>
      <c r="I3102" t="str">
        <f t="shared" si="97"/>
        <v>Gprc5c_118335</v>
      </c>
      <c r="J3102" s="3">
        <v>10361</v>
      </c>
      <c r="K3102" s="3">
        <v>10876</v>
      </c>
      <c r="L3102" s="3">
        <v>96395</v>
      </c>
      <c r="M3102" s="3">
        <v>467</v>
      </c>
      <c r="N3102" s="3">
        <v>236</v>
      </c>
    </row>
    <row r="3103" spans="1:14" x14ac:dyDescent="0.2">
      <c r="A3103" s="5" t="str">
        <f>HYPERLINK("http://www.ncbi.nlm.nih.gov/protein/295424137","Gps1")</f>
        <v>Gps1</v>
      </c>
      <c r="B3103" s="4"/>
      <c r="C3103" s="3">
        <v>0</v>
      </c>
      <c r="D3103" s="3">
        <v>1626</v>
      </c>
      <c r="E3103" s="3">
        <v>3345</v>
      </c>
      <c r="F3103" s="3">
        <v>97678</v>
      </c>
      <c r="G3103" s="3">
        <v>10602</v>
      </c>
      <c r="H3103" s="2">
        <f t="shared" si="96"/>
        <v>113251</v>
      </c>
      <c r="I3103" t="str">
        <f t="shared" si="97"/>
        <v>Gps1_113251</v>
      </c>
      <c r="J3103" s="3">
        <v>0</v>
      </c>
      <c r="K3103" s="3">
        <v>1626</v>
      </c>
      <c r="L3103" s="3">
        <v>3345</v>
      </c>
      <c r="M3103" s="3">
        <v>97678</v>
      </c>
      <c r="N3103" s="3">
        <v>10602</v>
      </c>
    </row>
    <row r="3104" spans="1:14" x14ac:dyDescent="0.2">
      <c r="A3104" s="5" t="str">
        <f>HYPERLINK("http://www.ncbi.nlm.nih.gov/protein/295424139","Gps1")</f>
        <v>Gps1</v>
      </c>
      <c r="B3104" s="4"/>
      <c r="C3104" s="3">
        <v>0</v>
      </c>
      <c r="D3104" s="3">
        <v>1626</v>
      </c>
      <c r="E3104" s="3">
        <v>3345</v>
      </c>
      <c r="F3104" s="3">
        <v>97130</v>
      </c>
      <c r="G3104" s="3">
        <v>8171</v>
      </c>
      <c r="H3104" s="2">
        <f t="shared" si="96"/>
        <v>110272</v>
      </c>
      <c r="I3104" t="str">
        <f t="shared" si="97"/>
        <v>Gps1_110272</v>
      </c>
      <c r="J3104" s="3">
        <v>0</v>
      </c>
      <c r="K3104" s="3">
        <v>1626</v>
      </c>
      <c r="L3104" s="3">
        <v>3345</v>
      </c>
      <c r="M3104" s="3">
        <v>97130</v>
      </c>
      <c r="N3104" s="3">
        <v>8171</v>
      </c>
    </row>
    <row r="3105" spans="1:14" x14ac:dyDescent="0.2">
      <c r="A3105" s="5" t="str">
        <f>HYPERLINK("http://www.ncbi.nlm.nih.gov/protein/33413404","Gpt")</f>
        <v>Gpt</v>
      </c>
      <c r="B3105" s="4"/>
      <c r="C3105" s="3">
        <v>0</v>
      </c>
      <c r="D3105" s="3">
        <v>0</v>
      </c>
      <c r="E3105" s="3">
        <v>0</v>
      </c>
      <c r="F3105" s="3">
        <v>0</v>
      </c>
      <c r="G3105" s="3">
        <v>11663</v>
      </c>
      <c r="H3105" s="2">
        <f t="shared" si="96"/>
        <v>11663</v>
      </c>
      <c r="I3105" t="str">
        <f t="shared" si="97"/>
        <v>Gpt_11663</v>
      </c>
      <c r="J3105" s="3">
        <v>0</v>
      </c>
      <c r="K3105" s="3">
        <v>0</v>
      </c>
      <c r="L3105" s="3">
        <v>0</v>
      </c>
      <c r="M3105" s="3">
        <v>0</v>
      </c>
      <c r="N3105" s="3">
        <v>11663</v>
      </c>
    </row>
    <row r="3106" spans="1:14" x14ac:dyDescent="0.2">
      <c r="A3106" s="5" t="str">
        <f>HYPERLINK("http://www.ncbi.nlm.nih.gov/protein/84871986","Gpx1")</f>
        <v>Gpx1</v>
      </c>
      <c r="B3106" s="4"/>
      <c r="C3106" s="3">
        <v>714</v>
      </c>
      <c r="D3106" s="3">
        <v>19120</v>
      </c>
      <c r="E3106" s="3">
        <v>7864</v>
      </c>
      <c r="F3106" s="3">
        <v>11222</v>
      </c>
      <c r="G3106" s="3">
        <v>145853</v>
      </c>
      <c r="H3106" s="2">
        <f t="shared" si="96"/>
        <v>184773</v>
      </c>
      <c r="I3106" t="str">
        <f t="shared" si="97"/>
        <v>Gpx1_184773</v>
      </c>
      <c r="J3106" s="3">
        <v>714</v>
      </c>
      <c r="K3106" s="3">
        <v>19120</v>
      </c>
      <c r="L3106" s="3">
        <v>7864</v>
      </c>
      <c r="M3106" s="3">
        <v>11222</v>
      </c>
      <c r="N3106" s="3">
        <v>145853</v>
      </c>
    </row>
    <row r="3107" spans="1:14" x14ac:dyDescent="0.2">
      <c r="A3107" s="5" t="str">
        <f>HYPERLINK("http://www.ncbi.nlm.nih.gov/protein/90903233","Gpx4")</f>
        <v>Gpx4</v>
      </c>
      <c r="B3107" s="4"/>
      <c r="C3107" s="3">
        <v>146</v>
      </c>
      <c r="D3107" s="3">
        <v>7548</v>
      </c>
      <c r="E3107" s="3">
        <v>9937</v>
      </c>
      <c r="F3107" s="3">
        <v>65967</v>
      </c>
      <c r="G3107" s="3">
        <v>15411</v>
      </c>
      <c r="H3107" s="2">
        <f t="shared" si="96"/>
        <v>99009</v>
      </c>
      <c r="I3107" t="str">
        <f t="shared" si="97"/>
        <v>Gpx4_99009</v>
      </c>
      <c r="J3107" s="3">
        <v>146</v>
      </c>
      <c r="K3107" s="3">
        <v>7548</v>
      </c>
      <c r="L3107" s="3">
        <v>9937</v>
      </c>
      <c r="M3107" s="3">
        <v>65967</v>
      </c>
      <c r="N3107" s="3">
        <v>15411</v>
      </c>
    </row>
    <row r="3108" spans="1:14" x14ac:dyDescent="0.2">
      <c r="A3108" s="5" t="str">
        <f>HYPERLINK("http://www.ncbi.nlm.nih.gov/protein/90903235","Gpx4")</f>
        <v>Gpx4</v>
      </c>
      <c r="B3108" s="4"/>
      <c r="C3108" s="3">
        <v>146</v>
      </c>
      <c r="D3108" s="3">
        <v>7548</v>
      </c>
      <c r="E3108" s="3">
        <v>9937</v>
      </c>
      <c r="F3108" s="3">
        <v>65967</v>
      </c>
      <c r="G3108" s="3">
        <v>15411</v>
      </c>
      <c r="H3108" s="2">
        <f t="shared" si="96"/>
        <v>99009</v>
      </c>
      <c r="I3108" t="str">
        <f t="shared" si="97"/>
        <v>Gpx4_99009</v>
      </c>
      <c r="J3108" s="3">
        <v>146</v>
      </c>
      <c r="K3108" s="3">
        <v>7548</v>
      </c>
      <c r="L3108" s="3">
        <v>9937</v>
      </c>
      <c r="M3108" s="3">
        <v>65967</v>
      </c>
      <c r="N3108" s="3">
        <v>15411</v>
      </c>
    </row>
    <row r="3109" spans="1:14" x14ac:dyDescent="0.2">
      <c r="A3109" s="5" t="str">
        <f>HYPERLINK("http://www.ncbi.nlm.nih.gov/protein/27369870","Gramd4")</f>
        <v>Gramd4</v>
      </c>
      <c r="B3109" s="4"/>
      <c r="C3109" s="3">
        <v>348</v>
      </c>
      <c r="D3109" s="3">
        <v>0</v>
      </c>
      <c r="E3109" s="3">
        <v>29</v>
      </c>
      <c r="F3109" s="3">
        <v>0</v>
      </c>
      <c r="G3109" s="3">
        <v>0</v>
      </c>
      <c r="H3109" s="2">
        <f t="shared" si="96"/>
        <v>377</v>
      </c>
      <c r="I3109" t="str">
        <f t="shared" si="97"/>
        <v>Gramd4_377</v>
      </c>
      <c r="J3109" s="3">
        <v>348</v>
      </c>
      <c r="K3109" s="3">
        <v>0</v>
      </c>
      <c r="L3109" s="3">
        <v>29</v>
      </c>
      <c r="M3109" s="3">
        <v>0</v>
      </c>
      <c r="N3109" s="3">
        <v>0</v>
      </c>
    </row>
    <row r="3110" spans="1:14" x14ac:dyDescent="0.2">
      <c r="A3110" s="5" t="str">
        <f>HYPERLINK("http://www.ncbi.nlm.nih.gov/protein/329663552","Gramd4")</f>
        <v>Gramd4</v>
      </c>
      <c r="B3110" s="4"/>
      <c r="C3110" s="3">
        <v>348</v>
      </c>
      <c r="D3110" s="3">
        <v>0</v>
      </c>
      <c r="E3110" s="3">
        <v>29</v>
      </c>
      <c r="F3110" s="3">
        <v>0</v>
      </c>
      <c r="G3110" s="3">
        <v>0</v>
      </c>
      <c r="H3110" s="2">
        <f t="shared" si="96"/>
        <v>377</v>
      </c>
      <c r="I3110" t="str">
        <f t="shared" si="97"/>
        <v>Gramd4_377</v>
      </c>
      <c r="J3110" s="3">
        <v>348</v>
      </c>
      <c r="K3110" s="3">
        <v>0</v>
      </c>
      <c r="L3110" s="3">
        <v>29</v>
      </c>
      <c r="M3110" s="3">
        <v>0</v>
      </c>
      <c r="N3110" s="3">
        <v>0</v>
      </c>
    </row>
    <row r="3111" spans="1:14" x14ac:dyDescent="0.2">
      <c r="A3111" s="5" t="str">
        <f>HYPERLINK("http://www.ncbi.nlm.nih.gov/protein/6680083","Grb2")</f>
        <v>Grb2</v>
      </c>
      <c r="B3111" s="4"/>
      <c r="C3111" s="3">
        <v>0</v>
      </c>
      <c r="D3111" s="3">
        <v>3016</v>
      </c>
      <c r="E3111" s="3">
        <v>3557</v>
      </c>
      <c r="F3111" s="3">
        <v>1023</v>
      </c>
      <c r="G3111" s="3">
        <v>15368</v>
      </c>
      <c r="H3111" s="2">
        <f t="shared" si="96"/>
        <v>22964</v>
      </c>
      <c r="I3111" t="str">
        <f t="shared" si="97"/>
        <v>Grb2_22964</v>
      </c>
      <c r="J3111" s="3">
        <v>0</v>
      </c>
      <c r="K3111" s="3">
        <v>3016</v>
      </c>
      <c r="L3111" s="3">
        <v>3557</v>
      </c>
      <c r="M3111" s="3">
        <v>1023</v>
      </c>
      <c r="N3111" s="3">
        <v>15368</v>
      </c>
    </row>
    <row r="3112" spans="1:14" x14ac:dyDescent="0.2">
      <c r="A3112" s="5" t="str">
        <f>HYPERLINK("http://www.ncbi.nlm.nih.gov/protein/6754066","Grb7")</f>
        <v>Grb7</v>
      </c>
      <c r="B3112" s="4"/>
      <c r="C3112" s="3">
        <v>0</v>
      </c>
      <c r="D3112" s="3">
        <v>962</v>
      </c>
      <c r="E3112" s="3">
        <v>1471</v>
      </c>
      <c r="F3112" s="3">
        <v>7981</v>
      </c>
      <c r="G3112" s="3">
        <v>546</v>
      </c>
      <c r="H3112" s="2">
        <f t="shared" si="96"/>
        <v>10960</v>
      </c>
      <c r="I3112" t="str">
        <f t="shared" si="97"/>
        <v>Grb7_10960</v>
      </c>
      <c r="J3112" s="3">
        <v>0</v>
      </c>
      <c r="K3112" s="3">
        <v>962</v>
      </c>
      <c r="L3112" s="3">
        <v>1471</v>
      </c>
      <c r="M3112" s="3">
        <v>7981</v>
      </c>
      <c r="N3112" s="3">
        <v>546</v>
      </c>
    </row>
    <row r="3113" spans="1:14" x14ac:dyDescent="0.2">
      <c r="A3113" s="5" t="str">
        <f>HYPERLINK("http://www.ncbi.nlm.nih.gov/protein/7305107","Grcc10")</f>
        <v>Grcc10</v>
      </c>
      <c r="B3113" s="4"/>
      <c r="C3113" s="3">
        <v>0</v>
      </c>
      <c r="D3113" s="3">
        <v>564</v>
      </c>
      <c r="E3113" s="3">
        <v>757</v>
      </c>
      <c r="F3113" s="3">
        <v>0</v>
      </c>
      <c r="G3113" s="3">
        <v>4112</v>
      </c>
      <c r="H3113" s="2">
        <f t="shared" si="96"/>
        <v>5433</v>
      </c>
      <c r="I3113" t="str">
        <f t="shared" si="97"/>
        <v>Grcc10_5433</v>
      </c>
      <c r="J3113" s="3">
        <v>0</v>
      </c>
      <c r="K3113" s="3">
        <v>564</v>
      </c>
      <c r="L3113" s="3">
        <v>757</v>
      </c>
      <c r="M3113" s="3">
        <v>0</v>
      </c>
      <c r="N3113" s="3">
        <v>4112</v>
      </c>
    </row>
    <row r="3114" spans="1:14" x14ac:dyDescent="0.2">
      <c r="A3114" s="5" t="str">
        <f>HYPERLINK("http://www.ncbi.nlm.nih.gov/protein/46810275","Grhl2")</f>
        <v>Grhl2</v>
      </c>
      <c r="B3114" s="4"/>
      <c r="C3114" s="3">
        <v>0</v>
      </c>
      <c r="D3114" s="3">
        <v>0</v>
      </c>
      <c r="E3114" s="3">
        <v>0</v>
      </c>
      <c r="F3114" s="3">
        <v>98</v>
      </c>
      <c r="G3114" s="3">
        <v>0</v>
      </c>
      <c r="H3114" s="2">
        <f t="shared" si="96"/>
        <v>98</v>
      </c>
      <c r="I3114" t="str">
        <f t="shared" si="97"/>
        <v>Grhl2_98</v>
      </c>
      <c r="J3114" s="3">
        <v>0</v>
      </c>
      <c r="K3114" s="3">
        <v>0</v>
      </c>
      <c r="L3114" s="3">
        <v>0</v>
      </c>
      <c r="M3114" s="3">
        <v>98</v>
      </c>
      <c r="N3114" s="3">
        <v>0</v>
      </c>
    </row>
    <row r="3115" spans="1:14" x14ac:dyDescent="0.2">
      <c r="A3115" s="5" t="str">
        <f>HYPERLINK("http://www.ncbi.nlm.nih.gov/protein/17933768","Grhpr")</f>
        <v>Grhpr</v>
      </c>
      <c r="B3115" s="4"/>
      <c r="C3115" s="3">
        <v>0</v>
      </c>
      <c r="D3115" s="3">
        <v>11774</v>
      </c>
      <c r="E3115" s="3">
        <v>3152</v>
      </c>
      <c r="F3115" s="3">
        <v>6221</v>
      </c>
      <c r="G3115" s="3">
        <v>98988</v>
      </c>
      <c r="H3115" s="2">
        <f t="shared" si="96"/>
        <v>120135</v>
      </c>
      <c r="I3115" t="str">
        <f t="shared" si="97"/>
        <v>Grhpr_120135</v>
      </c>
      <c r="J3115" s="3">
        <v>0</v>
      </c>
      <c r="K3115" s="3">
        <v>11774</v>
      </c>
      <c r="L3115" s="3">
        <v>3152</v>
      </c>
      <c r="M3115" s="3">
        <v>6221</v>
      </c>
      <c r="N3115" s="3">
        <v>98988</v>
      </c>
    </row>
    <row r="3116" spans="1:14" x14ac:dyDescent="0.2">
      <c r="A3116" s="5" t="str">
        <f>HYPERLINK("http://www.ncbi.nlm.nih.gov/protein/6680091","Grid2")</f>
        <v>Grid2</v>
      </c>
      <c r="B3116" s="4"/>
      <c r="C3116" s="3">
        <v>0</v>
      </c>
      <c r="D3116" s="3">
        <v>0</v>
      </c>
      <c r="E3116" s="3">
        <v>133</v>
      </c>
      <c r="F3116" s="3">
        <v>0</v>
      </c>
      <c r="G3116" s="3">
        <v>0</v>
      </c>
      <c r="H3116" s="2">
        <f t="shared" si="96"/>
        <v>133</v>
      </c>
      <c r="I3116" t="str">
        <f t="shared" si="97"/>
        <v>Grid2_133</v>
      </c>
      <c r="J3116" s="3">
        <v>0</v>
      </c>
      <c r="K3116" s="3">
        <v>0</v>
      </c>
      <c r="L3116" s="3">
        <v>133</v>
      </c>
      <c r="M3116" s="3">
        <v>0</v>
      </c>
      <c r="N3116" s="3">
        <v>0</v>
      </c>
    </row>
    <row r="3117" spans="1:14" x14ac:dyDescent="0.2">
      <c r="A3117" s="5" t="str">
        <f>HYPERLINK("http://www.ncbi.nlm.nih.gov/protein/144922606","Grin2d")</f>
        <v>Grin2d</v>
      </c>
      <c r="B3117" s="4"/>
      <c r="C3117" s="3">
        <v>0</v>
      </c>
      <c r="D3117" s="3">
        <v>0</v>
      </c>
      <c r="E3117" s="3">
        <v>76</v>
      </c>
      <c r="F3117" s="3">
        <v>0</v>
      </c>
      <c r="G3117" s="3">
        <v>0</v>
      </c>
      <c r="H3117" s="2">
        <f t="shared" si="96"/>
        <v>76</v>
      </c>
      <c r="I3117" t="str">
        <f t="shared" si="97"/>
        <v>Grin2d_76</v>
      </c>
      <c r="J3117" s="3">
        <v>0</v>
      </c>
      <c r="K3117" s="3">
        <v>0</v>
      </c>
      <c r="L3117" s="3">
        <v>76</v>
      </c>
      <c r="M3117" s="3">
        <v>0</v>
      </c>
      <c r="N3117" s="3">
        <v>0</v>
      </c>
    </row>
    <row r="3118" spans="1:14" x14ac:dyDescent="0.2">
      <c r="A3118" s="5" t="str">
        <f>HYPERLINK("http://www.ncbi.nlm.nih.gov/protein/46592839","Gripap1")</f>
        <v>Gripap1</v>
      </c>
      <c r="B3118" s="4"/>
      <c r="C3118" s="3">
        <v>0</v>
      </c>
      <c r="D3118" s="3">
        <v>0</v>
      </c>
      <c r="E3118" s="3">
        <v>0</v>
      </c>
      <c r="F3118" s="3">
        <v>0</v>
      </c>
      <c r="G3118" s="3">
        <v>7743</v>
      </c>
      <c r="H3118" s="2">
        <f t="shared" si="96"/>
        <v>7743</v>
      </c>
      <c r="I3118" t="str">
        <f t="shared" si="97"/>
        <v>Gripap1_7743</v>
      </c>
      <c r="J3118" s="3">
        <v>0</v>
      </c>
      <c r="K3118" s="3">
        <v>0</v>
      </c>
      <c r="L3118" s="3">
        <v>0</v>
      </c>
      <c r="M3118" s="3">
        <v>0</v>
      </c>
      <c r="N3118" s="3">
        <v>7743</v>
      </c>
    </row>
    <row r="3119" spans="1:14" x14ac:dyDescent="0.2">
      <c r="A3119" s="5" t="str">
        <f>HYPERLINK("http://www.ncbi.nlm.nih.gov/protein/75677442","Grlf1")</f>
        <v>Grlf1</v>
      </c>
      <c r="B3119" s="4"/>
      <c r="C3119" s="3">
        <v>0</v>
      </c>
      <c r="D3119" s="3">
        <v>0</v>
      </c>
      <c r="E3119" s="3">
        <v>0</v>
      </c>
      <c r="F3119" s="3">
        <v>0</v>
      </c>
      <c r="G3119" s="3">
        <v>2452</v>
      </c>
      <c r="H3119" s="2">
        <f t="shared" si="96"/>
        <v>2452</v>
      </c>
      <c r="I3119" t="str">
        <f t="shared" si="97"/>
        <v>Grlf1_2452</v>
      </c>
      <c r="J3119" s="3">
        <v>0</v>
      </c>
      <c r="K3119" s="3">
        <v>0</v>
      </c>
      <c r="L3119" s="3">
        <v>0</v>
      </c>
      <c r="M3119" s="3">
        <v>0</v>
      </c>
      <c r="N3119" s="3">
        <v>2452</v>
      </c>
    </row>
    <row r="3120" spans="1:14" x14ac:dyDescent="0.2">
      <c r="A3120" s="5" t="str">
        <f>HYPERLINK("http://www.ncbi.nlm.nih.gov/protein/224967126","Grn")</f>
        <v>Grn</v>
      </c>
      <c r="B3120" s="4"/>
      <c r="C3120" s="3">
        <v>2801</v>
      </c>
      <c r="D3120" s="3">
        <v>4860</v>
      </c>
      <c r="E3120" s="3">
        <v>5804</v>
      </c>
      <c r="F3120" s="3">
        <v>1596</v>
      </c>
      <c r="G3120" s="3">
        <v>6908</v>
      </c>
      <c r="H3120" s="2">
        <f t="shared" si="96"/>
        <v>21969</v>
      </c>
      <c r="I3120" t="str">
        <f t="shared" si="97"/>
        <v>Grn_21969</v>
      </c>
      <c r="J3120" s="3">
        <v>2801</v>
      </c>
      <c r="K3120" s="3">
        <v>4860</v>
      </c>
      <c r="L3120" s="3">
        <v>5804</v>
      </c>
      <c r="M3120" s="3">
        <v>1596</v>
      </c>
      <c r="N3120" s="3">
        <v>6908</v>
      </c>
    </row>
    <row r="3121" spans="1:14" x14ac:dyDescent="0.2">
      <c r="A3121" s="5" t="str">
        <f>HYPERLINK("http://www.ncbi.nlm.nih.gov/protein/13277394","Grpel1")</f>
        <v>Grpel1</v>
      </c>
      <c r="B3121" s="4"/>
      <c r="C3121" s="3">
        <v>23432</v>
      </c>
      <c r="D3121" s="3">
        <v>19892</v>
      </c>
      <c r="E3121" s="3">
        <v>82</v>
      </c>
      <c r="F3121" s="3">
        <v>0</v>
      </c>
      <c r="G3121" s="3">
        <v>0</v>
      </c>
      <c r="H3121" s="2">
        <f t="shared" si="96"/>
        <v>43406</v>
      </c>
      <c r="I3121" t="str">
        <f t="shared" si="97"/>
        <v>Grpel1_43406</v>
      </c>
      <c r="J3121" s="3">
        <v>23432</v>
      </c>
      <c r="K3121" s="3">
        <v>19892</v>
      </c>
      <c r="L3121" s="3">
        <v>82</v>
      </c>
      <c r="M3121" s="3">
        <v>0</v>
      </c>
      <c r="N3121" s="3">
        <v>0</v>
      </c>
    </row>
    <row r="3122" spans="1:14" x14ac:dyDescent="0.2">
      <c r="A3122" s="5" t="str">
        <f>HYPERLINK("http://www.ncbi.nlm.nih.gov/protein/29789124","Grpel2")</f>
        <v>Grpel2</v>
      </c>
      <c r="B3122" s="4"/>
      <c r="C3122" s="3">
        <v>0</v>
      </c>
      <c r="D3122" s="3">
        <v>111</v>
      </c>
      <c r="E3122" s="3">
        <v>0</v>
      </c>
      <c r="F3122" s="3">
        <v>0</v>
      </c>
      <c r="G3122" s="3">
        <v>0</v>
      </c>
      <c r="H3122" s="2">
        <f t="shared" si="96"/>
        <v>111</v>
      </c>
      <c r="I3122" t="str">
        <f t="shared" si="97"/>
        <v>Grpel2_111</v>
      </c>
      <c r="J3122" s="3">
        <v>0</v>
      </c>
      <c r="K3122" s="3">
        <v>111</v>
      </c>
      <c r="L3122" s="3">
        <v>0</v>
      </c>
      <c r="M3122" s="3">
        <v>0</v>
      </c>
      <c r="N3122" s="3">
        <v>0</v>
      </c>
    </row>
    <row r="3123" spans="1:14" x14ac:dyDescent="0.2">
      <c r="A3123" s="5" t="str">
        <f>HYPERLINK("http://www.ncbi.nlm.nih.gov/protein/148596934","Grsf1")</f>
        <v>Grsf1</v>
      </c>
      <c r="B3123" s="4"/>
      <c r="C3123" s="3">
        <v>0</v>
      </c>
      <c r="D3123" s="3">
        <v>1645</v>
      </c>
      <c r="E3123" s="3">
        <v>0</v>
      </c>
      <c r="F3123" s="3">
        <v>0</v>
      </c>
      <c r="G3123" s="3">
        <v>0</v>
      </c>
      <c r="H3123" s="2">
        <f t="shared" si="96"/>
        <v>1645</v>
      </c>
      <c r="I3123" t="str">
        <f t="shared" si="97"/>
        <v>Grsf1_1645</v>
      </c>
      <c r="J3123" s="3">
        <v>0</v>
      </c>
      <c r="K3123" s="3">
        <v>1645</v>
      </c>
      <c r="L3123" s="3">
        <v>0</v>
      </c>
      <c r="M3123" s="3">
        <v>0</v>
      </c>
      <c r="N3123" s="3">
        <v>0</v>
      </c>
    </row>
    <row r="3124" spans="1:14" x14ac:dyDescent="0.2">
      <c r="A3124" s="5" t="str">
        <f>HYPERLINK("http://www.ncbi.nlm.nih.gov/protein/148596982","Grsf1")</f>
        <v>Grsf1</v>
      </c>
      <c r="B3124" s="4"/>
      <c r="C3124" s="3">
        <v>0</v>
      </c>
      <c r="D3124" s="3">
        <v>1645</v>
      </c>
      <c r="E3124" s="3">
        <v>0</v>
      </c>
      <c r="F3124" s="3">
        <v>0</v>
      </c>
      <c r="G3124" s="3">
        <v>0</v>
      </c>
      <c r="H3124" s="2">
        <f t="shared" si="96"/>
        <v>1645</v>
      </c>
      <c r="I3124" t="str">
        <f t="shared" si="97"/>
        <v>Grsf1_1645</v>
      </c>
      <c r="J3124" s="3">
        <v>0</v>
      </c>
      <c r="K3124" s="3">
        <v>1645</v>
      </c>
      <c r="L3124" s="3">
        <v>0</v>
      </c>
      <c r="M3124" s="3">
        <v>0</v>
      </c>
      <c r="N3124" s="3">
        <v>0</v>
      </c>
    </row>
    <row r="3125" spans="1:14" x14ac:dyDescent="0.2">
      <c r="A3125" s="5" t="str">
        <f>HYPERLINK("http://www.ncbi.nlm.nih.gov/protein/163937861","Grwd1")</f>
        <v>Grwd1</v>
      </c>
      <c r="B3125" s="4"/>
      <c r="C3125" s="3">
        <v>0</v>
      </c>
      <c r="D3125" s="3">
        <v>954</v>
      </c>
      <c r="E3125" s="3">
        <v>1386</v>
      </c>
      <c r="F3125" s="3">
        <v>4682</v>
      </c>
      <c r="G3125" s="3">
        <v>0</v>
      </c>
      <c r="H3125" s="2">
        <f t="shared" si="96"/>
        <v>7022</v>
      </c>
      <c r="I3125" t="str">
        <f t="shared" si="97"/>
        <v>Grwd1_7022</v>
      </c>
      <c r="J3125" s="3">
        <v>0</v>
      </c>
      <c r="K3125" s="3">
        <v>954</v>
      </c>
      <c r="L3125" s="3">
        <v>1386</v>
      </c>
      <c r="M3125" s="3">
        <v>4682</v>
      </c>
      <c r="N3125" s="3">
        <v>0</v>
      </c>
    </row>
    <row r="3126" spans="1:14" x14ac:dyDescent="0.2">
      <c r="A3126" s="5" t="str">
        <f>HYPERLINK("http://www.ncbi.nlm.nih.gov/protein/13878199","Gsdmc")</f>
        <v>Gsdmc</v>
      </c>
      <c r="B3126" s="4"/>
      <c r="C3126" s="3">
        <v>0</v>
      </c>
      <c r="D3126" s="3">
        <v>553</v>
      </c>
      <c r="E3126" s="3">
        <v>0</v>
      </c>
      <c r="F3126" s="3">
        <v>0</v>
      </c>
      <c r="G3126" s="3">
        <v>0</v>
      </c>
      <c r="H3126" s="2">
        <f t="shared" si="96"/>
        <v>553</v>
      </c>
      <c r="I3126" t="str">
        <f t="shared" si="97"/>
        <v>Gsdmc_553</v>
      </c>
      <c r="J3126" s="3">
        <v>0</v>
      </c>
      <c r="K3126" s="3">
        <v>553</v>
      </c>
      <c r="L3126" s="3">
        <v>0</v>
      </c>
      <c r="M3126" s="3">
        <v>0</v>
      </c>
      <c r="N3126" s="3">
        <v>0</v>
      </c>
    </row>
    <row r="3127" spans="1:14" x14ac:dyDescent="0.2">
      <c r="A3127" s="5" t="str">
        <f>HYPERLINK("http://www.ncbi.nlm.nih.gov/protein/269954726;269954702","Gsdmc2")</f>
        <v>Gsdmc2</v>
      </c>
      <c r="B3127" s="4"/>
      <c r="C3127" s="3">
        <v>199078</v>
      </c>
      <c r="D3127" s="3">
        <v>0</v>
      </c>
      <c r="E3127" s="3">
        <v>61440</v>
      </c>
      <c r="F3127" s="3">
        <v>0</v>
      </c>
      <c r="G3127" s="3">
        <v>0</v>
      </c>
      <c r="H3127" s="2">
        <f t="shared" si="96"/>
        <v>260518</v>
      </c>
      <c r="I3127" t="str">
        <f t="shared" si="97"/>
        <v>Gsdmc2_260518</v>
      </c>
      <c r="J3127" s="3">
        <v>199078</v>
      </c>
      <c r="K3127" s="3">
        <v>0</v>
      </c>
      <c r="L3127" s="3">
        <v>61440</v>
      </c>
      <c r="M3127" s="3">
        <v>0</v>
      </c>
      <c r="N3127" s="3">
        <v>0</v>
      </c>
    </row>
    <row r="3128" spans="1:14" x14ac:dyDescent="0.2">
      <c r="A3128" s="5" t="str">
        <f>HYPERLINK("http://www.ncbi.nlm.nih.gov/protein/269954702","Gsdmc2")</f>
        <v>Gsdmc2</v>
      </c>
      <c r="B3128" s="4"/>
      <c r="C3128" s="3">
        <v>0</v>
      </c>
      <c r="D3128" s="3">
        <v>55695</v>
      </c>
      <c r="E3128" s="3">
        <v>0</v>
      </c>
      <c r="F3128" s="3">
        <v>285308</v>
      </c>
      <c r="G3128" s="3">
        <v>81521</v>
      </c>
      <c r="H3128" s="2">
        <f t="shared" si="96"/>
        <v>422524</v>
      </c>
      <c r="I3128" t="str">
        <f t="shared" si="97"/>
        <v>Gsdmc2_422524</v>
      </c>
      <c r="J3128" s="3">
        <v>0</v>
      </c>
      <c r="K3128" s="3">
        <v>55695</v>
      </c>
      <c r="L3128" s="3">
        <v>0</v>
      </c>
      <c r="M3128" s="3">
        <v>285308</v>
      </c>
      <c r="N3128" s="3">
        <v>81521</v>
      </c>
    </row>
    <row r="3129" spans="1:14" x14ac:dyDescent="0.2">
      <c r="A3129" s="5" t="str">
        <f>HYPERLINK("http://www.ncbi.nlm.nih.gov/protein/226053537","Gsdmc3")</f>
        <v>Gsdmc3</v>
      </c>
      <c r="B3129" s="4"/>
      <c r="C3129" s="3">
        <v>151757</v>
      </c>
      <c r="D3129" s="3">
        <v>44681</v>
      </c>
      <c r="E3129" s="3">
        <v>47284</v>
      </c>
      <c r="F3129" s="3">
        <v>201348</v>
      </c>
      <c r="G3129" s="3">
        <v>68005</v>
      </c>
      <c r="H3129" s="2">
        <f t="shared" si="96"/>
        <v>513075</v>
      </c>
      <c r="I3129" t="str">
        <f t="shared" si="97"/>
        <v>Gsdmc3_513075</v>
      </c>
      <c r="J3129" s="3">
        <v>151757</v>
      </c>
      <c r="K3129" s="3">
        <v>44681</v>
      </c>
      <c r="L3129" s="3">
        <v>47284</v>
      </c>
      <c r="M3129" s="3">
        <v>201348</v>
      </c>
      <c r="N3129" s="3">
        <v>68005</v>
      </c>
    </row>
    <row r="3130" spans="1:14" x14ac:dyDescent="0.2">
      <c r="A3130" s="5" t="str">
        <f>HYPERLINK("http://www.ncbi.nlm.nih.gov/protein/254675345","Gsdmc4")</f>
        <v>Gsdmc4</v>
      </c>
      <c r="B3130" s="4"/>
      <c r="C3130" s="3">
        <v>122449</v>
      </c>
      <c r="D3130" s="3">
        <v>29849</v>
      </c>
      <c r="E3130" s="3">
        <v>33495</v>
      </c>
      <c r="F3130" s="3">
        <v>178789</v>
      </c>
      <c r="G3130" s="3">
        <v>39315</v>
      </c>
      <c r="H3130" s="2">
        <f t="shared" si="96"/>
        <v>403897</v>
      </c>
      <c r="I3130" t="str">
        <f t="shared" si="97"/>
        <v>Gsdmc4_403897</v>
      </c>
      <c r="J3130" s="3">
        <v>122449</v>
      </c>
      <c r="K3130" s="3">
        <v>29849</v>
      </c>
      <c r="L3130" s="3">
        <v>33495</v>
      </c>
      <c r="M3130" s="3">
        <v>178789</v>
      </c>
      <c r="N3130" s="3">
        <v>39315</v>
      </c>
    </row>
    <row r="3131" spans="1:14" x14ac:dyDescent="0.2">
      <c r="A3131" s="5" t="str">
        <f>HYPERLINK("http://www.ncbi.nlm.nih.gov/protein/72384361","Gsk3a")</f>
        <v>Gsk3a</v>
      </c>
      <c r="B3131" s="4"/>
      <c r="C3131" s="3">
        <v>0</v>
      </c>
      <c r="D3131" s="3">
        <v>543</v>
      </c>
      <c r="E3131" s="3">
        <v>25</v>
      </c>
      <c r="F3131" s="3">
        <v>139</v>
      </c>
      <c r="G3131" s="3">
        <v>4541</v>
      </c>
      <c r="H3131" s="2">
        <f t="shared" si="96"/>
        <v>5248</v>
      </c>
      <c r="I3131" t="str">
        <f t="shared" si="97"/>
        <v>Gsk3a_5248</v>
      </c>
      <c r="J3131" s="3">
        <v>0</v>
      </c>
      <c r="K3131" s="3">
        <v>543</v>
      </c>
      <c r="L3131" s="3">
        <v>25</v>
      </c>
      <c r="M3131" s="3">
        <v>139</v>
      </c>
      <c r="N3131" s="3">
        <v>4541</v>
      </c>
    </row>
    <row r="3132" spans="1:14" x14ac:dyDescent="0.2">
      <c r="A3132" s="5" t="str">
        <f>HYPERLINK("http://www.ncbi.nlm.nih.gov/protein/9790077","Gsk3b")</f>
        <v>Gsk3b</v>
      </c>
      <c r="B3132" s="4"/>
      <c r="C3132" s="3">
        <v>0</v>
      </c>
      <c r="D3132" s="3">
        <v>2173</v>
      </c>
      <c r="E3132" s="3">
        <v>3805</v>
      </c>
      <c r="F3132" s="3">
        <v>6573</v>
      </c>
      <c r="G3132" s="3">
        <v>35352</v>
      </c>
      <c r="H3132" s="2">
        <f t="shared" si="96"/>
        <v>47903</v>
      </c>
      <c r="I3132" t="str">
        <f t="shared" si="97"/>
        <v>Gsk3b_47903</v>
      </c>
      <c r="J3132" s="3">
        <v>0</v>
      </c>
      <c r="K3132" s="3">
        <v>2173</v>
      </c>
      <c r="L3132" s="3">
        <v>3805</v>
      </c>
      <c r="M3132" s="3">
        <v>6573</v>
      </c>
      <c r="N3132" s="3">
        <v>35352</v>
      </c>
    </row>
    <row r="3133" spans="1:14" x14ac:dyDescent="0.2">
      <c r="A3133" s="5" t="str">
        <f>HYPERLINK("http://www.ncbi.nlm.nih.gov/protein/115292450","Gskip")</f>
        <v>Gskip</v>
      </c>
      <c r="B3133" s="4"/>
      <c r="C3133" s="3">
        <v>0</v>
      </c>
      <c r="D3133" s="3">
        <v>0</v>
      </c>
      <c r="E3133" s="3">
        <v>0</v>
      </c>
      <c r="F3133" s="3">
        <v>0</v>
      </c>
      <c r="G3133" s="3">
        <v>1092</v>
      </c>
      <c r="H3133" s="2">
        <f t="shared" si="96"/>
        <v>1092</v>
      </c>
      <c r="I3133" t="str">
        <f t="shared" si="97"/>
        <v>Gskip_1092</v>
      </c>
      <c r="J3133" s="3">
        <v>0</v>
      </c>
      <c r="K3133" s="3">
        <v>0</v>
      </c>
      <c r="L3133" s="3">
        <v>0</v>
      </c>
      <c r="M3133" s="3">
        <v>0</v>
      </c>
      <c r="N3133" s="3">
        <v>1092</v>
      </c>
    </row>
    <row r="3134" spans="1:14" x14ac:dyDescent="0.2">
      <c r="A3134" s="5" t="str">
        <f>HYPERLINK("http://www.ncbi.nlm.nih.gov/protein/329755243;329755239","Gsn")</f>
        <v>Gsn</v>
      </c>
      <c r="B3134" s="4"/>
      <c r="C3134" s="3">
        <v>48914</v>
      </c>
      <c r="D3134" s="3">
        <v>0</v>
      </c>
      <c r="E3134" s="3">
        <v>66034</v>
      </c>
      <c r="F3134" s="3">
        <v>0</v>
      </c>
      <c r="G3134" s="3">
        <v>0</v>
      </c>
      <c r="H3134" s="2">
        <f t="shared" si="96"/>
        <v>114948</v>
      </c>
      <c r="I3134" t="str">
        <f t="shared" si="97"/>
        <v>Gsn_114948</v>
      </c>
      <c r="J3134" s="3">
        <v>48914</v>
      </c>
      <c r="K3134" s="3">
        <v>0</v>
      </c>
      <c r="L3134" s="3">
        <v>66034</v>
      </c>
      <c r="M3134" s="3">
        <v>0</v>
      </c>
      <c r="N3134" s="3">
        <v>0</v>
      </c>
    </row>
    <row r="3135" spans="1:14" x14ac:dyDescent="0.2">
      <c r="A3135" s="5" t="str">
        <f>HYPERLINK("http://www.ncbi.nlm.nih.gov/protein/329755239","Gsn")</f>
        <v>Gsn</v>
      </c>
      <c r="B3135" s="4"/>
      <c r="C3135" s="3">
        <v>0</v>
      </c>
      <c r="D3135" s="3">
        <v>8166</v>
      </c>
      <c r="E3135" s="3">
        <v>0</v>
      </c>
      <c r="F3135" s="3">
        <v>117381</v>
      </c>
      <c r="G3135" s="3">
        <v>351047</v>
      </c>
      <c r="H3135" s="2">
        <f t="shared" si="96"/>
        <v>476594</v>
      </c>
      <c r="I3135" t="str">
        <f t="shared" si="97"/>
        <v>Gsn_476594</v>
      </c>
      <c r="J3135" s="3">
        <v>0</v>
      </c>
      <c r="K3135" s="3">
        <v>8166</v>
      </c>
      <c r="L3135" s="3">
        <v>0</v>
      </c>
      <c r="M3135" s="3">
        <v>117381</v>
      </c>
      <c r="N3135" s="3">
        <v>351047</v>
      </c>
    </row>
    <row r="3136" spans="1:14" x14ac:dyDescent="0.2">
      <c r="A3136" s="5" t="str">
        <f>HYPERLINK("http://www.ncbi.nlm.nih.gov/protein/28916693","Gsn")</f>
        <v>Gsn</v>
      </c>
      <c r="B3136" s="4"/>
      <c r="C3136" s="3">
        <v>48914</v>
      </c>
      <c r="D3136" s="3">
        <v>8166</v>
      </c>
      <c r="E3136" s="3">
        <v>65779</v>
      </c>
      <c r="F3136" s="3">
        <v>112069</v>
      </c>
      <c r="G3136" s="3">
        <v>280289</v>
      </c>
      <c r="H3136" s="2">
        <f t="shared" si="96"/>
        <v>515217</v>
      </c>
      <c r="I3136" t="str">
        <f t="shared" si="97"/>
        <v>Gsn_515217</v>
      </c>
      <c r="J3136" s="3">
        <v>48914</v>
      </c>
      <c r="K3136" s="3">
        <v>8166</v>
      </c>
      <c r="L3136" s="3">
        <v>65779</v>
      </c>
      <c r="M3136" s="3">
        <v>112069</v>
      </c>
      <c r="N3136" s="3">
        <v>280289</v>
      </c>
    </row>
    <row r="3137" spans="1:14" x14ac:dyDescent="0.2">
      <c r="A3137" s="5" t="str">
        <f>HYPERLINK("http://www.ncbi.nlm.nih.gov/protein/194018529","Gspt1")</f>
        <v>Gspt1</v>
      </c>
      <c r="B3137" s="4"/>
      <c r="C3137" s="3">
        <v>275</v>
      </c>
      <c r="D3137" s="3">
        <v>81</v>
      </c>
      <c r="E3137" s="3">
        <v>11783</v>
      </c>
      <c r="F3137" s="3">
        <v>13138</v>
      </c>
      <c r="G3137" s="3">
        <v>88375</v>
      </c>
      <c r="H3137" s="2">
        <f t="shared" si="96"/>
        <v>113652</v>
      </c>
      <c r="I3137" t="str">
        <f t="shared" si="97"/>
        <v>Gspt1_113652</v>
      </c>
      <c r="J3137" s="3">
        <v>275</v>
      </c>
      <c r="K3137" s="3">
        <v>81</v>
      </c>
      <c r="L3137" s="3">
        <v>11783</v>
      </c>
      <c r="M3137" s="3">
        <v>13138</v>
      </c>
      <c r="N3137" s="3">
        <v>88375</v>
      </c>
    </row>
    <row r="3138" spans="1:14" x14ac:dyDescent="0.2">
      <c r="A3138" s="5" t="str">
        <f>HYPERLINK("http://www.ncbi.nlm.nih.gov/protein/194018533","Gspt1")</f>
        <v>Gspt1</v>
      </c>
      <c r="B3138" s="4"/>
      <c r="C3138" s="3">
        <v>275</v>
      </c>
      <c r="D3138" s="3">
        <v>81</v>
      </c>
      <c r="E3138" s="3">
        <v>11783</v>
      </c>
      <c r="F3138" s="3">
        <v>13138</v>
      </c>
      <c r="G3138" s="3">
        <v>88375</v>
      </c>
      <c r="H3138" s="2">
        <f t="shared" ref="H3138:H3201" si="98">SUM(C3138:G3138)</f>
        <v>113652</v>
      </c>
      <c r="I3138" t="str">
        <f t="shared" ref="I3138:I3201" si="99">A3138&amp;"_"&amp;H3138</f>
        <v>Gspt1_113652</v>
      </c>
      <c r="J3138" s="3">
        <v>275</v>
      </c>
      <c r="K3138" s="3">
        <v>81</v>
      </c>
      <c r="L3138" s="3">
        <v>11783</v>
      </c>
      <c r="M3138" s="3">
        <v>13138</v>
      </c>
      <c r="N3138" s="3">
        <v>88375</v>
      </c>
    </row>
    <row r="3139" spans="1:14" x14ac:dyDescent="0.2">
      <c r="A3139" s="5" t="str">
        <f>HYPERLINK("http://www.ncbi.nlm.nih.gov/protein/58331156","Gspt2")</f>
        <v>Gspt2</v>
      </c>
      <c r="B3139" s="4"/>
      <c r="C3139" s="3">
        <v>0</v>
      </c>
      <c r="D3139" s="3">
        <v>81</v>
      </c>
      <c r="E3139" s="3">
        <v>6588</v>
      </c>
      <c r="F3139" s="3">
        <v>0</v>
      </c>
      <c r="G3139" s="3">
        <v>49232</v>
      </c>
      <c r="H3139" s="2">
        <f t="shared" si="98"/>
        <v>55901</v>
      </c>
      <c r="I3139" t="str">
        <f t="shared" si="99"/>
        <v>Gspt2_55901</v>
      </c>
      <c r="J3139" s="3">
        <v>0</v>
      </c>
      <c r="K3139" s="3">
        <v>81</v>
      </c>
      <c r="L3139" s="3">
        <v>6588</v>
      </c>
      <c r="M3139" s="3">
        <v>0</v>
      </c>
      <c r="N3139" s="3">
        <v>49232</v>
      </c>
    </row>
    <row r="3140" spans="1:14" x14ac:dyDescent="0.2">
      <c r="A3140" s="5" t="str">
        <f>HYPERLINK("http://www.ncbi.nlm.nih.gov/protein/160298213","Gsr")</f>
        <v>Gsr</v>
      </c>
      <c r="B3140" s="4"/>
      <c r="C3140" s="3">
        <v>30498</v>
      </c>
      <c r="D3140" s="3">
        <v>18161</v>
      </c>
      <c r="E3140" s="3">
        <v>37959</v>
      </c>
      <c r="F3140" s="3">
        <v>33995</v>
      </c>
      <c r="G3140" s="3">
        <v>459866</v>
      </c>
      <c r="H3140" s="2">
        <f t="shared" si="98"/>
        <v>580479</v>
      </c>
      <c r="I3140" t="str">
        <f t="shared" si="99"/>
        <v>Gsr_580479</v>
      </c>
      <c r="J3140" s="3">
        <v>30498</v>
      </c>
      <c r="K3140" s="3">
        <v>18161</v>
      </c>
      <c r="L3140" s="3">
        <v>37959</v>
      </c>
      <c r="M3140" s="3">
        <v>33995</v>
      </c>
      <c r="N3140" s="3">
        <v>459866</v>
      </c>
    </row>
    <row r="3141" spans="1:14" x14ac:dyDescent="0.2">
      <c r="A3141" s="5" t="str">
        <f>HYPERLINK("http://www.ncbi.nlm.nih.gov/protein/6680117","Gss")</f>
        <v>Gss</v>
      </c>
      <c r="B3141" s="4"/>
      <c r="C3141" s="3">
        <v>0</v>
      </c>
      <c r="D3141" s="3">
        <v>184</v>
      </c>
      <c r="E3141" s="3">
        <v>1570</v>
      </c>
      <c r="F3141" s="3">
        <v>655</v>
      </c>
      <c r="G3141" s="3">
        <v>44262</v>
      </c>
      <c r="H3141" s="2">
        <f t="shared" si="98"/>
        <v>46671</v>
      </c>
      <c r="I3141" t="str">
        <f t="shared" si="99"/>
        <v>Gss_46671</v>
      </c>
      <c r="J3141" s="3">
        <v>0</v>
      </c>
      <c r="K3141" s="3">
        <v>184</v>
      </c>
      <c r="L3141" s="3">
        <v>1570</v>
      </c>
      <c r="M3141" s="3">
        <v>655</v>
      </c>
      <c r="N3141" s="3">
        <v>44262</v>
      </c>
    </row>
    <row r="3142" spans="1:14" x14ac:dyDescent="0.2">
      <c r="A3142" s="5" t="str">
        <f>HYPERLINK("http://www.ncbi.nlm.nih.gov/protein/154350202","Gsta1")</f>
        <v>Gsta1</v>
      </c>
      <c r="B3142" s="4"/>
      <c r="C3142" s="3">
        <v>2911</v>
      </c>
      <c r="D3142" s="3">
        <v>299</v>
      </c>
      <c r="E3142" s="3">
        <v>1441</v>
      </c>
      <c r="F3142" s="3">
        <v>2808</v>
      </c>
      <c r="G3142" s="3">
        <v>44037</v>
      </c>
      <c r="H3142" s="2">
        <f t="shared" si="98"/>
        <v>51496</v>
      </c>
      <c r="I3142" t="str">
        <f t="shared" si="99"/>
        <v>Gsta1_51496</v>
      </c>
      <c r="J3142" s="3">
        <v>2911</v>
      </c>
      <c r="K3142" s="3">
        <v>299</v>
      </c>
      <c r="L3142" s="3">
        <v>1441</v>
      </c>
      <c r="M3142" s="3">
        <v>2808</v>
      </c>
      <c r="N3142" s="3">
        <v>44037</v>
      </c>
    </row>
    <row r="3143" spans="1:14" x14ac:dyDescent="0.2">
      <c r="A3143" s="5" t="str">
        <f>HYPERLINK("http://www.ncbi.nlm.nih.gov/protein/50263046","Gsta2")</f>
        <v>Gsta2</v>
      </c>
      <c r="B3143" s="4"/>
      <c r="C3143" s="3">
        <v>2911</v>
      </c>
      <c r="D3143" s="3">
        <v>299</v>
      </c>
      <c r="E3143" s="3">
        <v>1441</v>
      </c>
      <c r="F3143" s="3">
        <v>2808</v>
      </c>
      <c r="G3143" s="3">
        <v>4477</v>
      </c>
      <c r="H3143" s="2">
        <f t="shared" si="98"/>
        <v>11936</v>
      </c>
      <c r="I3143" t="str">
        <f t="shared" si="99"/>
        <v>Gsta2_11936</v>
      </c>
      <c r="J3143" s="3">
        <v>2911</v>
      </c>
      <c r="K3143" s="3">
        <v>299</v>
      </c>
      <c r="L3143" s="3">
        <v>1441</v>
      </c>
      <c r="M3143" s="3">
        <v>2808</v>
      </c>
      <c r="N3143" s="3">
        <v>4477</v>
      </c>
    </row>
    <row r="3144" spans="1:14" x14ac:dyDescent="0.2">
      <c r="A3144" s="5" t="str">
        <f>HYPERLINK("http://www.ncbi.nlm.nih.gov/protein/31981724","Gsta3")</f>
        <v>Gsta3</v>
      </c>
      <c r="B3144" s="4"/>
      <c r="C3144" s="3">
        <v>2911</v>
      </c>
      <c r="D3144" s="3">
        <v>501</v>
      </c>
      <c r="E3144" s="3">
        <v>6183</v>
      </c>
      <c r="F3144" s="3">
        <v>3503</v>
      </c>
      <c r="G3144" s="3">
        <v>85151</v>
      </c>
      <c r="H3144" s="2">
        <f t="shared" si="98"/>
        <v>98249</v>
      </c>
      <c r="I3144" t="str">
        <f t="shared" si="99"/>
        <v>Gsta3_98249</v>
      </c>
      <c r="J3144" s="3">
        <v>2911</v>
      </c>
      <c r="K3144" s="3">
        <v>501</v>
      </c>
      <c r="L3144" s="3">
        <v>6183</v>
      </c>
      <c r="M3144" s="3">
        <v>3503</v>
      </c>
      <c r="N3144" s="3">
        <v>85151</v>
      </c>
    </row>
    <row r="3145" spans="1:14" x14ac:dyDescent="0.2">
      <c r="A3145" s="5" t="str">
        <f>HYPERLINK("http://www.ncbi.nlm.nih.gov/protein/160298217","Gsta4")</f>
        <v>Gsta4</v>
      </c>
      <c r="B3145" s="4"/>
      <c r="C3145" s="3">
        <v>5748</v>
      </c>
      <c r="D3145" s="3">
        <v>22011</v>
      </c>
      <c r="E3145" s="3">
        <v>16676</v>
      </c>
      <c r="F3145" s="3">
        <v>15397</v>
      </c>
      <c r="G3145" s="3">
        <v>395149</v>
      </c>
      <c r="H3145" s="2">
        <f t="shared" si="98"/>
        <v>454981</v>
      </c>
      <c r="I3145" t="str">
        <f t="shared" si="99"/>
        <v>Gsta4_454981</v>
      </c>
      <c r="J3145" s="3">
        <v>5748</v>
      </c>
      <c r="K3145" s="3">
        <v>22011</v>
      </c>
      <c r="L3145" s="3">
        <v>16676</v>
      </c>
      <c r="M3145" s="3">
        <v>15397</v>
      </c>
      <c r="N3145" s="3">
        <v>395149</v>
      </c>
    </row>
    <row r="3146" spans="1:14" x14ac:dyDescent="0.2">
      <c r="A3146" s="5" t="str">
        <f>HYPERLINK("http://www.ncbi.nlm.nih.gov/protein/21313138","Gstk1")</f>
        <v>Gstk1</v>
      </c>
      <c r="B3146" s="4"/>
      <c r="C3146" s="3">
        <v>1556</v>
      </c>
      <c r="D3146" s="3">
        <v>8154</v>
      </c>
      <c r="E3146" s="3">
        <v>2341</v>
      </c>
      <c r="F3146" s="3">
        <v>0</v>
      </c>
      <c r="G3146" s="3">
        <v>0</v>
      </c>
      <c r="H3146" s="2">
        <f t="shared" si="98"/>
        <v>12051</v>
      </c>
      <c r="I3146" t="str">
        <f t="shared" si="99"/>
        <v>Gstk1_12051</v>
      </c>
      <c r="J3146" s="3">
        <v>1556</v>
      </c>
      <c r="K3146" s="3">
        <v>8154</v>
      </c>
      <c r="L3146" s="3">
        <v>2341</v>
      </c>
      <c r="M3146" s="3">
        <v>0</v>
      </c>
      <c r="N3146" s="3">
        <v>0</v>
      </c>
    </row>
    <row r="3147" spans="1:14" x14ac:dyDescent="0.2">
      <c r="A3147" s="5" t="str">
        <f>HYPERLINK("http://www.ncbi.nlm.nih.gov/protein/6754084","Gstm1")</f>
        <v>Gstm1</v>
      </c>
      <c r="B3147" s="4"/>
      <c r="C3147" s="3">
        <v>627841</v>
      </c>
      <c r="D3147" s="3">
        <v>69679</v>
      </c>
      <c r="E3147" s="3">
        <v>239660</v>
      </c>
      <c r="F3147" s="3">
        <v>221673</v>
      </c>
      <c r="G3147" s="3">
        <v>1949387</v>
      </c>
      <c r="H3147" s="2">
        <f t="shared" si="98"/>
        <v>3108240</v>
      </c>
      <c r="I3147" t="str">
        <f t="shared" si="99"/>
        <v>Gstm1_3108240</v>
      </c>
      <c r="J3147" s="3">
        <v>627841</v>
      </c>
      <c r="K3147" s="3">
        <v>69679</v>
      </c>
      <c r="L3147" s="3">
        <v>239660</v>
      </c>
      <c r="M3147" s="3">
        <v>221673</v>
      </c>
      <c r="N3147" s="3">
        <v>1949387</v>
      </c>
    </row>
    <row r="3148" spans="1:14" x14ac:dyDescent="0.2">
      <c r="A3148" s="5" t="str">
        <f>HYPERLINK("http://www.ncbi.nlm.nih.gov/protein/6680121","Gstm2")</f>
        <v>Gstm2</v>
      </c>
      <c r="B3148" s="4"/>
      <c r="C3148" s="3">
        <v>592474</v>
      </c>
      <c r="D3148" s="3">
        <v>55687</v>
      </c>
      <c r="E3148" s="3">
        <v>155280</v>
      </c>
      <c r="F3148" s="3">
        <v>152571</v>
      </c>
      <c r="G3148" s="3">
        <v>1155952</v>
      </c>
      <c r="H3148" s="2">
        <f t="shared" si="98"/>
        <v>2111964</v>
      </c>
      <c r="I3148" t="str">
        <f t="shared" si="99"/>
        <v>Gstm2_2111964</v>
      </c>
      <c r="J3148" s="3">
        <v>592474</v>
      </c>
      <c r="K3148" s="3">
        <v>55687</v>
      </c>
      <c r="L3148" s="3">
        <v>155280</v>
      </c>
      <c r="M3148" s="3">
        <v>152571</v>
      </c>
      <c r="N3148" s="3">
        <v>1155952</v>
      </c>
    </row>
    <row r="3149" spans="1:14" x14ac:dyDescent="0.2">
      <c r="A3149" s="5" t="str">
        <f>HYPERLINK("http://www.ncbi.nlm.nih.gov/protein/33468899","Gstm3")</f>
        <v>Gstm3</v>
      </c>
      <c r="B3149" s="4"/>
      <c r="C3149" s="3">
        <v>119502</v>
      </c>
      <c r="D3149" s="3">
        <v>26536</v>
      </c>
      <c r="E3149" s="3">
        <v>51794</v>
      </c>
      <c r="F3149" s="3">
        <v>104538</v>
      </c>
      <c r="G3149" s="3">
        <v>696332</v>
      </c>
      <c r="H3149" s="2">
        <f t="shared" si="98"/>
        <v>998702</v>
      </c>
      <c r="I3149" t="str">
        <f t="shared" si="99"/>
        <v>Gstm3_998702</v>
      </c>
      <c r="J3149" s="3">
        <v>119502</v>
      </c>
      <c r="K3149" s="3">
        <v>26536</v>
      </c>
      <c r="L3149" s="3">
        <v>51794</v>
      </c>
      <c r="M3149" s="3">
        <v>104538</v>
      </c>
      <c r="N3149" s="3">
        <v>696332</v>
      </c>
    </row>
    <row r="3150" spans="1:14" x14ac:dyDescent="0.2">
      <c r="A3150" s="5" t="str">
        <f>HYPERLINK("http://www.ncbi.nlm.nih.gov/protein/238018082","Gstm4")</f>
        <v>Gstm4</v>
      </c>
      <c r="B3150" s="4"/>
      <c r="C3150" s="3">
        <v>395410</v>
      </c>
      <c r="D3150" s="3">
        <v>3714</v>
      </c>
      <c r="E3150" s="3">
        <v>49457</v>
      </c>
      <c r="F3150" s="3">
        <v>8611</v>
      </c>
      <c r="G3150" s="3">
        <v>54147</v>
      </c>
      <c r="H3150" s="2">
        <f t="shared" si="98"/>
        <v>511339</v>
      </c>
      <c r="I3150" t="str">
        <f t="shared" si="99"/>
        <v>Gstm4_511339</v>
      </c>
      <c r="J3150" s="3">
        <v>395410</v>
      </c>
      <c r="K3150" s="3">
        <v>3714</v>
      </c>
      <c r="L3150" s="3">
        <v>49457</v>
      </c>
      <c r="M3150" s="3">
        <v>8611</v>
      </c>
      <c r="N3150" s="3">
        <v>54147</v>
      </c>
    </row>
    <row r="3151" spans="1:14" x14ac:dyDescent="0.2">
      <c r="A3151" s="5" t="str">
        <f>HYPERLINK("http://www.ncbi.nlm.nih.gov/protein/28076911","Gstm4")</f>
        <v>Gstm4</v>
      </c>
      <c r="B3151" s="4"/>
      <c r="C3151" s="3">
        <v>396783</v>
      </c>
      <c r="D3151" s="3">
        <v>16496</v>
      </c>
      <c r="E3151" s="3">
        <v>93275</v>
      </c>
      <c r="F3151" s="3">
        <v>23182</v>
      </c>
      <c r="G3151" s="3">
        <v>135711</v>
      </c>
      <c r="H3151" s="2">
        <f t="shared" si="98"/>
        <v>665447</v>
      </c>
      <c r="I3151" t="str">
        <f t="shared" si="99"/>
        <v>Gstm4_665447</v>
      </c>
      <c r="J3151" s="3">
        <v>396783</v>
      </c>
      <c r="K3151" s="3">
        <v>16496</v>
      </c>
      <c r="L3151" s="3">
        <v>93275</v>
      </c>
      <c r="M3151" s="3">
        <v>23182</v>
      </c>
      <c r="N3151" s="3">
        <v>135711</v>
      </c>
    </row>
    <row r="3152" spans="1:14" x14ac:dyDescent="0.2">
      <c r="A3152" s="5" t="str">
        <f>HYPERLINK("http://www.ncbi.nlm.nih.gov/protein/6754086","Gstm5")</f>
        <v>Gstm5</v>
      </c>
      <c r="B3152" s="4"/>
      <c r="C3152" s="3">
        <v>272119</v>
      </c>
      <c r="D3152" s="3">
        <v>2954</v>
      </c>
      <c r="E3152" s="3">
        <v>68748</v>
      </c>
      <c r="F3152" s="3">
        <v>3618</v>
      </c>
      <c r="G3152" s="3">
        <v>71839</v>
      </c>
      <c r="H3152" s="2">
        <f t="shared" si="98"/>
        <v>419278</v>
      </c>
      <c r="I3152" t="str">
        <f t="shared" si="99"/>
        <v>Gstm5_419278</v>
      </c>
      <c r="J3152" s="3">
        <v>272119</v>
      </c>
      <c r="K3152" s="3">
        <v>2954</v>
      </c>
      <c r="L3152" s="3">
        <v>68748</v>
      </c>
      <c r="M3152" s="3">
        <v>3618</v>
      </c>
      <c r="N3152" s="3">
        <v>71839</v>
      </c>
    </row>
    <row r="3153" spans="1:14" x14ac:dyDescent="0.2">
      <c r="A3153" s="5" t="str">
        <f>HYPERLINK("http://www.ncbi.nlm.nih.gov/protein/113680506","Gstm6")</f>
        <v>Gstm6</v>
      </c>
      <c r="B3153" s="4"/>
      <c r="C3153" s="3">
        <v>62076</v>
      </c>
      <c r="D3153" s="3">
        <v>16704</v>
      </c>
      <c r="E3153" s="3">
        <v>9970</v>
      </c>
      <c r="F3153" s="3">
        <v>62087</v>
      </c>
      <c r="G3153" s="3">
        <v>414811</v>
      </c>
      <c r="H3153" s="2">
        <f t="shared" si="98"/>
        <v>565648</v>
      </c>
      <c r="I3153" t="str">
        <f t="shared" si="99"/>
        <v>Gstm6_565648</v>
      </c>
      <c r="J3153" s="3">
        <v>62076</v>
      </c>
      <c r="K3153" s="3">
        <v>16704</v>
      </c>
      <c r="L3153" s="3">
        <v>9970</v>
      </c>
      <c r="M3153" s="3">
        <v>62087</v>
      </c>
      <c r="N3153" s="3">
        <v>414811</v>
      </c>
    </row>
    <row r="3154" spans="1:14" x14ac:dyDescent="0.2">
      <c r="A3154" s="5" t="str">
        <f>HYPERLINK("http://www.ncbi.nlm.nih.gov/protein/113679874","Gstm7")</f>
        <v>Gstm7</v>
      </c>
      <c r="B3154" s="4"/>
      <c r="C3154" s="3">
        <v>484121</v>
      </c>
      <c r="D3154" s="3">
        <v>29897</v>
      </c>
      <c r="E3154" s="3">
        <v>95963</v>
      </c>
      <c r="F3154" s="3">
        <v>88969</v>
      </c>
      <c r="G3154" s="3">
        <v>919186</v>
      </c>
      <c r="H3154" s="2">
        <f t="shared" si="98"/>
        <v>1618136</v>
      </c>
      <c r="I3154" t="str">
        <f t="shared" si="99"/>
        <v>Gstm7_1618136</v>
      </c>
      <c r="J3154" s="3">
        <v>484121</v>
      </c>
      <c r="K3154" s="3">
        <v>29897</v>
      </c>
      <c r="L3154" s="3">
        <v>95963</v>
      </c>
      <c r="M3154" s="3">
        <v>88969</v>
      </c>
      <c r="N3154" s="3">
        <v>919186</v>
      </c>
    </row>
    <row r="3155" spans="1:14" x14ac:dyDescent="0.2">
      <c r="A3155" s="5" t="str">
        <f>HYPERLINK("http://www.ncbi.nlm.nih.gov/protein/6754090","Gsto1")</f>
        <v>Gsto1</v>
      </c>
      <c r="B3155" s="4"/>
      <c r="C3155" s="3">
        <v>19990</v>
      </c>
      <c r="D3155" s="3">
        <v>6390</v>
      </c>
      <c r="E3155" s="3">
        <v>14583</v>
      </c>
      <c r="F3155" s="3">
        <v>12810</v>
      </c>
      <c r="G3155" s="3">
        <v>509644</v>
      </c>
      <c r="H3155" s="2">
        <f t="shared" si="98"/>
        <v>563417</v>
      </c>
      <c r="I3155" t="str">
        <f t="shared" si="99"/>
        <v>Gsto1_563417</v>
      </c>
      <c r="J3155" s="3">
        <v>19990</v>
      </c>
      <c r="K3155" s="3">
        <v>6390</v>
      </c>
      <c r="L3155" s="3">
        <v>14583</v>
      </c>
      <c r="M3155" s="3">
        <v>12810</v>
      </c>
      <c r="N3155" s="3">
        <v>509644</v>
      </c>
    </row>
    <row r="3156" spans="1:14" x14ac:dyDescent="0.2">
      <c r="A3156" s="5" t="str">
        <f>HYPERLINK("http://www.ncbi.nlm.nih.gov/protein/313151238;225007547","Gsto2")</f>
        <v>Gsto2</v>
      </c>
      <c r="B3156" s="4"/>
      <c r="C3156" s="3">
        <v>0</v>
      </c>
      <c r="D3156" s="3">
        <v>0</v>
      </c>
      <c r="E3156" s="3">
        <v>0</v>
      </c>
      <c r="F3156" s="3">
        <v>0</v>
      </c>
      <c r="G3156" s="3">
        <v>43202</v>
      </c>
      <c r="H3156" s="2">
        <f t="shared" si="98"/>
        <v>43202</v>
      </c>
      <c r="I3156" t="str">
        <f t="shared" si="99"/>
        <v>Gsto2_43202</v>
      </c>
      <c r="J3156" s="3">
        <v>0</v>
      </c>
      <c r="K3156" s="3">
        <v>0</v>
      </c>
      <c r="L3156" s="3">
        <v>0</v>
      </c>
      <c r="M3156" s="3">
        <v>0</v>
      </c>
      <c r="N3156" s="3">
        <v>43202</v>
      </c>
    </row>
    <row r="3157" spans="1:14" x14ac:dyDescent="0.2">
      <c r="A3157" s="5" t="str">
        <f>HYPERLINK("http://www.ncbi.nlm.nih.gov/protein/10092608","Gstp1")</f>
        <v>Gstp1</v>
      </c>
      <c r="B3157" s="4"/>
      <c r="C3157" s="3">
        <v>81169</v>
      </c>
      <c r="D3157" s="3">
        <v>33780</v>
      </c>
      <c r="E3157" s="3">
        <v>58730</v>
      </c>
      <c r="F3157" s="3">
        <v>47411</v>
      </c>
      <c r="G3157" s="3">
        <v>184396</v>
      </c>
      <c r="H3157" s="2">
        <f t="shared" si="98"/>
        <v>405486</v>
      </c>
      <c r="I3157" t="str">
        <f t="shared" si="99"/>
        <v>Gstp1_405486</v>
      </c>
      <c r="J3157" s="3">
        <v>81169</v>
      </c>
      <c r="K3157" s="3">
        <v>33780</v>
      </c>
      <c r="L3157" s="3">
        <v>58730</v>
      </c>
      <c r="M3157" s="3">
        <v>47411</v>
      </c>
      <c r="N3157" s="3">
        <v>184396</v>
      </c>
    </row>
    <row r="3158" spans="1:14" x14ac:dyDescent="0.2">
      <c r="A3158" s="5" t="str">
        <f>HYPERLINK("http://www.ncbi.nlm.nih.gov/protein/32401425","Gstp2")</f>
        <v>Gstp2</v>
      </c>
      <c r="B3158" s="4"/>
      <c r="C3158" s="3">
        <v>74286</v>
      </c>
      <c r="D3158" s="3">
        <v>17855</v>
      </c>
      <c r="E3158" s="3">
        <v>24238</v>
      </c>
      <c r="F3158" s="3">
        <v>37351</v>
      </c>
      <c r="G3158" s="3">
        <v>107074</v>
      </c>
      <c r="H3158" s="2">
        <f t="shared" si="98"/>
        <v>260804</v>
      </c>
      <c r="I3158" t="str">
        <f t="shared" si="99"/>
        <v>Gstp2_260804</v>
      </c>
      <c r="J3158" s="3">
        <v>74286</v>
      </c>
      <c r="K3158" s="3">
        <v>17855</v>
      </c>
      <c r="L3158" s="3">
        <v>24238</v>
      </c>
      <c r="M3158" s="3">
        <v>37351</v>
      </c>
      <c r="N3158" s="3">
        <v>107074</v>
      </c>
    </row>
    <row r="3159" spans="1:14" x14ac:dyDescent="0.2">
      <c r="A3159" s="5" t="str">
        <f>HYPERLINK("http://www.ncbi.nlm.nih.gov/protein/160298219","Gstt1")</f>
        <v>Gstt1</v>
      </c>
      <c r="B3159" s="4"/>
      <c r="C3159" s="3">
        <v>0</v>
      </c>
      <c r="D3159" s="3">
        <v>3793</v>
      </c>
      <c r="E3159" s="3">
        <v>1130</v>
      </c>
      <c r="F3159" s="3">
        <v>9659</v>
      </c>
      <c r="G3159" s="3">
        <v>47218</v>
      </c>
      <c r="H3159" s="2">
        <f t="shared" si="98"/>
        <v>61800</v>
      </c>
      <c r="I3159" t="str">
        <f t="shared" si="99"/>
        <v>Gstt1_61800</v>
      </c>
      <c r="J3159" s="3">
        <v>0</v>
      </c>
      <c r="K3159" s="3">
        <v>3793</v>
      </c>
      <c r="L3159" s="3">
        <v>1130</v>
      </c>
      <c r="M3159" s="3">
        <v>9659</v>
      </c>
      <c r="N3159" s="3">
        <v>47218</v>
      </c>
    </row>
    <row r="3160" spans="1:14" x14ac:dyDescent="0.2">
      <c r="A3160" s="5" t="str">
        <f>HYPERLINK("http://www.ncbi.nlm.nih.gov/protein/158081796","Gstt2")</f>
        <v>Gstt2</v>
      </c>
      <c r="B3160" s="4"/>
      <c r="C3160" s="3">
        <v>3643</v>
      </c>
      <c r="D3160" s="3">
        <v>4624</v>
      </c>
      <c r="E3160" s="3">
        <v>3928</v>
      </c>
      <c r="F3160" s="3">
        <v>5730</v>
      </c>
      <c r="G3160" s="3">
        <v>84262</v>
      </c>
      <c r="H3160" s="2">
        <f t="shared" si="98"/>
        <v>102187</v>
      </c>
      <c r="I3160" t="str">
        <f t="shared" si="99"/>
        <v>Gstt2_102187</v>
      </c>
      <c r="J3160" s="3">
        <v>3643</v>
      </c>
      <c r="K3160" s="3">
        <v>4624</v>
      </c>
      <c r="L3160" s="3">
        <v>3928</v>
      </c>
      <c r="M3160" s="3">
        <v>5730</v>
      </c>
      <c r="N3160" s="3">
        <v>84262</v>
      </c>
    </row>
    <row r="3161" spans="1:14" x14ac:dyDescent="0.2">
      <c r="A3161" s="5" t="str">
        <f>HYPERLINK("http://www.ncbi.nlm.nih.gov/protein/21536248","Gstt3")</f>
        <v>Gstt3</v>
      </c>
      <c r="B3161" s="4"/>
      <c r="C3161" s="3">
        <v>6865</v>
      </c>
      <c r="D3161" s="3">
        <v>12700</v>
      </c>
      <c r="E3161" s="3">
        <v>5458</v>
      </c>
      <c r="F3161" s="3">
        <v>5108</v>
      </c>
      <c r="G3161" s="3">
        <v>133323</v>
      </c>
      <c r="H3161" s="2">
        <f t="shared" si="98"/>
        <v>163454</v>
      </c>
      <c r="I3161" t="str">
        <f t="shared" si="99"/>
        <v>Gstt3_163454</v>
      </c>
      <c r="J3161" s="3">
        <v>6865</v>
      </c>
      <c r="K3161" s="3">
        <v>12700</v>
      </c>
      <c r="L3161" s="3">
        <v>5458</v>
      </c>
      <c r="M3161" s="3">
        <v>5108</v>
      </c>
      <c r="N3161" s="3">
        <v>133323</v>
      </c>
    </row>
    <row r="3162" spans="1:14" x14ac:dyDescent="0.2">
      <c r="A3162" s="5" t="str">
        <f>HYPERLINK("http://www.ncbi.nlm.nih.gov/protein/357527382","Gstz1")</f>
        <v>Gstz1</v>
      </c>
      <c r="B3162" s="4"/>
      <c r="C3162" s="3">
        <v>238</v>
      </c>
      <c r="D3162" s="3">
        <v>1662</v>
      </c>
      <c r="E3162" s="3">
        <v>1160</v>
      </c>
      <c r="F3162" s="3">
        <v>925</v>
      </c>
      <c r="G3162" s="3">
        <v>9017</v>
      </c>
      <c r="H3162" s="2">
        <f t="shared" si="98"/>
        <v>13002</v>
      </c>
      <c r="I3162" t="str">
        <f t="shared" si="99"/>
        <v>Gstz1_13002</v>
      </c>
      <c r="J3162" s="3">
        <v>238</v>
      </c>
      <c r="K3162" s="3">
        <v>1662</v>
      </c>
      <c r="L3162" s="3">
        <v>1160</v>
      </c>
      <c r="M3162" s="3">
        <v>925</v>
      </c>
      <c r="N3162" s="3">
        <v>9017</v>
      </c>
    </row>
    <row r="3163" spans="1:14" x14ac:dyDescent="0.2">
      <c r="A3163" s="5" t="str">
        <f>HYPERLINK("http://www.ncbi.nlm.nih.gov/protein/6754092","Gstz1")</f>
        <v>Gstz1</v>
      </c>
      <c r="B3163" s="4"/>
      <c r="C3163" s="3">
        <v>1556</v>
      </c>
      <c r="D3163" s="3">
        <v>2321</v>
      </c>
      <c r="E3163" s="3">
        <v>1356</v>
      </c>
      <c r="F3163" s="3">
        <v>925</v>
      </c>
      <c r="G3163" s="3">
        <v>17821</v>
      </c>
      <c r="H3163" s="2">
        <f t="shared" si="98"/>
        <v>23979</v>
      </c>
      <c r="I3163" t="str">
        <f t="shared" si="99"/>
        <v>Gstz1_23979</v>
      </c>
      <c r="J3163" s="3">
        <v>1556</v>
      </c>
      <c r="K3163" s="3">
        <v>2321</v>
      </c>
      <c r="L3163" s="3">
        <v>1356</v>
      </c>
      <c r="M3163" s="3">
        <v>925</v>
      </c>
      <c r="N3163" s="3">
        <v>17821</v>
      </c>
    </row>
    <row r="3164" spans="1:14" x14ac:dyDescent="0.2">
      <c r="A3164" s="5" t="str">
        <f>HYPERLINK("http://www.ncbi.nlm.nih.gov/protein/226958572","Gtf2a1")</f>
        <v>Gtf2a1</v>
      </c>
      <c r="B3164" s="4"/>
      <c r="C3164" s="3">
        <v>0</v>
      </c>
      <c r="D3164" s="3">
        <v>0</v>
      </c>
      <c r="E3164" s="3">
        <v>0</v>
      </c>
      <c r="F3164" s="3">
        <v>0</v>
      </c>
      <c r="G3164" s="3">
        <v>2806</v>
      </c>
      <c r="H3164" s="2">
        <f t="shared" si="98"/>
        <v>2806</v>
      </c>
      <c r="I3164" t="str">
        <f t="shared" si="99"/>
        <v>Gtf2a1_2806</v>
      </c>
      <c r="J3164" s="3">
        <v>0</v>
      </c>
      <c r="K3164" s="3">
        <v>0</v>
      </c>
      <c r="L3164" s="3">
        <v>0</v>
      </c>
      <c r="M3164" s="3">
        <v>0</v>
      </c>
      <c r="N3164" s="3">
        <v>2806</v>
      </c>
    </row>
    <row r="3165" spans="1:14" x14ac:dyDescent="0.2">
      <c r="A3165" s="5" t="str">
        <f>HYPERLINK("http://www.ncbi.nlm.nih.gov/protein/30141908","Gtf2a1")</f>
        <v>Gtf2a1</v>
      </c>
      <c r="B3165" s="4"/>
      <c r="C3165" s="3">
        <v>0</v>
      </c>
      <c r="D3165" s="3">
        <v>0</v>
      </c>
      <c r="E3165" s="3">
        <v>0</v>
      </c>
      <c r="F3165" s="3">
        <v>0</v>
      </c>
      <c r="G3165" s="3">
        <v>2485</v>
      </c>
      <c r="H3165" s="2">
        <f t="shared" si="98"/>
        <v>2485</v>
      </c>
      <c r="I3165" t="str">
        <f t="shared" si="99"/>
        <v>Gtf2a1_2485</v>
      </c>
      <c r="J3165" s="3">
        <v>0</v>
      </c>
      <c r="K3165" s="3">
        <v>0</v>
      </c>
      <c r="L3165" s="3">
        <v>0</v>
      </c>
      <c r="M3165" s="3">
        <v>0</v>
      </c>
      <c r="N3165" s="3">
        <v>2485</v>
      </c>
    </row>
    <row r="3166" spans="1:14" x14ac:dyDescent="0.2">
      <c r="A3166" s="5" t="str">
        <f>HYPERLINK("http://www.ncbi.nlm.nih.gov/protein/530719548","Gtf2a2")</f>
        <v>Gtf2a2</v>
      </c>
      <c r="B3166" s="4"/>
      <c r="C3166" s="3">
        <v>1043</v>
      </c>
      <c r="D3166" s="3">
        <v>0</v>
      </c>
      <c r="E3166" s="3">
        <v>0</v>
      </c>
      <c r="F3166" s="3">
        <v>0</v>
      </c>
      <c r="G3166" s="3">
        <v>0</v>
      </c>
      <c r="H3166" s="2">
        <f t="shared" si="98"/>
        <v>1043</v>
      </c>
      <c r="I3166" t="str">
        <f t="shared" si="99"/>
        <v>Gtf2a2_1043</v>
      </c>
      <c r="J3166" s="3">
        <v>1043</v>
      </c>
      <c r="K3166" s="3">
        <v>0</v>
      </c>
      <c r="L3166" s="3">
        <v>0</v>
      </c>
      <c r="M3166" s="3">
        <v>0</v>
      </c>
      <c r="N3166" s="3">
        <v>0</v>
      </c>
    </row>
    <row r="3167" spans="1:14" x14ac:dyDescent="0.2">
      <c r="A3167" s="5" t="str">
        <f>HYPERLINK("http://www.ncbi.nlm.nih.gov/protein/87299617","Gtf2a2")</f>
        <v>Gtf2a2</v>
      </c>
      <c r="B3167" s="4"/>
      <c r="C3167" s="3">
        <v>1043</v>
      </c>
      <c r="D3167" s="3">
        <v>159</v>
      </c>
      <c r="E3167" s="3">
        <v>657</v>
      </c>
      <c r="F3167" s="3">
        <v>753</v>
      </c>
      <c r="G3167" s="3">
        <v>450</v>
      </c>
      <c r="H3167" s="2">
        <f t="shared" si="98"/>
        <v>3062</v>
      </c>
      <c r="I3167" t="str">
        <f t="shared" si="99"/>
        <v>Gtf2a2_3062</v>
      </c>
      <c r="J3167" s="3">
        <v>1043</v>
      </c>
      <c r="K3167" s="3">
        <v>159</v>
      </c>
      <c r="L3167" s="3">
        <v>657</v>
      </c>
      <c r="M3167" s="3">
        <v>753</v>
      </c>
      <c r="N3167" s="3">
        <v>450</v>
      </c>
    </row>
    <row r="3168" spans="1:14" x14ac:dyDescent="0.2">
      <c r="A3168" s="5" t="str">
        <f>HYPERLINK("http://www.ncbi.nlm.nih.gov/protein/21704076","Gtf2b")</f>
        <v>Gtf2b</v>
      </c>
      <c r="B3168" s="4"/>
      <c r="C3168" s="3">
        <v>0</v>
      </c>
      <c r="D3168" s="3">
        <v>1399</v>
      </c>
      <c r="E3168" s="3">
        <v>1361</v>
      </c>
      <c r="F3168" s="3">
        <v>15815</v>
      </c>
      <c r="G3168" s="3">
        <v>10249</v>
      </c>
      <c r="H3168" s="2">
        <f t="shared" si="98"/>
        <v>28824</v>
      </c>
      <c r="I3168" t="str">
        <f t="shared" si="99"/>
        <v>Gtf2b_28824</v>
      </c>
      <c r="J3168" s="3">
        <v>0</v>
      </c>
      <c r="K3168" s="3">
        <v>1399</v>
      </c>
      <c r="L3168" s="3">
        <v>1361</v>
      </c>
      <c r="M3168" s="3">
        <v>15815</v>
      </c>
      <c r="N3168" s="3">
        <v>10249</v>
      </c>
    </row>
    <row r="3169" spans="1:14" x14ac:dyDescent="0.2">
      <c r="A3169" s="5" t="str">
        <f>HYPERLINK("http://www.ncbi.nlm.nih.gov/protein/21312660","Gtf2e1")</f>
        <v>Gtf2e1</v>
      </c>
      <c r="B3169" s="4"/>
      <c r="C3169" s="3">
        <v>0</v>
      </c>
      <c r="D3169" s="3">
        <v>127</v>
      </c>
      <c r="E3169" s="3">
        <v>59</v>
      </c>
      <c r="F3169" s="3">
        <v>2816</v>
      </c>
      <c r="G3169" s="3">
        <v>996</v>
      </c>
      <c r="H3169" s="2">
        <f t="shared" si="98"/>
        <v>3998</v>
      </c>
      <c r="I3169" t="str">
        <f t="shared" si="99"/>
        <v>Gtf2e1_3998</v>
      </c>
      <c r="J3169" s="3">
        <v>0</v>
      </c>
      <c r="K3169" s="3">
        <v>127</v>
      </c>
      <c r="L3169" s="3">
        <v>59</v>
      </c>
      <c r="M3169" s="3">
        <v>2816</v>
      </c>
      <c r="N3169" s="3">
        <v>996</v>
      </c>
    </row>
    <row r="3170" spans="1:14" x14ac:dyDescent="0.2">
      <c r="A3170" s="5" t="str">
        <f>HYPERLINK("http://www.ncbi.nlm.nih.gov/protein/268838606","Gtf2e2")</f>
        <v>Gtf2e2</v>
      </c>
      <c r="B3170" s="4"/>
      <c r="C3170" s="3">
        <v>0</v>
      </c>
      <c r="D3170" s="3">
        <v>63</v>
      </c>
      <c r="E3170" s="3">
        <v>12</v>
      </c>
      <c r="F3170" s="3">
        <v>237</v>
      </c>
      <c r="G3170" s="3">
        <v>0</v>
      </c>
      <c r="H3170" s="2">
        <f t="shared" si="98"/>
        <v>312</v>
      </c>
      <c r="I3170" t="str">
        <f t="shared" si="99"/>
        <v>Gtf2e2_312</v>
      </c>
      <c r="J3170" s="3">
        <v>0</v>
      </c>
      <c r="K3170" s="3">
        <v>63</v>
      </c>
      <c r="L3170" s="3">
        <v>12</v>
      </c>
      <c r="M3170" s="3">
        <v>237</v>
      </c>
      <c r="N3170" s="3">
        <v>0</v>
      </c>
    </row>
    <row r="3171" spans="1:14" x14ac:dyDescent="0.2">
      <c r="A3171" s="5" t="str">
        <f>HYPERLINK("http://www.ncbi.nlm.nih.gov/protein/20270031","Gtf2f1")</f>
        <v>Gtf2f1</v>
      </c>
      <c r="B3171" s="4"/>
      <c r="C3171" s="3">
        <v>55</v>
      </c>
      <c r="D3171" s="3">
        <v>3002</v>
      </c>
      <c r="E3171" s="3">
        <v>4820</v>
      </c>
      <c r="F3171" s="3">
        <v>2096</v>
      </c>
      <c r="G3171" s="3">
        <v>3684</v>
      </c>
      <c r="H3171" s="2">
        <f t="shared" si="98"/>
        <v>13657</v>
      </c>
      <c r="I3171" t="str">
        <f t="shared" si="99"/>
        <v>Gtf2f1_13657</v>
      </c>
      <c r="J3171" s="3">
        <v>55</v>
      </c>
      <c r="K3171" s="3">
        <v>3002</v>
      </c>
      <c r="L3171" s="3">
        <v>4820</v>
      </c>
      <c r="M3171" s="3">
        <v>2096</v>
      </c>
      <c r="N3171" s="3">
        <v>3684</v>
      </c>
    </row>
    <row r="3172" spans="1:14" x14ac:dyDescent="0.2">
      <c r="A3172" s="5" t="str">
        <f>HYPERLINK("http://www.ncbi.nlm.nih.gov/protein/39930425","Gtf2f2")</f>
        <v>Gtf2f2</v>
      </c>
      <c r="B3172" s="4"/>
      <c r="C3172" s="3">
        <v>714</v>
      </c>
      <c r="D3172" s="3">
        <v>2925</v>
      </c>
      <c r="E3172" s="3">
        <v>1860</v>
      </c>
      <c r="F3172" s="3">
        <v>4068</v>
      </c>
      <c r="G3172" s="3">
        <v>0</v>
      </c>
      <c r="H3172" s="2">
        <f t="shared" si="98"/>
        <v>9567</v>
      </c>
      <c r="I3172" t="str">
        <f t="shared" si="99"/>
        <v>Gtf2f2_9567</v>
      </c>
      <c r="J3172" s="3">
        <v>714</v>
      </c>
      <c r="K3172" s="3">
        <v>2925</v>
      </c>
      <c r="L3172" s="3">
        <v>1860</v>
      </c>
      <c r="M3172" s="3">
        <v>4068</v>
      </c>
      <c r="N3172" s="3">
        <v>0</v>
      </c>
    </row>
    <row r="3173" spans="1:14" x14ac:dyDescent="0.2">
      <c r="A3173" s="5" t="str">
        <f>HYPERLINK("http://www.ncbi.nlm.nih.gov/protein/6754094","Gtf2h4")</f>
        <v>Gtf2h4</v>
      </c>
      <c r="B3173" s="4"/>
      <c r="C3173" s="3">
        <v>0</v>
      </c>
      <c r="D3173" s="3">
        <v>0</v>
      </c>
      <c r="E3173" s="3">
        <v>69</v>
      </c>
      <c r="F3173" s="3">
        <v>0</v>
      </c>
      <c r="G3173" s="3">
        <v>0</v>
      </c>
      <c r="H3173" s="2">
        <f t="shared" si="98"/>
        <v>69</v>
      </c>
      <c r="I3173" t="str">
        <f t="shared" si="99"/>
        <v>Gtf2h4_69</v>
      </c>
      <c r="J3173" s="3">
        <v>0</v>
      </c>
      <c r="K3173" s="3">
        <v>0</v>
      </c>
      <c r="L3173" s="3">
        <v>69</v>
      </c>
      <c r="M3173" s="3">
        <v>0</v>
      </c>
      <c r="N3173" s="3">
        <v>0</v>
      </c>
    </row>
    <row r="3174" spans="1:14" x14ac:dyDescent="0.2">
      <c r="A3174" s="5" t="str">
        <f>HYPERLINK("http://www.ncbi.nlm.nih.gov/protein/124001570","Gtf2i")</f>
        <v>Gtf2i</v>
      </c>
      <c r="B3174" s="4"/>
      <c r="C3174" s="3">
        <v>5657</v>
      </c>
      <c r="D3174" s="3">
        <v>480</v>
      </c>
      <c r="E3174" s="3">
        <v>1589</v>
      </c>
      <c r="F3174" s="3">
        <v>7654</v>
      </c>
      <c r="G3174" s="3">
        <v>18238</v>
      </c>
      <c r="H3174" s="2">
        <f t="shared" si="98"/>
        <v>33618</v>
      </c>
      <c r="I3174" t="str">
        <f t="shared" si="99"/>
        <v>Gtf2i_33618</v>
      </c>
      <c r="J3174" s="3">
        <v>5657</v>
      </c>
      <c r="K3174" s="3">
        <v>480</v>
      </c>
      <c r="L3174" s="3">
        <v>1589</v>
      </c>
      <c r="M3174" s="3">
        <v>7654</v>
      </c>
      <c r="N3174" s="3">
        <v>18238</v>
      </c>
    </row>
    <row r="3175" spans="1:14" x14ac:dyDescent="0.2">
      <c r="A3175" s="5" t="str">
        <f>HYPERLINK("http://www.ncbi.nlm.nih.gov/protein/124001572","Gtf2i")</f>
        <v>Gtf2i</v>
      </c>
      <c r="B3175" s="4"/>
      <c r="C3175" s="3">
        <v>5657</v>
      </c>
      <c r="D3175" s="3">
        <v>480</v>
      </c>
      <c r="E3175" s="3">
        <v>1589</v>
      </c>
      <c r="F3175" s="3">
        <v>7654</v>
      </c>
      <c r="G3175" s="3">
        <v>18238</v>
      </c>
      <c r="H3175" s="2">
        <f t="shared" si="98"/>
        <v>33618</v>
      </c>
      <c r="I3175" t="str">
        <f t="shared" si="99"/>
        <v>Gtf2i_33618</v>
      </c>
      <c r="J3175" s="3">
        <v>5657</v>
      </c>
      <c r="K3175" s="3">
        <v>480</v>
      </c>
      <c r="L3175" s="3">
        <v>1589</v>
      </c>
      <c r="M3175" s="3">
        <v>7654</v>
      </c>
      <c r="N3175" s="3">
        <v>18238</v>
      </c>
    </row>
    <row r="3176" spans="1:14" x14ac:dyDescent="0.2">
      <c r="A3176" s="5" t="str">
        <f>HYPERLINK("http://www.ncbi.nlm.nih.gov/protein/124001574","Gtf2i")</f>
        <v>Gtf2i</v>
      </c>
      <c r="B3176" s="4"/>
      <c r="C3176" s="3">
        <v>5657</v>
      </c>
      <c r="D3176" s="3">
        <v>480</v>
      </c>
      <c r="E3176" s="3">
        <v>1589</v>
      </c>
      <c r="F3176" s="3">
        <v>7654</v>
      </c>
      <c r="G3176" s="3">
        <v>18238</v>
      </c>
      <c r="H3176" s="2">
        <f t="shared" si="98"/>
        <v>33618</v>
      </c>
      <c r="I3176" t="str">
        <f t="shared" si="99"/>
        <v>Gtf2i_33618</v>
      </c>
      <c r="J3176" s="3">
        <v>5657</v>
      </c>
      <c r="K3176" s="3">
        <v>480</v>
      </c>
      <c r="L3176" s="3">
        <v>1589</v>
      </c>
      <c r="M3176" s="3">
        <v>7654</v>
      </c>
      <c r="N3176" s="3">
        <v>18238</v>
      </c>
    </row>
    <row r="3177" spans="1:14" x14ac:dyDescent="0.2">
      <c r="A3177" s="5" t="str">
        <f>HYPERLINK("http://www.ncbi.nlm.nih.gov/protein/124001576","Gtf2i")</f>
        <v>Gtf2i</v>
      </c>
      <c r="B3177" s="4"/>
      <c r="C3177" s="3">
        <v>5657</v>
      </c>
      <c r="D3177" s="3">
        <v>480</v>
      </c>
      <c r="E3177" s="3">
        <v>1589</v>
      </c>
      <c r="F3177" s="3">
        <v>7654</v>
      </c>
      <c r="G3177" s="3">
        <v>18238</v>
      </c>
      <c r="H3177" s="2">
        <f t="shared" si="98"/>
        <v>33618</v>
      </c>
      <c r="I3177" t="str">
        <f t="shared" si="99"/>
        <v>Gtf2i_33618</v>
      </c>
      <c r="J3177" s="3">
        <v>5657</v>
      </c>
      <c r="K3177" s="3">
        <v>480</v>
      </c>
      <c r="L3177" s="3">
        <v>1589</v>
      </c>
      <c r="M3177" s="3">
        <v>7654</v>
      </c>
      <c r="N3177" s="3">
        <v>18238</v>
      </c>
    </row>
    <row r="3178" spans="1:14" x14ac:dyDescent="0.2">
      <c r="A3178" s="5" t="str">
        <f>HYPERLINK("http://www.ncbi.nlm.nih.gov/protein/124001578","Gtf2i")</f>
        <v>Gtf2i</v>
      </c>
      <c r="B3178" s="4"/>
      <c r="C3178" s="3">
        <v>5657</v>
      </c>
      <c r="D3178" s="3">
        <v>480</v>
      </c>
      <c r="E3178" s="3">
        <v>1589</v>
      </c>
      <c r="F3178" s="3">
        <v>7654</v>
      </c>
      <c r="G3178" s="3">
        <v>18238</v>
      </c>
      <c r="H3178" s="2">
        <f t="shared" si="98"/>
        <v>33618</v>
      </c>
      <c r="I3178" t="str">
        <f t="shared" si="99"/>
        <v>Gtf2i_33618</v>
      </c>
      <c r="J3178" s="3">
        <v>5657</v>
      </c>
      <c r="K3178" s="3">
        <v>480</v>
      </c>
      <c r="L3178" s="3">
        <v>1589</v>
      </c>
      <c r="M3178" s="3">
        <v>7654</v>
      </c>
      <c r="N3178" s="3">
        <v>18238</v>
      </c>
    </row>
    <row r="3179" spans="1:14" x14ac:dyDescent="0.2">
      <c r="A3179" s="5" t="str">
        <f>HYPERLINK("http://www.ncbi.nlm.nih.gov/protein/75677510","Gtf3c3")</f>
        <v>Gtf3c3</v>
      </c>
      <c r="B3179" s="4"/>
      <c r="C3179" s="3">
        <v>110</v>
      </c>
      <c r="D3179" s="3">
        <v>0</v>
      </c>
      <c r="E3179" s="3">
        <v>4</v>
      </c>
      <c r="F3179" s="3">
        <v>0</v>
      </c>
      <c r="G3179" s="3">
        <v>0</v>
      </c>
      <c r="H3179" s="2">
        <f t="shared" si="98"/>
        <v>114</v>
      </c>
      <c r="I3179" t="str">
        <f t="shared" si="99"/>
        <v>Gtf3c3_114</v>
      </c>
      <c r="J3179" s="3">
        <v>110</v>
      </c>
      <c r="K3179" s="3">
        <v>0</v>
      </c>
      <c r="L3179" s="3">
        <v>4</v>
      </c>
      <c r="M3179" s="3">
        <v>0</v>
      </c>
      <c r="N3179" s="3">
        <v>0</v>
      </c>
    </row>
    <row r="3180" spans="1:14" x14ac:dyDescent="0.2">
      <c r="A3180" s="5" t="str">
        <f>HYPERLINK("http://www.ncbi.nlm.nih.gov/protein/260436918","Gtf3c4")</f>
        <v>Gtf3c4</v>
      </c>
      <c r="B3180" s="4"/>
      <c r="C3180" s="3">
        <v>0</v>
      </c>
      <c r="D3180" s="3">
        <v>167</v>
      </c>
      <c r="E3180" s="3">
        <v>0</v>
      </c>
      <c r="F3180" s="3">
        <v>0</v>
      </c>
      <c r="G3180" s="3">
        <v>0</v>
      </c>
      <c r="H3180" s="2">
        <f t="shared" si="98"/>
        <v>167</v>
      </c>
      <c r="I3180" t="str">
        <f t="shared" si="99"/>
        <v>Gtf3c4_167</v>
      </c>
      <c r="J3180" s="3">
        <v>0</v>
      </c>
      <c r="K3180" s="3">
        <v>167</v>
      </c>
      <c r="L3180" s="3">
        <v>0</v>
      </c>
      <c r="M3180" s="3">
        <v>0</v>
      </c>
      <c r="N3180" s="3">
        <v>0</v>
      </c>
    </row>
    <row r="3181" spans="1:14" x14ac:dyDescent="0.2">
      <c r="A3181" s="5" t="str">
        <f>HYPERLINK("http://www.ncbi.nlm.nih.gov/protein/260447060","Gtf3c4")</f>
        <v>Gtf3c4</v>
      </c>
      <c r="B3181" s="4"/>
      <c r="C3181" s="3">
        <v>0</v>
      </c>
      <c r="D3181" s="3">
        <v>167</v>
      </c>
      <c r="E3181" s="3">
        <v>0</v>
      </c>
      <c r="F3181" s="3">
        <v>0</v>
      </c>
      <c r="G3181" s="3">
        <v>0</v>
      </c>
      <c r="H3181" s="2">
        <f t="shared" si="98"/>
        <v>167</v>
      </c>
      <c r="I3181" t="str">
        <f t="shared" si="99"/>
        <v>Gtf3c4_167</v>
      </c>
      <c r="J3181" s="3">
        <v>0</v>
      </c>
      <c r="K3181" s="3">
        <v>167</v>
      </c>
      <c r="L3181" s="3">
        <v>0</v>
      </c>
      <c r="M3181" s="3">
        <v>0</v>
      </c>
      <c r="N3181" s="3">
        <v>0</v>
      </c>
    </row>
    <row r="3182" spans="1:14" x14ac:dyDescent="0.2">
      <c r="A3182" s="5" t="str">
        <f>HYPERLINK("http://www.ncbi.nlm.nih.gov/protein/225543576","Gtl3")</f>
        <v>Gtl3</v>
      </c>
      <c r="B3182" s="4"/>
      <c r="C3182" s="3">
        <v>1959</v>
      </c>
      <c r="D3182" s="3">
        <v>1008</v>
      </c>
      <c r="E3182" s="3">
        <v>1253</v>
      </c>
      <c r="F3182" s="3">
        <v>458</v>
      </c>
      <c r="G3182" s="3">
        <v>7968</v>
      </c>
      <c r="H3182" s="2">
        <f t="shared" si="98"/>
        <v>12646</v>
      </c>
      <c r="I3182" t="str">
        <f t="shared" si="99"/>
        <v>Gtl3_12646</v>
      </c>
      <c r="J3182" s="3">
        <v>1959</v>
      </c>
      <c r="K3182" s="3">
        <v>1008</v>
      </c>
      <c r="L3182" s="3">
        <v>1253</v>
      </c>
      <c r="M3182" s="3">
        <v>458</v>
      </c>
      <c r="N3182" s="3">
        <v>7968</v>
      </c>
    </row>
    <row r="3183" spans="1:14" x14ac:dyDescent="0.2">
      <c r="A3183" s="5" t="str">
        <f>HYPERLINK("http://www.ncbi.nlm.nih.gov/protein/70778897","Gtpbp1")</f>
        <v>Gtpbp1</v>
      </c>
      <c r="B3183" s="4"/>
      <c r="C3183" s="3">
        <v>0</v>
      </c>
      <c r="D3183" s="3">
        <v>1703</v>
      </c>
      <c r="E3183" s="3">
        <v>5168</v>
      </c>
      <c r="F3183" s="3">
        <v>32857</v>
      </c>
      <c r="G3183" s="3">
        <v>2688</v>
      </c>
      <c r="H3183" s="2">
        <f t="shared" si="98"/>
        <v>42416</v>
      </c>
      <c r="I3183" t="str">
        <f t="shared" si="99"/>
        <v>Gtpbp1_42416</v>
      </c>
      <c r="J3183" s="3">
        <v>0</v>
      </c>
      <c r="K3183" s="3">
        <v>1703</v>
      </c>
      <c r="L3183" s="3">
        <v>5168</v>
      </c>
      <c r="M3183" s="3">
        <v>32857</v>
      </c>
      <c r="N3183" s="3">
        <v>2688</v>
      </c>
    </row>
    <row r="3184" spans="1:14" x14ac:dyDescent="0.2">
      <c r="A3184" s="5" t="str">
        <f>HYPERLINK("http://www.ncbi.nlm.nih.gov/protein/225543388","Gtpbp2")</f>
        <v>Gtpbp2</v>
      </c>
      <c r="B3184" s="4"/>
      <c r="C3184" s="3">
        <v>0</v>
      </c>
      <c r="D3184" s="3">
        <v>0</v>
      </c>
      <c r="E3184" s="3">
        <v>149</v>
      </c>
      <c r="F3184" s="3">
        <v>0</v>
      </c>
      <c r="G3184" s="3">
        <v>0</v>
      </c>
      <c r="H3184" s="2">
        <f t="shared" si="98"/>
        <v>149</v>
      </c>
      <c r="I3184" t="str">
        <f t="shared" si="99"/>
        <v>Gtpbp2_149</v>
      </c>
      <c r="J3184" s="3">
        <v>0</v>
      </c>
      <c r="K3184" s="3">
        <v>0</v>
      </c>
      <c r="L3184" s="3">
        <v>149</v>
      </c>
      <c r="M3184" s="3">
        <v>0</v>
      </c>
      <c r="N3184" s="3">
        <v>0</v>
      </c>
    </row>
    <row r="3185" spans="1:14" x14ac:dyDescent="0.2">
      <c r="A3185" s="5" t="str">
        <f>HYPERLINK("http://www.ncbi.nlm.nih.gov/protein/225543394","Gtpbp2")</f>
        <v>Gtpbp2</v>
      </c>
      <c r="B3185" s="4"/>
      <c r="C3185" s="3">
        <v>0</v>
      </c>
      <c r="D3185" s="3">
        <v>0</v>
      </c>
      <c r="E3185" s="3">
        <v>149</v>
      </c>
      <c r="F3185" s="3">
        <v>0</v>
      </c>
      <c r="G3185" s="3">
        <v>0</v>
      </c>
      <c r="H3185" s="2">
        <f t="shared" si="98"/>
        <v>149</v>
      </c>
      <c r="I3185" t="str">
        <f t="shared" si="99"/>
        <v>Gtpbp2_149</v>
      </c>
      <c r="J3185" s="3">
        <v>0</v>
      </c>
      <c r="K3185" s="3">
        <v>0</v>
      </c>
      <c r="L3185" s="3">
        <v>149</v>
      </c>
      <c r="M3185" s="3">
        <v>0</v>
      </c>
      <c r="N3185" s="3">
        <v>0</v>
      </c>
    </row>
    <row r="3186" spans="1:14" x14ac:dyDescent="0.2">
      <c r="A3186" s="5" t="str">
        <f>HYPERLINK("http://www.ncbi.nlm.nih.gov/protein/33414589","Gtpbp3")</f>
        <v>Gtpbp3</v>
      </c>
      <c r="B3186" s="4"/>
      <c r="C3186" s="3">
        <v>0</v>
      </c>
      <c r="D3186" s="3">
        <v>138</v>
      </c>
      <c r="E3186" s="3">
        <v>0</v>
      </c>
      <c r="F3186" s="3">
        <v>0</v>
      </c>
      <c r="G3186" s="3">
        <v>0</v>
      </c>
      <c r="H3186" s="2">
        <f t="shared" si="98"/>
        <v>138</v>
      </c>
      <c r="I3186" t="str">
        <f t="shared" si="99"/>
        <v>Gtpbp3_138</v>
      </c>
      <c r="J3186" s="3">
        <v>0</v>
      </c>
      <c r="K3186" s="3">
        <v>138</v>
      </c>
      <c r="L3186" s="3">
        <v>0</v>
      </c>
      <c r="M3186" s="3">
        <v>0</v>
      </c>
      <c r="N3186" s="3">
        <v>0</v>
      </c>
    </row>
    <row r="3187" spans="1:14" x14ac:dyDescent="0.2">
      <c r="A3187" s="5" t="str">
        <f>HYPERLINK("http://www.ncbi.nlm.nih.gov/protein/31560110","Gtpbp4")</f>
        <v>Gtpbp4</v>
      </c>
      <c r="B3187" s="4"/>
      <c r="C3187" s="3">
        <v>0</v>
      </c>
      <c r="D3187" s="3">
        <v>0</v>
      </c>
      <c r="E3187" s="3">
        <v>461</v>
      </c>
      <c r="F3187" s="3">
        <v>9675</v>
      </c>
      <c r="G3187" s="3">
        <v>0</v>
      </c>
      <c r="H3187" s="2">
        <f t="shared" si="98"/>
        <v>10136</v>
      </c>
      <c r="I3187" t="str">
        <f t="shared" si="99"/>
        <v>Gtpbp4_10136</v>
      </c>
      <c r="J3187" s="3">
        <v>0</v>
      </c>
      <c r="K3187" s="3">
        <v>0</v>
      </c>
      <c r="L3187" s="3">
        <v>461</v>
      </c>
      <c r="M3187" s="3">
        <v>9675</v>
      </c>
      <c r="N3187" s="3">
        <v>0</v>
      </c>
    </row>
    <row r="3188" spans="1:14" x14ac:dyDescent="0.2">
      <c r="A3188" s="5" t="str">
        <f>HYPERLINK("http://www.ncbi.nlm.nih.gov/protein/165972313","Gtpbp6")</f>
        <v>Gtpbp6</v>
      </c>
      <c r="B3188" s="4"/>
      <c r="C3188" s="3">
        <v>0</v>
      </c>
      <c r="D3188" s="3">
        <v>11398</v>
      </c>
      <c r="E3188" s="3">
        <v>0</v>
      </c>
      <c r="F3188" s="3">
        <v>0</v>
      </c>
      <c r="G3188" s="3">
        <v>0</v>
      </c>
      <c r="H3188" s="2">
        <f t="shared" si="98"/>
        <v>11398</v>
      </c>
      <c r="I3188" t="str">
        <f t="shared" si="99"/>
        <v>Gtpbp6_11398</v>
      </c>
      <c r="J3188" s="3">
        <v>0</v>
      </c>
      <c r="K3188" s="3">
        <v>11398</v>
      </c>
      <c r="L3188" s="3">
        <v>0</v>
      </c>
      <c r="M3188" s="3">
        <v>0</v>
      </c>
      <c r="N3188" s="3">
        <v>0</v>
      </c>
    </row>
    <row r="3189" spans="1:14" x14ac:dyDescent="0.2">
      <c r="A3189" s="5" t="str">
        <f>HYPERLINK("http://www.ncbi.nlm.nih.gov/protein/21313623","Gtpbp8")</f>
        <v>Gtpbp8</v>
      </c>
      <c r="B3189" s="4"/>
      <c r="C3189" s="3">
        <v>0</v>
      </c>
      <c r="D3189" s="3">
        <v>190</v>
      </c>
      <c r="E3189" s="3">
        <v>0</v>
      </c>
      <c r="F3189" s="3">
        <v>0</v>
      </c>
      <c r="G3189" s="3">
        <v>0</v>
      </c>
      <c r="H3189" s="2">
        <f t="shared" si="98"/>
        <v>190</v>
      </c>
      <c r="I3189" t="str">
        <f t="shared" si="99"/>
        <v>Gtpbp8_190</v>
      </c>
      <c r="J3189" s="3">
        <v>0</v>
      </c>
      <c r="K3189" s="3">
        <v>190</v>
      </c>
      <c r="L3189" s="3">
        <v>0</v>
      </c>
      <c r="M3189" s="3">
        <v>0</v>
      </c>
      <c r="N3189" s="3">
        <v>0</v>
      </c>
    </row>
    <row r="3190" spans="1:14" x14ac:dyDescent="0.2">
      <c r="A3190" s="5" t="str">
        <f>HYPERLINK("http://www.ncbi.nlm.nih.gov/protein/7305119","Gtse1")</f>
        <v>Gtse1</v>
      </c>
      <c r="B3190" s="4"/>
      <c r="C3190" s="3">
        <v>0</v>
      </c>
      <c r="D3190" s="3">
        <v>0</v>
      </c>
      <c r="E3190" s="3">
        <v>0</v>
      </c>
      <c r="F3190" s="3">
        <v>98</v>
      </c>
      <c r="G3190" s="3">
        <v>0</v>
      </c>
      <c r="H3190" s="2">
        <f t="shared" si="98"/>
        <v>98</v>
      </c>
      <c r="I3190" t="str">
        <f t="shared" si="99"/>
        <v>Gtse1_98</v>
      </c>
      <c r="J3190" s="3">
        <v>0</v>
      </c>
      <c r="K3190" s="3">
        <v>0</v>
      </c>
      <c r="L3190" s="3">
        <v>0</v>
      </c>
      <c r="M3190" s="3">
        <v>98</v>
      </c>
      <c r="N3190" s="3">
        <v>0</v>
      </c>
    </row>
    <row r="3191" spans="1:14" x14ac:dyDescent="0.2">
      <c r="A3191" s="5" t="str">
        <f>HYPERLINK("http://www.ncbi.nlm.nih.gov/protein/194688157","Gucy2d")</f>
        <v>Gucy2d</v>
      </c>
      <c r="B3191" s="4"/>
      <c r="C3191" s="3">
        <v>0</v>
      </c>
      <c r="D3191" s="3">
        <v>0</v>
      </c>
      <c r="E3191" s="3">
        <v>28</v>
      </c>
      <c r="F3191" s="3">
        <v>0</v>
      </c>
      <c r="G3191" s="3">
        <v>0</v>
      </c>
      <c r="H3191" s="2">
        <f t="shared" si="98"/>
        <v>28</v>
      </c>
      <c r="I3191" t="str">
        <f t="shared" si="99"/>
        <v>Gucy2d_28</v>
      </c>
      <c r="J3191" s="3">
        <v>0</v>
      </c>
      <c r="K3191" s="3">
        <v>0</v>
      </c>
      <c r="L3191" s="3">
        <v>28</v>
      </c>
      <c r="M3191" s="3">
        <v>0</v>
      </c>
      <c r="N3191" s="3">
        <v>0</v>
      </c>
    </row>
    <row r="3192" spans="1:14" x14ac:dyDescent="0.2">
      <c r="A3192" s="5" t="str">
        <f>HYPERLINK("http://www.ncbi.nlm.nih.gov/protein/56119098","Gucy2f")</f>
        <v>Gucy2f</v>
      </c>
      <c r="B3192" s="4"/>
      <c r="C3192" s="3">
        <v>3661</v>
      </c>
      <c r="D3192" s="3">
        <v>668</v>
      </c>
      <c r="E3192" s="3">
        <v>5201</v>
      </c>
      <c r="F3192" s="3">
        <v>6917</v>
      </c>
      <c r="G3192" s="3">
        <v>17360</v>
      </c>
      <c r="H3192" s="2">
        <f t="shared" si="98"/>
        <v>33807</v>
      </c>
      <c r="I3192" t="str">
        <f t="shared" si="99"/>
        <v>Gucy2f_33807</v>
      </c>
      <c r="J3192" s="3">
        <v>3661</v>
      </c>
      <c r="K3192" s="3">
        <v>668</v>
      </c>
      <c r="L3192" s="3">
        <v>5201</v>
      </c>
      <c r="M3192" s="3">
        <v>6917</v>
      </c>
      <c r="N3192" s="3">
        <v>17360</v>
      </c>
    </row>
    <row r="3193" spans="1:14" x14ac:dyDescent="0.2">
      <c r="A3193" s="5" t="str">
        <f>HYPERLINK("http://www.ncbi.nlm.nih.gov/protein/226874887","Guk1")</f>
        <v>Guk1</v>
      </c>
      <c r="B3193" s="4"/>
      <c r="C3193" s="3">
        <v>0</v>
      </c>
      <c r="D3193" s="3">
        <v>0</v>
      </c>
      <c r="E3193" s="3">
        <v>35</v>
      </c>
      <c r="F3193" s="3">
        <v>0</v>
      </c>
      <c r="G3193" s="3">
        <v>461</v>
      </c>
      <c r="H3193" s="2">
        <f t="shared" si="98"/>
        <v>496</v>
      </c>
      <c r="I3193" t="str">
        <f t="shared" si="99"/>
        <v>Guk1_496</v>
      </c>
      <c r="J3193" s="3">
        <v>0</v>
      </c>
      <c r="K3193" s="3">
        <v>0</v>
      </c>
      <c r="L3193" s="3">
        <v>35</v>
      </c>
      <c r="M3193" s="3">
        <v>0</v>
      </c>
      <c r="N3193" s="3">
        <v>461</v>
      </c>
    </row>
    <row r="3194" spans="1:14" x14ac:dyDescent="0.2">
      <c r="A3194" s="5" t="str">
        <f>HYPERLINK("http://www.ncbi.nlm.nih.gov/protein/226874891","Guk1")</f>
        <v>Guk1</v>
      </c>
      <c r="B3194" s="4"/>
      <c r="C3194" s="3">
        <v>0</v>
      </c>
      <c r="D3194" s="3">
        <v>0</v>
      </c>
      <c r="E3194" s="3">
        <v>35</v>
      </c>
      <c r="F3194" s="3">
        <v>0</v>
      </c>
      <c r="G3194" s="3">
        <v>461</v>
      </c>
      <c r="H3194" s="2">
        <f t="shared" si="98"/>
        <v>496</v>
      </c>
      <c r="I3194" t="str">
        <f t="shared" si="99"/>
        <v>Guk1_496</v>
      </c>
      <c r="J3194" s="3">
        <v>0</v>
      </c>
      <c r="K3194" s="3">
        <v>0</v>
      </c>
      <c r="L3194" s="3">
        <v>35</v>
      </c>
      <c r="M3194" s="3">
        <v>0</v>
      </c>
      <c r="N3194" s="3">
        <v>461</v>
      </c>
    </row>
    <row r="3195" spans="1:14" x14ac:dyDescent="0.2">
      <c r="A3195" s="5" t="str">
        <f>HYPERLINK("http://www.ncbi.nlm.nih.gov/protein/6754098","Gusb")</f>
        <v>Gusb</v>
      </c>
      <c r="B3195" s="4"/>
      <c r="C3195" s="3">
        <v>33116</v>
      </c>
      <c r="D3195" s="3">
        <v>38692</v>
      </c>
      <c r="E3195" s="3">
        <v>5988</v>
      </c>
      <c r="F3195" s="3">
        <v>57422</v>
      </c>
      <c r="G3195" s="3">
        <v>353</v>
      </c>
      <c r="H3195" s="2">
        <f t="shared" si="98"/>
        <v>135571</v>
      </c>
      <c r="I3195" t="str">
        <f t="shared" si="99"/>
        <v>Gusb_135571</v>
      </c>
      <c r="J3195" s="3">
        <v>33116</v>
      </c>
      <c r="K3195" s="3">
        <v>38692</v>
      </c>
      <c r="L3195" s="3">
        <v>5988</v>
      </c>
      <c r="M3195" s="3">
        <v>57422</v>
      </c>
      <c r="N3195" s="3">
        <v>353</v>
      </c>
    </row>
    <row r="3196" spans="1:14" x14ac:dyDescent="0.2">
      <c r="A3196" s="5" t="str">
        <f>HYPERLINK("http://www.ncbi.nlm.nih.gov/protein/115270958","Gvin1")</f>
        <v>Gvin1</v>
      </c>
      <c r="B3196" s="4"/>
      <c r="C3196" s="3">
        <v>0</v>
      </c>
      <c r="D3196" s="3">
        <v>0</v>
      </c>
      <c r="E3196" s="3">
        <v>31</v>
      </c>
      <c r="F3196" s="3">
        <v>0</v>
      </c>
      <c r="G3196" s="3">
        <v>0</v>
      </c>
      <c r="H3196" s="2">
        <f t="shared" si="98"/>
        <v>31</v>
      </c>
      <c r="I3196" t="str">
        <f t="shared" si="99"/>
        <v>Gvin1_31</v>
      </c>
      <c r="J3196" s="3">
        <v>0</v>
      </c>
      <c r="K3196" s="3">
        <v>0</v>
      </c>
      <c r="L3196" s="3">
        <v>31</v>
      </c>
      <c r="M3196" s="3">
        <v>0</v>
      </c>
      <c r="N3196" s="3">
        <v>0</v>
      </c>
    </row>
    <row r="3197" spans="1:14" x14ac:dyDescent="0.2">
      <c r="A3197" s="5" t="str">
        <f>HYPERLINK("http://www.ncbi.nlm.nih.gov/protein/85701786","Gxylt1")</f>
        <v>Gxylt1</v>
      </c>
      <c r="B3197" s="4"/>
      <c r="C3197" s="3">
        <v>0</v>
      </c>
      <c r="D3197" s="3">
        <v>307</v>
      </c>
      <c r="E3197" s="3">
        <v>25</v>
      </c>
      <c r="F3197" s="3">
        <v>0</v>
      </c>
      <c r="G3197" s="3">
        <v>0</v>
      </c>
      <c r="H3197" s="2">
        <f t="shared" si="98"/>
        <v>332</v>
      </c>
      <c r="I3197" t="str">
        <f t="shared" si="99"/>
        <v>Gxylt1_332</v>
      </c>
      <c r="J3197" s="3">
        <v>0</v>
      </c>
      <c r="K3197" s="3">
        <v>307</v>
      </c>
      <c r="L3197" s="3">
        <v>25</v>
      </c>
      <c r="M3197" s="3">
        <v>0</v>
      </c>
      <c r="N3197" s="3">
        <v>0</v>
      </c>
    </row>
    <row r="3198" spans="1:14" x14ac:dyDescent="0.2">
      <c r="A3198" s="5" t="str">
        <f>HYPERLINK("http://www.ncbi.nlm.nih.gov/protein/46909579","Gyk")</f>
        <v>Gyk</v>
      </c>
      <c r="B3198" s="4"/>
      <c r="C3198" s="3">
        <v>0</v>
      </c>
      <c r="D3198" s="3">
        <v>0</v>
      </c>
      <c r="E3198" s="3">
        <v>0</v>
      </c>
      <c r="F3198" s="3">
        <v>0</v>
      </c>
      <c r="G3198" s="3">
        <v>2849</v>
      </c>
      <c r="H3198" s="2">
        <f t="shared" si="98"/>
        <v>2849</v>
      </c>
      <c r="I3198" t="str">
        <f t="shared" si="99"/>
        <v>Gyk_2849</v>
      </c>
      <c r="J3198" s="3">
        <v>0</v>
      </c>
      <c r="K3198" s="3">
        <v>0</v>
      </c>
      <c r="L3198" s="3">
        <v>0</v>
      </c>
      <c r="M3198" s="3">
        <v>0</v>
      </c>
      <c r="N3198" s="3">
        <v>2849</v>
      </c>
    </row>
    <row r="3199" spans="1:14" x14ac:dyDescent="0.2">
      <c r="A3199" s="5" t="str">
        <f>HYPERLINK("http://www.ncbi.nlm.nih.gov/protein/6680139","Gyk")</f>
        <v>Gyk</v>
      </c>
      <c r="B3199" s="4"/>
      <c r="C3199" s="3">
        <v>0</v>
      </c>
      <c r="D3199" s="3">
        <v>0</v>
      </c>
      <c r="E3199" s="3">
        <v>0</v>
      </c>
      <c r="F3199" s="3">
        <v>0</v>
      </c>
      <c r="G3199" s="3">
        <v>2849</v>
      </c>
      <c r="H3199" s="2">
        <f t="shared" si="98"/>
        <v>2849</v>
      </c>
      <c r="I3199" t="str">
        <f t="shared" si="99"/>
        <v>Gyk_2849</v>
      </c>
      <c r="J3199" s="3">
        <v>0</v>
      </c>
      <c r="K3199" s="3">
        <v>0</v>
      </c>
      <c r="L3199" s="3">
        <v>0</v>
      </c>
      <c r="M3199" s="3">
        <v>0</v>
      </c>
      <c r="N3199" s="3">
        <v>2849</v>
      </c>
    </row>
    <row r="3200" spans="1:14" x14ac:dyDescent="0.2">
      <c r="A3200" s="5" t="str">
        <f>HYPERLINK("http://www.ncbi.nlm.nih.gov/protein/49355801","Gykl1")</f>
        <v>Gykl1</v>
      </c>
      <c r="B3200" s="4"/>
      <c r="C3200" s="3">
        <v>0</v>
      </c>
      <c r="D3200" s="3">
        <v>0</v>
      </c>
      <c r="E3200" s="3">
        <v>0</v>
      </c>
      <c r="F3200" s="3">
        <v>0</v>
      </c>
      <c r="G3200" s="3">
        <v>1157</v>
      </c>
      <c r="H3200" s="2">
        <f t="shared" si="98"/>
        <v>1157</v>
      </c>
      <c r="I3200" t="str">
        <f t="shared" si="99"/>
        <v>Gykl1_1157</v>
      </c>
      <c r="J3200" s="3">
        <v>0</v>
      </c>
      <c r="K3200" s="3">
        <v>0</v>
      </c>
      <c r="L3200" s="3">
        <v>0</v>
      </c>
      <c r="M3200" s="3">
        <v>0</v>
      </c>
      <c r="N3200" s="3">
        <v>1157</v>
      </c>
    </row>
    <row r="3201" spans="1:14" x14ac:dyDescent="0.2">
      <c r="A3201" s="5" t="str">
        <f>HYPERLINK("http://www.ncbi.nlm.nih.gov/protein/262231828","Gyltl1b")</f>
        <v>Gyltl1b</v>
      </c>
      <c r="B3201" s="4"/>
      <c r="C3201" s="3">
        <v>0</v>
      </c>
      <c r="D3201" s="3">
        <v>177</v>
      </c>
      <c r="E3201" s="3">
        <v>0</v>
      </c>
      <c r="F3201" s="3">
        <v>0</v>
      </c>
      <c r="G3201" s="3">
        <v>0</v>
      </c>
      <c r="H3201" s="2">
        <f t="shared" si="98"/>
        <v>177</v>
      </c>
      <c r="I3201" t="str">
        <f t="shared" si="99"/>
        <v>Gyltl1b_177</v>
      </c>
      <c r="J3201" s="3">
        <v>0</v>
      </c>
      <c r="K3201" s="3">
        <v>177</v>
      </c>
      <c r="L3201" s="3">
        <v>0</v>
      </c>
      <c r="M3201" s="3">
        <v>0</v>
      </c>
      <c r="N3201" s="3">
        <v>0</v>
      </c>
    </row>
    <row r="3202" spans="1:14" x14ac:dyDescent="0.2">
      <c r="A3202" s="5" t="str">
        <f>HYPERLINK("http://www.ncbi.nlm.nih.gov/protein/262231830","Gyltl1b")</f>
        <v>Gyltl1b</v>
      </c>
      <c r="B3202" s="4"/>
      <c r="C3202" s="3">
        <v>0</v>
      </c>
      <c r="D3202" s="3">
        <v>177</v>
      </c>
      <c r="E3202" s="3">
        <v>0</v>
      </c>
      <c r="F3202" s="3">
        <v>0</v>
      </c>
      <c r="G3202" s="3">
        <v>0</v>
      </c>
      <c r="H3202" s="2">
        <f t="shared" ref="H3202:H3265" si="100">SUM(C3202:G3202)</f>
        <v>177</v>
      </c>
      <c r="I3202" t="str">
        <f t="shared" ref="I3202:I3265" si="101">A3202&amp;"_"&amp;H3202</f>
        <v>Gyltl1b_177</v>
      </c>
      <c r="J3202" s="3">
        <v>0</v>
      </c>
      <c r="K3202" s="3">
        <v>177</v>
      </c>
      <c r="L3202" s="3">
        <v>0</v>
      </c>
      <c r="M3202" s="3">
        <v>0</v>
      </c>
      <c r="N3202" s="3">
        <v>0</v>
      </c>
    </row>
    <row r="3203" spans="1:14" x14ac:dyDescent="0.2">
      <c r="A3203" s="5" t="str">
        <f>HYPERLINK("http://www.ncbi.nlm.nih.gov/protein/31560022","Gys1")</f>
        <v>Gys1</v>
      </c>
      <c r="B3203" s="4"/>
      <c r="C3203" s="3">
        <v>0</v>
      </c>
      <c r="D3203" s="3">
        <v>0</v>
      </c>
      <c r="E3203" s="3">
        <v>0</v>
      </c>
      <c r="F3203" s="3">
        <v>43596</v>
      </c>
      <c r="G3203" s="3">
        <v>2442</v>
      </c>
      <c r="H3203" s="2">
        <f t="shared" si="100"/>
        <v>46038</v>
      </c>
      <c r="I3203" t="str">
        <f t="shared" si="101"/>
        <v>Gys1_46038</v>
      </c>
      <c r="J3203" s="3">
        <v>0</v>
      </c>
      <c r="K3203" s="3">
        <v>0</v>
      </c>
      <c r="L3203" s="3">
        <v>0</v>
      </c>
      <c r="M3203" s="3">
        <v>43596</v>
      </c>
      <c r="N3203" s="3">
        <v>2442</v>
      </c>
    </row>
    <row r="3204" spans="1:14" x14ac:dyDescent="0.2">
      <c r="A3204" s="5" t="str">
        <f>HYPERLINK("http://www.ncbi.nlm.nih.gov/protein/37674207","Gzf1")</f>
        <v>Gzf1</v>
      </c>
      <c r="B3204" s="4"/>
      <c r="C3204" s="3">
        <v>0</v>
      </c>
      <c r="D3204" s="3">
        <v>0</v>
      </c>
      <c r="E3204" s="3">
        <v>1</v>
      </c>
      <c r="F3204" s="3">
        <v>0</v>
      </c>
      <c r="G3204" s="3">
        <v>0</v>
      </c>
      <c r="H3204" s="2">
        <f t="shared" si="100"/>
        <v>1</v>
      </c>
      <c r="I3204" t="str">
        <f t="shared" si="101"/>
        <v>Gzf1_1</v>
      </c>
      <c r="J3204" s="3">
        <v>0</v>
      </c>
      <c r="K3204" s="3">
        <v>0</v>
      </c>
      <c r="L3204" s="3">
        <v>1</v>
      </c>
      <c r="M3204" s="3">
        <v>0</v>
      </c>
      <c r="N3204" s="3">
        <v>0</v>
      </c>
    </row>
    <row r="3205" spans="1:14" x14ac:dyDescent="0.2">
      <c r="A3205" s="5" t="str">
        <f>HYPERLINK("http://www.ncbi.nlm.nih.gov/protein/227116335","H13")</f>
        <v>H13</v>
      </c>
      <c r="B3205" s="4"/>
      <c r="C3205" s="3">
        <v>0</v>
      </c>
      <c r="D3205" s="3">
        <v>0</v>
      </c>
      <c r="E3205" s="3">
        <v>1007</v>
      </c>
      <c r="F3205" s="3">
        <v>0</v>
      </c>
      <c r="G3205" s="3">
        <v>0</v>
      </c>
      <c r="H3205" s="2">
        <f t="shared" si="100"/>
        <v>1007</v>
      </c>
      <c r="I3205" t="str">
        <f t="shared" si="101"/>
        <v>H13_1007</v>
      </c>
      <c r="J3205" s="3">
        <v>0</v>
      </c>
      <c r="K3205" s="3">
        <v>0</v>
      </c>
      <c r="L3205" s="3">
        <v>1007</v>
      </c>
      <c r="M3205" s="3">
        <v>0</v>
      </c>
      <c r="N3205" s="3">
        <v>0</v>
      </c>
    </row>
    <row r="3206" spans="1:14" x14ac:dyDescent="0.2">
      <c r="A3206" s="5" t="str">
        <f>HYPERLINK("http://www.ncbi.nlm.nih.gov/protein/227116337","H13")</f>
        <v>H13</v>
      </c>
      <c r="B3206" s="4"/>
      <c r="C3206" s="3">
        <v>0</v>
      </c>
      <c r="D3206" s="3">
        <v>0</v>
      </c>
      <c r="E3206" s="3">
        <v>1007</v>
      </c>
      <c r="F3206" s="3">
        <v>0</v>
      </c>
      <c r="G3206" s="3">
        <v>0</v>
      </c>
      <c r="H3206" s="2">
        <f t="shared" si="100"/>
        <v>1007</v>
      </c>
      <c r="I3206" t="str">
        <f t="shared" si="101"/>
        <v>H13_1007</v>
      </c>
      <c r="J3206" s="3">
        <v>0</v>
      </c>
      <c r="K3206" s="3">
        <v>0</v>
      </c>
      <c r="L3206" s="3">
        <v>1007</v>
      </c>
      <c r="M3206" s="3">
        <v>0</v>
      </c>
      <c r="N3206" s="3">
        <v>0</v>
      </c>
    </row>
    <row r="3207" spans="1:14" x14ac:dyDescent="0.2">
      <c r="A3207" s="5" t="str">
        <f>HYPERLINK("http://www.ncbi.nlm.nih.gov/protein/227116339","H13")</f>
        <v>H13</v>
      </c>
      <c r="B3207" s="4"/>
      <c r="C3207" s="3">
        <v>0</v>
      </c>
      <c r="D3207" s="3">
        <v>0</v>
      </c>
      <c r="E3207" s="3">
        <v>1007</v>
      </c>
      <c r="F3207" s="3">
        <v>0</v>
      </c>
      <c r="G3207" s="3">
        <v>0</v>
      </c>
      <c r="H3207" s="2">
        <f t="shared" si="100"/>
        <v>1007</v>
      </c>
      <c r="I3207" t="str">
        <f t="shared" si="101"/>
        <v>H13_1007</v>
      </c>
      <c r="J3207" s="3">
        <v>0</v>
      </c>
      <c r="K3207" s="3">
        <v>0</v>
      </c>
      <c r="L3207" s="3">
        <v>1007</v>
      </c>
      <c r="M3207" s="3">
        <v>0</v>
      </c>
      <c r="N3207" s="3">
        <v>0</v>
      </c>
    </row>
    <row r="3208" spans="1:14" x14ac:dyDescent="0.2">
      <c r="A3208" s="5" t="str">
        <f>HYPERLINK("http://www.ncbi.nlm.nih.gov/protein/18034682","H13")</f>
        <v>H13</v>
      </c>
      <c r="B3208" s="4"/>
      <c r="C3208" s="3">
        <v>0</v>
      </c>
      <c r="D3208" s="3">
        <v>138</v>
      </c>
      <c r="E3208" s="3">
        <v>1086</v>
      </c>
      <c r="F3208" s="3">
        <v>49</v>
      </c>
      <c r="G3208" s="3">
        <v>0</v>
      </c>
      <c r="H3208" s="2">
        <f t="shared" si="100"/>
        <v>1273</v>
      </c>
      <c r="I3208" t="str">
        <f t="shared" si="101"/>
        <v>H13_1273</v>
      </c>
      <c r="J3208" s="3">
        <v>0</v>
      </c>
      <c r="K3208" s="3">
        <v>138</v>
      </c>
      <c r="L3208" s="3">
        <v>1086</v>
      </c>
      <c r="M3208" s="3">
        <v>49</v>
      </c>
      <c r="N3208" s="3">
        <v>0</v>
      </c>
    </row>
    <row r="3209" spans="1:14" x14ac:dyDescent="0.2">
      <c r="A3209" s="5" t="str">
        <f>HYPERLINK("http://www.ncbi.nlm.nih.gov/protein/31560697","H1f0")</f>
        <v>H1f0</v>
      </c>
      <c r="B3209" s="4"/>
      <c r="C3209" s="3">
        <v>384353</v>
      </c>
      <c r="D3209" s="3">
        <v>647</v>
      </c>
      <c r="E3209" s="3">
        <v>2246</v>
      </c>
      <c r="F3209" s="3">
        <v>630</v>
      </c>
      <c r="G3209" s="3">
        <v>0</v>
      </c>
      <c r="H3209" s="2">
        <f t="shared" si="100"/>
        <v>387876</v>
      </c>
      <c r="I3209" t="str">
        <f t="shared" si="101"/>
        <v>H1f0_387876</v>
      </c>
      <c r="J3209" s="3">
        <v>384353</v>
      </c>
      <c r="K3209" s="3">
        <v>647</v>
      </c>
      <c r="L3209" s="3">
        <v>2246</v>
      </c>
      <c r="M3209" s="3">
        <v>630</v>
      </c>
      <c r="N3209" s="3">
        <v>0</v>
      </c>
    </row>
    <row r="3210" spans="1:14" x14ac:dyDescent="0.2">
      <c r="A3210" s="5" t="str">
        <f>HYPERLINK("http://www.ncbi.nlm.nih.gov/protein/257196238","H1fnt")</f>
        <v>H1fnt</v>
      </c>
      <c r="B3210" s="4"/>
      <c r="C3210" s="3">
        <v>0</v>
      </c>
      <c r="D3210" s="3">
        <v>555</v>
      </c>
      <c r="E3210" s="3">
        <v>0</v>
      </c>
      <c r="F3210" s="3">
        <v>0</v>
      </c>
      <c r="G3210" s="3">
        <v>0</v>
      </c>
      <c r="H3210" s="2">
        <f t="shared" si="100"/>
        <v>555</v>
      </c>
      <c r="I3210" t="str">
        <f t="shared" si="101"/>
        <v>H1fnt_555</v>
      </c>
      <c r="J3210" s="3">
        <v>0</v>
      </c>
      <c r="K3210" s="3">
        <v>555</v>
      </c>
      <c r="L3210" s="3">
        <v>0</v>
      </c>
      <c r="M3210" s="3">
        <v>0</v>
      </c>
      <c r="N3210" s="3">
        <v>0</v>
      </c>
    </row>
    <row r="3211" spans="1:14" x14ac:dyDescent="0.2">
      <c r="A3211" s="5" t="str">
        <f>HYPERLINK("http://www.ncbi.nlm.nih.gov/protein/29244126","H2afj")</f>
        <v>H2afj</v>
      </c>
      <c r="B3211" s="4"/>
      <c r="C3211" s="3">
        <v>11324321</v>
      </c>
      <c r="D3211" s="3">
        <v>115502</v>
      </c>
      <c r="E3211" s="3">
        <v>91304</v>
      </c>
      <c r="F3211" s="3">
        <v>353641</v>
      </c>
      <c r="G3211" s="3">
        <v>16096</v>
      </c>
      <c r="H3211" s="2">
        <f t="shared" si="100"/>
        <v>11900864</v>
      </c>
      <c r="I3211" t="str">
        <f t="shared" si="101"/>
        <v>H2afj_11900864</v>
      </c>
      <c r="J3211" s="3">
        <v>11324321</v>
      </c>
      <c r="K3211" s="3">
        <v>115502</v>
      </c>
      <c r="L3211" s="3">
        <v>91304</v>
      </c>
      <c r="M3211" s="3">
        <v>353641</v>
      </c>
      <c r="N3211" s="3">
        <v>16096</v>
      </c>
    </row>
    <row r="3212" spans="1:14" x14ac:dyDescent="0.2">
      <c r="A3212" s="5" t="str">
        <f>HYPERLINK("http://www.ncbi.nlm.nih.gov/protein/256773209","H2afv")</f>
        <v>H2afv</v>
      </c>
      <c r="B3212" s="4"/>
      <c r="C3212" s="3">
        <v>11342187</v>
      </c>
      <c r="D3212" s="3">
        <v>125234</v>
      </c>
      <c r="E3212" s="3">
        <v>94469</v>
      </c>
      <c r="F3212" s="3">
        <v>438263</v>
      </c>
      <c r="G3212" s="3">
        <v>16096</v>
      </c>
      <c r="H3212" s="2">
        <f t="shared" si="100"/>
        <v>12016249</v>
      </c>
      <c r="I3212" t="str">
        <f t="shared" si="101"/>
        <v>H2afv_12016249</v>
      </c>
      <c r="J3212" s="3">
        <v>11342187</v>
      </c>
      <c r="K3212" s="3">
        <v>125234</v>
      </c>
      <c r="L3212" s="3">
        <v>94469</v>
      </c>
      <c r="M3212" s="3">
        <v>438263</v>
      </c>
      <c r="N3212" s="3">
        <v>16096</v>
      </c>
    </row>
    <row r="3213" spans="1:14" x14ac:dyDescent="0.2">
      <c r="A3213" s="5" t="str">
        <f>HYPERLINK("http://www.ncbi.nlm.nih.gov/protein/7106331","H2afx")</f>
        <v>H2afx</v>
      </c>
      <c r="B3213" s="4"/>
      <c r="C3213" s="3">
        <v>10798370</v>
      </c>
      <c r="D3213" s="3">
        <v>115258</v>
      </c>
      <c r="E3213" s="3">
        <v>91061</v>
      </c>
      <c r="F3213" s="3">
        <v>399349</v>
      </c>
      <c r="G3213" s="3">
        <v>16096</v>
      </c>
      <c r="H3213" s="2">
        <f t="shared" si="100"/>
        <v>11420134</v>
      </c>
      <c r="I3213" t="str">
        <f t="shared" si="101"/>
        <v>H2afx_11420134</v>
      </c>
      <c r="J3213" s="3">
        <v>10798370</v>
      </c>
      <c r="K3213" s="3">
        <v>115258</v>
      </c>
      <c r="L3213" s="3">
        <v>91061</v>
      </c>
      <c r="M3213" s="3">
        <v>399349</v>
      </c>
      <c r="N3213" s="3">
        <v>16096</v>
      </c>
    </row>
    <row r="3214" spans="1:14" x14ac:dyDescent="0.2">
      <c r="A3214" s="5" t="str">
        <f>HYPERLINK("http://www.ncbi.nlm.nih.gov/protein/283945572","H2afy")</f>
        <v>H2afy</v>
      </c>
      <c r="B3214" s="4"/>
      <c r="C3214" s="3">
        <v>258170</v>
      </c>
      <c r="D3214" s="3">
        <v>0</v>
      </c>
      <c r="E3214" s="3">
        <v>0</v>
      </c>
      <c r="F3214" s="3">
        <v>2865</v>
      </c>
      <c r="G3214" s="3">
        <v>0</v>
      </c>
      <c r="H3214" s="2">
        <f t="shared" si="100"/>
        <v>261035</v>
      </c>
      <c r="I3214" t="str">
        <f t="shared" si="101"/>
        <v>H2afy_261035</v>
      </c>
      <c r="J3214" s="3">
        <v>258170</v>
      </c>
      <c r="K3214" s="3">
        <v>0</v>
      </c>
      <c r="L3214" s="3">
        <v>0</v>
      </c>
      <c r="M3214" s="3">
        <v>2865</v>
      </c>
      <c r="N3214" s="3">
        <v>0</v>
      </c>
    </row>
    <row r="3215" spans="1:14" x14ac:dyDescent="0.2">
      <c r="A3215" s="5" t="str">
        <f>HYPERLINK("http://www.ncbi.nlm.nih.gov/protein/283945575","H2afy")</f>
        <v>H2afy</v>
      </c>
      <c r="B3215" s="4"/>
      <c r="C3215" s="3">
        <v>258170</v>
      </c>
      <c r="D3215" s="3">
        <v>0</v>
      </c>
      <c r="E3215" s="3">
        <v>0</v>
      </c>
      <c r="F3215" s="3">
        <v>2865</v>
      </c>
      <c r="G3215" s="3">
        <v>0</v>
      </c>
      <c r="H3215" s="2">
        <f t="shared" si="100"/>
        <v>261035</v>
      </c>
      <c r="I3215" t="str">
        <f t="shared" si="101"/>
        <v>H2afy_261035</v>
      </c>
      <c r="J3215" s="3">
        <v>258170</v>
      </c>
      <c r="K3215" s="3">
        <v>0</v>
      </c>
      <c r="L3215" s="3">
        <v>0</v>
      </c>
      <c r="M3215" s="3">
        <v>2865</v>
      </c>
      <c r="N3215" s="3">
        <v>0</v>
      </c>
    </row>
    <row r="3216" spans="1:14" x14ac:dyDescent="0.2">
      <c r="A3216" s="5" t="str">
        <f>HYPERLINK("http://www.ncbi.nlm.nih.gov/protein/283945579","H2afy")</f>
        <v>H2afy</v>
      </c>
      <c r="B3216" s="4"/>
      <c r="C3216" s="3">
        <v>258170</v>
      </c>
      <c r="D3216" s="3">
        <v>0</v>
      </c>
      <c r="E3216" s="3">
        <v>0</v>
      </c>
      <c r="F3216" s="3">
        <v>2865</v>
      </c>
      <c r="G3216" s="3">
        <v>0</v>
      </c>
      <c r="H3216" s="2">
        <f t="shared" si="100"/>
        <v>261035</v>
      </c>
      <c r="I3216" t="str">
        <f t="shared" si="101"/>
        <v>H2afy_261035</v>
      </c>
      <c r="J3216" s="3">
        <v>258170</v>
      </c>
      <c r="K3216" s="3">
        <v>0</v>
      </c>
      <c r="L3216" s="3">
        <v>0</v>
      </c>
      <c r="M3216" s="3">
        <v>2865</v>
      </c>
      <c r="N3216" s="3">
        <v>0</v>
      </c>
    </row>
    <row r="3217" spans="1:14" x14ac:dyDescent="0.2">
      <c r="A3217" s="5" t="str">
        <f>HYPERLINK("http://www.ncbi.nlm.nih.gov/protein/41152517","H2afy")</f>
        <v>H2afy</v>
      </c>
      <c r="B3217" s="4"/>
      <c r="C3217" s="3">
        <v>258170</v>
      </c>
      <c r="D3217" s="3">
        <v>0</v>
      </c>
      <c r="E3217" s="3">
        <v>0</v>
      </c>
      <c r="F3217" s="3">
        <v>2865</v>
      </c>
      <c r="G3217" s="3">
        <v>0</v>
      </c>
      <c r="H3217" s="2">
        <f t="shared" si="100"/>
        <v>261035</v>
      </c>
      <c r="I3217" t="str">
        <f t="shared" si="101"/>
        <v>H2afy_261035</v>
      </c>
      <c r="J3217" s="3">
        <v>258170</v>
      </c>
      <c r="K3217" s="3">
        <v>0</v>
      </c>
      <c r="L3217" s="3">
        <v>0</v>
      </c>
      <c r="M3217" s="3">
        <v>2865</v>
      </c>
      <c r="N3217" s="3">
        <v>0</v>
      </c>
    </row>
    <row r="3218" spans="1:14" x14ac:dyDescent="0.2">
      <c r="A3218" s="5" t="str">
        <f>HYPERLINK("http://www.ncbi.nlm.nih.gov/protein/46250738","H2afy2")</f>
        <v>H2afy2</v>
      </c>
      <c r="B3218" s="4"/>
      <c r="C3218" s="3">
        <v>92281</v>
      </c>
      <c r="D3218" s="3">
        <v>0</v>
      </c>
      <c r="E3218" s="3">
        <v>0</v>
      </c>
      <c r="F3218" s="3">
        <v>2726</v>
      </c>
      <c r="G3218" s="3">
        <v>0</v>
      </c>
      <c r="H3218" s="2">
        <f t="shared" si="100"/>
        <v>95007</v>
      </c>
      <c r="I3218" t="str">
        <f t="shared" si="101"/>
        <v>H2afy2_95007</v>
      </c>
      <c r="J3218" s="3">
        <v>92281</v>
      </c>
      <c r="K3218" s="3">
        <v>0</v>
      </c>
      <c r="L3218" s="3">
        <v>0</v>
      </c>
      <c r="M3218" s="3">
        <v>2726</v>
      </c>
      <c r="N3218" s="3">
        <v>0</v>
      </c>
    </row>
    <row r="3219" spans="1:14" x14ac:dyDescent="0.2">
      <c r="A3219" s="5" t="str">
        <f>HYPERLINK("http://www.ncbi.nlm.nih.gov/protein/7949045","H2afz")</f>
        <v>H2afz</v>
      </c>
      <c r="B3219" s="4"/>
      <c r="C3219" s="3">
        <v>11342187</v>
      </c>
      <c r="D3219" s="3">
        <v>125234</v>
      </c>
      <c r="E3219" s="3">
        <v>94469</v>
      </c>
      <c r="F3219" s="3">
        <v>434244</v>
      </c>
      <c r="G3219" s="3">
        <v>16096</v>
      </c>
      <c r="H3219" s="2">
        <f t="shared" si="100"/>
        <v>12012230</v>
      </c>
      <c r="I3219" t="str">
        <f t="shared" si="101"/>
        <v>H2afz_12012230</v>
      </c>
      <c r="J3219" s="3">
        <v>11342187</v>
      </c>
      <c r="K3219" s="3">
        <v>125234</v>
      </c>
      <c r="L3219" s="3">
        <v>94469</v>
      </c>
      <c r="M3219" s="3">
        <v>434244</v>
      </c>
      <c r="N3219" s="3">
        <v>16096</v>
      </c>
    </row>
    <row r="3220" spans="1:14" x14ac:dyDescent="0.2">
      <c r="A3220" s="5" t="str">
        <f>HYPERLINK("http://www.ncbi.nlm.nih.gov/protein/133778955","H2-D1")</f>
        <v>H2-D1</v>
      </c>
      <c r="B3220" s="4"/>
      <c r="C3220" s="3">
        <v>2233</v>
      </c>
      <c r="D3220" s="3">
        <v>797</v>
      </c>
      <c r="E3220" s="3">
        <v>623</v>
      </c>
      <c r="F3220" s="3">
        <v>0</v>
      </c>
      <c r="G3220" s="3">
        <v>0</v>
      </c>
      <c r="H3220" s="2">
        <f t="shared" si="100"/>
        <v>3653</v>
      </c>
      <c r="I3220" t="str">
        <f t="shared" si="101"/>
        <v>H2-D1_3653</v>
      </c>
      <c r="J3220" s="3">
        <v>2233</v>
      </c>
      <c r="K3220" s="3">
        <v>797</v>
      </c>
      <c r="L3220" s="3">
        <v>623</v>
      </c>
      <c r="M3220" s="3">
        <v>0</v>
      </c>
      <c r="N3220" s="3">
        <v>0</v>
      </c>
    </row>
    <row r="3221" spans="1:14" x14ac:dyDescent="0.2">
      <c r="A3221" s="5" t="str">
        <f>HYPERLINK("http://www.ncbi.nlm.nih.gov/protein/133922588","H2-K1")</f>
        <v>H2-K1</v>
      </c>
      <c r="B3221" s="4"/>
      <c r="C3221" s="3">
        <v>4302</v>
      </c>
      <c r="D3221" s="3">
        <v>2545</v>
      </c>
      <c r="E3221" s="3">
        <v>1479</v>
      </c>
      <c r="F3221" s="3">
        <v>0</v>
      </c>
      <c r="G3221" s="3">
        <v>0</v>
      </c>
      <c r="H3221" s="2">
        <f t="shared" si="100"/>
        <v>8326</v>
      </c>
      <c r="I3221" t="str">
        <f t="shared" si="101"/>
        <v>H2-K1_8326</v>
      </c>
      <c r="J3221" s="3">
        <v>4302</v>
      </c>
      <c r="K3221" s="3">
        <v>2545</v>
      </c>
      <c r="L3221" s="3">
        <v>1479</v>
      </c>
      <c r="M3221" s="3">
        <v>0</v>
      </c>
      <c r="N3221" s="3">
        <v>0</v>
      </c>
    </row>
    <row r="3222" spans="1:14" x14ac:dyDescent="0.2">
      <c r="A3222" s="5" t="str">
        <f>HYPERLINK("http://www.ncbi.nlm.nih.gov/protein/6754128;297747288","H2-Ke2")</f>
        <v>H2-Ke2</v>
      </c>
      <c r="B3222" s="4"/>
      <c r="C3222" s="3">
        <v>0</v>
      </c>
      <c r="D3222" s="3">
        <v>0</v>
      </c>
      <c r="E3222" s="3">
        <v>440</v>
      </c>
      <c r="F3222" s="3">
        <v>0</v>
      </c>
      <c r="G3222" s="3">
        <v>0</v>
      </c>
      <c r="H3222" s="2">
        <f t="shared" si="100"/>
        <v>440</v>
      </c>
      <c r="I3222" t="str">
        <f t="shared" si="101"/>
        <v>H2-Ke2_440</v>
      </c>
      <c r="J3222" s="3">
        <v>0</v>
      </c>
      <c r="K3222" s="3">
        <v>0</v>
      </c>
      <c r="L3222" s="3">
        <v>440</v>
      </c>
      <c r="M3222" s="3">
        <v>0</v>
      </c>
      <c r="N3222" s="3">
        <v>0</v>
      </c>
    </row>
    <row r="3223" spans="1:14" x14ac:dyDescent="0.2">
      <c r="A3223" s="5" t="str">
        <f>HYPERLINK("http://www.ncbi.nlm.nih.gov/protein/297747288","H2-Ke2")</f>
        <v>H2-Ke2</v>
      </c>
      <c r="B3223" s="4"/>
      <c r="C3223" s="3">
        <v>0</v>
      </c>
      <c r="D3223" s="3">
        <v>0</v>
      </c>
      <c r="E3223" s="3">
        <v>0</v>
      </c>
      <c r="F3223" s="3">
        <v>0</v>
      </c>
      <c r="G3223" s="3">
        <v>3909</v>
      </c>
      <c r="H3223" s="2">
        <f t="shared" si="100"/>
        <v>3909</v>
      </c>
      <c r="I3223" t="str">
        <f t="shared" si="101"/>
        <v>H2-Ke2_3909</v>
      </c>
      <c r="J3223" s="3">
        <v>0</v>
      </c>
      <c r="K3223" s="3">
        <v>0</v>
      </c>
      <c r="L3223" s="3">
        <v>0</v>
      </c>
      <c r="M3223" s="3">
        <v>0</v>
      </c>
      <c r="N3223" s="3">
        <v>3909</v>
      </c>
    </row>
    <row r="3224" spans="1:14" x14ac:dyDescent="0.2">
      <c r="A3224" s="5" t="str">
        <f>HYPERLINK("http://www.ncbi.nlm.nih.gov/protein/157951743","H2-Ke6")</f>
        <v>H2-Ke6</v>
      </c>
      <c r="B3224" s="4"/>
      <c r="C3224" s="3">
        <v>13089</v>
      </c>
      <c r="D3224" s="3">
        <v>11709</v>
      </c>
      <c r="E3224" s="3">
        <v>7</v>
      </c>
      <c r="F3224" s="3">
        <v>647</v>
      </c>
      <c r="G3224" s="3">
        <v>0</v>
      </c>
      <c r="H3224" s="2">
        <f t="shared" si="100"/>
        <v>25452</v>
      </c>
      <c r="I3224" t="str">
        <f t="shared" si="101"/>
        <v>H2-Ke6_25452</v>
      </c>
      <c r="J3224" s="3">
        <v>13089</v>
      </c>
      <c r="K3224" s="3">
        <v>11709</v>
      </c>
      <c r="L3224" s="3">
        <v>7</v>
      </c>
      <c r="M3224" s="3">
        <v>647</v>
      </c>
      <c r="N3224" s="3">
        <v>0</v>
      </c>
    </row>
    <row r="3225" spans="1:14" x14ac:dyDescent="0.2">
      <c r="A3225" s="5" t="str">
        <f>HYPERLINK("http://www.ncbi.nlm.nih.gov/protein/392357527","H2-L")</f>
        <v>H2-L</v>
      </c>
      <c r="B3225" s="4"/>
      <c r="C3225" s="3">
        <v>2233</v>
      </c>
      <c r="D3225" s="3">
        <v>349</v>
      </c>
      <c r="E3225" s="3">
        <v>623</v>
      </c>
      <c r="F3225" s="3">
        <v>0</v>
      </c>
      <c r="G3225" s="3">
        <v>0</v>
      </c>
      <c r="H3225" s="2">
        <f t="shared" si="100"/>
        <v>3205</v>
      </c>
      <c r="I3225" t="str">
        <f t="shared" si="101"/>
        <v>H2-L_3205</v>
      </c>
      <c r="J3225" s="3">
        <v>2233</v>
      </c>
      <c r="K3225" s="3">
        <v>349</v>
      </c>
      <c r="L3225" s="3">
        <v>623</v>
      </c>
      <c r="M3225" s="3">
        <v>0</v>
      </c>
      <c r="N3225" s="3">
        <v>0</v>
      </c>
    </row>
    <row r="3226" spans="1:14" x14ac:dyDescent="0.2">
      <c r="A3226" s="5" t="str">
        <f>HYPERLINK("http://www.ncbi.nlm.nih.gov/protein/160333390","H2-Q1")</f>
        <v>H2-Q1</v>
      </c>
      <c r="B3226" s="4"/>
      <c r="C3226" s="3">
        <v>0</v>
      </c>
      <c r="D3226" s="3">
        <v>0</v>
      </c>
      <c r="E3226" s="3">
        <v>234</v>
      </c>
      <c r="F3226" s="3">
        <v>0</v>
      </c>
      <c r="G3226" s="3">
        <v>0</v>
      </c>
      <c r="H3226" s="2">
        <f t="shared" si="100"/>
        <v>234</v>
      </c>
      <c r="I3226" t="str">
        <f t="shared" si="101"/>
        <v>H2-Q1_234</v>
      </c>
      <c r="J3226" s="3">
        <v>0</v>
      </c>
      <c r="K3226" s="3">
        <v>0</v>
      </c>
      <c r="L3226" s="3">
        <v>234</v>
      </c>
      <c r="M3226" s="3">
        <v>0</v>
      </c>
      <c r="N3226" s="3">
        <v>0</v>
      </c>
    </row>
    <row r="3227" spans="1:14" x14ac:dyDescent="0.2">
      <c r="A3227" s="5" t="str">
        <f>HYPERLINK("http://www.ncbi.nlm.nih.gov/protein/6754132","H2-Q10")</f>
        <v>H2-Q10</v>
      </c>
      <c r="B3227" s="4"/>
      <c r="C3227" s="3">
        <v>0</v>
      </c>
      <c r="D3227" s="3">
        <v>0</v>
      </c>
      <c r="E3227" s="3">
        <v>234</v>
      </c>
      <c r="F3227" s="3">
        <v>0</v>
      </c>
      <c r="G3227" s="3">
        <v>0</v>
      </c>
      <c r="H3227" s="2">
        <f t="shared" si="100"/>
        <v>234</v>
      </c>
      <c r="I3227" t="str">
        <f t="shared" si="101"/>
        <v>H2-Q10_234</v>
      </c>
      <c r="J3227" s="3">
        <v>0</v>
      </c>
      <c r="K3227" s="3">
        <v>0</v>
      </c>
      <c r="L3227" s="3">
        <v>234</v>
      </c>
      <c r="M3227" s="3">
        <v>0</v>
      </c>
      <c r="N3227" s="3">
        <v>0</v>
      </c>
    </row>
    <row r="3228" spans="1:14" x14ac:dyDescent="0.2">
      <c r="A3228" s="5" t="str">
        <f>HYPERLINK("http://www.ncbi.nlm.nih.gov/protein/72535146","H2-Q2")</f>
        <v>H2-Q2</v>
      </c>
      <c r="B3228" s="4"/>
      <c r="C3228" s="3">
        <v>2233</v>
      </c>
      <c r="D3228" s="3">
        <v>0</v>
      </c>
      <c r="E3228" s="3">
        <v>389</v>
      </c>
      <c r="F3228" s="3">
        <v>0</v>
      </c>
      <c r="G3228" s="3">
        <v>0</v>
      </c>
      <c r="H3228" s="2">
        <f t="shared" si="100"/>
        <v>2622</v>
      </c>
      <c r="I3228" t="str">
        <f t="shared" si="101"/>
        <v>H2-Q2_2622</v>
      </c>
      <c r="J3228" s="3">
        <v>2233</v>
      </c>
      <c r="K3228" s="3">
        <v>0</v>
      </c>
      <c r="L3228" s="3">
        <v>389</v>
      </c>
      <c r="M3228" s="3">
        <v>0</v>
      </c>
      <c r="N3228" s="3">
        <v>0</v>
      </c>
    </row>
    <row r="3229" spans="1:14" x14ac:dyDescent="0.2">
      <c r="A3229" s="5" t="str">
        <f>HYPERLINK("http://www.ncbi.nlm.nih.gov/protein/219521935","H2-Q4")</f>
        <v>H2-Q4</v>
      </c>
      <c r="B3229" s="4"/>
      <c r="C3229" s="3">
        <v>3167</v>
      </c>
      <c r="D3229" s="3">
        <v>349</v>
      </c>
      <c r="E3229" s="3">
        <v>623</v>
      </c>
      <c r="F3229" s="3">
        <v>0</v>
      </c>
      <c r="G3229" s="3">
        <v>0</v>
      </c>
      <c r="H3229" s="2">
        <f t="shared" si="100"/>
        <v>4139</v>
      </c>
      <c r="I3229" t="str">
        <f t="shared" si="101"/>
        <v>H2-Q4_4139</v>
      </c>
      <c r="J3229" s="3">
        <v>3167</v>
      </c>
      <c r="K3229" s="3">
        <v>349</v>
      </c>
      <c r="L3229" s="3">
        <v>623</v>
      </c>
      <c r="M3229" s="3">
        <v>0</v>
      </c>
      <c r="N3229" s="3">
        <v>0</v>
      </c>
    </row>
    <row r="3230" spans="1:14" x14ac:dyDescent="0.2">
      <c r="A3230" s="5" t="str">
        <f>HYPERLINK("http://www.ncbi.nlm.nih.gov/protein/46559400","H2-Q6")</f>
        <v>H2-Q6</v>
      </c>
      <c r="B3230" s="4"/>
      <c r="C3230" s="3">
        <v>2233</v>
      </c>
      <c r="D3230" s="3">
        <v>0</v>
      </c>
      <c r="E3230" s="3">
        <v>623</v>
      </c>
      <c r="F3230" s="3">
        <v>0</v>
      </c>
      <c r="G3230" s="3">
        <v>0</v>
      </c>
      <c r="H3230" s="2">
        <f t="shared" si="100"/>
        <v>2856</v>
      </c>
      <c r="I3230" t="str">
        <f t="shared" si="101"/>
        <v>H2-Q6_2856</v>
      </c>
      <c r="J3230" s="3">
        <v>2233</v>
      </c>
      <c r="K3230" s="3">
        <v>0</v>
      </c>
      <c r="L3230" s="3">
        <v>623</v>
      </c>
      <c r="M3230" s="3">
        <v>0</v>
      </c>
      <c r="N3230" s="3">
        <v>0</v>
      </c>
    </row>
    <row r="3231" spans="1:14" x14ac:dyDescent="0.2">
      <c r="A3231" s="5" t="str">
        <f>HYPERLINK("http://www.ncbi.nlm.nih.gov/protein/310616733","H2-Q7")</f>
        <v>H2-Q7</v>
      </c>
      <c r="B3231" s="4"/>
      <c r="C3231" s="3">
        <v>2233</v>
      </c>
      <c r="D3231" s="3">
        <v>0</v>
      </c>
      <c r="E3231" s="3">
        <v>623</v>
      </c>
      <c r="F3231" s="3">
        <v>0</v>
      </c>
      <c r="G3231" s="3">
        <v>0</v>
      </c>
      <c r="H3231" s="2">
        <f t="shared" si="100"/>
        <v>2856</v>
      </c>
      <c r="I3231" t="str">
        <f t="shared" si="101"/>
        <v>H2-Q7_2856</v>
      </c>
      <c r="J3231" s="3">
        <v>2233</v>
      </c>
      <c r="K3231" s="3">
        <v>0</v>
      </c>
      <c r="L3231" s="3">
        <v>623</v>
      </c>
      <c r="M3231" s="3">
        <v>0</v>
      </c>
      <c r="N3231" s="3">
        <v>0</v>
      </c>
    </row>
    <row r="3232" spans="1:14" x14ac:dyDescent="0.2">
      <c r="A3232" s="5" t="str">
        <f>HYPERLINK("http://www.ncbi.nlm.nih.gov/protein/310616735","H2-Q7")</f>
        <v>H2-Q7</v>
      </c>
      <c r="B3232" s="4"/>
      <c r="C3232" s="3">
        <v>2233</v>
      </c>
      <c r="D3232" s="3">
        <v>0</v>
      </c>
      <c r="E3232" s="3">
        <v>623</v>
      </c>
      <c r="F3232" s="3">
        <v>0</v>
      </c>
      <c r="G3232" s="3">
        <v>0</v>
      </c>
      <c r="H3232" s="2">
        <f t="shared" si="100"/>
        <v>2856</v>
      </c>
      <c r="I3232" t="str">
        <f t="shared" si="101"/>
        <v>H2-Q7_2856</v>
      </c>
      <c r="J3232" s="3">
        <v>2233</v>
      </c>
      <c r="K3232" s="3">
        <v>0</v>
      </c>
      <c r="L3232" s="3">
        <v>623</v>
      </c>
      <c r="M3232" s="3">
        <v>0</v>
      </c>
      <c r="N3232" s="3">
        <v>0</v>
      </c>
    </row>
    <row r="3233" spans="1:14" x14ac:dyDescent="0.2">
      <c r="A3233" s="5" t="str">
        <f>HYPERLINK("http://www.ncbi.nlm.nih.gov/protein/310616737","H2-Q7")</f>
        <v>H2-Q7</v>
      </c>
      <c r="B3233" s="4"/>
      <c r="C3233" s="3">
        <v>2233</v>
      </c>
      <c r="D3233" s="3">
        <v>0</v>
      </c>
      <c r="E3233" s="3">
        <v>389</v>
      </c>
      <c r="F3233" s="3">
        <v>0</v>
      </c>
      <c r="G3233" s="3">
        <v>0</v>
      </c>
      <c r="H3233" s="2">
        <f t="shared" si="100"/>
        <v>2622</v>
      </c>
      <c r="I3233" t="str">
        <f t="shared" si="101"/>
        <v>H2-Q7_2622</v>
      </c>
      <c r="J3233" s="3">
        <v>2233</v>
      </c>
      <c r="K3233" s="3">
        <v>0</v>
      </c>
      <c r="L3233" s="3">
        <v>389</v>
      </c>
      <c r="M3233" s="3">
        <v>0</v>
      </c>
      <c r="N3233" s="3">
        <v>0</v>
      </c>
    </row>
    <row r="3234" spans="1:14" x14ac:dyDescent="0.2">
      <c r="A3234" s="5" t="str">
        <f>HYPERLINK("http://www.ncbi.nlm.nih.gov/protein/389595436","H2-Q8")</f>
        <v>H2-Q8</v>
      </c>
      <c r="B3234" s="4"/>
      <c r="C3234" s="3">
        <v>2233</v>
      </c>
      <c r="D3234" s="3">
        <v>0</v>
      </c>
      <c r="E3234" s="3">
        <v>623</v>
      </c>
      <c r="F3234" s="3">
        <v>0</v>
      </c>
      <c r="G3234" s="3">
        <v>0</v>
      </c>
      <c r="H3234" s="2">
        <f t="shared" si="100"/>
        <v>2856</v>
      </c>
      <c r="I3234" t="str">
        <f t="shared" si="101"/>
        <v>H2-Q8_2856</v>
      </c>
      <c r="J3234" s="3">
        <v>2233</v>
      </c>
      <c r="K3234" s="3">
        <v>0</v>
      </c>
      <c r="L3234" s="3">
        <v>623</v>
      </c>
      <c r="M3234" s="3">
        <v>0</v>
      </c>
      <c r="N3234" s="3">
        <v>0</v>
      </c>
    </row>
    <row r="3235" spans="1:14" x14ac:dyDescent="0.2">
      <c r="A3235" s="5" t="str">
        <f>HYPERLINK("http://www.ncbi.nlm.nih.gov/protein/319803125","H2-Q9")</f>
        <v>H2-Q9</v>
      </c>
      <c r="B3235" s="4"/>
      <c r="C3235" s="3">
        <v>2233</v>
      </c>
      <c r="D3235" s="3">
        <v>0</v>
      </c>
      <c r="E3235" s="3">
        <v>623</v>
      </c>
      <c r="F3235" s="3">
        <v>0</v>
      </c>
      <c r="G3235" s="3">
        <v>0</v>
      </c>
      <c r="H3235" s="2">
        <f t="shared" si="100"/>
        <v>2856</v>
      </c>
      <c r="I3235" t="str">
        <f t="shared" si="101"/>
        <v>H2-Q9_2856</v>
      </c>
      <c r="J3235" s="3">
        <v>2233</v>
      </c>
      <c r="K3235" s="3">
        <v>0</v>
      </c>
      <c r="L3235" s="3">
        <v>623</v>
      </c>
      <c r="M3235" s="3">
        <v>0</v>
      </c>
      <c r="N3235" s="3">
        <v>0</v>
      </c>
    </row>
    <row r="3236" spans="1:14" x14ac:dyDescent="0.2">
      <c r="A3236" s="5" t="str">
        <f>HYPERLINK("http://www.ncbi.nlm.nih.gov/protein/407260856","H2-T23")</f>
        <v>H2-T23</v>
      </c>
      <c r="B3236" s="4"/>
      <c r="C3236" s="3">
        <v>0</v>
      </c>
      <c r="D3236" s="3">
        <v>0</v>
      </c>
      <c r="E3236" s="3">
        <v>234</v>
      </c>
      <c r="F3236" s="3">
        <v>0</v>
      </c>
      <c r="G3236" s="3">
        <v>0</v>
      </c>
      <c r="H3236" s="2">
        <f t="shared" si="100"/>
        <v>234</v>
      </c>
      <c r="I3236" t="str">
        <f t="shared" si="101"/>
        <v>H2-T23_234</v>
      </c>
      <c r="J3236" s="3">
        <v>0</v>
      </c>
      <c r="K3236" s="3">
        <v>0</v>
      </c>
      <c r="L3236" s="3">
        <v>234</v>
      </c>
      <c r="M3236" s="3">
        <v>0</v>
      </c>
      <c r="N3236" s="3">
        <v>0</v>
      </c>
    </row>
    <row r="3237" spans="1:14" x14ac:dyDescent="0.2">
      <c r="A3237" s="5" t="str">
        <f>HYPERLINK("http://www.ncbi.nlm.nih.gov/protein/6754148","H2-T23")</f>
        <v>H2-T23</v>
      </c>
      <c r="B3237" s="4"/>
      <c r="C3237" s="3">
        <v>2233</v>
      </c>
      <c r="D3237" s="3">
        <v>0</v>
      </c>
      <c r="E3237" s="3">
        <v>389</v>
      </c>
      <c r="F3237" s="3">
        <v>0</v>
      </c>
      <c r="G3237" s="3">
        <v>0</v>
      </c>
      <c r="H3237" s="2">
        <f t="shared" si="100"/>
        <v>2622</v>
      </c>
      <c r="I3237" t="str">
        <f t="shared" si="101"/>
        <v>H2-T23_2622</v>
      </c>
      <c r="J3237" s="3">
        <v>2233</v>
      </c>
      <c r="K3237" s="3">
        <v>0</v>
      </c>
      <c r="L3237" s="3">
        <v>389</v>
      </c>
      <c r="M3237" s="3">
        <v>0</v>
      </c>
      <c r="N3237" s="3">
        <v>0</v>
      </c>
    </row>
    <row r="3238" spans="1:14" x14ac:dyDescent="0.2">
      <c r="A3238" s="5" t="str">
        <f>HYPERLINK("http://www.ncbi.nlm.nih.gov/protein/6680159","H3f3a")</f>
        <v>H3f3a</v>
      </c>
      <c r="B3238" s="4"/>
      <c r="C3238" s="3">
        <v>0</v>
      </c>
      <c r="D3238" s="3">
        <v>39673</v>
      </c>
      <c r="E3238" s="3">
        <v>75553</v>
      </c>
      <c r="F3238" s="3">
        <v>374301</v>
      </c>
      <c r="G3238" s="3">
        <v>19995</v>
      </c>
      <c r="H3238" s="2">
        <f t="shared" si="100"/>
        <v>509522</v>
      </c>
      <c r="I3238" t="str">
        <f t="shared" si="101"/>
        <v>H3f3a_509522</v>
      </c>
      <c r="J3238" s="3">
        <v>0</v>
      </c>
      <c r="K3238" s="3">
        <v>39673</v>
      </c>
      <c r="L3238" s="3">
        <v>75553</v>
      </c>
      <c r="M3238" s="3">
        <v>374301</v>
      </c>
      <c r="N3238" s="3">
        <v>19995</v>
      </c>
    </row>
    <row r="3239" spans="1:14" x14ac:dyDescent="0.2">
      <c r="A3239" s="5" t="str">
        <f>HYPERLINK("http://www.ncbi.nlm.nih.gov/protein/6680161","H3f3b")</f>
        <v>H3f3b</v>
      </c>
      <c r="B3239" s="4"/>
      <c r="C3239" s="3">
        <v>3752513</v>
      </c>
      <c r="D3239" s="3">
        <v>0</v>
      </c>
      <c r="E3239" s="3">
        <v>0</v>
      </c>
      <c r="F3239" s="3">
        <v>0</v>
      </c>
      <c r="G3239" s="3">
        <v>0</v>
      </c>
      <c r="H3239" s="2">
        <f t="shared" si="100"/>
        <v>3752513</v>
      </c>
      <c r="I3239" t="str">
        <f t="shared" si="101"/>
        <v>H3f3b_3752513</v>
      </c>
      <c r="J3239" s="3">
        <v>3752513</v>
      </c>
      <c r="K3239" s="3">
        <v>0</v>
      </c>
      <c r="L3239" s="3">
        <v>0</v>
      </c>
      <c r="M3239" s="3">
        <v>0</v>
      </c>
      <c r="N3239" s="3">
        <v>0</v>
      </c>
    </row>
    <row r="3240" spans="1:14" x14ac:dyDescent="0.2">
      <c r="A3240" s="5" t="str">
        <f>HYPERLINK("http://www.ncbi.nlm.nih.gov/protein/82886797","H3f3c")</f>
        <v>H3f3c</v>
      </c>
      <c r="B3240" s="4"/>
      <c r="C3240" s="3">
        <v>3752513</v>
      </c>
      <c r="D3240" s="3">
        <v>39673</v>
      </c>
      <c r="E3240" s="3">
        <v>75553</v>
      </c>
      <c r="F3240" s="3">
        <v>374301</v>
      </c>
      <c r="G3240" s="3">
        <v>19995</v>
      </c>
      <c r="H3240" s="2">
        <f t="shared" si="100"/>
        <v>4262035</v>
      </c>
      <c r="I3240" t="str">
        <f t="shared" si="101"/>
        <v>H3f3c_4262035</v>
      </c>
      <c r="J3240" s="3">
        <v>3752513</v>
      </c>
      <c r="K3240" s="3">
        <v>39673</v>
      </c>
      <c r="L3240" s="3">
        <v>75553</v>
      </c>
      <c r="M3240" s="3">
        <v>374301</v>
      </c>
      <c r="N3240" s="3">
        <v>19995</v>
      </c>
    </row>
    <row r="3241" spans="1:14" x14ac:dyDescent="0.2">
      <c r="A3241" s="5" t="str">
        <f>HYPERLINK("http://www.ncbi.nlm.nih.gov/protein/31982147","H6pd")</f>
        <v>H6pd</v>
      </c>
      <c r="B3241" s="4"/>
      <c r="C3241" s="3">
        <v>43568</v>
      </c>
      <c r="D3241" s="3">
        <v>17107</v>
      </c>
      <c r="E3241" s="3">
        <v>12270</v>
      </c>
      <c r="F3241" s="3">
        <v>23239</v>
      </c>
      <c r="G3241" s="3">
        <v>54651</v>
      </c>
      <c r="H3241" s="2">
        <f t="shared" si="100"/>
        <v>150835</v>
      </c>
      <c r="I3241" t="str">
        <f t="shared" si="101"/>
        <v>H6pd_150835</v>
      </c>
      <c r="J3241" s="3">
        <v>43568</v>
      </c>
      <c r="K3241" s="3">
        <v>17107</v>
      </c>
      <c r="L3241" s="3">
        <v>12270</v>
      </c>
      <c r="M3241" s="3">
        <v>23239</v>
      </c>
      <c r="N3241" s="3">
        <v>54651</v>
      </c>
    </row>
    <row r="3242" spans="1:14" x14ac:dyDescent="0.2">
      <c r="A3242" s="5" t="str">
        <f>HYPERLINK("http://www.ncbi.nlm.nih.gov/protein/283436216","Hace1")</f>
        <v>Hace1</v>
      </c>
      <c r="B3242" s="4"/>
      <c r="C3242" s="3">
        <v>0</v>
      </c>
      <c r="D3242" s="3">
        <v>0</v>
      </c>
      <c r="E3242" s="3">
        <v>0</v>
      </c>
      <c r="F3242" s="3">
        <v>0</v>
      </c>
      <c r="G3242" s="3">
        <v>32</v>
      </c>
      <c r="H3242" s="2">
        <f t="shared" si="100"/>
        <v>32</v>
      </c>
      <c r="I3242" t="str">
        <f t="shared" si="101"/>
        <v>Hace1_32</v>
      </c>
      <c r="J3242" s="3">
        <v>0</v>
      </c>
      <c r="K3242" s="3">
        <v>0</v>
      </c>
      <c r="L3242" s="3">
        <v>0</v>
      </c>
      <c r="M3242" s="3">
        <v>0</v>
      </c>
      <c r="N3242" s="3">
        <v>32</v>
      </c>
    </row>
    <row r="3243" spans="1:14" x14ac:dyDescent="0.2">
      <c r="A3243" s="5" t="str">
        <f>HYPERLINK("http://www.ncbi.nlm.nih.gov/protein/31560355","Hacl1")</f>
        <v>Hacl1</v>
      </c>
      <c r="B3243" s="4"/>
      <c r="C3243" s="3">
        <v>0</v>
      </c>
      <c r="D3243" s="3">
        <v>0</v>
      </c>
      <c r="E3243" s="3">
        <v>274</v>
      </c>
      <c r="F3243" s="3">
        <v>0</v>
      </c>
      <c r="G3243" s="3">
        <v>0</v>
      </c>
      <c r="H3243" s="2">
        <f t="shared" si="100"/>
        <v>274</v>
      </c>
      <c r="I3243" t="str">
        <f t="shared" si="101"/>
        <v>Hacl1_274</v>
      </c>
      <c r="J3243" s="3">
        <v>0</v>
      </c>
      <c r="K3243" s="3">
        <v>0</v>
      </c>
      <c r="L3243" s="3">
        <v>274</v>
      </c>
      <c r="M3243" s="3">
        <v>0</v>
      </c>
      <c r="N3243" s="3">
        <v>0</v>
      </c>
    </row>
    <row r="3244" spans="1:14" x14ac:dyDescent="0.2">
      <c r="A3244" s="5" t="str">
        <f>HYPERLINK("http://www.ncbi.nlm.nih.gov/protein/111038118","Hadh")</f>
        <v>Hadh</v>
      </c>
      <c r="B3244" s="4"/>
      <c r="C3244" s="3">
        <v>22187</v>
      </c>
      <c r="D3244" s="3">
        <v>17700</v>
      </c>
      <c r="E3244" s="3">
        <v>634</v>
      </c>
      <c r="F3244" s="3">
        <v>0</v>
      </c>
      <c r="G3244" s="3">
        <v>1135</v>
      </c>
      <c r="H3244" s="2">
        <f t="shared" si="100"/>
        <v>41656</v>
      </c>
      <c r="I3244" t="str">
        <f t="shared" si="101"/>
        <v>Hadh_41656</v>
      </c>
      <c r="J3244" s="3">
        <v>22187</v>
      </c>
      <c r="K3244" s="3">
        <v>17700</v>
      </c>
      <c r="L3244" s="3">
        <v>634</v>
      </c>
      <c r="M3244" s="3">
        <v>0</v>
      </c>
      <c r="N3244" s="3">
        <v>1135</v>
      </c>
    </row>
    <row r="3245" spans="1:14" x14ac:dyDescent="0.2">
      <c r="A3245" s="5" t="str">
        <f>HYPERLINK("http://www.ncbi.nlm.nih.gov/protein/33859811","Hadha")</f>
        <v>Hadha</v>
      </c>
      <c r="B3245" s="4"/>
      <c r="C3245" s="3">
        <v>457101</v>
      </c>
      <c r="D3245" s="3">
        <v>33281</v>
      </c>
      <c r="E3245" s="3">
        <v>10603</v>
      </c>
      <c r="F3245" s="3">
        <v>17353</v>
      </c>
      <c r="G3245" s="3">
        <v>1103</v>
      </c>
      <c r="H3245" s="2">
        <f t="shared" si="100"/>
        <v>519441</v>
      </c>
      <c r="I3245" t="str">
        <f t="shared" si="101"/>
        <v>Hadha_519441</v>
      </c>
      <c r="J3245" s="3">
        <v>457101</v>
      </c>
      <c r="K3245" s="3">
        <v>33281</v>
      </c>
      <c r="L3245" s="3">
        <v>10603</v>
      </c>
      <c r="M3245" s="3">
        <v>17353</v>
      </c>
      <c r="N3245" s="3">
        <v>1103</v>
      </c>
    </row>
    <row r="3246" spans="1:14" x14ac:dyDescent="0.2">
      <c r="A3246" s="5" t="str">
        <f>HYPERLINK("http://www.ncbi.nlm.nih.gov/protein/21704100","Hadhb")</f>
        <v>Hadhb</v>
      </c>
      <c r="B3246" s="4"/>
      <c r="C3246" s="3">
        <v>182786</v>
      </c>
      <c r="D3246" s="3">
        <v>82315</v>
      </c>
      <c r="E3246" s="3">
        <v>7991</v>
      </c>
      <c r="F3246" s="3">
        <v>0</v>
      </c>
      <c r="G3246" s="3">
        <v>932</v>
      </c>
      <c r="H3246" s="2">
        <f t="shared" si="100"/>
        <v>274024</v>
      </c>
      <c r="I3246" t="str">
        <f t="shared" si="101"/>
        <v>Hadhb_274024</v>
      </c>
      <c r="J3246" s="3">
        <v>182786</v>
      </c>
      <c r="K3246" s="3">
        <v>82315</v>
      </c>
      <c r="L3246" s="3">
        <v>7991</v>
      </c>
      <c r="M3246" s="3">
        <v>0</v>
      </c>
      <c r="N3246" s="3">
        <v>932</v>
      </c>
    </row>
    <row r="3247" spans="1:14" x14ac:dyDescent="0.2">
      <c r="A3247" s="5" t="str">
        <f>HYPERLINK("http://www.ncbi.nlm.nih.gov/protein/227499238","Hagh")</f>
        <v>Hagh</v>
      </c>
      <c r="B3247" s="4"/>
      <c r="C3247" s="3">
        <v>3789</v>
      </c>
      <c r="D3247" s="3">
        <v>2747</v>
      </c>
      <c r="E3247" s="3">
        <v>1642</v>
      </c>
      <c r="F3247" s="3">
        <v>1604</v>
      </c>
      <c r="G3247" s="3">
        <v>39764</v>
      </c>
      <c r="H3247" s="2">
        <f t="shared" si="100"/>
        <v>49546</v>
      </c>
      <c r="I3247" t="str">
        <f t="shared" si="101"/>
        <v>Hagh_49546</v>
      </c>
      <c r="J3247" s="3">
        <v>3789</v>
      </c>
      <c r="K3247" s="3">
        <v>2747</v>
      </c>
      <c r="L3247" s="3">
        <v>1642</v>
      </c>
      <c r="M3247" s="3">
        <v>1604</v>
      </c>
      <c r="N3247" s="3">
        <v>39764</v>
      </c>
    </row>
    <row r="3248" spans="1:14" x14ac:dyDescent="0.2">
      <c r="A3248" s="5" t="str">
        <f>HYPERLINK("http://www.ncbi.nlm.nih.gov/protein/227499240","Hagh")</f>
        <v>Hagh</v>
      </c>
      <c r="B3248" s="4"/>
      <c r="C3248" s="3">
        <v>3789</v>
      </c>
      <c r="D3248" s="3">
        <v>2747</v>
      </c>
      <c r="E3248" s="3">
        <v>1642</v>
      </c>
      <c r="F3248" s="3">
        <v>1604</v>
      </c>
      <c r="G3248" s="3">
        <v>39764</v>
      </c>
      <c r="H3248" s="2">
        <f t="shared" si="100"/>
        <v>49546</v>
      </c>
      <c r="I3248" t="str">
        <f t="shared" si="101"/>
        <v>Hagh_49546</v>
      </c>
      <c r="J3248" s="3">
        <v>3789</v>
      </c>
      <c r="K3248" s="3">
        <v>2747</v>
      </c>
      <c r="L3248" s="3">
        <v>1642</v>
      </c>
      <c r="M3248" s="3">
        <v>1604</v>
      </c>
      <c r="N3248" s="3">
        <v>39764</v>
      </c>
    </row>
    <row r="3249" spans="1:14" x14ac:dyDescent="0.2">
      <c r="A3249" s="5" t="str">
        <f>HYPERLINK("http://www.ncbi.nlm.nih.gov/protein/406855413","Haghl")</f>
        <v>Haghl</v>
      </c>
      <c r="B3249" s="4"/>
      <c r="C3249" s="3">
        <v>0</v>
      </c>
      <c r="D3249" s="3">
        <v>0</v>
      </c>
      <c r="E3249" s="3">
        <v>59</v>
      </c>
      <c r="F3249" s="3">
        <v>0</v>
      </c>
      <c r="G3249" s="3">
        <v>0</v>
      </c>
      <c r="H3249" s="2">
        <f t="shared" si="100"/>
        <v>59</v>
      </c>
      <c r="I3249" t="str">
        <f t="shared" si="101"/>
        <v>Haghl_59</v>
      </c>
      <c r="J3249" s="3">
        <v>0</v>
      </c>
      <c r="K3249" s="3">
        <v>0</v>
      </c>
      <c r="L3249" s="3">
        <v>59</v>
      </c>
      <c r="M3249" s="3">
        <v>0</v>
      </c>
      <c r="N3249" s="3">
        <v>0</v>
      </c>
    </row>
    <row r="3250" spans="1:14" x14ac:dyDescent="0.2">
      <c r="A3250" s="5" t="str">
        <f>HYPERLINK("http://www.ncbi.nlm.nih.gov/protein/251823891","Hars")</f>
        <v>Hars</v>
      </c>
      <c r="B3250" s="4"/>
      <c r="C3250" s="3">
        <v>0</v>
      </c>
      <c r="D3250" s="3">
        <v>3561</v>
      </c>
      <c r="E3250" s="3">
        <v>3259</v>
      </c>
      <c r="F3250" s="3">
        <v>14652</v>
      </c>
      <c r="G3250" s="3">
        <v>110158</v>
      </c>
      <c r="H3250" s="2">
        <f t="shared" si="100"/>
        <v>131630</v>
      </c>
      <c r="I3250" t="str">
        <f t="shared" si="101"/>
        <v>Hars_131630</v>
      </c>
      <c r="J3250" s="3">
        <v>0</v>
      </c>
      <c r="K3250" s="3">
        <v>3561</v>
      </c>
      <c r="L3250" s="3">
        <v>3259</v>
      </c>
      <c r="M3250" s="3">
        <v>14652</v>
      </c>
      <c r="N3250" s="3">
        <v>110158</v>
      </c>
    </row>
    <row r="3251" spans="1:14" x14ac:dyDescent="0.2">
      <c r="A3251" s="5" t="str">
        <f>HYPERLINK("http://www.ncbi.nlm.nih.gov/protein/18079343","Hars2")</f>
        <v>Hars2</v>
      </c>
      <c r="B3251" s="4"/>
      <c r="C3251" s="3">
        <v>0</v>
      </c>
      <c r="D3251" s="3">
        <v>438</v>
      </c>
      <c r="E3251" s="3">
        <v>0</v>
      </c>
      <c r="F3251" s="3">
        <v>0</v>
      </c>
      <c r="G3251" s="3">
        <v>4959</v>
      </c>
      <c r="H3251" s="2">
        <f t="shared" si="100"/>
        <v>5397</v>
      </c>
      <c r="I3251" t="str">
        <f t="shared" si="101"/>
        <v>Hars2_5397</v>
      </c>
      <c r="J3251" s="3">
        <v>0</v>
      </c>
      <c r="K3251" s="3">
        <v>438</v>
      </c>
      <c r="L3251" s="3">
        <v>0</v>
      </c>
      <c r="M3251" s="3">
        <v>0</v>
      </c>
      <c r="N3251" s="3">
        <v>4959</v>
      </c>
    </row>
    <row r="3252" spans="1:14" x14ac:dyDescent="0.2">
      <c r="A3252" s="5" t="str">
        <f>HYPERLINK("http://www.ncbi.nlm.nih.gov/protein/6680169","Has1")</f>
        <v>Has1</v>
      </c>
      <c r="B3252" s="4"/>
      <c r="C3252" s="3">
        <v>0</v>
      </c>
      <c r="D3252" s="3">
        <v>0</v>
      </c>
      <c r="E3252" s="3">
        <v>0</v>
      </c>
      <c r="F3252" s="3">
        <v>32210</v>
      </c>
      <c r="G3252" s="3">
        <v>0</v>
      </c>
      <c r="H3252" s="2">
        <f t="shared" si="100"/>
        <v>32210</v>
      </c>
      <c r="I3252" t="str">
        <f t="shared" si="101"/>
        <v>Has1_32210</v>
      </c>
      <c r="J3252" s="3">
        <v>0</v>
      </c>
      <c r="K3252" s="3">
        <v>0</v>
      </c>
      <c r="L3252" s="3">
        <v>0</v>
      </c>
      <c r="M3252" s="3">
        <v>32210</v>
      </c>
      <c r="N3252" s="3">
        <v>0</v>
      </c>
    </row>
    <row r="3253" spans="1:14" x14ac:dyDescent="0.2">
      <c r="A3253" s="5" t="str">
        <f>HYPERLINK("http://www.ncbi.nlm.nih.gov/protein/28076885","Hat1")</f>
        <v>Hat1</v>
      </c>
      <c r="B3253" s="4"/>
      <c r="C3253" s="3">
        <v>0</v>
      </c>
      <c r="D3253" s="3">
        <v>3027</v>
      </c>
      <c r="E3253" s="3">
        <v>2919</v>
      </c>
      <c r="F3253" s="3">
        <v>10387</v>
      </c>
      <c r="G3253" s="3">
        <v>80825</v>
      </c>
      <c r="H3253" s="2">
        <f t="shared" si="100"/>
        <v>97158</v>
      </c>
      <c r="I3253" t="str">
        <f t="shared" si="101"/>
        <v>Hat1_97158</v>
      </c>
      <c r="J3253" s="3">
        <v>0</v>
      </c>
      <c r="K3253" s="3">
        <v>3027</v>
      </c>
      <c r="L3253" s="3">
        <v>2919</v>
      </c>
      <c r="M3253" s="3">
        <v>10387</v>
      </c>
      <c r="N3253" s="3">
        <v>80825</v>
      </c>
    </row>
    <row r="3254" spans="1:14" x14ac:dyDescent="0.2">
      <c r="A3254" s="5" t="str">
        <f>HYPERLINK("http://www.ncbi.nlm.nih.gov/protein/22122693","Haus3")</f>
        <v>Haus3</v>
      </c>
      <c r="B3254" s="4"/>
      <c r="C3254" s="3">
        <v>0</v>
      </c>
      <c r="D3254" s="3">
        <v>0</v>
      </c>
      <c r="E3254" s="3">
        <v>3</v>
      </c>
      <c r="F3254" s="3">
        <v>0</v>
      </c>
      <c r="G3254" s="3">
        <v>0</v>
      </c>
      <c r="H3254" s="2">
        <f t="shared" si="100"/>
        <v>3</v>
      </c>
      <c r="I3254" t="str">
        <f t="shared" si="101"/>
        <v>Haus3_3</v>
      </c>
      <c r="J3254" s="3">
        <v>0</v>
      </c>
      <c r="K3254" s="3">
        <v>0</v>
      </c>
      <c r="L3254" s="3">
        <v>3</v>
      </c>
      <c r="M3254" s="3">
        <v>0</v>
      </c>
      <c r="N3254" s="3">
        <v>0</v>
      </c>
    </row>
    <row r="3255" spans="1:14" x14ac:dyDescent="0.2">
      <c r="A3255" s="5" t="str">
        <f>HYPERLINK("http://www.ncbi.nlm.nih.gov/protein/226442837","Haus5")</f>
        <v>Haus5</v>
      </c>
      <c r="B3255" s="4"/>
      <c r="C3255" s="3">
        <v>0</v>
      </c>
      <c r="D3255" s="3">
        <v>0</v>
      </c>
      <c r="E3255" s="3">
        <v>50</v>
      </c>
      <c r="F3255" s="3">
        <v>0</v>
      </c>
      <c r="G3255" s="3">
        <v>0</v>
      </c>
      <c r="H3255" s="2">
        <f t="shared" si="100"/>
        <v>50</v>
      </c>
      <c r="I3255" t="str">
        <f t="shared" si="101"/>
        <v>Haus5_50</v>
      </c>
      <c r="J3255" s="3">
        <v>0</v>
      </c>
      <c r="K3255" s="3">
        <v>0</v>
      </c>
      <c r="L3255" s="3">
        <v>50</v>
      </c>
      <c r="M3255" s="3">
        <v>0</v>
      </c>
      <c r="N3255" s="3">
        <v>0</v>
      </c>
    </row>
    <row r="3256" spans="1:14" x14ac:dyDescent="0.2">
      <c r="A3256" s="5" t="str">
        <f>HYPERLINK("http://www.ncbi.nlm.nih.gov/protein/498752597","Hbb-b1")</f>
        <v>Hbb-b1</v>
      </c>
      <c r="B3256" s="4"/>
      <c r="C3256" s="3">
        <v>20851</v>
      </c>
      <c r="D3256" s="3">
        <v>0</v>
      </c>
      <c r="E3256" s="3">
        <v>0</v>
      </c>
      <c r="F3256" s="3">
        <v>0</v>
      </c>
      <c r="G3256" s="3">
        <v>0</v>
      </c>
      <c r="H3256" s="2">
        <f t="shared" si="100"/>
        <v>20851</v>
      </c>
      <c r="I3256" t="str">
        <f t="shared" si="101"/>
        <v>Hbb-b1_20851</v>
      </c>
      <c r="J3256" s="3">
        <v>20851</v>
      </c>
      <c r="K3256" s="3">
        <v>0</v>
      </c>
      <c r="L3256" s="3">
        <v>0</v>
      </c>
      <c r="M3256" s="3">
        <v>0</v>
      </c>
      <c r="N3256" s="3">
        <v>0</v>
      </c>
    </row>
    <row r="3257" spans="1:14" x14ac:dyDescent="0.2">
      <c r="A3257" s="5" t="str">
        <f>HYPERLINK("http://www.ncbi.nlm.nih.gov/protein/31982300;319402143","Hbb-bt")</f>
        <v>Hbb-bt</v>
      </c>
      <c r="B3257" s="4"/>
      <c r="C3257" s="3">
        <v>567</v>
      </c>
      <c r="D3257" s="3">
        <v>0</v>
      </c>
      <c r="E3257" s="3">
        <v>0</v>
      </c>
      <c r="F3257" s="3">
        <v>0</v>
      </c>
      <c r="G3257" s="3">
        <v>0</v>
      </c>
      <c r="H3257" s="2">
        <f t="shared" si="100"/>
        <v>567</v>
      </c>
      <c r="I3257" t="str">
        <f t="shared" si="101"/>
        <v>Hbb-bt_567</v>
      </c>
      <c r="J3257" s="3">
        <v>567</v>
      </c>
      <c r="K3257" s="3">
        <v>0</v>
      </c>
      <c r="L3257" s="3">
        <v>0</v>
      </c>
      <c r="M3257" s="3">
        <v>0</v>
      </c>
      <c r="N3257" s="3">
        <v>0</v>
      </c>
    </row>
    <row r="3258" spans="1:14" x14ac:dyDescent="0.2">
      <c r="A3258" s="5" t="str">
        <f>HYPERLINK("http://www.ncbi.nlm.nih.gov/protein/6754178","Hbegf")</f>
        <v>Hbegf</v>
      </c>
      <c r="B3258" s="4"/>
      <c r="C3258" s="3">
        <v>0</v>
      </c>
      <c r="D3258" s="3">
        <v>0</v>
      </c>
      <c r="E3258" s="3">
        <v>891</v>
      </c>
      <c r="F3258" s="3">
        <v>0</v>
      </c>
      <c r="G3258" s="3">
        <v>0</v>
      </c>
      <c r="H3258" s="2">
        <f t="shared" si="100"/>
        <v>891</v>
      </c>
      <c r="I3258" t="str">
        <f t="shared" si="101"/>
        <v>Hbegf_891</v>
      </c>
      <c r="J3258" s="3">
        <v>0</v>
      </c>
      <c r="K3258" s="3">
        <v>0</v>
      </c>
      <c r="L3258" s="3">
        <v>891</v>
      </c>
      <c r="M3258" s="3">
        <v>0</v>
      </c>
      <c r="N3258" s="3">
        <v>0</v>
      </c>
    </row>
    <row r="3259" spans="1:14" x14ac:dyDescent="0.2">
      <c r="A3259" s="5" t="str">
        <f>HYPERLINK("http://www.ncbi.nlm.nih.gov/protein/223634002","Hbs1l")</f>
        <v>Hbs1l</v>
      </c>
      <c r="B3259" s="4"/>
      <c r="C3259" s="3">
        <v>0</v>
      </c>
      <c r="D3259" s="3">
        <v>0</v>
      </c>
      <c r="E3259" s="3">
        <v>0</v>
      </c>
      <c r="F3259" s="3">
        <v>352</v>
      </c>
      <c r="G3259" s="3">
        <v>0</v>
      </c>
      <c r="H3259" s="2">
        <f t="shared" si="100"/>
        <v>352</v>
      </c>
      <c r="I3259" t="str">
        <f t="shared" si="101"/>
        <v>Hbs1l_352</v>
      </c>
      <c r="J3259" s="3">
        <v>0</v>
      </c>
      <c r="K3259" s="3">
        <v>0</v>
      </c>
      <c r="L3259" s="3">
        <v>0</v>
      </c>
      <c r="M3259" s="3">
        <v>352</v>
      </c>
      <c r="N3259" s="3">
        <v>0</v>
      </c>
    </row>
    <row r="3260" spans="1:14" x14ac:dyDescent="0.2">
      <c r="A3260" s="5" t="str">
        <f>HYPERLINK("http://www.ncbi.nlm.nih.gov/protein/110611222","Hbs1l")</f>
        <v>Hbs1l</v>
      </c>
      <c r="B3260" s="4"/>
      <c r="C3260" s="3">
        <v>0</v>
      </c>
      <c r="D3260" s="3">
        <v>0</v>
      </c>
      <c r="E3260" s="3">
        <v>76</v>
      </c>
      <c r="F3260" s="3">
        <v>1023</v>
      </c>
      <c r="G3260" s="3">
        <v>1092</v>
      </c>
      <c r="H3260" s="2">
        <f t="shared" si="100"/>
        <v>2191</v>
      </c>
      <c r="I3260" t="str">
        <f t="shared" si="101"/>
        <v>Hbs1l_2191</v>
      </c>
      <c r="J3260" s="3">
        <v>0</v>
      </c>
      <c r="K3260" s="3">
        <v>0</v>
      </c>
      <c r="L3260" s="3">
        <v>76</v>
      </c>
      <c r="M3260" s="3">
        <v>1023</v>
      </c>
      <c r="N3260" s="3">
        <v>1092</v>
      </c>
    </row>
    <row r="3261" spans="1:14" x14ac:dyDescent="0.2">
      <c r="A3261" s="5" t="str">
        <f>HYPERLINK("http://www.ncbi.nlm.nih.gov/protein/110611224","Hbs1l")</f>
        <v>Hbs1l</v>
      </c>
      <c r="B3261" s="4"/>
      <c r="C3261" s="3">
        <v>0</v>
      </c>
      <c r="D3261" s="3">
        <v>0</v>
      </c>
      <c r="E3261" s="3">
        <v>76</v>
      </c>
      <c r="F3261" s="3">
        <v>1023</v>
      </c>
      <c r="G3261" s="3">
        <v>1092</v>
      </c>
      <c r="H3261" s="2">
        <f t="shared" si="100"/>
        <v>2191</v>
      </c>
      <c r="I3261" t="str">
        <f t="shared" si="101"/>
        <v>Hbs1l_2191</v>
      </c>
      <c r="J3261" s="3">
        <v>0</v>
      </c>
      <c r="K3261" s="3">
        <v>0</v>
      </c>
      <c r="L3261" s="3">
        <v>76</v>
      </c>
      <c r="M3261" s="3">
        <v>1023</v>
      </c>
      <c r="N3261" s="3">
        <v>1092</v>
      </c>
    </row>
    <row r="3262" spans="1:14" x14ac:dyDescent="0.2">
      <c r="A3262" s="5" t="str">
        <f>HYPERLINK("http://www.ncbi.nlm.nih.gov/protein/225543251","Hccs")</f>
        <v>Hccs</v>
      </c>
      <c r="B3262" s="4"/>
      <c r="C3262" s="3">
        <v>0</v>
      </c>
      <c r="D3262" s="3">
        <v>2008</v>
      </c>
      <c r="E3262" s="3">
        <v>0</v>
      </c>
      <c r="F3262" s="3">
        <v>0</v>
      </c>
      <c r="G3262" s="3">
        <v>0</v>
      </c>
      <c r="H3262" s="2">
        <f t="shared" si="100"/>
        <v>2008</v>
      </c>
      <c r="I3262" t="str">
        <f t="shared" si="101"/>
        <v>Hccs_2008</v>
      </c>
      <c r="J3262" s="3">
        <v>0</v>
      </c>
      <c r="K3262" s="3">
        <v>2008</v>
      </c>
      <c r="L3262" s="3">
        <v>0</v>
      </c>
      <c r="M3262" s="3">
        <v>0</v>
      </c>
      <c r="N3262" s="3">
        <v>0</v>
      </c>
    </row>
    <row r="3263" spans="1:14" x14ac:dyDescent="0.2">
      <c r="A3263" s="5" t="str">
        <f>HYPERLINK("http://www.ncbi.nlm.nih.gov/protein/34328130","Hcfc1")</f>
        <v>Hcfc1</v>
      </c>
      <c r="B3263" s="4"/>
      <c r="C3263" s="3">
        <v>0</v>
      </c>
      <c r="D3263" s="3">
        <v>0</v>
      </c>
      <c r="E3263" s="3">
        <v>0</v>
      </c>
      <c r="F3263" s="3">
        <v>278</v>
      </c>
      <c r="G3263" s="3">
        <v>1992</v>
      </c>
      <c r="H3263" s="2">
        <f t="shared" si="100"/>
        <v>2270</v>
      </c>
      <c r="I3263" t="str">
        <f t="shared" si="101"/>
        <v>Hcfc1_2270</v>
      </c>
      <c r="J3263" s="3">
        <v>0</v>
      </c>
      <c r="K3263" s="3">
        <v>0</v>
      </c>
      <c r="L3263" s="3">
        <v>0</v>
      </c>
      <c r="M3263" s="3">
        <v>278</v>
      </c>
      <c r="N3263" s="3">
        <v>1992</v>
      </c>
    </row>
    <row r="3264" spans="1:14" x14ac:dyDescent="0.2">
      <c r="A3264" s="5" t="str">
        <f>HYPERLINK("http://www.ncbi.nlm.nih.gov/protein/287323109","Hck")</f>
        <v>Hck</v>
      </c>
      <c r="B3264" s="4"/>
      <c r="C3264" s="3">
        <v>2691</v>
      </c>
      <c r="D3264" s="3">
        <v>4643</v>
      </c>
      <c r="E3264" s="3">
        <v>9068</v>
      </c>
      <c r="F3264" s="3">
        <v>10936</v>
      </c>
      <c r="G3264" s="3">
        <v>44016</v>
      </c>
      <c r="H3264" s="2">
        <f t="shared" si="100"/>
        <v>71354</v>
      </c>
      <c r="I3264" t="str">
        <f t="shared" si="101"/>
        <v>Hck_71354</v>
      </c>
      <c r="J3264" s="3">
        <v>2691</v>
      </c>
      <c r="K3264" s="3">
        <v>4643</v>
      </c>
      <c r="L3264" s="3">
        <v>9068</v>
      </c>
      <c r="M3264" s="3">
        <v>10936</v>
      </c>
      <c r="N3264" s="3">
        <v>44016</v>
      </c>
    </row>
    <row r="3265" spans="1:14" x14ac:dyDescent="0.2">
      <c r="A3265" s="5" t="str">
        <f>HYPERLINK("http://www.ncbi.nlm.nih.gov/protein/34734056","Hck")</f>
        <v>Hck</v>
      </c>
      <c r="B3265" s="4"/>
      <c r="C3265" s="3">
        <v>2691</v>
      </c>
      <c r="D3265" s="3">
        <v>4643</v>
      </c>
      <c r="E3265" s="3">
        <v>9068</v>
      </c>
      <c r="F3265" s="3">
        <v>10936</v>
      </c>
      <c r="G3265" s="3">
        <v>44016</v>
      </c>
      <c r="H3265" s="2">
        <f t="shared" si="100"/>
        <v>71354</v>
      </c>
      <c r="I3265" t="str">
        <f t="shared" si="101"/>
        <v>Hck_71354</v>
      </c>
      <c r="J3265" s="3">
        <v>2691</v>
      </c>
      <c r="K3265" s="3">
        <v>4643</v>
      </c>
      <c r="L3265" s="3">
        <v>9068</v>
      </c>
      <c r="M3265" s="3">
        <v>10936</v>
      </c>
      <c r="N3265" s="3">
        <v>44016</v>
      </c>
    </row>
    <row r="3266" spans="1:14" x14ac:dyDescent="0.2">
      <c r="A3266" s="5" t="str">
        <f>HYPERLINK("http://www.ncbi.nlm.nih.gov/protein/6680191","Hcn3")</f>
        <v>Hcn3</v>
      </c>
      <c r="B3266" s="4"/>
      <c r="C3266" s="3">
        <v>0</v>
      </c>
      <c r="D3266" s="3">
        <v>0</v>
      </c>
      <c r="E3266" s="3">
        <v>0</v>
      </c>
      <c r="F3266" s="3">
        <v>8</v>
      </c>
      <c r="G3266" s="3">
        <v>0</v>
      </c>
      <c r="H3266" s="2">
        <f t="shared" ref="H3266:H3329" si="102">SUM(C3266:G3266)</f>
        <v>8</v>
      </c>
      <c r="I3266" t="str">
        <f t="shared" ref="I3266:I3329" si="103">A3266&amp;"_"&amp;H3266</f>
        <v>Hcn3_8</v>
      </c>
      <c r="J3266" s="3">
        <v>0</v>
      </c>
      <c r="K3266" s="3">
        <v>0</v>
      </c>
      <c r="L3266" s="3">
        <v>0</v>
      </c>
      <c r="M3266" s="3">
        <v>8</v>
      </c>
      <c r="N3266" s="3">
        <v>0</v>
      </c>
    </row>
    <row r="3267" spans="1:14" x14ac:dyDescent="0.2">
      <c r="A3267" s="5" t="str">
        <f>HYPERLINK("http://www.ncbi.nlm.nih.gov/protein/6680193","Hdac1")</f>
        <v>Hdac1</v>
      </c>
      <c r="B3267" s="4"/>
      <c r="C3267" s="3">
        <v>108317</v>
      </c>
      <c r="D3267" s="3">
        <v>194</v>
      </c>
      <c r="E3267" s="3">
        <v>4690</v>
      </c>
      <c r="F3267" s="3">
        <v>43424</v>
      </c>
      <c r="G3267" s="3">
        <v>3009</v>
      </c>
      <c r="H3267" s="2">
        <f t="shared" si="102"/>
        <v>159634</v>
      </c>
      <c r="I3267" t="str">
        <f t="shared" si="103"/>
        <v>Hdac1_159634</v>
      </c>
      <c r="J3267" s="3">
        <v>108317</v>
      </c>
      <c r="K3267" s="3">
        <v>194</v>
      </c>
      <c r="L3267" s="3">
        <v>4690</v>
      </c>
      <c r="M3267" s="3">
        <v>43424</v>
      </c>
      <c r="N3267" s="3">
        <v>3009</v>
      </c>
    </row>
    <row r="3268" spans="1:14" x14ac:dyDescent="0.2">
      <c r="A3268" s="5" t="str">
        <f>HYPERLINK("http://www.ncbi.nlm.nih.gov/protein/259089444","Hdac10")</f>
        <v>Hdac10</v>
      </c>
      <c r="B3268" s="4"/>
      <c r="C3268" s="3">
        <v>0</v>
      </c>
      <c r="D3268" s="3">
        <v>0</v>
      </c>
      <c r="E3268" s="3">
        <v>0</v>
      </c>
      <c r="F3268" s="3">
        <v>0</v>
      </c>
      <c r="G3268" s="3">
        <v>450</v>
      </c>
      <c r="H3268" s="2">
        <f t="shared" si="102"/>
        <v>450</v>
      </c>
      <c r="I3268" t="str">
        <f t="shared" si="103"/>
        <v>Hdac10_450</v>
      </c>
      <c r="J3268" s="3">
        <v>0</v>
      </c>
      <c r="K3268" s="3">
        <v>0</v>
      </c>
      <c r="L3268" s="3">
        <v>0</v>
      </c>
      <c r="M3268" s="3">
        <v>0</v>
      </c>
      <c r="N3268" s="3">
        <v>450</v>
      </c>
    </row>
    <row r="3269" spans="1:14" x14ac:dyDescent="0.2">
      <c r="A3269" s="5" t="str">
        <f>HYPERLINK("http://www.ncbi.nlm.nih.gov/protein/87162464","Hdac2")</f>
        <v>Hdac2</v>
      </c>
      <c r="B3269" s="4"/>
      <c r="C3269" s="3">
        <v>22498</v>
      </c>
      <c r="D3269" s="3">
        <v>194</v>
      </c>
      <c r="E3269" s="3">
        <v>3585</v>
      </c>
      <c r="F3269" s="3">
        <v>23370</v>
      </c>
      <c r="G3269" s="3">
        <v>2249</v>
      </c>
      <c r="H3269" s="2">
        <f t="shared" si="102"/>
        <v>51896</v>
      </c>
      <c r="I3269" t="str">
        <f t="shared" si="103"/>
        <v>Hdac2_51896</v>
      </c>
      <c r="J3269" s="3">
        <v>22498</v>
      </c>
      <c r="K3269" s="3">
        <v>194</v>
      </c>
      <c r="L3269" s="3">
        <v>3585</v>
      </c>
      <c r="M3269" s="3">
        <v>23370</v>
      </c>
      <c r="N3269" s="3">
        <v>2249</v>
      </c>
    </row>
    <row r="3270" spans="1:14" x14ac:dyDescent="0.2">
      <c r="A3270" s="5" t="str">
        <f>HYPERLINK("http://www.ncbi.nlm.nih.gov/protein/89257352","Hdac3")</f>
        <v>Hdac3</v>
      </c>
      <c r="B3270" s="4"/>
      <c r="C3270" s="3">
        <v>0</v>
      </c>
      <c r="D3270" s="3">
        <v>4</v>
      </c>
      <c r="E3270" s="3">
        <v>0</v>
      </c>
      <c r="F3270" s="3">
        <v>2947</v>
      </c>
      <c r="G3270" s="3">
        <v>0</v>
      </c>
      <c r="H3270" s="2">
        <f t="shared" si="102"/>
        <v>2951</v>
      </c>
      <c r="I3270" t="str">
        <f t="shared" si="103"/>
        <v>Hdac3_2951</v>
      </c>
      <c r="J3270" s="3">
        <v>0</v>
      </c>
      <c r="K3270" s="3">
        <v>4</v>
      </c>
      <c r="L3270" s="3">
        <v>0</v>
      </c>
      <c r="M3270" s="3">
        <v>2947</v>
      </c>
      <c r="N3270" s="3">
        <v>0</v>
      </c>
    </row>
    <row r="3271" spans="1:14" x14ac:dyDescent="0.2">
      <c r="A3271" s="5" t="str">
        <f>HYPERLINK("http://www.ncbi.nlm.nih.gov/protein/46402201","Hdac4")</f>
        <v>Hdac4</v>
      </c>
      <c r="B3271" s="4"/>
      <c r="C3271" s="3">
        <v>0</v>
      </c>
      <c r="D3271" s="3">
        <v>0</v>
      </c>
      <c r="E3271" s="3">
        <v>0</v>
      </c>
      <c r="F3271" s="3">
        <v>0</v>
      </c>
      <c r="G3271" s="3">
        <v>685</v>
      </c>
      <c r="H3271" s="2">
        <f t="shared" si="102"/>
        <v>685</v>
      </c>
      <c r="I3271" t="str">
        <f t="shared" si="103"/>
        <v>Hdac4_685</v>
      </c>
      <c r="J3271" s="3">
        <v>0</v>
      </c>
      <c r="K3271" s="3">
        <v>0</v>
      </c>
      <c r="L3271" s="3">
        <v>0</v>
      </c>
      <c r="M3271" s="3">
        <v>0</v>
      </c>
      <c r="N3271" s="3">
        <v>685</v>
      </c>
    </row>
    <row r="3272" spans="1:14" x14ac:dyDescent="0.2">
      <c r="A3272" s="5" t="str">
        <f>HYPERLINK("http://www.ncbi.nlm.nih.gov/protein/194353997","Hdac6")</f>
        <v>Hdac6</v>
      </c>
      <c r="B3272" s="4"/>
      <c r="C3272" s="3">
        <v>6370</v>
      </c>
      <c r="D3272" s="3">
        <v>19</v>
      </c>
      <c r="E3272" s="3">
        <v>496</v>
      </c>
      <c r="F3272" s="3">
        <v>90</v>
      </c>
      <c r="G3272" s="3">
        <v>7636</v>
      </c>
      <c r="H3272" s="2">
        <f t="shared" si="102"/>
        <v>14611</v>
      </c>
      <c r="I3272" t="str">
        <f t="shared" si="103"/>
        <v>Hdac6_14611</v>
      </c>
      <c r="J3272" s="3">
        <v>6370</v>
      </c>
      <c r="K3272" s="3">
        <v>19</v>
      </c>
      <c r="L3272" s="3">
        <v>496</v>
      </c>
      <c r="M3272" s="3">
        <v>90</v>
      </c>
      <c r="N3272" s="3">
        <v>7636</v>
      </c>
    </row>
    <row r="3273" spans="1:14" x14ac:dyDescent="0.2">
      <c r="A3273" s="5" t="str">
        <f>HYPERLINK("http://www.ncbi.nlm.nih.gov/protein/58037203","Hdac8")</f>
        <v>Hdac8</v>
      </c>
      <c r="B3273" s="4"/>
      <c r="C3273" s="3">
        <v>0</v>
      </c>
      <c r="D3273" s="3">
        <v>0</v>
      </c>
      <c r="E3273" s="3">
        <v>0</v>
      </c>
      <c r="F3273" s="3">
        <v>0</v>
      </c>
      <c r="G3273" s="3">
        <v>375</v>
      </c>
      <c r="H3273" s="2">
        <f t="shared" si="102"/>
        <v>375</v>
      </c>
      <c r="I3273" t="str">
        <f t="shared" si="103"/>
        <v>Hdac8_375</v>
      </c>
      <c r="J3273" s="3">
        <v>0</v>
      </c>
      <c r="K3273" s="3">
        <v>0</v>
      </c>
      <c r="L3273" s="3">
        <v>0</v>
      </c>
      <c r="M3273" s="3">
        <v>0</v>
      </c>
      <c r="N3273" s="3">
        <v>375</v>
      </c>
    </row>
    <row r="3274" spans="1:14" x14ac:dyDescent="0.2">
      <c r="A3274" s="5" t="str">
        <f>HYPERLINK("http://www.ncbi.nlm.nih.gov/protein/75832031","Hddc2")</f>
        <v>Hddc2</v>
      </c>
      <c r="B3274" s="4"/>
      <c r="C3274" s="3">
        <v>0</v>
      </c>
      <c r="D3274" s="3">
        <v>31</v>
      </c>
      <c r="E3274" s="3">
        <v>51</v>
      </c>
      <c r="F3274" s="3">
        <v>180</v>
      </c>
      <c r="G3274" s="3">
        <v>18624</v>
      </c>
      <c r="H3274" s="2">
        <f t="shared" si="102"/>
        <v>18886</v>
      </c>
      <c r="I3274" t="str">
        <f t="shared" si="103"/>
        <v>Hddc2_18886</v>
      </c>
      <c r="J3274" s="3">
        <v>0</v>
      </c>
      <c r="K3274" s="3">
        <v>31</v>
      </c>
      <c r="L3274" s="3">
        <v>51</v>
      </c>
      <c r="M3274" s="3">
        <v>180</v>
      </c>
      <c r="N3274" s="3">
        <v>18624</v>
      </c>
    </row>
    <row r="3275" spans="1:14" x14ac:dyDescent="0.2">
      <c r="A3275" s="5" t="str">
        <f>HYPERLINK("http://www.ncbi.nlm.nih.gov/protein/21312092","Hddc3")</f>
        <v>Hddc3</v>
      </c>
      <c r="B3275" s="4"/>
      <c r="C3275" s="3">
        <v>0</v>
      </c>
      <c r="D3275" s="3">
        <v>0</v>
      </c>
      <c r="E3275" s="3">
        <v>0</v>
      </c>
      <c r="F3275" s="3">
        <v>0</v>
      </c>
      <c r="G3275" s="3">
        <v>3920</v>
      </c>
      <c r="H3275" s="2">
        <f t="shared" si="102"/>
        <v>3920</v>
      </c>
      <c r="I3275" t="str">
        <f t="shared" si="103"/>
        <v>Hddc3_3920</v>
      </c>
      <c r="J3275" s="3">
        <v>0</v>
      </c>
      <c r="K3275" s="3">
        <v>0</v>
      </c>
      <c r="L3275" s="3">
        <v>0</v>
      </c>
      <c r="M3275" s="3">
        <v>0</v>
      </c>
      <c r="N3275" s="3">
        <v>3920</v>
      </c>
    </row>
    <row r="3276" spans="1:14" x14ac:dyDescent="0.2">
      <c r="A3276" s="5" t="str">
        <f>HYPERLINK("http://www.ncbi.nlm.nih.gov/protein/188497724","Hdgf")</f>
        <v>Hdgf</v>
      </c>
      <c r="B3276" s="4"/>
      <c r="C3276" s="3">
        <v>18086</v>
      </c>
      <c r="D3276" s="3">
        <v>772</v>
      </c>
      <c r="E3276" s="3">
        <v>3771</v>
      </c>
      <c r="F3276" s="3">
        <v>36033</v>
      </c>
      <c r="G3276" s="3">
        <v>185842</v>
      </c>
      <c r="H3276" s="2">
        <f t="shared" si="102"/>
        <v>244504</v>
      </c>
      <c r="I3276" t="str">
        <f t="shared" si="103"/>
        <v>Hdgf_244504</v>
      </c>
      <c r="J3276" s="3">
        <v>18086</v>
      </c>
      <c r="K3276" s="3">
        <v>772</v>
      </c>
      <c r="L3276" s="3">
        <v>3771</v>
      </c>
      <c r="M3276" s="3">
        <v>36033</v>
      </c>
      <c r="N3276" s="3">
        <v>185842</v>
      </c>
    </row>
    <row r="3277" spans="1:14" x14ac:dyDescent="0.2">
      <c r="A3277" s="5" t="str">
        <f>HYPERLINK("http://www.ncbi.nlm.nih.gov/protein/6680201","Hdgfrp2")</f>
        <v>Hdgfrp2</v>
      </c>
      <c r="B3277" s="4"/>
      <c r="C3277" s="3">
        <v>0</v>
      </c>
      <c r="D3277" s="3">
        <v>1720</v>
      </c>
      <c r="E3277" s="3">
        <v>2808</v>
      </c>
      <c r="F3277" s="3">
        <v>647</v>
      </c>
      <c r="G3277" s="3">
        <v>407</v>
      </c>
      <c r="H3277" s="2">
        <f t="shared" si="102"/>
        <v>5582</v>
      </c>
      <c r="I3277" t="str">
        <f t="shared" si="103"/>
        <v>Hdgfrp2_5582</v>
      </c>
      <c r="J3277" s="3">
        <v>0</v>
      </c>
      <c r="K3277" s="3">
        <v>1720</v>
      </c>
      <c r="L3277" s="3">
        <v>2808</v>
      </c>
      <c r="M3277" s="3">
        <v>647</v>
      </c>
      <c r="N3277" s="3">
        <v>407</v>
      </c>
    </row>
    <row r="3278" spans="1:14" x14ac:dyDescent="0.2">
      <c r="A3278" s="5" t="str">
        <f>HYPERLINK("http://www.ncbi.nlm.nih.gov/protein/21313310","Hdhd2")</f>
        <v>Hdhd2</v>
      </c>
      <c r="B3278" s="4"/>
      <c r="C3278" s="3">
        <v>0</v>
      </c>
      <c r="D3278" s="3">
        <v>94</v>
      </c>
      <c r="E3278" s="3">
        <v>16</v>
      </c>
      <c r="F3278" s="3">
        <v>0</v>
      </c>
      <c r="G3278" s="3">
        <v>728</v>
      </c>
      <c r="H3278" s="2">
        <f t="shared" si="102"/>
        <v>838</v>
      </c>
      <c r="I3278" t="str">
        <f t="shared" si="103"/>
        <v>Hdhd2_838</v>
      </c>
      <c r="J3278" s="3">
        <v>0</v>
      </c>
      <c r="K3278" s="3">
        <v>94</v>
      </c>
      <c r="L3278" s="3">
        <v>16</v>
      </c>
      <c r="M3278" s="3">
        <v>0</v>
      </c>
      <c r="N3278" s="3">
        <v>728</v>
      </c>
    </row>
    <row r="3279" spans="1:14" x14ac:dyDescent="0.2">
      <c r="A3279" s="5" t="str">
        <f>HYPERLINK("http://www.ncbi.nlm.nih.gov/protein/21312204","Hdhd3")</f>
        <v>Hdhd3</v>
      </c>
      <c r="B3279" s="4"/>
      <c r="C3279" s="3">
        <v>1995</v>
      </c>
      <c r="D3279" s="3">
        <v>1480</v>
      </c>
      <c r="E3279" s="3">
        <v>0</v>
      </c>
      <c r="F3279" s="3">
        <v>0</v>
      </c>
      <c r="G3279" s="3">
        <v>0</v>
      </c>
      <c r="H3279" s="2">
        <f t="shared" si="102"/>
        <v>3475</v>
      </c>
      <c r="I3279" t="str">
        <f t="shared" si="103"/>
        <v>Hdhd3_3475</v>
      </c>
      <c r="J3279" s="3">
        <v>1995</v>
      </c>
      <c r="K3279" s="3">
        <v>1480</v>
      </c>
      <c r="L3279" s="3">
        <v>0</v>
      </c>
      <c r="M3279" s="3">
        <v>0</v>
      </c>
      <c r="N3279" s="3">
        <v>0</v>
      </c>
    </row>
    <row r="3280" spans="1:14" x14ac:dyDescent="0.2">
      <c r="A3280" s="5" t="str">
        <f>HYPERLINK("http://www.ncbi.nlm.nih.gov/protein/19527028","Hdlbp")</f>
        <v>Hdlbp</v>
      </c>
      <c r="B3280" s="4"/>
      <c r="C3280" s="3">
        <v>38754</v>
      </c>
      <c r="D3280" s="3">
        <v>3776</v>
      </c>
      <c r="E3280" s="3">
        <v>49266</v>
      </c>
      <c r="F3280" s="3">
        <v>48614</v>
      </c>
      <c r="G3280" s="3">
        <v>3266</v>
      </c>
      <c r="H3280" s="2">
        <f t="shared" si="102"/>
        <v>143676</v>
      </c>
      <c r="I3280" t="str">
        <f t="shared" si="103"/>
        <v>Hdlbp_143676</v>
      </c>
      <c r="J3280" s="3">
        <v>38754</v>
      </c>
      <c r="K3280" s="3">
        <v>3776</v>
      </c>
      <c r="L3280" s="3">
        <v>49266</v>
      </c>
      <c r="M3280" s="3">
        <v>48614</v>
      </c>
      <c r="N3280" s="3">
        <v>3266</v>
      </c>
    </row>
    <row r="3281" spans="1:14" x14ac:dyDescent="0.2">
      <c r="A3281" s="5" t="str">
        <f>HYPERLINK("http://www.ncbi.nlm.nih.gov/protein/46519149","Heatr1")</f>
        <v>Heatr1</v>
      </c>
      <c r="B3281" s="4"/>
      <c r="C3281" s="3">
        <v>1446</v>
      </c>
      <c r="D3281" s="3">
        <v>2</v>
      </c>
      <c r="E3281" s="3">
        <v>0</v>
      </c>
      <c r="F3281" s="3">
        <v>0</v>
      </c>
      <c r="G3281" s="3">
        <v>0</v>
      </c>
      <c r="H3281" s="2">
        <f t="shared" si="102"/>
        <v>1448</v>
      </c>
      <c r="I3281" t="str">
        <f t="shared" si="103"/>
        <v>Heatr1_1448</v>
      </c>
      <c r="J3281" s="3">
        <v>1446</v>
      </c>
      <c r="K3281" s="3">
        <v>2</v>
      </c>
      <c r="L3281" s="3">
        <v>0</v>
      </c>
      <c r="M3281" s="3">
        <v>0</v>
      </c>
      <c r="N3281" s="3">
        <v>0</v>
      </c>
    </row>
    <row r="3282" spans="1:14" x14ac:dyDescent="0.2">
      <c r="A3282" s="5" t="str">
        <f>HYPERLINK("http://www.ncbi.nlm.nih.gov/protein/124486915","Heatr2")</f>
        <v>Heatr2</v>
      </c>
      <c r="B3282" s="4"/>
      <c r="C3282" s="3">
        <v>0</v>
      </c>
      <c r="D3282" s="3">
        <v>0</v>
      </c>
      <c r="E3282" s="3">
        <v>0</v>
      </c>
      <c r="F3282" s="3">
        <v>802</v>
      </c>
      <c r="G3282" s="3">
        <v>1521</v>
      </c>
      <c r="H3282" s="2">
        <f t="shared" si="102"/>
        <v>2323</v>
      </c>
      <c r="I3282" t="str">
        <f t="shared" si="103"/>
        <v>Heatr2_2323</v>
      </c>
      <c r="J3282" s="3">
        <v>0</v>
      </c>
      <c r="K3282" s="3">
        <v>0</v>
      </c>
      <c r="L3282" s="3">
        <v>0</v>
      </c>
      <c r="M3282" s="3">
        <v>802</v>
      </c>
      <c r="N3282" s="3">
        <v>1521</v>
      </c>
    </row>
    <row r="3283" spans="1:14" x14ac:dyDescent="0.2">
      <c r="A3283" s="5" t="str">
        <f>HYPERLINK("http://www.ncbi.nlm.nih.gov/protein/40789301","Heatr3")</f>
        <v>Heatr3</v>
      </c>
      <c r="B3283" s="4"/>
      <c r="C3283" s="3">
        <v>0</v>
      </c>
      <c r="D3283" s="3">
        <v>0</v>
      </c>
      <c r="E3283" s="3">
        <v>1036</v>
      </c>
      <c r="F3283" s="3">
        <v>11722</v>
      </c>
      <c r="G3283" s="3">
        <v>1060</v>
      </c>
      <c r="H3283" s="2">
        <f t="shared" si="102"/>
        <v>13818</v>
      </c>
      <c r="I3283" t="str">
        <f t="shared" si="103"/>
        <v>Heatr3_13818</v>
      </c>
      <c r="J3283" s="3">
        <v>0</v>
      </c>
      <c r="K3283" s="3">
        <v>0</v>
      </c>
      <c r="L3283" s="3">
        <v>1036</v>
      </c>
      <c r="M3283" s="3">
        <v>11722</v>
      </c>
      <c r="N3283" s="3">
        <v>1060</v>
      </c>
    </row>
    <row r="3284" spans="1:14" x14ac:dyDescent="0.2">
      <c r="A3284" s="5" t="str">
        <f>HYPERLINK("http://www.ncbi.nlm.nih.gov/protein/38505263","Heatr5a")</f>
        <v>Heatr5a</v>
      </c>
      <c r="B3284" s="4"/>
      <c r="C3284" s="3">
        <v>0</v>
      </c>
      <c r="D3284" s="3">
        <v>0</v>
      </c>
      <c r="E3284" s="3">
        <v>0</v>
      </c>
      <c r="F3284" s="3">
        <v>82</v>
      </c>
      <c r="G3284" s="3">
        <v>2913</v>
      </c>
      <c r="H3284" s="2">
        <f t="shared" si="102"/>
        <v>2995</v>
      </c>
      <c r="I3284" t="str">
        <f t="shared" si="103"/>
        <v>Heatr5a_2995</v>
      </c>
      <c r="J3284" s="3">
        <v>0</v>
      </c>
      <c r="K3284" s="3">
        <v>0</v>
      </c>
      <c r="L3284" s="3">
        <v>0</v>
      </c>
      <c r="M3284" s="3">
        <v>82</v>
      </c>
      <c r="N3284" s="3">
        <v>2913</v>
      </c>
    </row>
    <row r="3285" spans="1:14" x14ac:dyDescent="0.2">
      <c r="A3285" s="5" t="str">
        <f>HYPERLINK("http://www.ncbi.nlm.nih.gov/protein/124487157","Heatr5b")</f>
        <v>Heatr5b</v>
      </c>
      <c r="B3285" s="4"/>
      <c r="C3285" s="3">
        <v>0</v>
      </c>
      <c r="D3285" s="3">
        <v>27</v>
      </c>
      <c r="E3285" s="3">
        <v>399</v>
      </c>
      <c r="F3285" s="3">
        <v>1760</v>
      </c>
      <c r="G3285" s="3">
        <v>8696</v>
      </c>
      <c r="H3285" s="2">
        <f t="shared" si="102"/>
        <v>10882</v>
      </c>
      <c r="I3285" t="str">
        <f t="shared" si="103"/>
        <v>Heatr5b_10882</v>
      </c>
      <c r="J3285" s="3">
        <v>0</v>
      </c>
      <c r="K3285" s="3">
        <v>27</v>
      </c>
      <c r="L3285" s="3">
        <v>399</v>
      </c>
      <c r="M3285" s="3">
        <v>1760</v>
      </c>
      <c r="N3285" s="3">
        <v>8696</v>
      </c>
    </row>
    <row r="3286" spans="1:14" x14ac:dyDescent="0.2">
      <c r="A3286" s="5" t="str">
        <f>HYPERLINK("http://www.ncbi.nlm.nih.gov/protein/124249080","Heatr6")</f>
        <v>Heatr6</v>
      </c>
      <c r="B3286" s="4"/>
      <c r="C3286" s="3">
        <v>0</v>
      </c>
      <c r="D3286" s="3">
        <v>0</v>
      </c>
      <c r="E3286" s="3">
        <v>776</v>
      </c>
      <c r="F3286" s="3">
        <v>712</v>
      </c>
      <c r="G3286" s="3">
        <v>386</v>
      </c>
      <c r="H3286" s="2">
        <f t="shared" si="102"/>
        <v>1874</v>
      </c>
      <c r="I3286" t="str">
        <f t="shared" si="103"/>
        <v>Heatr6_1874</v>
      </c>
      <c r="J3286" s="3">
        <v>0</v>
      </c>
      <c r="K3286" s="3">
        <v>0</v>
      </c>
      <c r="L3286" s="3">
        <v>776</v>
      </c>
      <c r="M3286" s="3">
        <v>712</v>
      </c>
      <c r="N3286" s="3">
        <v>386</v>
      </c>
    </row>
    <row r="3287" spans="1:14" x14ac:dyDescent="0.2">
      <c r="A3287" s="5" t="str">
        <f>HYPERLINK("http://www.ncbi.nlm.nih.gov/protein/124001580","Hebp1")</f>
        <v>Hebp1</v>
      </c>
      <c r="B3287" s="4"/>
      <c r="C3287" s="3">
        <v>0</v>
      </c>
      <c r="D3287" s="3">
        <v>0</v>
      </c>
      <c r="E3287" s="3">
        <v>0</v>
      </c>
      <c r="F3287" s="3">
        <v>0</v>
      </c>
      <c r="G3287" s="3">
        <v>2463</v>
      </c>
      <c r="H3287" s="2">
        <f t="shared" si="102"/>
        <v>2463</v>
      </c>
      <c r="I3287" t="str">
        <f t="shared" si="103"/>
        <v>Hebp1_2463</v>
      </c>
      <c r="J3287" s="3">
        <v>0</v>
      </c>
      <c r="K3287" s="3">
        <v>0</v>
      </c>
      <c r="L3287" s="3">
        <v>0</v>
      </c>
      <c r="M3287" s="3">
        <v>0</v>
      </c>
      <c r="N3287" s="3">
        <v>2463</v>
      </c>
    </row>
    <row r="3288" spans="1:14" x14ac:dyDescent="0.2">
      <c r="A3288" s="5" t="str">
        <f>HYPERLINK("http://www.ncbi.nlm.nih.gov/protein/9507129","Hebp2")</f>
        <v>Hebp2</v>
      </c>
      <c r="B3288" s="4"/>
      <c r="C3288" s="3">
        <v>0</v>
      </c>
      <c r="D3288" s="3">
        <v>0</v>
      </c>
      <c r="E3288" s="3">
        <v>0</v>
      </c>
      <c r="F3288" s="3">
        <v>0</v>
      </c>
      <c r="G3288" s="3">
        <v>7100</v>
      </c>
      <c r="H3288" s="2">
        <f t="shared" si="102"/>
        <v>7100</v>
      </c>
      <c r="I3288" t="str">
        <f t="shared" si="103"/>
        <v>Hebp2_7100</v>
      </c>
      <c r="J3288" s="3">
        <v>0</v>
      </c>
      <c r="K3288" s="3">
        <v>0</v>
      </c>
      <c r="L3288" s="3">
        <v>0</v>
      </c>
      <c r="M3288" s="3">
        <v>0</v>
      </c>
      <c r="N3288" s="3">
        <v>7100</v>
      </c>
    </row>
    <row r="3289" spans="1:14" x14ac:dyDescent="0.2">
      <c r="A3289" s="5" t="str">
        <f>HYPERLINK("http://www.ncbi.nlm.nih.gov/protein/205277432","Hectd1")</f>
        <v>Hectd1</v>
      </c>
      <c r="B3289" s="4"/>
      <c r="C3289" s="3">
        <v>0</v>
      </c>
      <c r="D3289" s="3">
        <v>0</v>
      </c>
      <c r="E3289" s="3">
        <v>51</v>
      </c>
      <c r="F3289" s="3">
        <v>3446</v>
      </c>
      <c r="G3289" s="3">
        <v>20616</v>
      </c>
      <c r="H3289" s="2">
        <f t="shared" si="102"/>
        <v>24113</v>
      </c>
      <c r="I3289" t="str">
        <f t="shared" si="103"/>
        <v>Hectd1_24113</v>
      </c>
      <c r="J3289" s="3">
        <v>0</v>
      </c>
      <c r="K3289" s="3">
        <v>0</v>
      </c>
      <c r="L3289" s="3">
        <v>51</v>
      </c>
      <c r="M3289" s="3">
        <v>3446</v>
      </c>
      <c r="N3289" s="3">
        <v>20616</v>
      </c>
    </row>
    <row r="3290" spans="1:14" x14ac:dyDescent="0.2">
      <c r="A3290" s="5" t="str">
        <f>HYPERLINK("http://www.ncbi.nlm.nih.gov/protein/30424882","Hectd3")</f>
        <v>Hectd3</v>
      </c>
      <c r="B3290" s="4"/>
      <c r="C3290" s="3">
        <v>0</v>
      </c>
      <c r="D3290" s="3">
        <v>0</v>
      </c>
      <c r="E3290" s="3">
        <v>35</v>
      </c>
      <c r="F3290" s="3">
        <v>13015</v>
      </c>
      <c r="G3290" s="3">
        <v>0</v>
      </c>
      <c r="H3290" s="2">
        <f t="shared" si="102"/>
        <v>13050</v>
      </c>
      <c r="I3290" t="str">
        <f t="shared" si="103"/>
        <v>Hectd3_13050</v>
      </c>
      <c r="J3290" s="3">
        <v>0</v>
      </c>
      <c r="K3290" s="3">
        <v>0</v>
      </c>
      <c r="L3290" s="3">
        <v>35</v>
      </c>
      <c r="M3290" s="3">
        <v>13015</v>
      </c>
      <c r="N3290" s="3">
        <v>0</v>
      </c>
    </row>
    <row r="3291" spans="1:14" x14ac:dyDescent="0.2">
      <c r="A3291" s="5" t="str">
        <f>HYPERLINK("http://www.ncbi.nlm.nih.gov/protein/163644255","Hecw1")</f>
        <v>Hecw1</v>
      </c>
      <c r="B3291" s="4"/>
      <c r="C3291" s="3">
        <v>0</v>
      </c>
      <c r="D3291" s="3">
        <v>0</v>
      </c>
      <c r="E3291" s="3">
        <v>0</v>
      </c>
      <c r="F3291" s="3">
        <v>0</v>
      </c>
      <c r="G3291" s="3">
        <v>1028</v>
      </c>
      <c r="H3291" s="2">
        <f t="shared" si="102"/>
        <v>1028</v>
      </c>
      <c r="I3291" t="str">
        <f t="shared" si="103"/>
        <v>Hecw1_1028</v>
      </c>
      <c r="J3291" s="3">
        <v>0</v>
      </c>
      <c r="K3291" s="3">
        <v>0</v>
      </c>
      <c r="L3291" s="3">
        <v>0</v>
      </c>
      <c r="M3291" s="3">
        <v>0</v>
      </c>
      <c r="N3291" s="3">
        <v>1028</v>
      </c>
    </row>
    <row r="3292" spans="1:14" x14ac:dyDescent="0.2">
      <c r="A3292" s="5" t="str">
        <f>HYPERLINK("http://www.ncbi.nlm.nih.gov/protein/165932362","Helb")</f>
        <v>Helb</v>
      </c>
      <c r="B3292" s="4"/>
      <c r="C3292" s="3">
        <v>0</v>
      </c>
      <c r="D3292" s="3">
        <v>0</v>
      </c>
      <c r="E3292" s="3">
        <v>382</v>
      </c>
      <c r="F3292" s="3">
        <v>377</v>
      </c>
      <c r="G3292" s="3">
        <v>6029</v>
      </c>
      <c r="H3292" s="2">
        <f t="shared" si="102"/>
        <v>6788</v>
      </c>
      <c r="I3292" t="str">
        <f t="shared" si="103"/>
        <v>Helb_6788</v>
      </c>
      <c r="J3292" s="3">
        <v>0</v>
      </c>
      <c r="K3292" s="3">
        <v>0</v>
      </c>
      <c r="L3292" s="3">
        <v>382</v>
      </c>
      <c r="M3292" s="3">
        <v>377</v>
      </c>
      <c r="N3292" s="3">
        <v>6029</v>
      </c>
    </row>
    <row r="3293" spans="1:14" x14ac:dyDescent="0.2">
      <c r="A3293" s="5" t="str">
        <f>HYPERLINK("http://www.ncbi.nlm.nih.gov/protein/12232371","Hells")</f>
        <v>Hells</v>
      </c>
      <c r="B3293" s="4"/>
      <c r="C3293" s="3">
        <v>8531</v>
      </c>
      <c r="D3293" s="3">
        <v>614</v>
      </c>
      <c r="E3293" s="3">
        <v>2041</v>
      </c>
      <c r="F3293" s="3">
        <v>10821</v>
      </c>
      <c r="G3293" s="3">
        <v>5162</v>
      </c>
      <c r="H3293" s="2">
        <f t="shared" si="102"/>
        <v>27169</v>
      </c>
      <c r="I3293" t="str">
        <f t="shared" si="103"/>
        <v>Hells_27169</v>
      </c>
      <c r="J3293" s="3">
        <v>8531</v>
      </c>
      <c r="K3293" s="3">
        <v>614</v>
      </c>
      <c r="L3293" s="3">
        <v>2041</v>
      </c>
      <c r="M3293" s="3">
        <v>10821</v>
      </c>
      <c r="N3293" s="3">
        <v>5162</v>
      </c>
    </row>
    <row r="3294" spans="1:14" x14ac:dyDescent="0.2">
      <c r="A3294" s="5" t="str">
        <f>HYPERLINK("http://www.ncbi.nlm.nih.gov/protein/50355943","Helz")</f>
        <v>Helz</v>
      </c>
      <c r="B3294" s="4"/>
      <c r="C3294" s="3">
        <v>0</v>
      </c>
      <c r="D3294" s="3">
        <v>0</v>
      </c>
      <c r="E3294" s="3">
        <v>200</v>
      </c>
      <c r="F3294" s="3">
        <v>0</v>
      </c>
      <c r="G3294" s="3">
        <v>0</v>
      </c>
      <c r="H3294" s="2">
        <f t="shared" si="102"/>
        <v>200</v>
      </c>
      <c r="I3294" t="str">
        <f t="shared" si="103"/>
        <v>Helz_200</v>
      </c>
      <c r="J3294" s="3">
        <v>0</v>
      </c>
      <c r="K3294" s="3">
        <v>0</v>
      </c>
      <c r="L3294" s="3">
        <v>200</v>
      </c>
      <c r="M3294" s="3">
        <v>0</v>
      </c>
      <c r="N3294" s="3">
        <v>0</v>
      </c>
    </row>
    <row r="3295" spans="1:14" x14ac:dyDescent="0.2">
      <c r="A3295" s="5" t="str">
        <f>HYPERLINK("http://www.ncbi.nlm.nih.gov/protein/125347767","Helz2")</f>
        <v>Helz2</v>
      </c>
      <c r="B3295" s="4"/>
      <c r="C3295" s="3">
        <v>0</v>
      </c>
      <c r="D3295" s="3">
        <v>0</v>
      </c>
      <c r="E3295" s="3">
        <v>372</v>
      </c>
      <c r="F3295" s="3">
        <v>0</v>
      </c>
      <c r="G3295" s="3">
        <v>0</v>
      </c>
      <c r="H3295" s="2">
        <f t="shared" si="102"/>
        <v>372</v>
      </c>
      <c r="I3295" t="str">
        <f t="shared" si="103"/>
        <v>Helz2_372</v>
      </c>
      <c r="J3295" s="3">
        <v>0</v>
      </c>
      <c r="K3295" s="3">
        <v>0</v>
      </c>
      <c r="L3295" s="3">
        <v>372</v>
      </c>
      <c r="M3295" s="3">
        <v>0</v>
      </c>
      <c r="N3295" s="3">
        <v>0</v>
      </c>
    </row>
    <row r="3296" spans="1:14" x14ac:dyDescent="0.2">
      <c r="A3296" s="5" t="str">
        <f>HYPERLINK("http://www.ncbi.nlm.nih.gov/protein/257196144","Herc1")</f>
        <v>Herc1</v>
      </c>
      <c r="B3296" s="4"/>
      <c r="C3296" s="3">
        <v>0</v>
      </c>
      <c r="D3296" s="3">
        <v>0</v>
      </c>
      <c r="E3296" s="3">
        <v>0</v>
      </c>
      <c r="F3296" s="3">
        <v>6000</v>
      </c>
      <c r="G3296" s="3">
        <v>0</v>
      </c>
      <c r="H3296" s="2">
        <f t="shared" si="102"/>
        <v>6000</v>
      </c>
      <c r="I3296" t="str">
        <f t="shared" si="103"/>
        <v>Herc1_6000</v>
      </c>
      <c r="J3296" s="3">
        <v>0</v>
      </c>
      <c r="K3296" s="3">
        <v>0</v>
      </c>
      <c r="L3296" s="3">
        <v>0</v>
      </c>
      <c r="M3296" s="3">
        <v>6000</v>
      </c>
      <c r="N3296" s="3">
        <v>0</v>
      </c>
    </row>
    <row r="3297" spans="1:14" x14ac:dyDescent="0.2">
      <c r="A3297" s="5" t="str">
        <f>HYPERLINK("http://www.ncbi.nlm.nih.gov/protein/134288898","Herc2")</f>
        <v>Herc2</v>
      </c>
      <c r="B3297" s="4"/>
      <c r="C3297" s="3">
        <v>0</v>
      </c>
      <c r="D3297" s="3">
        <v>0</v>
      </c>
      <c r="E3297" s="3">
        <v>19</v>
      </c>
      <c r="F3297" s="3">
        <v>25</v>
      </c>
      <c r="G3297" s="3">
        <v>0</v>
      </c>
      <c r="H3297" s="2">
        <f t="shared" si="102"/>
        <v>44</v>
      </c>
      <c r="I3297" t="str">
        <f t="shared" si="103"/>
        <v>Herc2_44</v>
      </c>
      <c r="J3297" s="3">
        <v>0</v>
      </c>
      <c r="K3297" s="3">
        <v>0</v>
      </c>
      <c r="L3297" s="3">
        <v>19</v>
      </c>
      <c r="M3297" s="3">
        <v>25</v>
      </c>
      <c r="N3297" s="3">
        <v>0</v>
      </c>
    </row>
    <row r="3298" spans="1:14" x14ac:dyDescent="0.2">
      <c r="A3298" s="5" t="str">
        <f>HYPERLINK("http://www.ncbi.nlm.nih.gov/protein/312433980","Herc4")</f>
        <v>Herc4</v>
      </c>
      <c r="B3298" s="4"/>
      <c r="C3298" s="3">
        <v>0</v>
      </c>
      <c r="D3298" s="3">
        <v>0</v>
      </c>
      <c r="E3298" s="3">
        <v>0</v>
      </c>
      <c r="F3298" s="3">
        <v>0</v>
      </c>
      <c r="G3298" s="3">
        <v>31090</v>
      </c>
      <c r="H3298" s="2">
        <f t="shared" si="102"/>
        <v>31090</v>
      </c>
      <c r="I3298" t="str">
        <f t="shared" si="103"/>
        <v>Herc4_31090</v>
      </c>
      <c r="J3298" s="3">
        <v>0</v>
      </c>
      <c r="K3298" s="3">
        <v>0</v>
      </c>
      <c r="L3298" s="3">
        <v>0</v>
      </c>
      <c r="M3298" s="3">
        <v>0</v>
      </c>
      <c r="N3298" s="3">
        <v>31090</v>
      </c>
    </row>
    <row r="3299" spans="1:14" x14ac:dyDescent="0.2">
      <c r="A3299" s="5" t="str">
        <f>HYPERLINK("http://www.ncbi.nlm.nih.gov/protein/32451488","Herc4")</f>
        <v>Herc4</v>
      </c>
      <c r="B3299" s="4"/>
      <c r="C3299" s="3">
        <v>0</v>
      </c>
      <c r="D3299" s="3">
        <v>0</v>
      </c>
      <c r="E3299" s="3">
        <v>0</v>
      </c>
      <c r="F3299" s="3">
        <v>0</v>
      </c>
      <c r="G3299" s="3">
        <v>31090</v>
      </c>
      <c r="H3299" s="2">
        <f t="shared" si="102"/>
        <v>31090</v>
      </c>
      <c r="I3299" t="str">
        <f t="shared" si="103"/>
        <v>Herc4_31090</v>
      </c>
      <c r="J3299" s="3">
        <v>0</v>
      </c>
      <c r="K3299" s="3">
        <v>0</v>
      </c>
      <c r="L3299" s="3">
        <v>0</v>
      </c>
      <c r="M3299" s="3">
        <v>0</v>
      </c>
      <c r="N3299" s="3">
        <v>31090</v>
      </c>
    </row>
    <row r="3300" spans="1:14" x14ac:dyDescent="0.2">
      <c r="A3300" s="5" t="str">
        <f>HYPERLINK("http://www.ncbi.nlm.nih.gov/protein/11612515","Herpud1")</f>
        <v>Herpud1</v>
      </c>
      <c r="B3300" s="4"/>
      <c r="C3300" s="3">
        <v>0</v>
      </c>
      <c r="D3300" s="3">
        <v>63</v>
      </c>
      <c r="E3300" s="3">
        <v>16</v>
      </c>
      <c r="F3300" s="3">
        <v>0</v>
      </c>
      <c r="G3300" s="3">
        <v>0</v>
      </c>
      <c r="H3300" s="2">
        <f t="shared" si="102"/>
        <v>79</v>
      </c>
      <c r="I3300" t="str">
        <f t="shared" si="103"/>
        <v>Herpud1_79</v>
      </c>
      <c r="J3300" s="3">
        <v>0</v>
      </c>
      <c r="K3300" s="3">
        <v>63</v>
      </c>
      <c r="L3300" s="3">
        <v>16</v>
      </c>
      <c r="M3300" s="3">
        <v>0</v>
      </c>
      <c r="N3300" s="3">
        <v>0</v>
      </c>
    </row>
    <row r="3301" spans="1:14" x14ac:dyDescent="0.2">
      <c r="A3301" s="5" t="str">
        <f>HYPERLINK("http://www.ncbi.nlm.nih.gov/protein/67514549","Hexa")</f>
        <v>Hexa</v>
      </c>
      <c r="B3301" s="4"/>
      <c r="C3301" s="3">
        <v>0</v>
      </c>
      <c r="D3301" s="3">
        <v>13538</v>
      </c>
      <c r="E3301" s="3">
        <v>8253</v>
      </c>
      <c r="F3301" s="3">
        <v>1498</v>
      </c>
      <c r="G3301" s="3">
        <v>0</v>
      </c>
      <c r="H3301" s="2">
        <f t="shared" si="102"/>
        <v>23289</v>
      </c>
      <c r="I3301" t="str">
        <f t="shared" si="103"/>
        <v>Hexa_23289</v>
      </c>
      <c r="J3301" s="3">
        <v>0</v>
      </c>
      <c r="K3301" s="3">
        <v>13538</v>
      </c>
      <c r="L3301" s="3">
        <v>8253</v>
      </c>
      <c r="M3301" s="3">
        <v>1498</v>
      </c>
      <c r="N3301" s="3">
        <v>0</v>
      </c>
    </row>
    <row r="3302" spans="1:14" x14ac:dyDescent="0.2">
      <c r="A3302" s="5" t="str">
        <f>HYPERLINK("http://www.ncbi.nlm.nih.gov/protein/6754186","Hexb")</f>
        <v>Hexb</v>
      </c>
      <c r="B3302" s="4"/>
      <c r="C3302" s="3">
        <v>0</v>
      </c>
      <c r="D3302" s="3">
        <v>13757</v>
      </c>
      <c r="E3302" s="3">
        <v>6711</v>
      </c>
      <c r="F3302" s="3">
        <v>7596</v>
      </c>
      <c r="G3302" s="3">
        <v>86</v>
      </c>
      <c r="H3302" s="2">
        <f t="shared" si="102"/>
        <v>28150</v>
      </c>
      <c r="I3302" t="str">
        <f t="shared" si="103"/>
        <v>Hexb_28150</v>
      </c>
      <c r="J3302" s="3">
        <v>0</v>
      </c>
      <c r="K3302" s="3">
        <v>13757</v>
      </c>
      <c r="L3302" s="3">
        <v>6711</v>
      </c>
      <c r="M3302" s="3">
        <v>7596</v>
      </c>
      <c r="N3302" s="3">
        <v>86</v>
      </c>
    </row>
    <row r="3303" spans="1:14" x14ac:dyDescent="0.2">
      <c r="A3303" s="5" t="str">
        <f>HYPERLINK("http://www.ncbi.nlm.nih.gov/protein/20270289","Hexim1")</f>
        <v>Hexim1</v>
      </c>
      <c r="B3303" s="4"/>
      <c r="C3303" s="3">
        <v>0</v>
      </c>
      <c r="D3303" s="3">
        <v>0</v>
      </c>
      <c r="E3303" s="3">
        <v>78</v>
      </c>
      <c r="F3303" s="3">
        <v>2521</v>
      </c>
      <c r="G3303" s="3">
        <v>846</v>
      </c>
      <c r="H3303" s="2">
        <f t="shared" si="102"/>
        <v>3445</v>
      </c>
      <c r="I3303" t="str">
        <f t="shared" si="103"/>
        <v>Hexim1_3445</v>
      </c>
      <c r="J3303" s="3">
        <v>0</v>
      </c>
      <c r="K3303" s="3">
        <v>0</v>
      </c>
      <c r="L3303" s="3">
        <v>78</v>
      </c>
      <c r="M3303" s="3">
        <v>2521</v>
      </c>
      <c r="N3303" s="3">
        <v>846</v>
      </c>
    </row>
    <row r="3304" spans="1:14" x14ac:dyDescent="0.2">
      <c r="A3304" s="5" t="str">
        <f>HYPERLINK("http://www.ncbi.nlm.nih.gov/protein/226693388","Hgs")</f>
        <v>Hgs</v>
      </c>
      <c r="B3304" s="4"/>
      <c r="C3304" s="3">
        <v>0</v>
      </c>
      <c r="D3304" s="3">
        <v>1987</v>
      </c>
      <c r="E3304" s="3">
        <v>7346</v>
      </c>
      <c r="F3304" s="3">
        <v>0</v>
      </c>
      <c r="G3304" s="3">
        <v>18195</v>
      </c>
      <c r="H3304" s="2">
        <f t="shared" si="102"/>
        <v>27528</v>
      </c>
      <c r="I3304" t="str">
        <f t="shared" si="103"/>
        <v>Hgs_27528</v>
      </c>
      <c r="J3304" s="3">
        <v>0</v>
      </c>
      <c r="K3304" s="3">
        <v>1987</v>
      </c>
      <c r="L3304" s="3">
        <v>7346</v>
      </c>
      <c r="M3304" s="3">
        <v>0</v>
      </c>
      <c r="N3304" s="3">
        <v>18195</v>
      </c>
    </row>
    <row r="3305" spans="1:14" x14ac:dyDescent="0.2">
      <c r="A3305" s="5" t="str">
        <f>HYPERLINK("http://www.ncbi.nlm.nih.gov/protein/226874952","Hgs")</f>
        <v>Hgs</v>
      </c>
      <c r="B3305" s="4"/>
      <c r="C3305" s="3">
        <v>0</v>
      </c>
      <c r="D3305" s="3">
        <v>1987</v>
      </c>
      <c r="E3305" s="3">
        <v>7346</v>
      </c>
      <c r="F3305" s="3">
        <v>0</v>
      </c>
      <c r="G3305" s="3">
        <v>18195</v>
      </c>
      <c r="H3305" s="2">
        <f t="shared" si="102"/>
        <v>27528</v>
      </c>
      <c r="I3305" t="str">
        <f t="shared" si="103"/>
        <v>Hgs_27528</v>
      </c>
      <c r="J3305" s="3">
        <v>0</v>
      </c>
      <c r="K3305" s="3">
        <v>1987</v>
      </c>
      <c r="L3305" s="3">
        <v>7346</v>
      </c>
      <c r="M3305" s="3">
        <v>0</v>
      </c>
      <c r="N3305" s="3">
        <v>18195</v>
      </c>
    </row>
    <row r="3306" spans="1:14" x14ac:dyDescent="0.2">
      <c r="A3306" s="5" t="str">
        <f>HYPERLINK("http://www.ncbi.nlm.nih.gov/protein/115292433","Hgsnat")</f>
        <v>Hgsnat</v>
      </c>
      <c r="B3306" s="4"/>
      <c r="C3306" s="3">
        <v>0</v>
      </c>
      <c r="D3306" s="3">
        <v>73</v>
      </c>
      <c r="E3306" s="3">
        <v>1288</v>
      </c>
      <c r="F3306" s="3">
        <v>0</v>
      </c>
      <c r="G3306" s="3">
        <v>0</v>
      </c>
      <c r="H3306" s="2">
        <f t="shared" si="102"/>
        <v>1361</v>
      </c>
      <c r="I3306" t="str">
        <f t="shared" si="103"/>
        <v>Hgsnat_1361</v>
      </c>
      <c r="J3306" s="3">
        <v>0</v>
      </c>
      <c r="K3306" s="3">
        <v>73</v>
      </c>
      <c r="L3306" s="3">
        <v>1288</v>
      </c>
      <c r="M3306" s="3">
        <v>0</v>
      </c>
      <c r="N3306" s="3">
        <v>0</v>
      </c>
    </row>
    <row r="3307" spans="1:14" x14ac:dyDescent="0.2">
      <c r="A3307" s="5" t="str">
        <f>HYPERLINK("http://www.ncbi.nlm.nih.gov/protein/160358774","Hhip")</f>
        <v>Hhip</v>
      </c>
      <c r="B3307" s="4"/>
      <c r="C3307" s="3">
        <v>0</v>
      </c>
      <c r="D3307" s="3">
        <v>0</v>
      </c>
      <c r="E3307" s="3">
        <v>645</v>
      </c>
      <c r="F3307" s="3">
        <v>5615</v>
      </c>
      <c r="G3307" s="3">
        <v>0</v>
      </c>
      <c r="H3307" s="2">
        <f t="shared" si="102"/>
        <v>6260</v>
      </c>
      <c r="I3307" t="str">
        <f t="shared" si="103"/>
        <v>Hhip_6260</v>
      </c>
      <c r="J3307" s="3">
        <v>0</v>
      </c>
      <c r="K3307" s="3">
        <v>0</v>
      </c>
      <c r="L3307" s="3">
        <v>645</v>
      </c>
      <c r="M3307" s="3">
        <v>5615</v>
      </c>
      <c r="N3307" s="3">
        <v>0</v>
      </c>
    </row>
    <row r="3308" spans="1:14" x14ac:dyDescent="0.2">
      <c r="A3308" s="5" t="str">
        <f>HYPERLINK("http://www.ncbi.nlm.nih.gov/protein/21704140","Hibadh")</f>
        <v>Hibadh</v>
      </c>
      <c r="B3308" s="4"/>
      <c r="C3308" s="3">
        <v>33024</v>
      </c>
      <c r="D3308" s="3">
        <v>11319</v>
      </c>
      <c r="E3308" s="3">
        <v>0</v>
      </c>
      <c r="F3308" s="3">
        <v>0</v>
      </c>
      <c r="G3308" s="3">
        <v>5987</v>
      </c>
      <c r="H3308" s="2">
        <f t="shared" si="102"/>
        <v>50330</v>
      </c>
      <c r="I3308" t="str">
        <f t="shared" si="103"/>
        <v>Hibadh_50330</v>
      </c>
      <c r="J3308" s="3">
        <v>33024</v>
      </c>
      <c r="K3308" s="3">
        <v>11319</v>
      </c>
      <c r="L3308" s="3">
        <v>0</v>
      </c>
      <c r="M3308" s="3">
        <v>0</v>
      </c>
      <c r="N3308" s="3">
        <v>5987</v>
      </c>
    </row>
    <row r="3309" spans="1:14" x14ac:dyDescent="0.2">
      <c r="A3309" s="5" t="str">
        <f>HYPERLINK("http://www.ncbi.nlm.nih.gov/protein/22122625","Hibch")</f>
        <v>Hibch</v>
      </c>
      <c r="B3309" s="4"/>
      <c r="C3309" s="3">
        <v>2105</v>
      </c>
      <c r="D3309" s="3">
        <v>2753</v>
      </c>
      <c r="E3309" s="3">
        <v>50</v>
      </c>
      <c r="F3309" s="3">
        <v>0</v>
      </c>
      <c r="G3309" s="3">
        <v>1489</v>
      </c>
      <c r="H3309" s="2">
        <f t="shared" si="102"/>
        <v>6397</v>
      </c>
      <c r="I3309" t="str">
        <f t="shared" si="103"/>
        <v>Hibch_6397</v>
      </c>
      <c r="J3309" s="3">
        <v>2105</v>
      </c>
      <c r="K3309" s="3">
        <v>2753</v>
      </c>
      <c r="L3309" s="3">
        <v>50</v>
      </c>
      <c r="M3309" s="3">
        <v>0</v>
      </c>
      <c r="N3309" s="3">
        <v>1489</v>
      </c>
    </row>
    <row r="3310" spans="1:14" x14ac:dyDescent="0.2">
      <c r="A3310" s="5" t="str">
        <f>HYPERLINK("http://www.ncbi.nlm.nih.gov/protein/70887767","Hic2")</f>
        <v>Hic2</v>
      </c>
      <c r="B3310" s="4"/>
      <c r="C3310" s="3">
        <v>0</v>
      </c>
      <c r="D3310" s="3">
        <v>13801</v>
      </c>
      <c r="E3310" s="3">
        <v>11649</v>
      </c>
      <c r="F3310" s="3">
        <v>491</v>
      </c>
      <c r="G3310" s="3">
        <v>0</v>
      </c>
      <c r="H3310" s="2">
        <f t="shared" si="102"/>
        <v>25941</v>
      </c>
      <c r="I3310" t="str">
        <f t="shared" si="103"/>
        <v>Hic2_25941</v>
      </c>
      <c r="J3310" s="3">
        <v>0</v>
      </c>
      <c r="K3310" s="3">
        <v>13801</v>
      </c>
      <c r="L3310" s="3">
        <v>11649</v>
      </c>
      <c r="M3310" s="3">
        <v>491</v>
      </c>
      <c r="N3310" s="3">
        <v>0</v>
      </c>
    </row>
    <row r="3311" spans="1:14" x14ac:dyDescent="0.2">
      <c r="A3311" s="5" t="str">
        <f>HYPERLINK("http://www.ncbi.nlm.nih.gov/protein/29825825","Hid1")</f>
        <v>Hid1</v>
      </c>
      <c r="B3311" s="4"/>
      <c r="C3311" s="3">
        <v>0</v>
      </c>
      <c r="D3311" s="3">
        <v>1824</v>
      </c>
      <c r="E3311" s="3">
        <v>111</v>
      </c>
      <c r="F3311" s="3">
        <v>0</v>
      </c>
      <c r="G3311" s="3">
        <v>461</v>
      </c>
      <c r="H3311" s="2">
        <f t="shared" si="102"/>
        <v>2396</v>
      </c>
      <c r="I3311" t="str">
        <f t="shared" si="103"/>
        <v>Hid1_2396</v>
      </c>
      <c r="J3311" s="3">
        <v>0</v>
      </c>
      <c r="K3311" s="3">
        <v>1824</v>
      </c>
      <c r="L3311" s="3">
        <v>111</v>
      </c>
      <c r="M3311" s="3">
        <v>0</v>
      </c>
      <c r="N3311" s="3">
        <v>461</v>
      </c>
    </row>
    <row r="3312" spans="1:14" x14ac:dyDescent="0.2">
      <c r="A3312" s="5" t="str">
        <f>HYPERLINK("http://www.ncbi.nlm.nih.gov/protein/70909332","Hif1an")</f>
        <v>Hif1an</v>
      </c>
      <c r="B3312" s="4"/>
      <c r="C3312" s="3">
        <v>0</v>
      </c>
      <c r="D3312" s="3">
        <v>0</v>
      </c>
      <c r="E3312" s="3">
        <v>0</v>
      </c>
      <c r="F3312" s="3">
        <v>0</v>
      </c>
      <c r="G3312" s="3">
        <v>5505</v>
      </c>
      <c r="H3312" s="2">
        <f t="shared" si="102"/>
        <v>5505</v>
      </c>
      <c r="I3312" t="str">
        <f t="shared" si="103"/>
        <v>Hif1an_5505</v>
      </c>
      <c r="J3312" s="3">
        <v>0</v>
      </c>
      <c r="K3312" s="3">
        <v>0</v>
      </c>
      <c r="L3312" s="3">
        <v>0</v>
      </c>
      <c r="M3312" s="3">
        <v>0</v>
      </c>
      <c r="N3312" s="3">
        <v>5505</v>
      </c>
    </row>
    <row r="3313" spans="1:14" x14ac:dyDescent="0.2">
      <c r="A3313" s="5" t="str">
        <f>HYPERLINK("http://www.ncbi.nlm.nih.gov/protein/9789977","Higd1a")</f>
        <v>Higd1a</v>
      </c>
      <c r="B3313" s="4"/>
      <c r="C3313" s="3">
        <v>0</v>
      </c>
      <c r="D3313" s="3">
        <v>63</v>
      </c>
      <c r="E3313" s="3">
        <v>0</v>
      </c>
      <c r="F3313" s="3">
        <v>0</v>
      </c>
      <c r="G3313" s="3">
        <v>0</v>
      </c>
      <c r="H3313" s="2">
        <f t="shared" si="102"/>
        <v>63</v>
      </c>
      <c r="I3313" t="str">
        <f t="shared" si="103"/>
        <v>Higd1a_63</v>
      </c>
      <c r="J3313" s="3">
        <v>0</v>
      </c>
      <c r="K3313" s="3">
        <v>63</v>
      </c>
      <c r="L3313" s="3">
        <v>0</v>
      </c>
      <c r="M3313" s="3">
        <v>0</v>
      </c>
      <c r="N3313" s="3">
        <v>0</v>
      </c>
    </row>
    <row r="3314" spans="1:14" x14ac:dyDescent="0.2">
      <c r="A3314" s="5" t="str">
        <f>HYPERLINK("http://www.ncbi.nlm.nih.gov/protein/12963711","Hilpda")</f>
        <v>Hilpda</v>
      </c>
      <c r="B3314" s="4"/>
      <c r="C3314" s="3">
        <v>0</v>
      </c>
      <c r="D3314" s="3">
        <v>0</v>
      </c>
      <c r="E3314" s="3">
        <v>57</v>
      </c>
      <c r="F3314" s="3">
        <v>0</v>
      </c>
      <c r="G3314" s="3">
        <v>0</v>
      </c>
      <c r="H3314" s="2">
        <f t="shared" si="102"/>
        <v>57</v>
      </c>
      <c r="I3314" t="str">
        <f t="shared" si="103"/>
        <v>Hilpda_57</v>
      </c>
      <c r="J3314" s="3">
        <v>0</v>
      </c>
      <c r="K3314" s="3">
        <v>0</v>
      </c>
      <c r="L3314" s="3">
        <v>57</v>
      </c>
      <c r="M3314" s="3">
        <v>0</v>
      </c>
      <c r="N3314" s="3">
        <v>0</v>
      </c>
    </row>
    <row r="3315" spans="1:14" x14ac:dyDescent="0.2">
      <c r="A3315" s="5" t="str">
        <f>HYPERLINK("http://www.ncbi.nlm.nih.gov/protein/299758486","Hilpda")</f>
        <v>Hilpda</v>
      </c>
      <c r="B3315" s="4"/>
      <c r="C3315" s="3">
        <v>0</v>
      </c>
      <c r="D3315" s="3">
        <v>0</v>
      </c>
      <c r="E3315" s="3">
        <v>57</v>
      </c>
      <c r="F3315" s="3">
        <v>0</v>
      </c>
      <c r="G3315" s="3">
        <v>0</v>
      </c>
      <c r="H3315" s="2">
        <f t="shared" si="102"/>
        <v>57</v>
      </c>
      <c r="I3315" t="str">
        <f t="shared" si="103"/>
        <v>Hilpda_57</v>
      </c>
      <c r="J3315" s="3">
        <v>0</v>
      </c>
      <c r="K3315" s="3">
        <v>0</v>
      </c>
      <c r="L3315" s="3">
        <v>57</v>
      </c>
      <c r="M3315" s="3">
        <v>0</v>
      </c>
      <c r="N3315" s="3">
        <v>0</v>
      </c>
    </row>
    <row r="3316" spans="1:14" x14ac:dyDescent="0.2">
      <c r="A3316" s="5" t="str">
        <f>HYPERLINK("http://www.ncbi.nlm.nih.gov/protein/33468857","Hint1")</f>
        <v>Hint1</v>
      </c>
      <c r="B3316" s="4"/>
      <c r="C3316" s="3">
        <v>18874</v>
      </c>
      <c r="D3316" s="3">
        <v>1468</v>
      </c>
      <c r="E3316" s="3">
        <v>6633</v>
      </c>
      <c r="F3316" s="3">
        <v>4117</v>
      </c>
      <c r="G3316" s="3">
        <v>107245</v>
      </c>
      <c r="H3316" s="2">
        <f t="shared" si="102"/>
        <v>138337</v>
      </c>
      <c r="I3316" t="str">
        <f t="shared" si="103"/>
        <v>Hint1_138337</v>
      </c>
      <c r="J3316" s="3">
        <v>18874</v>
      </c>
      <c r="K3316" s="3">
        <v>1468</v>
      </c>
      <c r="L3316" s="3">
        <v>6633</v>
      </c>
      <c r="M3316" s="3">
        <v>4117</v>
      </c>
      <c r="N3316" s="3">
        <v>107245</v>
      </c>
    </row>
    <row r="3317" spans="1:14" x14ac:dyDescent="0.2">
      <c r="A3317" s="5" t="str">
        <f>HYPERLINK("http://www.ncbi.nlm.nih.gov/protein/110625719","Hint2")</f>
        <v>Hint2</v>
      </c>
      <c r="B3317" s="4"/>
      <c r="C3317" s="3">
        <v>1025</v>
      </c>
      <c r="D3317" s="3">
        <v>1902</v>
      </c>
      <c r="E3317" s="3">
        <v>0</v>
      </c>
      <c r="F3317" s="3">
        <v>0</v>
      </c>
      <c r="G3317" s="3">
        <v>0</v>
      </c>
      <c r="H3317" s="2">
        <f t="shared" si="102"/>
        <v>2927</v>
      </c>
      <c r="I3317" t="str">
        <f t="shared" si="103"/>
        <v>Hint2_2927</v>
      </c>
      <c r="J3317" s="3">
        <v>1025</v>
      </c>
      <c r="K3317" s="3">
        <v>1902</v>
      </c>
      <c r="L3317" s="3">
        <v>0</v>
      </c>
      <c r="M3317" s="3">
        <v>0</v>
      </c>
      <c r="N3317" s="3">
        <v>0</v>
      </c>
    </row>
    <row r="3318" spans="1:14" x14ac:dyDescent="0.2">
      <c r="A3318" s="5" t="str">
        <f>HYPERLINK("http://www.ncbi.nlm.nih.gov/protein/13385270","Hint3")</f>
        <v>Hint3</v>
      </c>
      <c r="B3318" s="4"/>
      <c r="C3318" s="3">
        <v>0</v>
      </c>
      <c r="D3318" s="3">
        <v>1705</v>
      </c>
      <c r="E3318" s="3">
        <v>929</v>
      </c>
      <c r="F3318" s="3">
        <v>925</v>
      </c>
      <c r="G3318" s="3">
        <v>0</v>
      </c>
      <c r="H3318" s="2">
        <f t="shared" si="102"/>
        <v>3559</v>
      </c>
      <c r="I3318" t="str">
        <f t="shared" si="103"/>
        <v>Hint3_3559</v>
      </c>
      <c r="J3318" s="3">
        <v>0</v>
      </c>
      <c r="K3318" s="3">
        <v>1705</v>
      </c>
      <c r="L3318" s="3">
        <v>929</v>
      </c>
      <c r="M3318" s="3">
        <v>925</v>
      </c>
      <c r="N3318" s="3">
        <v>0</v>
      </c>
    </row>
    <row r="3319" spans="1:14" x14ac:dyDescent="0.2">
      <c r="A3319" s="5" t="str">
        <f>HYPERLINK("http://www.ncbi.nlm.nih.gov/protein/225007582","Hip1")</f>
        <v>Hip1</v>
      </c>
      <c r="B3319" s="4"/>
      <c r="C3319" s="3">
        <v>0</v>
      </c>
      <c r="D3319" s="3">
        <v>0</v>
      </c>
      <c r="E3319" s="3">
        <v>199</v>
      </c>
      <c r="F3319" s="3">
        <v>0</v>
      </c>
      <c r="G3319" s="3">
        <v>0</v>
      </c>
      <c r="H3319" s="2">
        <f t="shared" si="102"/>
        <v>199</v>
      </c>
      <c r="I3319" t="str">
        <f t="shared" si="103"/>
        <v>Hip1_199</v>
      </c>
      <c r="J3319" s="3">
        <v>0</v>
      </c>
      <c r="K3319" s="3">
        <v>0</v>
      </c>
      <c r="L3319" s="3">
        <v>199</v>
      </c>
      <c r="M3319" s="3">
        <v>0</v>
      </c>
      <c r="N3319" s="3">
        <v>0</v>
      </c>
    </row>
    <row r="3320" spans="1:14" x14ac:dyDescent="0.2">
      <c r="A3320" s="5" t="str">
        <f>HYPERLINK("http://www.ncbi.nlm.nih.gov/protein/255308928","Hip1r")</f>
        <v>Hip1r</v>
      </c>
      <c r="B3320" s="4"/>
      <c r="C3320" s="3">
        <v>183</v>
      </c>
      <c r="D3320" s="3">
        <v>17</v>
      </c>
      <c r="E3320" s="3">
        <v>4887</v>
      </c>
      <c r="F3320" s="3">
        <v>1588</v>
      </c>
      <c r="G3320" s="3">
        <v>782</v>
      </c>
      <c r="H3320" s="2">
        <f t="shared" si="102"/>
        <v>7457</v>
      </c>
      <c r="I3320" t="str">
        <f t="shared" si="103"/>
        <v>Hip1r_7457</v>
      </c>
      <c r="J3320" s="3">
        <v>183</v>
      </c>
      <c r="K3320" s="3">
        <v>17</v>
      </c>
      <c r="L3320" s="3">
        <v>4887</v>
      </c>
      <c r="M3320" s="3">
        <v>1588</v>
      </c>
      <c r="N3320" s="3">
        <v>782</v>
      </c>
    </row>
    <row r="3321" spans="1:14" x14ac:dyDescent="0.2">
      <c r="A3321" s="5" t="str">
        <f>HYPERLINK("http://www.ncbi.nlm.nih.gov/protein/27370102","Hirip3")</f>
        <v>Hirip3</v>
      </c>
      <c r="B3321" s="4"/>
      <c r="C3321" s="3">
        <v>0</v>
      </c>
      <c r="D3321" s="3">
        <v>0</v>
      </c>
      <c r="E3321" s="3">
        <v>0</v>
      </c>
      <c r="F3321" s="3">
        <v>0</v>
      </c>
      <c r="G3321" s="3">
        <v>150</v>
      </c>
      <c r="H3321" s="2">
        <f t="shared" si="102"/>
        <v>150</v>
      </c>
      <c r="I3321" t="str">
        <f t="shared" si="103"/>
        <v>Hirip3_150</v>
      </c>
      <c r="J3321" s="3">
        <v>0</v>
      </c>
      <c r="K3321" s="3">
        <v>0</v>
      </c>
      <c r="L3321" s="3">
        <v>0</v>
      </c>
      <c r="M3321" s="3">
        <v>0</v>
      </c>
      <c r="N3321" s="3">
        <v>150</v>
      </c>
    </row>
    <row r="3322" spans="1:14" x14ac:dyDescent="0.2">
      <c r="A3322" s="5" t="str">
        <f>HYPERLINK("http://www.ncbi.nlm.nih.gov/protein/21426823","Hist1h1a")</f>
        <v>Hist1h1a</v>
      </c>
      <c r="B3322" s="4"/>
      <c r="C3322" s="3">
        <v>1165160</v>
      </c>
      <c r="D3322" s="3">
        <v>9279</v>
      </c>
      <c r="E3322" s="3">
        <v>45050</v>
      </c>
      <c r="F3322" s="3">
        <v>50431</v>
      </c>
      <c r="G3322" s="3">
        <v>214</v>
      </c>
      <c r="H3322" s="2">
        <f t="shared" si="102"/>
        <v>1270134</v>
      </c>
      <c r="I3322" t="str">
        <f t="shared" si="103"/>
        <v>Hist1h1a_1270134</v>
      </c>
      <c r="J3322" s="3">
        <v>1165160</v>
      </c>
      <c r="K3322" s="3">
        <v>9279</v>
      </c>
      <c r="L3322" s="3">
        <v>45050</v>
      </c>
      <c r="M3322" s="3">
        <v>50431</v>
      </c>
      <c r="N3322" s="3">
        <v>214</v>
      </c>
    </row>
    <row r="3323" spans="1:14" x14ac:dyDescent="0.2">
      <c r="A3323" s="5" t="str">
        <f>HYPERLINK("http://www.ncbi.nlm.nih.gov/protein/21426893","Hist1h1b")</f>
        <v>Hist1h1b</v>
      </c>
      <c r="B3323" s="4"/>
      <c r="C3323" s="3">
        <v>1443795</v>
      </c>
      <c r="D3323" s="3">
        <v>5340</v>
      </c>
      <c r="E3323" s="3">
        <v>26925</v>
      </c>
      <c r="F3323" s="3">
        <v>90336</v>
      </c>
      <c r="G3323" s="3">
        <v>0</v>
      </c>
      <c r="H3323" s="2">
        <f t="shared" si="102"/>
        <v>1566396</v>
      </c>
      <c r="I3323" t="str">
        <f t="shared" si="103"/>
        <v>Hist1h1b_1566396</v>
      </c>
      <c r="J3323" s="3">
        <v>1443795</v>
      </c>
      <c r="K3323" s="3">
        <v>5340</v>
      </c>
      <c r="L3323" s="3">
        <v>26925</v>
      </c>
      <c r="M3323" s="3">
        <v>90336</v>
      </c>
      <c r="N3323" s="3">
        <v>0</v>
      </c>
    </row>
    <row r="3324" spans="1:14" x14ac:dyDescent="0.2">
      <c r="A3324" s="5" t="str">
        <f>HYPERLINK("http://www.ncbi.nlm.nih.gov/protein/9845257","Hist1h1c")</f>
        <v>Hist1h1c</v>
      </c>
      <c r="B3324" s="4"/>
      <c r="C3324" s="3">
        <v>4446238</v>
      </c>
      <c r="D3324" s="3">
        <v>34795</v>
      </c>
      <c r="E3324" s="3">
        <v>133505</v>
      </c>
      <c r="F3324" s="3">
        <v>151507</v>
      </c>
      <c r="G3324" s="3">
        <v>364</v>
      </c>
      <c r="H3324" s="2">
        <f t="shared" si="102"/>
        <v>4766409</v>
      </c>
      <c r="I3324" t="str">
        <f t="shared" si="103"/>
        <v>Hist1h1c_4766409</v>
      </c>
      <c r="J3324" s="3">
        <v>4446238</v>
      </c>
      <c r="K3324" s="3">
        <v>34795</v>
      </c>
      <c r="L3324" s="3">
        <v>133505</v>
      </c>
      <c r="M3324" s="3">
        <v>151507</v>
      </c>
      <c r="N3324" s="3">
        <v>364</v>
      </c>
    </row>
    <row r="3325" spans="1:14" x14ac:dyDescent="0.2">
      <c r="A3325" s="5" t="str">
        <f>HYPERLINK("http://www.ncbi.nlm.nih.gov/protein/254588110","Hist1h1d")</f>
        <v>Hist1h1d</v>
      </c>
      <c r="B3325" s="4"/>
      <c r="C3325" s="3">
        <v>4461487</v>
      </c>
      <c r="D3325" s="3">
        <v>34795</v>
      </c>
      <c r="E3325" s="3">
        <v>133548</v>
      </c>
      <c r="F3325" s="3">
        <v>153479</v>
      </c>
      <c r="G3325" s="3">
        <v>364</v>
      </c>
      <c r="H3325" s="2">
        <f t="shared" si="102"/>
        <v>4783673</v>
      </c>
      <c r="I3325" t="str">
        <f t="shared" si="103"/>
        <v>Hist1h1d_4783673</v>
      </c>
      <c r="J3325" s="3">
        <v>4461487</v>
      </c>
      <c r="K3325" s="3">
        <v>34795</v>
      </c>
      <c r="L3325" s="3">
        <v>133548</v>
      </c>
      <c r="M3325" s="3">
        <v>153479</v>
      </c>
      <c r="N3325" s="3">
        <v>364</v>
      </c>
    </row>
    <row r="3326" spans="1:14" x14ac:dyDescent="0.2">
      <c r="A3326" s="5" t="str">
        <f>HYPERLINK("http://www.ncbi.nlm.nih.gov/protein/13430890","Hist1h1e")</f>
        <v>Hist1h1e</v>
      </c>
      <c r="B3326" s="4"/>
      <c r="C3326" s="3">
        <v>2865733</v>
      </c>
      <c r="D3326" s="3">
        <v>9813</v>
      </c>
      <c r="E3326" s="3">
        <v>117749</v>
      </c>
      <c r="F3326" s="3">
        <v>102843</v>
      </c>
      <c r="G3326" s="3">
        <v>214</v>
      </c>
      <c r="H3326" s="2">
        <f t="shared" si="102"/>
        <v>3096352</v>
      </c>
      <c r="I3326" t="str">
        <f t="shared" si="103"/>
        <v>Hist1h1e_3096352</v>
      </c>
      <c r="J3326" s="3">
        <v>2865733</v>
      </c>
      <c r="K3326" s="3">
        <v>9813</v>
      </c>
      <c r="L3326" s="3">
        <v>117749</v>
      </c>
      <c r="M3326" s="3">
        <v>102843</v>
      </c>
      <c r="N3326" s="3">
        <v>214</v>
      </c>
    </row>
    <row r="3327" spans="1:14" x14ac:dyDescent="0.2">
      <c r="A3327" s="5" t="str">
        <f>HYPERLINK("http://www.ncbi.nlm.nih.gov/protein/112807207","Hist1h1t")</f>
        <v>Hist1h1t</v>
      </c>
      <c r="B3327" s="4"/>
      <c r="C3327" s="3">
        <v>819688</v>
      </c>
      <c r="D3327" s="3">
        <v>2622</v>
      </c>
      <c r="E3327" s="3">
        <v>53856</v>
      </c>
      <c r="F3327" s="3">
        <v>49433</v>
      </c>
      <c r="G3327" s="3">
        <v>0</v>
      </c>
      <c r="H3327" s="2">
        <f t="shared" si="102"/>
        <v>925599</v>
      </c>
      <c r="I3327" t="str">
        <f t="shared" si="103"/>
        <v>Hist1h1t_925599</v>
      </c>
      <c r="J3327" s="3">
        <v>819688</v>
      </c>
      <c r="K3327" s="3">
        <v>2622</v>
      </c>
      <c r="L3327" s="3">
        <v>53856</v>
      </c>
      <c r="M3327" s="3">
        <v>49433</v>
      </c>
      <c r="N3327" s="3">
        <v>0</v>
      </c>
    </row>
    <row r="3328" spans="1:14" x14ac:dyDescent="0.2">
      <c r="A3328" s="5" t="str">
        <f>HYPERLINK("http://www.ncbi.nlm.nih.gov/protein/28316756","Hist1h2aa")</f>
        <v>Hist1h2aa</v>
      </c>
      <c r="B3328" s="4"/>
      <c r="C3328" s="3">
        <v>11324321</v>
      </c>
      <c r="D3328" s="3">
        <v>115502</v>
      </c>
      <c r="E3328" s="3">
        <v>91304</v>
      </c>
      <c r="F3328" s="3">
        <v>423865</v>
      </c>
      <c r="G3328" s="3">
        <v>16096</v>
      </c>
      <c r="H3328" s="2">
        <f t="shared" si="102"/>
        <v>11971088</v>
      </c>
      <c r="I3328" t="str">
        <f t="shared" si="103"/>
        <v>Hist1h2aa_11971088</v>
      </c>
      <c r="J3328" s="3">
        <v>11324321</v>
      </c>
      <c r="K3328" s="3">
        <v>115502</v>
      </c>
      <c r="L3328" s="3">
        <v>91304</v>
      </c>
      <c r="M3328" s="3">
        <v>423865</v>
      </c>
      <c r="N3328" s="3">
        <v>16096</v>
      </c>
    </row>
    <row r="3329" spans="1:14" x14ac:dyDescent="0.2">
      <c r="A3329" s="5" t="str">
        <f>HYPERLINK("http://www.ncbi.nlm.nih.gov/protein/30061379","Hist1h2af")</f>
        <v>Hist1h2af</v>
      </c>
      <c r="B3329" s="4"/>
      <c r="C3329" s="3">
        <v>11323863</v>
      </c>
      <c r="D3329" s="3">
        <v>115502</v>
      </c>
      <c r="E3329" s="3">
        <v>91304</v>
      </c>
      <c r="F3329" s="3">
        <v>419813</v>
      </c>
      <c r="G3329" s="3">
        <v>16096</v>
      </c>
      <c r="H3329" s="2">
        <f t="shared" si="102"/>
        <v>11966578</v>
      </c>
      <c r="I3329" t="str">
        <f t="shared" si="103"/>
        <v>Hist1h2af_11966578</v>
      </c>
      <c r="J3329" s="3">
        <v>11323863</v>
      </c>
      <c r="K3329" s="3">
        <v>115502</v>
      </c>
      <c r="L3329" s="3">
        <v>91304</v>
      </c>
      <c r="M3329" s="3">
        <v>419813</v>
      </c>
      <c r="N3329" s="3">
        <v>16096</v>
      </c>
    </row>
    <row r="3330" spans="1:14" x14ac:dyDescent="0.2">
      <c r="A3330" s="5" t="str">
        <f>HYPERLINK("http://www.ncbi.nlm.nih.gov/protein/30061327","Hist1h2ah")</f>
        <v>Hist1h2ah</v>
      </c>
      <c r="B3330" s="4"/>
      <c r="C3330" s="3">
        <v>11324321</v>
      </c>
      <c r="D3330" s="3">
        <v>115502</v>
      </c>
      <c r="E3330" s="3">
        <v>91304</v>
      </c>
      <c r="F3330" s="3">
        <v>475950</v>
      </c>
      <c r="G3330" s="3">
        <v>16096</v>
      </c>
      <c r="H3330" s="2">
        <f t="shared" ref="H3330:H3393" si="104">SUM(C3330:G3330)</f>
        <v>12023173</v>
      </c>
      <c r="I3330" t="str">
        <f t="shared" ref="I3330:I3393" si="105">A3330&amp;"_"&amp;H3330</f>
        <v>Hist1h2ah_12023173</v>
      </c>
      <c r="J3330" s="3">
        <v>11324321</v>
      </c>
      <c r="K3330" s="3">
        <v>115502</v>
      </c>
      <c r="L3330" s="3">
        <v>91304</v>
      </c>
      <c r="M3330" s="3">
        <v>475950</v>
      </c>
      <c r="N3330" s="3">
        <v>16096</v>
      </c>
    </row>
    <row r="3331" spans="1:14" x14ac:dyDescent="0.2">
      <c r="A3331" s="5" t="str">
        <f>HYPERLINK("http://www.ncbi.nlm.nih.gov/protein/30061371","Hist1h2ak")</f>
        <v>Hist1h2ak</v>
      </c>
      <c r="B3331" s="4"/>
      <c r="C3331" s="3">
        <v>11324321</v>
      </c>
      <c r="D3331" s="3">
        <v>115502</v>
      </c>
      <c r="E3331" s="3">
        <v>91304</v>
      </c>
      <c r="F3331" s="3">
        <v>485158</v>
      </c>
      <c r="G3331" s="3">
        <v>16096</v>
      </c>
      <c r="H3331" s="2">
        <f t="shared" si="104"/>
        <v>12032381</v>
      </c>
      <c r="I3331" t="str">
        <f t="shared" si="105"/>
        <v>Hist1h2ak_12032381</v>
      </c>
      <c r="J3331" s="3">
        <v>11324321</v>
      </c>
      <c r="K3331" s="3">
        <v>115502</v>
      </c>
      <c r="L3331" s="3">
        <v>91304</v>
      </c>
      <c r="M3331" s="3">
        <v>485158</v>
      </c>
      <c r="N3331" s="3">
        <v>16096</v>
      </c>
    </row>
    <row r="3332" spans="1:14" x14ac:dyDescent="0.2">
      <c r="A3332" s="5" t="str">
        <f>HYPERLINK("http://www.ncbi.nlm.nih.gov/protein/407262045","Hist1h2al")</f>
        <v>Hist1h2al</v>
      </c>
      <c r="B3332" s="4"/>
      <c r="C3332" s="3">
        <v>11325034</v>
      </c>
      <c r="D3332" s="3">
        <v>115502</v>
      </c>
      <c r="E3332" s="3">
        <v>91285</v>
      </c>
      <c r="F3332" s="3">
        <v>424528</v>
      </c>
      <c r="G3332" s="3">
        <v>16096</v>
      </c>
      <c r="H3332" s="2">
        <f t="shared" si="104"/>
        <v>11972445</v>
      </c>
      <c r="I3332" t="str">
        <f t="shared" si="105"/>
        <v>Hist1h2al_11972445</v>
      </c>
      <c r="J3332" s="3">
        <v>11325034</v>
      </c>
      <c r="K3332" s="3">
        <v>115502</v>
      </c>
      <c r="L3332" s="3">
        <v>91285</v>
      </c>
      <c r="M3332" s="3">
        <v>424528</v>
      </c>
      <c r="N3332" s="3">
        <v>16096</v>
      </c>
    </row>
    <row r="3333" spans="1:14" x14ac:dyDescent="0.2">
      <c r="A3333" s="5" t="str">
        <f>HYPERLINK("http://www.ncbi.nlm.nih.gov/protein/294712564;30061365","Hist1h2ao")</f>
        <v>Hist1h2ao</v>
      </c>
      <c r="B3333" s="4"/>
      <c r="C3333" s="3">
        <v>0</v>
      </c>
      <c r="D3333" s="3">
        <v>115502</v>
      </c>
      <c r="E3333" s="3">
        <v>0</v>
      </c>
      <c r="F3333" s="3">
        <v>404334</v>
      </c>
      <c r="G3333" s="3">
        <v>16096</v>
      </c>
      <c r="H3333" s="2">
        <f t="shared" si="104"/>
        <v>535932</v>
      </c>
      <c r="I3333" t="str">
        <f t="shared" si="105"/>
        <v>Hist1h2ao_535932</v>
      </c>
      <c r="J3333" s="3">
        <v>0</v>
      </c>
      <c r="K3333" s="3">
        <v>115502</v>
      </c>
      <c r="L3333" s="3">
        <v>0</v>
      </c>
      <c r="M3333" s="3">
        <v>404334</v>
      </c>
      <c r="N3333" s="3">
        <v>16096</v>
      </c>
    </row>
    <row r="3334" spans="1:14" x14ac:dyDescent="0.2">
      <c r="A3334" s="5" t="str">
        <f>HYPERLINK("http://www.ncbi.nlm.nih.gov/protein/30061375;30061365","Hist1h2ap")</f>
        <v>Hist1h2ap</v>
      </c>
      <c r="B3334" s="4"/>
      <c r="C3334" s="3">
        <v>11324321</v>
      </c>
      <c r="D3334" s="3">
        <v>0</v>
      </c>
      <c r="E3334" s="3">
        <v>0</v>
      </c>
      <c r="F3334" s="3">
        <v>0</v>
      </c>
      <c r="G3334" s="3">
        <v>0</v>
      </c>
      <c r="H3334" s="2">
        <f t="shared" si="104"/>
        <v>11324321</v>
      </c>
      <c r="I3334" t="str">
        <f t="shared" si="105"/>
        <v>Hist1h2ap_11324321</v>
      </c>
      <c r="J3334" s="3">
        <v>11324321</v>
      </c>
      <c r="K3334" s="3">
        <v>0</v>
      </c>
      <c r="L3334" s="3">
        <v>0</v>
      </c>
      <c r="M3334" s="3">
        <v>0</v>
      </c>
      <c r="N3334" s="3">
        <v>0</v>
      </c>
    </row>
    <row r="3335" spans="1:14" x14ac:dyDescent="0.2">
      <c r="A3335" s="5" t="str">
        <f>HYPERLINK("http://www.ncbi.nlm.nih.gov/protein/30061375;294712564;30061365","Hist1h2ap")</f>
        <v>Hist1h2ap</v>
      </c>
      <c r="B3335" s="4"/>
      <c r="C3335" s="3">
        <v>0</v>
      </c>
      <c r="D3335" s="3">
        <v>0</v>
      </c>
      <c r="E3335" s="3">
        <v>91304</v>
      </c>
      <c r="F3335" s="3">
        <v>0</v>
      </c>
      <c r="G3335" s="3">
        <v>0</v>
      </c>
      <c r="H3335" s="2">
        <f t="shared" si="104"/>
        <v>91304</v>
      </c>
      <c r="I3335" t="str">
        <f t="shared" si="105"/>
        <v>Hist1h2ap_91304</v>
      </c>
      <c r="J3335" s="3">
        <v>0</v>
      </c>
      <c r="K3335" s="3">
        <v>0</v>
      </c>
      <c r="L3335" s="3">
        <v>91304</v>
      </c>
      <c r="M3335" s="3">
        <v>0</v>
      </c>
      <c r="N3335" s="3">
        <v>0</v>
      </c>
    </row>
    <row r="3336" spans="1:14" x14ac:dyDescent="0.2">
      <c r="A3336" s="5" t="str">
        <f>HYPERLINK("http://www.ncbi.nlm.nih.gov/protein/28316750","Hist1h2ba")</f>
        <v>Hist1h2ba</v>
      </c>
      <c r="B3336" s="4"/>
      <c r="C3336" s="3">
        <v>18690844</v>
      </c>
      <c r="D3336" s="3">
        <v>113728</v>
      </c>
      <c r="E3336" s="3">
        <v>81554</v>
      </c>
      <c r="F3336" s="3">
        <v>770564</v>
      </c>
      <c r="G3336" s="3">
        <v>98827</v>
      </c>
      <c r="H3336" s="2">
        <f t="shared" si="104"/>
        <v>19755517</v>
      </c>
      <c r="I3336" t="str">
        <f t="shared" si="105"/>
        <v>Hist1h2ba_19755517</v>
      </c>
      <c r="J3336" s="3">
        <v>18690844</v>
      </c>
      <c r="K3336" s="3">
        <v>113728</v>
      </c>
      <c r="L3336" s="3">
        <v>81554</v>
      </c>
      <c r="M3336" s="3">
        <v>770564</v>
      </c>
      <c r="N3336" s="3">
        <v>98827</v>
      </c>
    </row>
    <row r="3337" spans="1:14" x14ac:dyDescent="0.2">
      <c r="A3337" s="5" t="str">
        <f>HYPERLINK("http://www.ncbi.nlm.nih.gov/protein/28316760","Hist1h2bb")</f>
        <v>Hist1h2bb</v>
      </c>
      <c r="B3337" s="4"/>
      <c r="C3337" s="3">
        <v>20160469</v>
      </c>
      <c r="D3337" s="3">
        <v>126810</v>
      </c>
      <c r="E3337" s="3">
        <v>104346</v>
      </c>
      <c r="F3337" s="3">
        <v>902229</v>
      </c>
      <c r="G3337" s="3">
        <v>105435</v>
      </c>
      <c r="H3337" s="2">
        <f t="shared" si="104"/>
        <v>21399289</v>
      </c>
      <c r="I3337" t="str">
        <f t="shared" si="105"/>
        <v>Hist1h2bb_21399289</v>
      </c>
      <c r="J3337" s="3">
        <v>20160469</v>
      </c>
      <c r="K3337" s="3">
        <v>126810</v>
      </c>
      <c r="L3337" s="3">
        <v>104346</v>
      </c>
      <c r="M3337" s="3">
        <v>902229</v>
      </c>
      <c r="N3337" s="3">
        <v>105435</v>
      </c>
    </row>
    <row r="3338" spans="1:14" x14ac:dyDescent="0.2">
      <c r="A3338" s="5" t="str">
        <f>HYPERLINK("http://www.ncbi.nlm.nih.gov/protein/30089706;68131547","Hist1h2be")</f>
        <v>Hist1h2be</v>
      </c>
      <c r="B3338" s="4"/>
      <c r="C3338" s="3">
        <v>20160469</v>
      </c>
      <c r="D3338" s="3">
        <v>126810</v>
      </c>
      <c r="E3338" s="3">
        <v>104346</v>
      </c>
      <c r="F3338" s="3">
        <v>902229</v>
      </c>
      <c r="G3338" s="3">
        <v>105435</v>
      </c>
      <c r="H3338" s="2">
        <f t="shared" si="104"/>
        <v>21399289</v>
      </c>
      <c r="I3338" t="str">
        <f t="shared" si="105"/>
        <v>Hist1h2be_21399289</v>
      </c>
      <c r="J3338" s="3">
        <v>20160469</v>
      </c>
      <c r="K3338" s="3">
        <v>126810</v>
      </c>
      <c r="L3338" s="3">
        <v>104346</v>
      </c>
      <c r="M3338" s="3">
        <v>902229</v>
      </c>
      <c r="N3338" s="3">
        <v>105435</v>
      </c>
    </row>
    <row r="3339" spans="1:14" x14ac:dyDescent="0.2">
      <c r="A3339" s="5" t="str">
        <f>HYPERLINK("http://www.ncbi.nlm.nih.gov/protein/30061383","Hist1h2bf")</f>
        <v>Hist1h2bf</v>
      </c>
      <c r="B3339" s="4"/>
      <c r="C3339" s="3">
        <v>20160469</v>
      </c>
      <c r="D3339" s="3">
        <v>126810</v>
      </c>
      <c r="E3339" s="3">
        <v>104346</v>
      </c>
      <c r="F3339" s="3">
        <v>1171354</v>
      </c>
      <c r="G3339" s="3">
        <v>105435</v>
      </c>
      <c r="H3339" s="2">
        <f t="shared" si="104"/>
        <v>21668414</v>
      </c>
      <c r="I3339" t="str">
        <f t="shared" si="105"/>
        <v>Hist1h2bf_21668414</v>
      </c>
      <c r="J3339" s="3">
        <v>20160469</v>
      </c>
      <c r="K3339" s="3">
        <v>126810</v>
      </c>
      <c r="L3339" s="3">
        <v>104346</v>
      </c>
      <c r="M3339" s="3">
        <v>1171354</v>
      </c>
      <c r="N3339" s="3">
        <v>105435</v>
      </c>
    </row>
    <row r="3340" spans="1:14" x14ac:dyDescent="0.2">
      <c r="A3340" s="5" t="str">
        <f>HYPERLINK("http://www.ncbi.nlm.nih.gov/protein/30061387","Hist1h2bh")</f>
        <v>Hist1h2bh</v>
      </c>
      <c r="B3340" s="4"/>
      <c r="C3340" s="3">
        <v>20160469</v>
      </c>
      <c r="D3340" s="3">
        <v>126810</v>
      </c>
      <c r="E3340" s="3">
        <v>104346</v>
      </c>
      <c r="F3340" s="3">
        <v>902655</v>
      </c>
      <c r="G3340" s="3">
        <v>105435</v>
      </c>
      <c r="H3340" s="2">
        <f t="shared" si="104"/>
        <v>21399715</v>
      </c>
      <c r="I3340" t="str">
        <f t="shared" si="105"/>
        <v>Hist1h2bh_21399715</v>
      </c>
      <c r="J3340" s="3">
        <v>20160469</v>
      </c>
      <c r="K3340" s="3">
        <v>126810</v>
      </c>
      <c r="L3340" s="3">
        <v>104346</v>
      </c>
      <c r="M3340" s="3">
        <v>902655</v>
      </c>
      <c r="N3340" s="3">
        <v>105435</v>
      </c>
    </row>
    <row r="3341" spans="1:14" x14ac:dyDescent="0.2">
      <c r="A3341" s="5" t="str">
        <f>HYPERLINK("http://www.ncbi.nlm.nih.gov/protein/30089704","Hist1h2bk")</f>
        <v>Hist1h2bk</v>
      </c>
      <c r="B3341" s="4"/>
      <c r="C3341" s="3">
        <v>20160469</v>
      </c>
      <c r="D3341" s="3">
        <v>126810</v>
      </c>
      <c r="E3341" s="3">
        <v>104346</v>
      </c>
      <c r="F3341" s="3">
        <v>901975</v>
      </c>
      <c r="G3341" s="3">
        <v>105435</v>
      </c>
      <c r="H3341" s="2">
        <f t="shared" si="104"/>
        <v>21399035</v>
      </c>
      <c r="I3341" t="str">
        <f t="shared" si="105"/>
        <v>Hist1h2bk_21399035</v>
      </c>
      <c r="J3341" s="3">
        <v>20160469</v>
      </c>
      <c r="K3341" s="3">
        <v>126810</v>
      </c>
      <c r="L3341" s="3">
        <v>104346</v>
      </c>
      <c r="M3341" s="3">
        <v>901975</v>
      </c>
      <c r="N3341" s="3">
        <v>105435</v>
      </c>
    </row>
    <row r="3342" spans="1:14" x14ac:dyDescent="0.2">
      <c r="A3342" s="5" t="str">
        <f>HYPERLINK("http://www.ncbi.nlm.nih.gov/protein/30061385","Hist1h2bm")</f>
        <v>Hist1h2bm</v>
      </c>
      <c r="B3342" s="4"/>
      <c r="C3342" s="3">
        <v>20160469</v>
      </c>
      <c r="D3342" s="3">
        <v>126810</v>
      </c>
      <c r="E3342" s="3">
        <v>104346</v>
      </c>
      <c r="F3342" s="3">
        <v>902090</v>
      </c>
      <c r="G3342" s="3">
        <v>105435</v>
      </c>
      <c r="H3342" s="2">
        <f t="shared" si="104"/>
        <v>21399150</v>
      </c>
      <c r="I3342" t="str">
        <f t="shared" si="105"/>
        <v>Hist1h2bm_21399150</v>
      </c>
      <c r="J3342" s="3">
        <v>20160469</v>
      </c>
      <c r="K3342" s="3">
        <v>126810</v>
      </c>
      <c r="L3342" s="3">
        <v>104346</v>
      </c>
      <c r="M3342" s="3">
        <v>902090</v>
      </c>
      <c r="N3342" s="3">
        <v>105435</v>
      </c>
    </row>
    <row r="3343" spans="1:14" x14ac:dyDescent="0.2">
      <c r="A3343" s="5" t="str">
        <f>HYPERLINK("http://www.ncbi.nlm.nih.gov/protein/160420308","Hist1h2bp")</f>
        <v>Hist1h2bp</v>
      </c>
      <c r="B3343" s="4"/>
      <c r="C3343" s="3">
        <v>20160469</v>
      </c>
      <c r="D3343" s="3">
        <v>126810</v>
      </c>
      <c r="E3343" s="3">
        <v>104346</v>
      </c>
      <c r="F3343" s="3">
        <v>902098</v>
      </c>
      <c r="G3343" s="3">
        <v>105435</v>
      </c>
      <c r="H3343" s="2">
        <f t="shared" si="104"/>
        <v>21399158</v>
      </c>
      <c r="I3343" t="str">
        <f t="shared" si="105"/>
        <v>Hist1h2bp_21399158</v>
      </c>
      <c r="J3343" s="3">
        <v>20160469</v>
      </c>
      <c r="K3343" s="3">
        <v>126810</v>
      </c>
      <c r="L3343" s="3">
        <v>104346</v>
      </c>
      <c r="M3343" s="3">
        <v>902098</v>
      </c>
      <c r="N3343" s="3">
        <v>105435</v>
      </c>
    </row>
    <row r="3344" spans="1:14" x14ac:dyDescent="0.2">
      <c r="A3344" s="5" t="str">
        <f>HYPERLINK("http://www.ncbi.nlm.nih.gov/protein/160420310;160420312","Hist1h2bq")</f>
        <v>Hist1h2bq</v>
      </c>
      <c r="B3344" s="4"/>
      <c r="C3344" s="3">
        <v>20160469</v>
      </c>
      <c r="D3344" s="3">
        <v>0</v>
      </c>
      <c r="E3344" s="3">
        <v>104346</v>
      </c>
      <c r="F3344" s="3">
        <v>0</v>
      </c>
      <c r="G3344" s="3">
        <v>0</v>
      </c>
      <c r="H3344" s="2">
        <f t="shared" si="104"/>
        <v>20264815</v>
      </c>
      <c r="I3344" t="str">
        <f t="shared" si="105"/>
        <v>Hist1h2bq_20264815</v>
      </c>
      <c r="J3344" s="3">
        <v>20160469</v>
      </c>
      <c r="K3344" s="3">
        <v>0</v>
      </c>
      <c r="L3344" s="3">
        <v>104346</v>
      </c>
      <c r="M3344" s="3">
        <v>0</v>
      </c>
      <c r="N3344" s="3">
        <v>0</v>
      </c>
    </row>
    <row r="3345" spans="1:14" x14ac:dyDescent="0.2">
      <c r="A3345" s="5" t="str">
        <f>HYPERLINK("http://www.ncbi.nlm.nih.gov/protein/160420312","Hist1h2br")</f>
        <v>Hist1h2br</v>
      </c>
      <c r="B3345" s="4"/>
      <c r="C3345" s="3">
        <v>0</v>
      </c>
      <c r="D3345" s="3">
        <v>126810</v>
      </c>
      <c r="E3345" s="3">
        <v>0</v>
      </c>
      <c r="F3345" s="3">
        <v>902655</v>
      </c>
      <c r="G3345" s="3">
        <v>105435</v>
      </c>
      <c r="H3345" s="2">
        <f t="shared" si="104"/>
        <v>1134900</v>
      </c>
      <c r="I3345" t="str">
        <f t="shared" si="105"/>
        <v>Hist1h2br_1134900</v>
      </c>
      <c r="J3345" s="3">
        <v>0</v>
      </c>
      <c r="K3345" s="3">
        <v>126810</v>
      </c>
      <c r="L3345" s="3">
        <v>0</v>
      </c>
      <c r="M3345" s="3">
        <v>902655</v>
      </c>
      <c r="N3345" s="3">
        <v>105435</v>
      </c>
    </row>
    <row r="3346" spans="1:14" x14ac:dyDescent="0.2">
      <c r="A3346" s="5" t="str">
        <f>HYPERLINK("http://www.ncbi.nlm.nih.gov/protein/30089712","Hist1h3c")</f>
        <v>Hist1h3c</v>
      </c>
      <c r="B3346" s="4"/>
      <c r="C3346" s="3">
        <v>3752513</v>
      </c>
      <c r="D3346" s="3">
        <v>0</v>
      </c>
      <c r="E3346" s="3">
        <v>0</v>
      </c>
      <c r="F3346" s="3">
        <v>0</v>
      </c>
      <c r="G3346" s="3">
        <v>0</v>
      </c>
      <c r="H3346" s="2">
        <f t="shared" si="104"/>
        <v>3752513</v>
      </c>
      <c r="I3346" t="str">
        <f t="shared" si="105"/>
        <v>Hist1h3c_3752513</v>
      </c>
      <c r="J3346" s="3">
        <v>3752513</v>
      </c>
      <c r="K3346" s="3">
        <v>0</v>
      </c>
      <c r="L3346" s="3">
        <v>0</v>
      </c>
      <c r="M3346" s="3">
        <v>0</v>
      </c>
      <c r="N3346" s="3">
        <v>0</v>
      </c>
    </row>
    <row r="3347" spans="1:14" x14ac:dyDescent="0.2">
      <c r="A3347" s="5" t="str">
        <f>HYPERLINK("http://www.ncbi.nlm.nih.gov/protein/30089712;21489953","Hist1h3c")</f>
        <v>Hist1h3c</v>
      </c>
      <c r="B3347" s="4"/>
      <c r="C3347" s="3">
        <v>0</v>
      </c>
      <c r="D3347" s="3">
        <v>0</v>
      </c>
      <c r="E3347" s="3">
        <v>75553</v>
      </c>
      <c r="F3347" s="3">
        <v>0</v>
      </c>
      <c r="G3347" s="3">
        <v>0</v>
      </c>
      <c r="H3347" s="2">
        <f t="shared" si="104"/>
        <v>75553</v>
      </c>
      <c r="I3347" t="str">
        <f t="shared" si="105"/>
        <v>Hist1h3c_75553</v>
      </c>
      <c r="J3347" s="3">
        <v>0</v>
      </c>
      <c r="K3347" s="3">
        <v>0</v>
      </c>
      <c r="L3347" s="3">
        <v>75553</v>
      </c>
      <c r="M3347" s="3">
        <v>0</v>
      </c>
      <c r="N3347" s="3">
        <v>0</v>
      </c>
    </row>
    <row r="3348" spans="1:14" x14ac:dyDescent="0.2">
      <c r="A3348" s="5" t="str">
        <f>HYPERLINK("http://www.ncbi.nlm.nih.gov/protein/21489955","Hist1h3g")</f>
        <v>Hist1h3g</v>
      </c>
      <c r="B3348" s="4"/>
      <c r="C3348" s="3">
        <v>3752513</v>
      </c>
      <c r="D3348" s="3">
        <v>39673</v>
      </c>
      <c r="E3348" s="3">
        <v>0</v>
      </c>
      <c r="F3348" s="3">
        <v>374301</v>
      </c>
      <c r="G3348" s="3">
        <v>19995</v>
      </c>
      <c r="H3348" s="2">
        <f t="shared" si="104"/>
        <v>4186482</v>
      </c>
      <c r="I3348" t="str">
        <f t="shared" si="105"/>
        <v>Hist1h3g_4186482</v>
      </c>
      <c r="J3348" s="3">
        <v>3752513</v>
      </c>
      <c r="K3348" s="3">
        <v>39673</v>
      </c>
      <c r="L3348" s="3">
        <v>0</v>
      </c>
      <c r="M3348" s="3">
        <v>374301</v>
      </c>
      <c r="N3348" s="3">
        <v>19995</v>
      </c>
    </row>
    <row r="3349" spans="1:14" x14ac:dyDescent="0.2">
      <c r="A3349" s="5" t="str">
        <f>HYPERLINK("http://www.ncbi.nlm.nih.gov/protein/30061345;21489955","Hist1h3i")</f>
        <v>Hist1h3i</v>
      </c>
      <c r="B3349" s="4"/>
      <c r="C3349" s="3">
        <v>0</v>
      </c>
      <c r="D3349" s="3">
        <v>0</v>
      </c>
      <c r="E3349" s="3">
        <v>75553</v>
      </c>
      <c r="F3349" s="3">
        <v>0</v>
      </c>
      <c r="G3349" s="3">
        <v>0</v>
      </c>
      <c r="H3349" s="2">
        <f t="shared" si="104"/>
        <v>75553</v>
      </c>
      <c r="I3349" t="str">
        <f t="shared" si="105"/>
        <v>Hist1h3i_75553</v>
      </c>
      <c r="J3349" s="3">
        <v>0</v>
      </c>
      <c r="K3349" s="3">
        <v>0</v>
      </c>
      <c r="L3349" s="3">
        <v>75553</v>
      </c>
      <c r="M3349" s="3">
        <v>0</v>
      </c>
      <c r="N3349" s="3">
        <v>0</v>
      </c>
    </row>
    <row r="3350" spans="1:14" x14ac:dyDescent="0.2">
      <c r="A3350" s="5" t="str">
        <f>HYPERLINK("http://www.ncbi.nlm.nih.gov/protein/306482623","Hist1h4m")</f>
        <v>Hist1h4m</v>
      </c>
      <c r="B3350" s="4"/>
      <c r="C3350" s="3">
        <v>12320827</v>
      </c>
      <c r="D3350" s="3">
        <v>0</v>
      </c>
      <c r="E3350" s="3">
        <v>0</v>
      </c>
      <c r="F3350" s="3">
        <v>0</v>
      </c>
      <c r="G3350" s="3">
        <v>0</v>
      </c>
      <c r="H3350" s="2">
        <f t="shared" si="104"/>
        <v>12320827</v>
      </c>
      <c r="I3350" t="str">
        <f t="shared" si="105"/>
        <v>Hist1h4m_12320827</v>
      </c>
      <c r="J3350" s="3">
        <v>12320827</v>
      </c>
      <c r="K3350" s="3">
        <v>0</v>
      </c>
      <c r="L3350" s="3">
        <v>0</v>
      </c>
      <c r="M3350" s="3">
        <v>0</v>
      </c>
      <c r="N3350" s="3">
        <v>0</v>
      </c>
    </row>
    <row r="3351" spans="1:14" x14ac:dyDescent="0.2">
      <c r="A3351" s="5" t="str">
        <f>HYPERLINK("http://www.ncbi.nlm.nih.gov/protein/306482623;30089708","Hist1h4m")</f>
        <v>Hist1h4m</v>
      </c>
      <c r="B3351" s="4"/>
      <c r="C3351" s="3">
        <v>0</v>
      </c>
      <c r="D3351" s="3">
        <v>0</v>
      </c>
      <c r="E3351" s="3">
        <v>179241</v>
      </c>
      <c r="F3351" s="3">
        <v>0</v>
      </c>
      <c r="G3351" s="3">
        <v>0</v>
      </c>
      <c r="H3351" s="2">
        <f t="shared" si="104"/>
        <v>179241</v>
      </c>
      <c r="I3351" t="str">
        <f t="shared" si="105"/>
        <v>Hist1h4m_179241</v>
      </c>
      <c r="J3351" s="3">
        <v>0</v>
      </c>
      <c r="K3351" s="3">
        <v>0</v>
      </c>
      <c r="L3351" s="3">
        <v>179241</v>
      </c>
      <c r="M3351" s="3">
        <v>0</v>
      </c>
      <c r="N3351" s="3">
        <v>0</v>
      </c>
    </row>
    <row r="3352" spans="1:14" x14ac:dyDescent="0.2">
      <c r="A3352" s="5" t="str">
        <f>HYPERLINK("http://www.ncbi.nlm.nih.gov/protein/30089708;306482623","Hist1h4n")</f>
        <v>Hist1h4n</v>
      </c>
      <c r="B3352" s="4"/>
      <c r="C3352" s="3">
        <v>0</v>
      </c>
      <c r="D3352" s="3">
        <v>179562</v>
      </c>
      <c r="E3352" s="3">
        <v>0</v>
      </c>
      <c r="F3352" s="3">
        <v>477046</v>
      </c>
      <c r="G3352" s="3">
        <v>22126</v>
      </c>
      <c r="H3352" s="2">
        <f t="shared" si="104"/>
        <v>678734</v>
      </c>
      <c r="I3352" t="str">
        <f t="shared" si="105"/>
        <v>Hist1h4n_678734</v>
      </c>
      <c r="J3352" s="3">
        <v>0</v>
      </c>
      <c r="K3352" s="3">
        <v>179562</v>
      </c>
      <c r="L3352" s="3">
        <v>0</v>
      </c>
      <c r="M3352" s="3">
        <v>477046</v>
      </c>
      <c r="N3352" s="3">
        <v>22126</v>
      </c>
    </row>
    <row r="3353" spans="1:14" x14ac:dyDescent="0.2">
      <c r="A3353" s="5" t="str">
        <f>HYPERLINK("http://www.ncbi.nlm.nih.gov/protein/20799907","Hist2h2aa1")</f>
        <v>Hist2h2aa1</v>
      </c>
      <c r="B3353" s="4"/>
      <c r="C3353" s="3">
        <v>11325034</v>
      </c>
      <c r="D3353" s="3">
        <v>0</v>
      </c>
      <c r="E3353" s="3">
        <v>0</v>
      </c>
      <c r="F3353" s="3">
        <v>0</v>
      </c>
      <c r="G3353" s="3">
        <v>0</v>
      </c>
      <c r="H3353" s="2">
        <f t="shared" si="104"/>
        <v>11325034</v>
      </c>
      <c r="I3353" t="str">
        <f t="shared" si="105"/>
        <v>Hist2h2aa1_11325034</v>
      </c>
      <c r="J3353" s="3">
        <v>11325034</v>
      </c>
      <c r="K3353" s="3">
        <v>0</v>
      </c>
      <c r="L3353" s="3">
        <v>0</v>
      </c>
      <c r="M3353" s="3">
        <v>0</v>
      </c>
      <c r="N3353" s="3">
        <v>0</v>
      </c>
    </row>
    <row r="3354" spans="1:14" x14ac:dyDescent="0.2">
      <c r="A3354" s="5" t="str">
        <f>HYPERLINK("http://www.ncbi.nlm.nih.gov/protein/30061399;20799907","Hist2h2aa2")</f>
        <v>Hist2h2aa2</v>
      </c>
      <c r="B3354" s="4"/>
      <c r="C3354" s="3">
        <v>0</v>
      </c>
      <c r="D3354" s="3">
        <v>115502</v>
      </c>
      <c r="E3354" s="3">
        <v>91285</v>
      </c>
      <c r="F3354" s="3">
        <v>405194</v>
      </c>
      <c r="G3354" s="3">
        <v>16096</v>
      </c>
      <c r="H3354" s="2">
        <f t="shared" si="104"/>
        <v>628077</v>
      </c>
      <c r="I3354" t="str">
        <f t="shared" si="105"/>
        <v>Hist2h2aa2_628077</v>
      </c>
      <c r="J3354" s="3">
        <v>0</v>
      </c>
      <c r="K3354" s="3">
        <v>115502</v>
      </c>
      <c r="L3354" s="3">
        <v>91285</v>
      </c>
      <c r="M3354" s="3">
        <v>405194</v>
      </c>
      <c r="N3354" s="3">
        <v>16096</v>
      </c>
    </row>
    <row r="3355" spans="1:14" x14ac:dyDescent="0.2">
      <c r="A3355" s="5" t="str">
        <f>HYPERLINK("http://www.ncbi.nlm.nih.gov/protein/119433657","Hist2h2ab")</f>
        <v>Hist2h2ab</v>
      </c>
      <c r="B3355" s="4"/>
      <c r="C3355" s="3">
        <v>3521016</v>
      </c>
      <c r="D3355" s="3">
        <v>36749</v>
      </c>
      <c r="E3355" s="3">
        <v>73577</v>
      </c>
      <c r="F3355" s="3">
        <v>88199</v>
      </c>
      <c r="G3355" s="3">
        <v>16096</v>
      </c>
      <c r="H3355" s="2">
        <f t="shared" si="104"/>
        <v>3735637</v>
      </c>
      <c r="I3355" t="str">
        <f t="shared" si="105"/>
        <v>Hist2h2ab_3735637</v>
      </c>
      <c r="J3355" s="3">
        <v>3521016</v>
      </c>
      <c r="K3355" s="3">
        <v>36749</v>
      </c>
      <c r="L3355" s="3">
        <v>73577</v>
      </c>
      <c r="M3355" s="3">
        <v>88199</v>
      </c>
      <c r="N3355" s="3">
        <v>16096</v>
      </c>
    </row>
    <row r="3356" spans="1:14" x14ac:dyDescent="0.2">
      <c r="A3356" s="5" t="str">
        <f>HYPERLINK("http://www.ncbi.nlm.nih.gov/protein/30089710","Hist2h2ac")</f>
        <v>Hist2h2ac</v>
      </c>
      <c r="B3356" s="4"/>
      <c r="C3356" s="3">
        <v>11325034</v>
      </c>
      <c r="D3356" s="3">
        <v>115502</v>
      </c>
      <c r="E3356" s="3">
        <v>91285</v>
      </c>
      <c r="F3356" s="3">
        <v>405996</v>
      </c>
      <c r="G3356" s="3">
        <v>16096</v>
      </c>
      <c r="H3356" s="2">
        <f t="shared" si="104"/>
        <v>11953913</v>
      </c>
      <c r="I3356" t="str">
        <f t="shared" si="105"/>
        <v>Hist2h2ac_11953913</v>
      </c>
      <c r="J3356" s="3">
        <v>11325034</v>
      </c>
      <c r="K3356" s="3">
        <v>115502</v>
      </c>
      <c r="L3356" s="3">
        <v>91285</v>
      </c>
      <c r="M3356" s="3">
        <v>405996</v>
      </c>
      <c r="N3356" s="3">
        <v>16096</v>
      </c>
    </row>
    <row r="3357" spans="1:14" x14ac:dyDescent="0.2">
      <c r="A3357" s="5" t="str">
        <f>HYPERLINK("http://www.ncbi.nlm.nih.gov/protein/68226433","Hist2h2bb")</f>
        <v>Hist2h2bb</v>
      </c>
      <c r="B3357" s="4"/>
      <c r="C3357" s="3">
        <v>20160469</v>
      </c>
      <c r="D3357" s="3">
        <v>126810</v>
      </c>
      <c r="E3357" s="3">
        <v>104346</v>
      </c>
      <c r="F3357" s="3">
        <v>901664</v>
      </c>
      <c r="G3357" s="3">
        <v>105435</v>
      </c>
      <c r="H3357" s="2">
        <f t="shared" si="104"/>
        <v>21398724</v>
      </c>
      <c r="I3357" t="str">
        <f t="shared" si="105"/>
        <v>Hist2h2bb_21398724</v>
      </c>
      <c r="J3357" s="3">
        <v>20160469</v>
      </c>
      <c r="K3357" s="3">
        <v>126810</v>
      </c>
      <c r="L3357" s="3">
        <v>104346</v>
      </c>
      <c r="M3357" s="3">
        <v>901664</v>
      </c>
      <c r="N3357" s="3">
        <v>105435</v>
      </c>
    </row>
    <row r="3358" spans="1:14" x14ac:dyDescent="0.2">
      <c r="A3358" s="5" t="str">
        <f>HYPERLINK("http://www.ncbi.nlm.nih.gov/protein/68226431","Hist2h2be")</f>
        <v>Hist2h2be</v>
      </c>
      <c r="B3358" s="4"/>
      <c r="C3358" s="3">
        <v>18977406</v>
      </c>
      <c r="D3358" s="3">
        <v>114893</v>
      </c>
      <c r="E3358" s="3">
        <v>83332</v>
      </c>
      <c r="F3358" s="3">
        <v>834011</v>
      </c>
      <c r="G3358" s="3">
        <v>99181</v>
      </c>
      <c r="H3358" s="2">
        <f t="shared" si="104"/>
        <v>20108823</v>
      </c>
      <c r="I3358" t="str">
        <f t="shared" si="105"/>
        <v>Hist2h2be_20108823</v>
      </c>
      <c r="J3358" s="3">
        <v>18977406</v>
      </c>
      <c r="K3358" s="3">
        <v>114893</v>
      </c>
      <c r="L3358" s="3">
        <v>83332</v>
      </c>
      <c r="M3358" s="3">
        <v>834011</v>
      </c>
      <c r="N3358" s="3">
        <v>99181</v>
      </c>
    </row>
    <row r="3359" spans="1:14" x14ac:dyDescent="0.2">
      <c r="A3359" s="5" t="str">
        <f>HYPERLINK("http://www.ncbi.nlm.nih.gov/protein/21489953","Hist2h3c2")</f>
        <v>Hist2h3c2</v>
      </c>
      <c r="B3359" s="4"/>
      <c r="C3359" s="3">
        <v>0</v>
      </c>
      <c r="D3359" s="3">
        <v>39673</v>
      </c>
      <c r="E3359" s="3">
        <v>0</v>
      </c>
      <c r="F3359" s="3">
        <v>374301</v>
      </c>
      <c r="G3359" s="3">
        <v>19995</v>
      </c>
      <c r="H3359" s="2">
        <f t="shared" si="104"/>
        <v>433969</v>
      </c>
      <c r="I3359" t="str">
        <f t="shared" si="105"/>
        <v>Hist2h3c2_433969</v>
      </c>
      <c r="J3359" s="3">
        <v>0</v>
      </c>
      <c r="K3359" s="3">
        <v>39673</v>
      </c>
      <c r="L3359" s="3">
        <v>0</v>
      </c>
      <c r="M3359" s="3">
        <v>374301</v>
      </c>
      <c r="N3359" s="3">
        <v>19995</v>
      </c>
    </row>
    <row r="3360" spans="1:14" x14ac:dyDescent="0.2">
      <c r="A3360" s="5" t="str">
        <f>HYPERLINK("http://www.ncbi.nlm.nih.gov/protein/30061353","Hist3h2a")</f>
        <v>Hist3h2a</v>
      </c>
      <c r="B3360" s="4"/>
      <c r="C3360" s="3">
        <v>11324321</v>
      </c>
      <c r="D3360" s="3">
        <v>115502</v>
      </c>
      <c r="E3360" s="3">
        <v>91304</v>
      </c>
      <c r="F3360" s="3">
        <v>405832</v>
      </c>
      <c r="G3360" s="3">
        <v>16096</v>
      </c>
      <c r="H3360" s="2">
        <f t="shared" si="104"/>
        <v>11953055</v>
      </c>
      <c r="I3360" t="str">
        <f t="shared" si="105"/>
        <v>Hist3h2a_11953055</v>
      </c>
      <c r="J3360" s="3">
        <v>11324321</v>
      </c>
      <c r="K3360" s="3">
        <v>115502</v>
      </c>
      <c r="L3360" s="3">
        <v>91304</v>
      </c>
      <c r="M3360" s="3">
        <v>405832</v>
      </c>
      <c r="N3360" s="3">
        <v>16096</v>
      </c>
    </row>
    <row r="3361" spans="1:14" x14ac:dyDescent="0.2">
      <c r="A3361" s="5" t="str">
        <f>HYPERLINK("http://www.ncbi.nlm.nih.gov/protein/13386452","Hist3h2ba")</f>
        <v>Hist3h2ba</v>
      </c>
      <c r="B3361" s="4"/>
      <c r="C3361" s="3">
        <v>18977406</v>
      </c>
      <c r="D3361" s="3">
        <v>114893</v>
      </c>
      <c r="E3361" s="3">
        <v>83332</v>
      </c>
      <c r="F3361" s="3">
        <v>827135</v>
      </c>
      <c r="G3361" s="3">
        <v>99181</v>
      </c>
      <c r="H3361" s="2">
        <f t="shared" si="104"/>
        <v>20101947</v>
      </c>
      <c r="I3361" t="str">
        <f t="shared" si="105"/>
        <v>Hist3h2ba_20101947</v>
      </c>
      <c r="J3361" s="3">
        <v>18977406</v>
      </c>
      <c r="K3361" s="3">
        <v>114893</v>
      </c>
      <c r="L3361" s="3">
        <v>83332</v>
      </c>
      <c r="M3361" s="3">
        <v>827135</v>
      </c>
      <c r="N3361" s="3">
        <v>99181</v>
      </c>
    </row>
    <row r="3362" spans="1:14" x14ac:dyDescent="0.2">
      <c r="A3362" s="5" t="str">
        <f>HYPERLINK("http://www.ncbi.nlm.nih.gov/protein/46049029","Hist3h2bb-ps")</f>
        <v>Hist3h2bb-ps</v>
      </c>
      <c r="B3362" s="4"/>
      <c r="C3362" s="3">
        <v>18977406</v>
      </c>
      <c r="D3362" s="3">
        <v>114893</v>
      </c>
      <c r="E3362" s="3">
        <v>83332</v>
      </c>
      <c r="F3362" s="3">
        <v>827135</v>
      </c>
      <c r="G3362" s="3">
        <v>99181</v>
      </c>
      <c r="H3362" s="2">
        <f t="shared" si="104"/>
        <v>20101947</v>
      </c>
      <c r="I3362" t="str">
        <f t="shared" si="105"/>
        <v>Hist3h2bb-ps_20101947</v>
      </c>
      <c r="J3362" s="3">
        <v>18977406</v>
      </c>
      <c r="K3362" s="3">
        <v>114893</v>
      </c>
      <c r="L3362" s="3">
        <v>83332</v>
      </c>
      <c r="M3362" s="3">
        <v>827135</v>
      </c>
      <c r="N3362" s="3">
        <v>99181</v>
      </c>
    </row>
    <row r="3363" spans="1:14" x14ac:dyDescent="0.2">
      <c r="A3363" s="5" t="str">
        <f>HYPERLINK("http://www.ncbi.nlm.nih.gov/protein/225735582","Hk1")</f>
        <v>Hk1</v>
      </c>
      <c r="B3363" s="4"/>
      <c r="C3363" s="3">
        <v>950082</v>
      </c>
      <c r="D3363" s="3">
        <v>109079</v>
      </c>
      <c r="E3363" s="3">
        <v>106682</v>
      </c>
      <c r="F3363" s="3">
        <v>136748</v>
      </c>
      <c r="G3363" s="3">
        <v>432557</v>
      </c>
      <c r="H3363" s="2">
        <f t="shared" si="104"/>
        <v>1735148</v>
      </c>
      <c r="I3363" t="str">
        <f t="shared" si="105"/>
        <v>Hk1_1735148</v>
      </c>
      <c r="J3363" s="3">
        <v>950082</v>
      </c>
      <c r="K3363" s="3">
        <v>109079</v>
      </c>
      <c r="L3363" s="3">
        <v>106682</v>
      </c>
      <c r="M3363" s="3">
        <v>136748</v>
      </c>
      <c r="N3363" s="3">
        <v>432557</v>
      </c>
    </row>
    <row r="3364" spans="1:14" x14ac:dyDescent="0.2">
      <c r="A3364" s="5" t="str">
        <f>HYPERLINK("http://www.ncbi.nlm.nih.gov/protein/225735584","Hk1")</f>
        <v>Hk1</v>
      </c>
      <c r="B3364" s="4"/>
      <c r="C3364" s="3">
        <v>963299</v>
      </c>
      <c r="D3364" s="3">
        <v>113907</v>
      </c>
      <c r="E3364" s="3">
        <v>108729</v>
      </c>
      <c r="F3364" s="3">
        <v>142191</v>
      </c>
      <c r="G3364" s="3">
        <v>451780</v>
      </c>
      <c r="H3364" s="2">
        <f t="shared" si="104"/>
        <v>1779906</v>
      </c>
      <c r="I3364" t="str">
        <f t="shared" si="105"/>
        <v>Hk1_1779906</v>
      </c>
      <c r="J3364" s="3">
        <v>963299</v>
      </c>
      <c r="K3364" s="3">
        <v>113907</v>
      </c>
      <c r="L3364" s="3">
        <v>108729</v>
      </c>
      <c r="M3364" s="3">
        <v>142191</v>
      </c>
      <c r="N3364" s="3">
        <v>451780</v>
      </c>
    </row>
    <row r="3365" spans="1:14" x14ac:dyDescent="0.2">
      <c r="A3365" s="5" t="str">
        <f>HYPERLINK("http://www.ncbi.nlm.nih.gov/protein/7305143","Hk2")</f>
        <v>Hk2</v>
      </c>
      <c r="B3365" s="4"/>
      <c r="C3365" s="3">
        <v>76867</v>
      </c>
      <c r="D3365" s="3">
        <v>45564</v>
      </c>
      <c r="E3365" s="3">
        <v>23454</v>
      </c>
      <c r="F3365" s="3">
        <v>6663</v>
      </c>
      <c r="G3365" s="3">
        <v>60466</v>
      </c>
      <c r="H3365" s="2">
        <f t="shared" si="104"/>
        <v>213014</v>
      </c>
      <c r="I3365" t="str">
        <f t="shared" si="105"/>
        <v>Hk2_213014</v>
      </c>
      <c r="J3365" s="3">
        <v>76867</v>
      </c>
      <c r="K3365" s="3">
        <v>45564</v>
      </c>
      <c r="L3365" s="3">
        <v>23454</v>
      </c>
      <c r="M3365" s="3">
        <v>6663</v>
      </c>
      <c r="N3365" s="3">
        <v>60466</v>
      </c>
    </row>
    <row r="3366" spans="1:14" x14ac:dyDescent="0.2">
      <c r="A3366" s="5" t="str">
        <f>HYPERLINK("http://www.ncbi.nlm.nih.gov/protein/329755310","Hk3")</f>
        <v>Hk3</v>
      </c>
      <c r="B3366" s="4"/>
      <c r="C3366" s="3">
        <v>8073</v>
      </c>
      <c r="D3366" s="3">
        <v>4766</v>
      </c>
      <c r="E3366" s="3">
        <v>8572</v>
      </c>
      <c r="F3366" s="3">
        <v>1498</v>
      </c>
      <c r="G3366" s="3">
        <v>13033</v>
      </c>
      <c r="H3366" s="2">
        <f t="shared" si="104"/>
        <v>35942</v>
      </c>
      <c r="I3366" t="str">
        <f t="shared" si="105"/>
        <v>Hk3_35942</v>
      </c>
      <c r="J3366" s="3">
        <v>8073</v>
      </c>
      <c r="K3366" s="3">
        <v>4766</v>
      </c>
      <c r="L3366" s="3">
        <v>8572</v>
      </c>
      <c r="M3366" s="3">
        <v>1498</v>
      </c>
      <c r="N3366" s="3">
        <v>13033</v>
      </c>
    </row>
    <row r="3367" spans="1:14" x14ac:dyDescent="0.2">
      <c r="A3367" s="5" t="str">
        <f>HYPERLINK("http://www.ncbi.nlm.nih.gov/protein/329755312","Hk3")</f>
        <v>Hk3</v>
      </c>
      <c r="B3367" s="4"/>
      <c r="C3367" s="3">
        <v>8073</v>
      </c>
      <c r="D3367" s="3">
        <v>4766</v>
      </c>
      <c r="E3367" s="3">
        <v>8572</v>
      </c>
      <c r="F3367" s="3">
        <v>1498</v>
      </c>
      <c r="G3367" s="3">
        <v>13033</v>
      </c>
      <c r="H3367" s="2">
        <f t="shared" si="104"/>
        <v>35942</v>
      </c>
      <c r="I3367" t="str">
        <f t="shared" si="105"/>
        <v>Hk3_35942</v>
      </c>
      <c r="J3367" s="3">
        <v>8073</v>
      </c>
      <c r="K3367" s="3">
        <v>4766</v>
      </c>
      <c r="L3367" s="3">
        <v>8572</v>
      </c>
      <c r="M3367" s="3">
        <v>1498</v>
      </c>
      <c r="N3367" s="3">
        <v>13033</v>
      </c>
    </row>
    <row r="3368" spans="1:14" x14ac:dyDescent="0.2">
      <c r="A3368" s="5" t="str">
        <f>HYPERLINK("http://www.ncbi.nlm.nih.gov/protein/84370288","Hk3")</f>
        <v>Hk3</v>
      </c>
      <c r="B3368" s="4"/>
      <c r="C3368" s="3">
        <v>8073</v>
      </c>
      <c r="D3368" s="3">
        <v>4766</v>
      </c>
      <c r="E3368" s="3">
        <v>8572</v>
      </c>
      <c r="F3368" s="3">
        <v>1498</v>
      </c>
      <c r="G3368" s="3">
        <v>13033</v>
      </c>
      <c r="H3368" s="2">
        <f t="shared" si="104"/>
        <v>35942</v>
      </c>
      <c r="I3368" t="str">
        <f t="shared" si="105"/>
        <v>Hk3_35942</v>
      </c>
      <c r="J3368" s="3">
        <v>8073</v>
      </c>
      <c r="K3368" s="3">
        <v>4766</v>
      </c>
      <c r="L3368" s="3">
        <v>8572</v>
      </c>
      <c r="M3368" s="3">
        <v>1498</v>
      </c>
      <c r="N3368" s="3">
        <v>13033</v>
      </c>
    </row>
    <row r="3369" spans="1:14" x14ac:dyDescent="0.2">
      <c r="A3369" s="5" t="str">
        <f>HYPERLINK("http://www.ncbi.nlm.nih.gov/protein/21703836","Hkdc1")</f>
        <v>Hkdc1</v>
      </c>
      <c r="B3369" s="4"/>
      <c r="C3369" s="3">
        <v>118001</v>
      </c>
      <c r="D3369" s="3">
        <v>32686</v>
      </c>
      <c r="E3369" s="3">
        <v>12902</v>
      </c>
      <c r="F3369" s="3">
        <v>25760</v>
      </c>
      <c r="G3369" s="3">
        <v>93173</v>
      </c>
      <c r="H3369" s="2">
        <f t="shared" si="104"/>
        <v>282522</v>
      </c>
      <c r="I3369" t="str">
        <f t="shared" si="105"/>
        <v>Hkdc1_282522</v>
      </c>
      <c r="J3369" s="3">
        <v>118001</v>
      </c>
      <c r="K3369" s="3">
        <v>32686</v>
      </c>
      <c r="L3369" s="3">
        <v>12902</v>
      </c>
      <c r="M3369" s="3">
        <v>25760</v>
      </c>
      <c r="N3369" s="3">
        <v>93173</v>
      </c>
    </row>
    <row r="3370" spans="1:14" x14ac:dyDescent="0.2">
      <c r="A3370" s="5" t="str">
        <f>HYPERLINK("http://www.ncbi.nlm.nih.gov/protein/20982837","Hlcs")</f>
        <v>Hlcs</v>
      </c>
      <c r="B3370" s="4"/>
      <c r="C3370" s="3">
        <v>0</v>
      </c>
      <c r="D3370" s="3">
        <v>40</v>
      </c>
      <c r="E3370" s="3">
        <v>0</v>
      </c>
      <c r="F3370" s="3">
        <v>0</v>
      </c>
      <c r="G3370" s="3">
        <v>0</v>
      </c>
      <c r="H3370" s="2">
        <f t="shared" si="104"/>
        <v>40</v>
      </c>
      <c r="I3370" t="str">
        <f t="shared" si="105"/>
        <v>Hlcs_40</v>
      </c>
      <c r="J3370" s="3">
        <v>0</v>
      </c>
      <c r="K3370" s="3">
        <v>40</v>
      </c>
      <c r="L3370" s="3">
        <v>0</v>
      </c>
      <c r="M3370" s="3">
        <v>0</v>
      </c>
      <c r="N3370" s="3">
        <v>0</v>
      </c>
    </row>
    <row r="3371" spans="1:14" x14ac:dyDescent="0.2">
      <c r="A3371" s="5" t="str">
        <f>HYPERLINK("http://www.ncbi.nlm.nih.gov/protein/67763824","Hltf")</f>
        <v>Hltf</v>
      </c>
      <c r="B3371" s="4"/>
      <c r="C3371" s="3">
        <v>0</v>
      </c>
      <c r="D3371" s="3">
        <v>0</v>
      </c>
      <c r="E3371" s="3">
        <v>4</v>
      </c>
      <c r="F3371" s="3">
        <v>0</v>
      </c>
      <c r="G3371" s="3">
        <v>0</v>
      </c>
      <c r="H3371" s="2">
        <f t="shared" si="104"/>
        <v>4</v>
      </c>
      <c r="I3371" t="str">
        <f t="shared" si="105"/>
        <v>Hltf_4</v>
      </c>
      <c r="J3371" s="3">
        <v>0</v>
      </c>
      <c r="K3371" s="3">
        <v>0</v>
      </c>
      <c r="L3371" s="3">
        <v>4</v>
      </c>
      <c r="M3371" s="3">
        <v>0</v>
      </c>
      <c r="N3371" s="3">
        <v>0</v>
      </c>
    </row>
    <row r="3372" spans="1:14" x14ac:dyDescent="0.2">
      <c r="A3372" s="5" t="str">
        <f>HYPERLINK("http://www.ncbi.nlm.nih.gov/protein/159110431","Hmbs")</f>
        <v>Hmbs</v>
      </c>
      <c r="B3372" s="4"/>
      <c r="C3372" s="3">
        <v>0</v>
      </c>
      <c r="D3372" s="3">
        <v>144</v>
      </c>
      <c r="E3372" s="3">
        <v>40</v>
      </c>
      <c r="F3372" s="3">
        <v>0</v>
      </c>
      <c r="G3372" s="3">
        <v>14865</v>
      </c>
      <c r="H3372" s="2">
        <f t="shared" si="104"/>
        <v>15049</v>
      </c>
      <c r="I3372" t="str">
        <f t="shared" si="105"/>
        <v>Hmbs_15049</v>
      </c>
      <c r="J3372" s="3">
        <v>0</v>
      </c>
      <c r="K3372" s="3">
        <v>144</v>
      </c>
      <c r="L3372" s="3">
        <v>40</v>
      </c>
      <c r="M3372" s="3">
        <v>0</v>
      </c>
      <c r="N3372" s="3">
        <v>14865</v>
      </c>
    </row>
    <row r="3373" spans="1:14" x14ac:dyDescent="0.2">
      <c r="A3373" s="5" t="str">
        <f>HYPERLINK("http://www.ncbi.nlm.nih.gov/protein/159110463","Hmbs")</f>
        <v>Hmbs</v>
      </c>
      <c r="B3373" s="4"/>
      <c r="C3373" s="3">
        <v>0</v>
      </c>
      <c r="D3373" s="3">
        <v>144</v>
      </c>
      <c r="E3373" s="3">
        <v>40</v>
      </c>
      <c r="F3373" s="3">
        <v>0</v>
      </c>
      <c r="G3373" s="3">
        <v>14865</v>
      </c>
      <c r="H3373" s="2">
        <f t="shared" si="104"/>
        <v>15049</v>
      </c>
      <c r="I3373" t="str">
        <f t="shared" si="105"/>
        <v>Hmbs_15049</v>
      </c>
      <c r="J3373" s="3">
        <v>0</v>
      </c>
      <c r="K3373" s="3">
        <v>144</v>
      </c>
      <c r="L3373" s="3">
        <v>40</v>
      </c>
      <c r="M3373" s="3">
        <v>0</v>
      </c>
      <c r="N3373" s="3">
        <v>14865</v>
      </c>
    </row>
    <row r="3374" spans="1:14" x14ac:dyDescent="0.2">
      <c r="A3374" s="5" t="str">
        <f>HYPERLINK("http://www.ncbi.nlm.nih.gov/protein/154689979","Hmcn1")</f>
        <v>Hmcn1</v>
      </c>
      <c r="B3374" s="4"/>
      <c r="C3374" s="3">
        <v>0</v>
      </c>
      <c r="D3374" s="3">
        <v>1382</v>
      </c>
      <c r="E3374" s="3">
        <v>0</v>
      </c>
      <c r="F3374" s="3">
        <v>0</v>
      </c>
      <c r="G3374" s="3">
        <v>0</v>
      </c>
      <c r="H3374" s="2">
        <f t="shared" si="104"/>
        <v>1382</v>
      </c>
      <c r="I3374" t="str">
        <f t="shared" si="105"/>
        <v>Hmcn1_1382</v>
      </c>
      <c r="J3374" s="3">
        <v>0</v>
      </c>
      <c r="K3374" s="3">
        <v>1382</v>
      </c>
      <c r="L3374" s="3">
        <v>0</v>
      </c>
      <c r="M3374" s="3">
        <v>0</v>
      </c>
      <c r="N3374" s="3">
        <v>0</v>
      </c>
    </row>
    <row r="3375" spans="1:14" x14ac:dyDescent="0.2">
      <c r="A3375" s="5" t="str">
        <f>HYPERLINK("http://www.ncbi.nlm.nih.gov/protein/262331501","Hmga1")</f>
        <v>Hmga1</v>
      </c>
      <c r="B3375" s="4"/>
      <c r="C3375" s="3">
        <v>0</v>
      </c>
      <c r="D3375" s="3">
        <v>106</v>
      </c>
      <c r="E3375" s="3">
        <v>0</v>
      </c>
      <c r="F3375" s="3">
        <v>573</v>
      </c>
      <c r="G3375" s="3">
        <v>129</v>
      </c>
      <c r="H3375" s="2">
        <f t="shared" si="104"/>
        <v>808</v>
      </c>
      <c r="I3375" t="str">
        <f t="shared" si="105"/>
        <v>Hmga1_808</v>
      </c>
      <c r="J3375" s="3">
        <v>0</v>
      </c>
      <c r="K3375" s="3">
        <v>106</v>
      </c>
      <c r="L3375" s="3">
        <v>0</v>
      </c>
      <c r="M3375" s="3">
        <v>573</v>
      </c>
      <c r="N3375" s="3">
        <v>129</v>
      </c>
    </row>
    <row r="3376" spans="1:14" x14ac:dyDescent="0.2">
      <c r="A3376" s="5" t="str">
        <f>HYPERLINK("http://www.ncbi.nlm.nih.gov/protein/262331513","Hmga1")</f>
        <v>Hmga1</v>
      </c>
      <c r="B3376" s="4"/>
      <c r="C3376" s="3">
        <v>0</v>
      </c>
      <c r="D3376" s="3">
        <v>106</v>
      </c>
      <c r="E3376" s="3">
        <v>0</v>
      </c>
      <c r="F3376" s="3">
        <v>106</v>
      </c>
      <c r="G3376" s="3">
        <v>129</v>
      </c>
      <c r="H3376" s="2">
        <f t="shared" si="104"/>
        <v>341</v>
      </c>
      <c r="I3376" t="str">
        <f t="shared" si="105"/>
        <v>Hmga1_341</v>
      </c>
      <c r="J3376" s="3">
        <v>0</v>
      </c>
      <c r="K3376" s="3">
        <v>106</v>
      </c>
      <c r="L3376" s="3">
        <v>0</v>
      </c>
      <c r="M3376" s="3">
        <v>106</v>
      </c>
      <c r="N3376" s="3">
        <v>129</v>
      </c>
    </row>
    <row r="3377" spans="1:14" x14ac:dyDescent="0.2">
      <c r="A3377" s="5" t="str">
        <f>HYPERLINK("http://www.ncbi.nlm.nih.gov/protein/262331509","Hmga1")</f>
        <v>Hmga1</v>
      </c>
      <c r="B3377" s="4"/>
      <c r="C3377" s="3">
        <v>12759</v>
      </c>
      <c r="D3377" s="3">
        <v>1033</v>
      </c>
      <c r="E3377" s="3">
        <v>0</v>
      </c>
      <c r="F3377" s="3">
        <v>9233</v>
      </c>
      <c r="G3377" s="3">
        <v>129</v>
      </c>
      <c r="H3377" s="2">
        <f t="shared" si="104"/>
        <v>23154</v>
      </c>
      <c r="I3377" t="str">
        <f t="shared" si="105"/>
        <v>Hmga1_23154</v>
      </c>
      <c r="J3377" s="3">
        <v>12759</v>
      </c>
      <c r="K3377" s="3">
        <v>1033</v>
      </c>
      <c r="L3377" s="3">
        <v>0</v>
      </c>
      <c r="M3377" s="3">
        <v>9233</v>
      </c>
      <c r="N3377" s="3">
        <v>129</v>
      </c>
    </row>
    <row r="3378" spans="1:14" x14ac:dyDescent="0.2">
      <c r="A3378" s="5" t="str">
        <f>HYPERLINK("http://www.ncbi.nlm.nih.gov/protein/262331515","Hmga1")</f>
        <v>Hmga1</v>
      </c>
      <c r="B3378" s="4"/>
      <c r="C3378" s="3">
        <v>12759</v>
      </c>
      <c r="D3378" s="3">
        <v>1033</v>
      </c>
      <c r="E3378" s="3">
        <v>0</v>
      </c>
      <c r="F3378" s="3">
        <v>9233</v>
      </c>
      <c r="G3378" s="3">
        <v>129</v>
      </c>
      <c r="H3378" s="2">
        <f t="shared" si="104"/>
        <v>23154</v>
      </c>
      <c r="I3378" t="str">
        <f t="shared" si="105"/>
        <v>Hmga1_23154</v>
      </c>
      <c r="J3378" s="3">
        <v>12759</v>
      </c>
      <c r="K3378" s="3">
        <v>1033</v>
      </c>
      <c r="L3378" s="3">
        <v>0</v>
      </c>
      <c r="M3378" s="3">
        <v>9233</v>
      </c>
      <c r="N3378" s="3">
        <v>129</v>
      </c>
    </row>
    <row r="3379" spans="1:14" x14ac:dyDescent="0.2">
      <c r="A3379" s="5" t="str">
        <f>HYPERLINK("http://www.ncbi.nlm.nih.gov/protein/262072972;262331501","Hmga1-rs1")</f>
        <v>Hmga1-rs1</v>
      </c>
      <c r="B3379" s="4"/>
      <c r="C3379" s="3">
        <v>348</v>
      </c>
      <c r="D3379" s="3">
        <v>0</v>
      </c>
      <c r="E3379" s="3">
        <v>0</v>
      </c>
      <c r="F3379" s="3">
        <v>0</v>
      </c>
      <c r="G3379" s="3">
        <v>0</v>
      </c>
      <c r="H3379" s="2">
        <f t="shared" si="104"/>
        <v>348</v>
      </c>
      <c r="I3379" t="str">
        <f t="shared" si="105"/>
        <v>Hmga1-rs1_348</v>
      </c>
      <c r="J3379" s="3">
        <v>348</v>
      </c>
      <c r="K3379" s="3">
        <v>0</v>
      </c>
      <c r="L3379" s="3">
        <v>0</v>
      </c>
      <c r="M3379" s="3">
        <v>0</v>
      </c>
      <c r="N3379" s="3">
        <v>0</v>
      </c>
    </row>
    <row r="3380" spans="1:14" x14ac:dyDescent="0.2">
      <c r="A3380" s="5" t="str">
        <f>HYPERLINK("http://www.ncbi.nlm.nih.gov/protein/262072970;86198323","Hmga1-rs1")</f>
        <v>Hmga1-rs1</v>
      </c>
      <c r="B3380" s="4"/>
      <c r="C3380" s="3">
        <v>12759</v>
      </c>
      <c r="D3380" s="3">
        <v>1142</v>
      </c>
      <c r="E3380" s="3">
        <v>0</v>
      </c>
      <c r="F3380" s="3">
        <v>9340</v>
      </c>
      <c r="G3380" s="3">
        <v>0</v>
      </c>
      <c r="H3380" s="2">
        <f t="shared" si="104"/>
        <v>23241</v>
      </c>
      <c r="I3380" t="str">
        <f t="shared" si="105"/>
        <v>Hmga1-rs1_23241</v>
      </c>
      <c r="J3380" s="3">
        <v>12759</v>
      </c>
      <c r="K3380" s="3">
        <v>1142</v>
      </c>
      <c r="L3380" s="3">
        <v>0</v>
      </c>
      <c r="M3380" s="3">
        <v>9340</v>
      </c>
      <c r="N3380" s="3">
        <v>0</v>
      </c>
    </row>
    <row r="3381" spans="1:14" x14ac:dyDescent="0.2">
      <c r="A3381" s="5" t="str">
        <f>HYPERLINK("http://www.ncbi.nlm.nih.gov/protein/262072970","Hmga1-rs1")</f>
        <v>Hmga1-rs1</v>
      </c>
      <c r="B3381" s="4"/>
      <c r="C3381" s="3">
        <v>0</v>
      </c>
      <c r="D3381" s="3">
        <v>0</v>
      </c>
      <c r="E3381" s="3">
        <v>0</v>
      </c>
      <c r="F3381" s="3">
        <v>0</v>
      </c>
      <c r="G3381" s="3">
        <v>129</v>
      </c>
      <c r="H3381" s="2">
        <f t="shared" si="104"/>
        <v>129</v>
      </c>
      <c r="I3381" t="str">
        <f t="shared" si="105"/>
        <v>Hmga1-rs1_129</v>
      </c>
      <c r="J3381" s="3">
        <v>0</v>
      </c>
      <c r="K3381" s="3">
        <v>0</v>
      </c>
      <c r="L3381" s="3">
        <v>0</v>
      </c>
      <c r="M3381" s="3">
        <v>0</v>
      </c>
      <c r="N3381" s="3">
        <v>129</v>
      </c>
    </row>
    <row r="3382" spans="1:14" x14ac:dyDescent="0.2">
      <c r="A3382" s="5" t="str">
        <f>HYPERLINK("http://www.ncbi.nlm.nih.gov/protein/6754210","Hmga2")</f>
        <v>Hmga2</v>
      </c>
      <c r="B3382" s="4"/>
      <c r="C3382" s="3">
        <v>2197</v>
      </c>
      <c r="D3382" s="3">
        <v>562</v>
      </c>
      <c r="E3382" s="3">
        <v>0</v>
      </c>
      <c r="F3382" s="3">
        <v>1981</v>
      </c>
      <c r="G3382" s="3">
        <v>546</v>
      </c>
      <c r="H3382" s="2">
        <f t="shared" si="104"/>
        <v>5286</v>
      </c>
      <c r="I3382" t="str">
        <f t="shared" si="105"/>
        <v>Hmga2_5286</v>
      </c>
      <c r="J3382" s="3">
        <v>2197</v>
      </c>
      <c r="K3382" s="3">
        <v>562</v>
      </c>
      <c r="L3382" s="3">
        <v>0</v>
      </c>
      <c r="M3382" s="3">
        <v>1981</v>
      </c>
      <c r="N3382" s="3">
        <v>546</v>
      </c>
    </row>
    <row r="3383" spans="1:14" x14ac:dyDescent="0.2">
      <c r="A3383" s="5" t="str">
        <f>HYPERLINK("http://www.ncbi.nlm.nih.gov/protein/6680229","Hmgb2")</f>
        <v>Hmgb2</v>
      </c>
      <c r="B3383" s="4"/>
      <c r="C3383" s="3">
        <v>225896</v>
      </c>
      <c r="D3383" s="3">
        <v>24031</v>
      </c>
      <c r="E3383" s="3">
        <v>57643</v>
      </c>
      <c r="F3383" s="3">
        <v>268012</v>
      </c>
      <c r="G3383" s="3">
        <v>232675</v>
      </c>
      <c r="H3383" s="2">
        <f t="shared" si="104"/>
        <v>808257</v>
      </c>
      <c r="I3383" t="str">
        <f t="shared" si="105"/>
        <v>Hmgb2_808257</v>
      </c>
      <c r="J3383" s="3">
        <v>225896</v>
      </c>
      <c r="K3383" s="3">
        <v>24031</v>
      </c>
      <c r="L3383" s="3">
        <v>57643</v>
      </c>
      <c r="M3383" s="3">
        <v>268012</v>
      </c>
      <c r="N3383" s="3">
        <v>232675</v>
      </c>
    </row>
    <row r="3384" spans="1:14" x14ac:dyDescent="0.2">
      <c r="A3384" s="5" t="str">
        <f>HYPERLINK("http://www.ncbi.nlm.nih.gov/protein/6680231","Hmgb3")</f>
        <v>Hmgb3</v>
      </c>
      <c r="B3384" s="4"/>
      <c r="C3384" s="3">
        <v>14389</v>
      </c>
      <c r="D3384" s="3">
        <v>2171</v>
      </c>
      <c r="E3384" s="3">
        <v>5003</v>
      </c>
      <c r="F3384" s="3">
        <v>32308</v>
      </c>
      <c r="G3384" s="3">
        <v>53205</v>
      </c>
      <c r="H3384" s="2">
        <f t="shared" si="104"/>
        <v>107076</v>
      </c>
      <c r="I3384" t="str">
        <f t="shared" si="105"/>
        <v>Hmgb3_107076</v>
      </c>
      <c r="J3384" s="3">
        <v>14389</v>
      </c>
      <c r="K3384" s="3">
        <v>2171</v>
      </c>
      <c r="L3384" s="3">
        <v>5003</v>
      </c>
      <c r="M3384" s="3">
        <v>32308</v>
      </c>
      <c r="N3384" s="3">
        <v>53205</v>
      </c>
    </row>
    <row r="3385" spans="1:14" x14ac:dyDescent="0.2">
      <c r="A3385" s="5" t="str">
        <f>HYPERLINK("http://www.ncbi.nlm.nih.gov/protein/171543858","Hmgcl")</f>
        <v>Hmgcl</v>
      </c>
      <c r="B3385" s="4"/>
      <c r="C3385" s="3">
        <v>1611</v>
      </c>
      <c r="D3385" s="3">
        <v>1812</v>
      </c>
      <c r="E3385" s="3">
        <v>0</v>
      </c>
      <c r="F3385" s="3">
        <v>0</v>
      </c>
      <c r="G3385" s="3">
        <v>0</v>
      </c>
      <c r="H3385" s="2">
        <f t="shared" si="104"/>
        <v>3423</v>
      </c>
      <c r="I3385" t="str">
        <f t="shared" si="105"/>
        <v>Hmgcl_3423</v>
      </c>
      <c r="J3385" s="3">
        <v>1611</v>
      </c>
      <c r="K3385" s="3">
        <v>1812</v>
      </c>
      <c r="L3385" s="3">
        <v>0</v>
      </c>
      <c r="M3385" s="3">
        <v>0</v>
      </c>
      <c r="N3385" s="3">
        <v>0</v>
      </c>
    </row>
    <row r="3386" spans="1:14" x14ac:dyDescent="0.2">
      <c r="A3386" s="5" t="str">
        <f>HYPERLINK("http://www.ncbi.nlm.nih.gov/protein/31981842","Hmgcs1")</f>
        <v>Hmgcs1</v>
      </c>
      <c r="B3386" s="4"/>
      <c r="C3386" s="3">
        <v>0</v>
      </c>
      <c r="D3386" s="3">
        <v>0</v>
      </c>
      <c r="E3386" s="3">
        <v>1337</v>
      </c>
      <c r="F3386" s="3">
        <v>0</v>
      </c>
      <c r="G3386" s="3">
        <v>48011</v>
      </c>
      <c r="H3386" s="2">
        <f t="shared" si="104"/>
        <v>49348</v>
      </c>
      <c r="I3386" t="str">
        <f t="shared" si="105"/>
        <v>Hmgcs1_49348</v>
      </c>
      <c r="J3386" s="3">
        <v>0</v>
      </c>
      <c r="K3386" s="3">
        <v>0</v>
      </c>
      <c r="L3386" s="3">
        <v>1337</v>
      </c>
      <c r="M3386" s="3">
        <v>0</v>
      </c>
      <c r="N3386" s="3">
        <v>48011</v>
      </c>
    </row>
    <row r="3387" spans="1:14" x14ac:dyDescent="0.2">
      <c r="A3387" s="5" t="str">
        <f>HYPERLINK("http://www.ncbi.nlm.nih.gov/protein/31560689","Hmgcs2")</f>
        <v>Hmgcs2</v>
      </c>
      <c r="B3387" s="4"/>
      <c r="C3387" s="3">
        <v>0</v>
      </c>
      <c r="D3387" s="3">
        <v>0</v>
      </c>
      <c r="E3387" s="3">
        <v>0</v>
      </c>
      <c r="F3387" s="3">
        <v>0</v>
      </c>
      <c r="G3387" s="3">
        <v>8771</v>
      </c>
      <c r="H3387" s="2">
        <f t="shared" si="104"/>
        <v>8771</v>
      </c>
      <c r="I3387" t="str">
        <f t="shared" si="105"/>
        <v>Hmgcs2_8771</v>
      </c>
      <c r="J3387" s="3">
        <v>0</v>
      </c>
      <c r="K3387" s="3">
        <v>0</v>
      </c>
      <c r="L3387" s="3">
        <v>0</v>
      </c>
      <c r="M3387" s="3">
        <v>0</v>
      </c>
      <c r="N3387" s="3">
        <v>8771</v>
      </c>
    </row>
    <row r="3388" spans="1:14" x14ac:dyDescent="0.2">
      <c r="A3388" s="5" t="str">
        <f>HYPERLINK("http://www.ncbi.nlm.nih.gov/protein/21313298","Hmgn3")</f>
        <v>Hmgn3</v>
      </c>
      <c r="B3388" s="4"/>
      <c r="C3388" s="3">
        <v>0</v>
      </c>
      <c r="D3388" s="3">
        <v>13</v>
      </c>
      <c r="E3388" s="3">
        <v>0</v>
      </c>
      <c r="F3388" s="3">
        <v>229</v>
      </c>
      <c r="G3388" s="3">
        <v>0</v>
      </c>
      <c r="H3388" s="2">
        <f t="shared" si="104"/>
        <v>242</v>
      </c>
      <c r="I3388" t="str">
        <f t="shared" si="105"/>
        <v>Hmgn3_242</v>
      </c>
      <c r="J3388" s="3">
        <v>0</v>
      </c>
      <c r="K3388" s="3">
        <v>13</v>
      </c>
      <c r="L3388" s="3">
        <v>0</v>
      </c>
      <c r="M3388" s="3">
        <v>229</v>
      </c>
      <c r="N3388" s="3">
        <v>0</v>
      </c>
    </row>
    <row r="3389" spans="1:14" x14ac:dyDescent="0.2">
      <c r="A3389" s="5" t="str">
        <f>HYPERLINK("http://www.ncbi.nlm.nih.gov/protein/133778915","Hmgn5")</f>
        <v>Hmgn5</v>
      </c>
      <c r="B3389" s="4"/>
      <c r="C3389" s="3">
        <v>11606</v>
      </c>
      <c r="D3389" s="3">
        <v>21</v>
      </c>
      <c r="E3389" s="3">
        <v>1</v>
      </c>
      <c r="F3389" s="3">
        <v>319</v>
      </c>
      <c r="G3389" s="3">
        <v>610</v>
      </c>
      <c r="H3389" s="2">
        <f t="shared" si="104"/>
        <v>12557</v>
      </c>
      <c r="I3389" t="str">
        <f t="shared" si="105"/>
        <v>Hmgn5_12557</v>
      </c>
      <c r="J3389" s="3">
        <v>11606</v>
      </c>
      <c r="K3389" s="3">
        <v>21</v>
      </c>
      <c r="L3389" s="3">
        <v>1</v>
      </c>
      <c r="M3389" s="3">
        <v>319</v>
      </c>
      <c r="N3389" s="3">
        <v>610</v>
      </c>
    </row>
    <row r="3390" spans="1:14" x14ac:dyDescent="0.2">
      <c r="A3390" s="5" t="str">
        <f>HYPERLINK("http://www.ncbi.nlm.nih.gov/protein/225007593","Hmox2")</f>
        <v>Hmox2</v>
      </c>
      <c r="B3390" s="4"/>
      <c r="C3390" s="3">
        <v>31962</v>
      </c>
      <c r="D3390" s="3">
        <v>20157</v>
      </c>
      <c r="E3390" s="3">
        <v>3355</v>
      </c>
      <c r="F3390" s="3">
        <v>131</v>
      </c>
      <c r="G3390" s="3">
        <v>0</v>
      </c>
      <c r="H3390" s="2">
        <f t="shared" si="104"/>
        <v>55605</v>
      </c>
      <c r="I3390" t="str">
        <f t="shared" si="105"/>
        <v>Hmox2_55605</v>
      </c>
      <c r="J3390" s="3">
        <v>31962</v>
      </c>
      <c r="K3390" s="3">
        <v>20157</v>
      </c>
      <c r="L3390" s="3">
        <v>3355</v>
      </c>
      <c r="M3390" s="3">
        <v>131</v>
      </c>
      <c r="N3390" s="3">
        <v>0</v>
      </c>
    </row>
    <row r="3391" spans="1:14" x14ac:dyDescent="0.2">
      <c r="A3391" s="5" t="str">
        <f>HYPERLINK("http://www.ncbi.nlm.nih.gov/protein/6680237","Hn1")</f>
        <v>Hn1</v>
      </c>
      <c r="B3391" s="4"/>
      <c r="C3391" s="3">
        <v>0</v>
      </c>
      <c r="D3391" s="3">
        <v>0</v>
      </c>
      <c r="E3391" s="3">
        <v>18</v>
      </c>
      <c r="F3391" s="3">
        <v>0</v>
      </c>
      <c r="G3391" s="3">
        <v>21644</v>
      </c>
      <c r="H3391" s="2">
        <f t="shared" si="104"/>
        <v>21662</v>
      </c>
      <c r="I3391" t="str">
        <f t="shared" si="105"/>
        <v>Hn1_21662</v>
      </c>
      <c r="J3391" s="3">
        <v>0</v>
      </c>
      <c r="K3391" s="3">
        <v>0</v>
      </c>
      <c r="L3391" s="3">
        <v>18</v>
      </c>
      <c r="M3391" s="3">
        <v>0</v>
      </c>
      <c r="N3391" s="3">
        <v>21644</v>
      </c>
    </row>
    <row r="3392" spans="1:14" x14ac:dyDescent="0.2">
      <c r="A3392" s="5" t="str">
        <f>HYPERLINK("http://www.ncbi.nlm.nih.gov/protein/39573709","Hn1l")</f>
        <v>Hn1l</v>
      </c>
      <c r="B3392" s="4"/>
      <c r="C3392" s="3">
        <v>0</v>
      </c>
      <c r="D3392" s="3">
        <v>0</v>
      </c>
      <c r="E3392" s="3">
        <v>332</v>
      </c>
      <c r="F3392" s="3">
        <v>0</v>
      </c>
      <c r="G3392" s="3">
        <v>87068</v>
      </c>
      <c r="H3392" s="2">
        <f t="shared" si="104"/>
        <v>87400</v>
      </c>
      <c r="I3392" t="str">
        <f t="shared" si="105"/>
        <v>Hn1l_87400</v>
      </c>
      <c r="J3392" s="3">
        <v>0</v>
      </c>
      <c r="K3392" s="3">
        <v>0</v>
      </c>
      <c r="L3392" s="3">
        <v>332</v>
      </c>
      <c r="M3392" s="3">
        <v>0</v>
      </c>
      <c r="N3392" s="3">
        <v>87068</v>
      </c>
    </row>
    <row r="3393" spans="1:14" x14ac:dyDescent="0.2">
      <c r="A3393" s="5" t="str">
        <f>HYPERLINK("http://www.ncbi.nlm.nih.gov/protein/226443091","Hnrnpa0")</f>
        <v>Hnrnpa0</v>
      </c>
      <c r="B3393" s="4"/>
      <c r="C3393" s="3">
        <v>396838</v>
      </c>
      <c r="D3393" s="3">
        <v>4741</v>
      </c>
      <c r="E3393" s="3">
        <v>2249</v>
      </c>
      <c r="F3393" s="3">
        <v>22789</v>
      </c>
      <c r="G3393" s="3">
        <v>0</v>
      </c>
      <c r="H3393" s="2">
        <f t="shared" si="104"/>
        <v>426617</v>
      </c>
      <c r="I3393" t="str">
        <f t="shared" si="105"/>
        <v>Hnrnpa0_426617</v>
      </c>
      <c r="J3393" s="3">
        <v>396838</v>
      </c>
      <c r="K3393" s="3">
        <v>4741</v>
      </c>
      <c r="L3393" s="3">
        <v>2249</v>
      </c>
      <c r="M3393" s="3">
        <v>22789</v>
      </c>
      <c r="N3393" s="3">
        <v>0</v>
      </c>
    </row>
    <row r="3394" spans="1:14" x14ac:dyDescent="0.2">
      <c r="A3394" s="5" t="str">
        <f>HYPERLINK("http://www.ncbi.nlm.nih.gov/protein/6754220","Hnrnpa1")</f>
        <v>Hnrnpa1</v>
      </c>
      <c r="B3394" s="4"/>
      <c r="C3394" s="3">
        <v>1455768</v>
      </c>
      <c r="D3394" s="3">
        <v>14988</v>
      </c>
      <c r="E3394" s="3">
        <v>27098</v>
      </c>
      <c r="F3394" s="3">
        <v>51847</v>
      </c>
      <c r="G3394" s="3">
        <v>503</v>
      </c>
      <c r="H3394" s="2">
        <f t="shared" ref="H3394:H3457" si="106">SUM(C3394:G3394)</f>
        <v>1550204</v>
      </c>
      <c r="I3394" t="str">
        <f t="shared" ref="I3394:I3457" si="107">A3394&amp;"_"&amp;H3394</f>
        <v>Hnrnpa1_1550204</v>
      </c>
      <c r="J3394" s="3">
        <v>1455768</v>
      </c>
      <c r="K3394" s="3">
        <v>14988</v>
      </c>
      <c r="L3394" s="3">
        <v>27098</v>
      </c>
      <c r="M3394" s="3">
        <v>51847</v>
      </c>
      <c r="N3394" s="3">
        <v>503</v>
      </c>
    </row>
    <row r="3395" spans="1:14" x14ac:dyDescent="0.2">
      <c r="A3395" s="5" t="str">
        <f>HYPERLINK("http://www.ncbi.nlm.nih.gov/protein/85060507","Hnrnpa1")</f>
        <v>Hnrnpa1</v>
      </c>
      <c r="B3395" s="4"/>
      <c r="C3395" s="3">
        <v>1455768</v>
      </c>
      <c r="D3395" s="3">
        <v>14988</v>
      </c>
      <c r="E3395" s="3">
        <v>27098</v>
      </c>
      <c r="F3395" s="3">
        <v>51847</v>
      </c>
      <c r="G3395" s="3">
        <v>503</v>
      </c>
      <c r="H3395" s="2">
        <f t="shared" si="106"/>
        <v>1550204</v>
      </c>
      <c r="I3395" t="str">
        <f t="shared" si="107"/>
        <v>Hnrnpa1_1550204</v>
      </c>
      <c r="J3395" s="3">
        <v>1455768</v>
      </c>
      <c r="K3395" s="3">
        <v>14988</v>
      </c>
      <c r="L3395" s="3">
        <v>27098</v>
      </c>
      <c r="M3395" s="3">
        <v>51847</v>
      </c>
      <c r="N3395" s="3">
        <v>503</v>
      </c>
    </row>
    <row r="3396" spans="1:14" x14ac:dyDescent="0.2">
      <c r="A3396" s="5" t="str">
        <f>HYPERLINK("http://www.ncbi.nlm.nih.gov/protein/109134362;309267107","Hnrnpa2b1")</f>
        <v>Hnrnpa2b1</v>
      </c>
      <c r="B3396" s="4"/>
      <c r="C3396" s="3">
        <v>0</v>
      </c>
      <c r="D3396" s="3">
        <v>39533</v>
      </c>
      <c r="E3396" s="3">
        <v>0</v>
      </c>
      <c r="F3396" s="3">
        <v>135316</v>
      </c>
      <c r="G3396" s="3">
        <v>3738</v>
      </c>
      <c r="H3396" s="2">
        <f t="shared" si="106"/>
        <v>178587</v>
      </c>
      <c r="I3396" t="str">
        <f t="shared" si="107"/>
        <v>Hnrnpa2b1_178587</v>
      </c>
      <c r="J3396" s="3">
        <v>0</v>
      </c>
      <c r="K3396" s="3">
        <v>39533</v>
      </c>
      <c r="L3396" s="3">
        <v>0</v>
      </c>
      <c r="M3396" s="3">
        <v>135316</v>
      </c>
      <c r="N3396" s="3">
        <v>3738</v>
      </c>
    </row>
    <row r="3397" spans="1:14" x14ac:dyDescent="0.2">
      <c r="A3397" s="5" t="str">
        <f>HYPERLINK("http://www.ncbi.nlm.nih.gov/protein/32880197","Hnrnpa2b1")</f>
        <v>Hnrnpa2b1</v>
      </c>
      <c r="B3397" s="4"/>
      <c r="C3397" s="3">
        <v>2372624</v>
      </c>
      <c r="D3397" s="3">
        <v>39533</v>
      </c>
      <c r="E3397" s="3">
        <v>46681</v>
      </c>
      <c r="F3397" s="3">
        <v>135316</v>
      </c>
      <c r="G3397" s="3">
        <v>3738</v>
      </c>
      <c r="H3397" s="2">
        <f t="shared" si="106"/>
        <v>2597892</v>
      </c>
      <c r="I3397" t="str">
        <f t="shared" si="107"/>
        <v>Hnrnpa2b1_2597892</v>
      </c>
      <c r="J3397" s="3">
        <v>2372624</v>
      </c>
      <c r="K3397" s="3">
        <v>39533</v>
      </c>
      <c r="L3397" s="3">
        <v>46681</v>
      </c>
      <c r="M3397" s="3">
        <v>135316</v>
      </c>
      <c r="N3397" s="3">
        <v>3738</v>
      </c>
    </row>
    <row r="3398" spans="1:14" x14ac:dyDescent="0.2">
      <c r="A3398" s="5" t="str">
        <f>HYPERLINK("http://www.ncbi.nlm.nih.gov/protein/157277969","Hnrnpa3")</f>
        <v>Hnrnpa3</v>
      </c>
      <c r="B3398" s="4"/>
      <c r="C3398" s="3">
        <v>1731163</v>
      </c>
      <c r="D3398" s="3">
        <v>10945</v>
      </c>
      <c r="E3398" s="3">
        <v>44807</v>
      </c>
      <c r="F3398" s="3">
        <v>85834</v>
      </c>
      <c r="G3398" s="3">
        <v>2410</v>
      </c>
      <c r="H3398" s="2">
        <f t="shared" si="106"/>
        <v>1875159</v>
      </c>
      <c r="I3398" t="str">
        <f t="shared" si="107"/>
        <v>Hnrnpa3_1875159</v>
      </c>
      <c r="J3398" s="3">
        <v>1731163</v>
      </c>
      <c r="K3398" s="3">
        <v>10945</v>
      </c>
      <c r="L3398" s="3">
        <v>44807</v>
      </c>
      <c r="M3398" s="3">
        <v>85834</v>
      </c>
      <c r="N3398" s="3">
        <v>2410</v>
      </c>
    </row>
    <row r="3399" spans="1:14" x14ac:dyDescent="0.2">
      <c r="A3399" s="5" t="str">
        <f>HYPERLINK("http://www.ncbi.nlm.nih.gov/protein/37674277","Hnrnpa3")</f>
        <v>Hnrnpa3</v>
      </c>
      <c r="B3399" s="4"/>
      <c r="C3399" s="3">
        <v>1733653</v>
      </c>
      <c r="D3399" s="3">
        <v>10945</v>
      </c>
      <c r="E3399" s="3">
        <v>44807</v>
      </c>
      <c r="F3399" s="3">
        <v>85834</v>
      </c>
      <c r="G3399" s="3">
        <v>2410</v>
      </c>
      <c r="H3399" s="2">
        <f t="shared" si="106"/>
        <v>1877649</v>
      </c>
      <c r="I3399" t="str">
        <f t="shared" si="107"/>
        <v>Hnrnpa3_1877649</v>
      </c>
      <c r="J3399" s="3">
        <v>1733653</v>
      </c>
      <c r="K3399" s="3">
        <v>10945</v>
      </c>
      <c r="L3399" s="3">
        <v>44807</v>
      </c>
      <c r="M3399" s="3">
        <v>85834</v>
      </c>
      <c r="N3399" s="3">
        <v>2410</v>
      </c>
    </row>
    <row r="3400" spans="1:14" x14ac:dyDescent="0.2">
      <c r="A3400" s="5" t="str">
        <f>HYPERLINK("http://www.ncbi.nlm.nih.gov/protein/146260280","Hnrnpab")</f>
        <v>Hnrnpab</v>
      </c>
      <c r="B3400" s="4"/>
      <c r="C3400" s="3">
        <v>545611</v>
      </c>
      <c r="D3400" s="3">
        <v>26119</v>
      </c>
      <c r="E3400" s="3">
        <v>111754</v>
      </c>
      <c r="F3400" s="3">
        <v>297594</v>
      </c>
      <c r="G3400" s="3">
        <v>82602</v>
      </c>
      <c r="H3400" s="2">
        <f t="shared" si="106"/>
        <v>1063680</v>
      </c>
      <c r="I3400" t="str">
        <f t="shared" si="107"/>
        <v>Hnrnpab_1063680</v>
      </c>
      <c r="J3400" s="3">
        <v>545611</v>
      </c>
      <c r="K3400" s="3">
        <v>26119</v>
      </c>
      <c r="L3400" s="3">
        <v>111754</v>
      </c>
      <c r="M3400" s="3">
        <v>297594</v>
      </c>
      <c r="N3400" s="3">
        <v>82602</v>
      </c>
    </row>
    <row r="3401" spans="1:14" x14ac:dyDescent="0.2">
      <c r="A3401" s="5" t="str">
        <f>HYPERLINK("http://www.ncbi.nlm.nih.gov/protein/6754222","Hnrnpab")</f>
        <v>Hnrnpab</v>
      </c>
      <c r="B3401" s="4"/>
      <c r="C3401" s="3">
        <v>545611</v>
      </c>
      <c r="D3401" s="3">
        <v>26119</v>
      </c>
      <c r="E3401" s="3">
        <v>111754</v>
      </c>
      <c r="F3401" s="3">
        <v>297332</v>
      </c>
      <c r="G3401" s="3">
        <v>82602</v>
      </c>
      <c r="H3401" s="2">
        <f t="shared" si="106"/>
        <v>1063418</v>
      </c>
      <c r="I3401" t="str">
        <f t="shared" si="107"/>
        <v>Hnrnpab_1063418</v>
      </c>
      <c r="J3401" s="3">
        <v>545611</v>
      </c>
      <c r="K3401" s="3">
        <v>26119</v>
      </c>
      <c r="L3401" s="3">
        <v>111754</v>
      </c>
      <c r="M3401" s="3">
        <v>297332</v>
      </c>
      <c r="N3401" s="3">
        <v>82602</v>
      </c>
    </row>
    <row r="3402" spans="1:14" x14ac:dyDescent="0.2">
      <c r="A3402" s="5" t="str">
        <f>HYPERLINK("http://www.ncbi.nlm.nih.gov/protein/283436176","Hnrnpc")</f>
        <v>Hnrnpc</v>
      </c>
      <c r="B3402" s="4"/>
      <c r="C3402" s="3">
        <v>372930</v>
      </c>
      <c r="D3402" s="3">
        <v>1518</v>
      </c>
      <c r="E3402" s="3">
        <v>15119</v>
      </c>
      <c r="F3402" s="3">
        <v>34576</v>
      </c>
      <c r="G3402" s="3">
        <v>0</v>
      </c>
      <c r="H3402" s="2">
        <f t="shared" si="106"/>
        <v>424143</v>
      </c>
      <c r="I3402" t="str">
        <f t="shared" si="107"/>
        <v>Hnrnpc_424143</v>
      </c>
      <c r="J3402" s="3">
        <v>372930</v>
      </c>
      <c r="K3402" s="3">
        <v>1518</v>
      </c>
      <c r="L3402" s="3">
        <v>15119</v>
      </c>
      <c r="M3402" s="3">
        <v>34576</v>
      </c>
      <c r="N3402" s="3">
        <v>0</v>
      </c>
    </row>
    <row r="3403" spans="1:14" x14ac:dyDescent="0.2">
      <c r="A3403" s="5" t="str">
        <f>HYPERLINK("http://www.ncbi.nlm.nih.gov/protein/283436180","Hnrnpc")</f>
        <v>Hnrnpc</v>
      </c>
      <c r="B3403" s="4"/>
      <c r="C3403" s="3">
        <v>371063</v>
      </c>
      <c r="D3403" s="3">
        <v>1518</v>
      </c>
      <c r="E3403" s="3">
        <v>13664</v>
      </c>
      <c r="F3403" s="3">
        <v>35943</v>
      </c>
      <c r="G3403" s="3">
        <v>0</v>
      </c>
      <c r="H3403" s="2">
        <f t="shared" si="106"/>
        <v>422188</v>
      </c>
      <c r="I3403" t="str">
        <f t="shared" si="107"/>
        <v>Hnrnpc_422188</v>
      </c>
      <c r="J3403" s="3">
        <v>371063</v>
      </c>
      <c r="K3403" s="3">
        <v>1518</v>
      </c>
      <c r="L3403" s="3">
        <v>13664</v>
      </c>
      <c r="M3403" s="3">
        <v>35943</v>
      </c>
      <c r="N3403" s="3">
        <v>0</v>
      </c>
    </row>
    <row r="3404" spans="1:14" x14ac:dyDescent="0.2">
      <c r="A3404" s="5" t="str">
        <f>HYPERLINK("http://www.ncbi.nlm.nih.gov/protein/283436182","Hnrnpc")</f>
        <v>Hnrnpc</v>
      </c>
      <c r="B3404" s="4"/>
      <c r="C3404" s="3">
        <v>371063</v>
      </c>
      <c r="D3404" s="3">
        <v>1518</v>
      </c>
      <c r="E3404" s="3">
        <v>13664</v>
      </c>
      <c r="F3404" s="3">
        <v>35943</v>
      </c>
      <c r="G3404" s="3">
        <v>0</v>
      </c>
      <c r="H3404" s="2">
        <f t="shared" si="106"/>
        <v>422188</v>
      </c>
      <c r="I3404" t="str">
        <f t="shared" si="107"/>
        <v>Hnrnpc_422188</v>
      </c>
      <c r="J3404" s="3">
        <v>371063</v>
      </c>
      <c r="K3404" s="3">
        <v>1518</v>
      </c>
      <c r="L3404" s="3">
        <v>13664</v>
      </c>
      <c r="M3404" s="3">
        <v>35943</v>
      </c>
      <c r="N3404" s="3">
        <v>0</v>
      </c>
    </row>
    <row r="3405" spans="1:14" x14ac:dyDescent="0.2">
      <c r="A3405" s="5" t="str">
        <f>HYPERLINK("http://www.ncbi.nlm.nih.gov/protein/8393544","Hnrnpc")</f>
        <v>Hnrnpc</v>
      </c>
      <c r="B3405" s="4"/>
      <c r="C3405" s="3">
        <v>372930</v>
      </c>
      <c r="D3405" s="3">
        <v>1518</v>
      </c>
      <c r="E3405" s="3">
        <v>15119</v>
      </c>
      <c r="F3405" s="3">
        <v>34576</v>
      </c>
      <c r="G3405" s="3">
        <v>0</v>
      </c>
      <c r="H3405" s="2">
        <f t="shared" si="106"/>
        <v>424143</v>
      </c>
      <c r="I3405" t="str">
        <f t="shared" si="107"/>
        <v>Hnrnpc_424143</v>
      </c>
      <c r="J3405" s="3">
        <v>372930</v>
      </c>
      <c r="K3405" s="3">
        <v>1518</v>
      </c>
      <c r="L3405" s="3">
        <v>15119</v>
      </c>
      <c r="M3405" s="3">
        <v>34576</v>
      </c>
      <c r="N3405" s="3">
        <v>0</v>
      </c>
    </row>
    <row r="3406" spans="1:14" x14ac:dyDescent="0.2">
      <c r="A3406" s="5" t="str">
        <f>HYPERLINK("http://www.ncbi.nlm.nih.gov/protein/116256512","Hnrnpd")</f>
        <v>Hnrnpd</v>
      </c>
      <c r="B3406" s="4"/>
      <c r="C3406" s="3">
        <v>293921</v>
      </c>
      <c r="D3406" s="3">
        <v>9703</v>
      </c>
      <c r="E3406" s="3">
        <v>106625</v>
      </c>
      <c r="F3406" s="3">
        <v>123496</v>
      </c>
      <c r="G3406" s="3">
        <v>83491</v>
      </c>
      <c r="H3406" s="2">
        <f t="shared" si="106"/>
        <v>617236</v>
      </c>
      <c r="I3406" t="str">
        <f t="shared" si="107"/>
        <v>Hnrnpd_617236</v>
      </c>
      <c r="J3406" s="3">
        <v>293921</v>
      </c>
      <c r="K3406" s="3">
        <v>9703</v>
      </c>
      <c r="L3406" s="3">
        <v>106625</v>
      </c>
      <c r="M3406" s="3">
        <v>123496</v>
      </c>
      <c r="N3406" s="3">
        <v>83491</v>
      </c>
    </row>
    <row r="3407" spans="1:14" x14ac:dyDescent="0.2">
      <c r="A3407" s="5" t="str">
        <f>HYPERLINK("http://www.ncbi.nlm.nih.gov/protein/116256514","Hnrnpd")</f>
        <v>Hnrnpd</v>
      </c>
      <c r="B3407" s="4"/>
      <c r="C3407" s="3">
        <v>293921</v>
      </c>
      <c r="D3407" s="3">
        <v>9703</v>
      </c>
      <c r="E3407" s="3">
        <v>106625</v>
      </c>
      <c r="F3407" s="3">
        <v>123496</v>
      </c>
      <c r="G3407" s="3">
        <v>83491</v>
      </c>
      <c r="H3407" s="2">
        <f t="shared" si="106"/>
        <v>617236</v>
      </c>
      <c r="I3407" t="str">
        <f t="shared" si="107"/>
        <v>Hnrnpd_617236</v>
      </c>
      <c r="J3407" s="3">
        <v>293921</v>
      </c>
      <c r="K3407" s="3">
        <v>9703</v>
      </c>
      <c r="L3407" s="3">
        <v>106625</v>
      </c>
      <c r="M3407" s="3">
        <v>123496</v>
      </c>
      <c r="N3407" s="3">
        <v>83491</v>
      </c>
    </row>
    <row r="3408" spans="1:14" x14ac:dyDescent="0.2">
      <c r="A3408" s="5" t="str">
        <f>HYPERLINK("http://www.ncbi.nlm.nih.gov/protein/116256516","Hnrnpd")</f>
        <v>Hnrnpd</v>
      </c>
      <c r="B3408" s="4"/>
      <c r="C3408" s="3">
        <v>290205</v>
      </c>
      <c r="D3408" s="3">
        <v>9703</v>
      </c>
      <c r="E3408" s="3">
        <v>106277</v>
      </c>
      <c r="F3408" s="3">
        <v>123496</v>
      </c>
      <c r="G3408" s="3">
        <v>83491</v>
      </c>
      <c r="H3408" s="2">
        <f t="shared" si="106"/>
        <v>613172</v>
      </c>
      <c r="I3408" t="str">
        <f t="shared" si="107"/>
        <v>Hnrnpd_613172</v>
      </c>
      <c r="J3408" s="3">
        <v>290205</v>
      </c>
      <c r="K3408" s="3">
        <v>9703</v>
      </c>
      <c r="L3408" s="3">
        <v>106277</v>
      </c>
      <c r="M3408" s="3">
        <v>123496</v>
      </c>
      <c r="N3408" s="3">
        <v>83491</v>
      </c>
    </row>
    <row r="3409" spans="1:14" x14ac:dyDescent="0.2">
      <c r="A3409" s="5" t="str">
        <f>HYPERLINK("http://www.ncbi.nlm.nih.gov/protein/116256518","Hnrnpd")</f>
        <v>Hnrnpd</v>
      </c>
      <c r="B3409" s="4"/>
      <c r="C3409" s="3">
        <v>290205</v>
      </c>
      <c r="D3409" s="3">
        <v>9703</v>
      </c>
      <c r="E3409" s="3">
        <v>106277</v>
      </c>
      <c r="F3409" s="3">
        <v>139245</v>
      </c>
      <c r="G3409" s="3">
        <v>83491</v>
      </c>
      <c r="H3409" s="2">
        <f t="shared" si="106"/>
        <v>628921</v>
      </c>
      <c r="I3409" t="str">
        <f t="shared" si="107"/>
        <v>Hnrnpd_628921</v>
      </c>
      <c r="J3409" s="3">
        <v>290205</v>
      </c>
      <c r="K3409" s="3">
        <v>9703</v>
      </c>
      <c r="L3409" s="3">
        <v>106277</v>
      </c>
      <c r="M3409" s="3">
        <v>139245</v>
      </c>
      <c r="N3409" s="3">
        <v>83491</v>
      </c>
    </row>
    <row r="3410" spans="1:14" x14ac:dyDescent="0.2">
      <c r="A3410" s="5" t="str">
        <f>HYPERLINK("http://www.ncbi.nlm.nih.gov/protein/148664250","Hnrnpdl")</f>
        <v>Hnrnpdl</v>
      </c>
      <c r="B3410" s="4"/>
      <c r="C3410" s="3">
        <v>176763</v>
      </c>
      <c r="D3410" s="3">
        <v>4538</v>
      </c>
      <c r="E3410" s="3">
        <v>73078</v>
      </c>
      <c r="F3410" s="3">
        <v>55711</v>
      </c>
      <c r="G3410" s="3">
        <v>43127</v>
      </c>
      <c r="H3410" s="2">
        <f t="shared" si="106"/>
        <v>353217</v>
      </c>
      <c r="I3410" t="str">
        <f t="shared" si="107"/>
        <v>Hnrnpdl_353217</v>
      </c>
      <c r="J3410" s="3">
        <v>176763</v>
      </c>
      <c r="K3410" s="3">
        <v>4538</v>
      </c>
      <c r="L3410" s="3">
        <v>73078</v>
      </c>
      <c r="M3410" s="3">
        <v>55711</v>
      </c>
      <c r="N3410" s="3">
        <v>43127</v>
      </c>
    </row>
    <row r="3411" spans="1:14" x14ac:dyDescent="0.2">
      <c r="A3411" s="5" t="str">
        <f>HYPERLINK("http://www.ncbi.nlm.nih.gov/protein/261878599;19527048","Hnrnpf")</f>
        <v>Hnrnpf</v>
      </c>
      <c r="B3411" s="4"/>
      <c r="C3411" s="3">
        <v>0</v>
      </c>
      <c r="D3411" s="3">
        <v>0</v>
      </c>
      <c r="E3411" s="3">
        <v>46708</v>
      </c>
      <c r="F3411" s="3">
        <v>0</v>
      </c>
      <c r="G3411" s="3">
        <v>0</v>
      </c>
      <c r="H3411" s="2">
        <f t="shared" si="106"/>
        <v>46708</v>
      </c>
      <c r="I3411" t="str">
        <f t="shared" si="107"/>
        <v>Hnrnpf_46708</v>
      </c>
      <c r="J3411" s="3">
        <v>0</v>
      </c>
      <c r="K3411" s="3">
        <v>0</v>
      </c>
      <c r="L3411" s="3">
        <v>46708</v>
      </c>
      <c r="M3411" s="3">
        <v>0</v>
      </c>
      <c r="N3411" s="3">
        <v>0</v>
      </c>
    </row>
    <row r="3412" spans="1:14" x14ac:dyDescent="0.2">
      <c r="A3412" s="5" t="str">
        <f>HYPERLINK("http://www.ncbi.nlm.nih.gov/protein/19527048","Hnrnpf")</f>
        <v>Hnrnpf</v>
      </c>
      <c r="B3412" s="4"/>
      <c r="C3412" s="3">
        <v>613544</v>
      </c>
      <c r="D3412" s="3">
        <v>15690</v>
      </c>
      <c r="E3412" s="3">
        <v>0</v>
      </c>
      <c r="F3412" s="3">
        <v>33471</v>
      </c>
      <c r="G3412" s="3">
        <v>115695</v>
      </c>
      <c r="H3412" s="2">
        <f t="shared" si="106"/>
        <v>778400</v>
      </c>
      <c r="I3412" t="str">
        <f t="shared" si="107"/>
        <v>Hnrnpf_778400</v>
      </c>
      <c r="J3412" s="3">
        <v>613544</v>
      </c>
      <c r="K3412" s="3">
        <v>15690</v>
      </c>
      <c r="L3412" s="3">
        <v>0</v>
      </c>
      <c r="M3412" s="3">
        <v>33471</v>
      </c>
      <c r="N3412" s="3">
        <v>115695</v>
      </c>
    </row>
    <row r="3413" spans="1:14" x14ac:dyDescent="0.2">
      <c r="A3413" s="5" t="str">
        <f>HYPERLINK("http://www.ncbi.nlm.nih.gov/protein/10946928","Hnrnph1")</f>
        <v>Hnrnph1</v>
      </c>
      <c r="B3413" s="4"/>
      <c r="C3413" s="3">
        <v>688471</v>
      </c>
      <c r="D3413" s="3">
        <v>14322</v>
      </c>
      <c r="E3413" s="3">
        <v>42334</v>
      </c>
      <c r="F3413" s="3">
        <v>52969</v>
      </c>
      <c r="G3413" s="3">
        <v>60958</v>
      </c>
      <c r="H3413" s="2">
        <f t="shared" si="106"/>
        <v>859054</v>
      </c>
      <c r="I3413" t="str">
        <f t="shared" si="107"/>
        <v>Hnrnph1_859054</v>
      </c>
      <c r="J3413" s="3">
        <v>688471</v>
      </c>
      <c r="K3413" s="3">
        <v>14322</v>
      </c>
      <c r="L3413" s="3">
        <v>42334</v>
      </c>
      <c r="M3413" s="3">
        <v>52969</v>
      </c>
      <c r="N3413" s="3">
        <v>60958</v>
      </c>
    </row>
    <row r="3414" spans="1:14" x14ac:dyDescent="0.2">
      <c r="A3414" s="5" t="str">
        <f>HYPERLINK("http://www.ncbi.nlm.nih.gov/protein/9845253","Hnrnph2")</f>
        <v>Hnrnph2</v>
      </c>
      <c r="B3414" s="4"/>
      <c r="C3414" s="3">
        <v>472460</v>
      </c>
      <c r="D3414" s="3">
        <v>7388</v>
      </c>
      <c r="E3414" s="3">
        <v>30841</v>
      </c>
      <c r="F3414" s="3">
        <v>26603</v>
      </c>
      <c r="G3414" s="3">
        <v>58667</v>
      </c>
      <c r="H3414" s="2">
        <f t="shared" si="106"/>
        <v>595959</v>
      </c>
      <c r="I3414" t="str">
        <f t="shared" si="107"/>
        <v>Hnrnph2_595959</v>
      </c>
      <c r="J3414" s="3">
        <v>472460</v>
      </c>
      <c r="K3414" s="3">
        <v>7388</v>
      </c>
      <c r="L3414" s="3">
        <v>30841</v>
      </c>
      <c r="M3414" s="3">
        <v>26603</v>
      </c>
      <c r="N3414" s="3">
        <v>58667</v>
      </c>
    </row>
    <row r="3415" spans="1:14" x14ac:dyDescent="0.2">
      <c r="A3415" s="5" t="str">
        <f>HYPERLINK("http://www.ncbi.nlm.nih.gov/protein/119637823","Hnrnph3")</f>
        <v>Hnrnph3</v>
      </c>
      <c r="B3415" s="4"/>
      <c r="C3415" s="3">
        <v>4814</v>
      </c>
      <c r="D3415" s="3">
        <v>380</v>
      </c>
      <c r="E3415" s="3">
        <v>1197</v>
      </c>
      <c r="F3415" s="3">
        <v>0</v>
      </c>
      <c r="G3415" s="3">
        <v>0</v>
      </c>
      <c r="H3415" s="2">
        <f t="shared" si="106"/>
        <v>6391</v>
      </c>
      <c r="I3415" t="str">
        <f t="shared" si="107"/>
        <v>Hnrnph3_6391</v>
      </c>
      <c r="J3415" s="3">
        <v>4814</v>
      </c>
      <c r="K3415" s="3">
        <v>380</v>
      </c>
      <c r="L3415" s="3">
        <v>1197</v>
      </c>
      <c r="M3415" s="3">
        <v>0</v>
      </c>
      <c r="N3415" s="3">
        <v>0</v>
      </c>
    </row>
    <row r="3416" spans="1:14" x14ac:dyDescent="0.2">
      <c r="A3416" s="5" t="str">
        <f>HYPERLINK("http://www.ncbi.nlm.nih.gov/protein/13384620","Hnrnpk")</f>
        <v>Hnrnpk</v>
      </c>
      <c r="B3416" s="4"/>
      <c r="C3416" s="3">
        <v>1684355</v>
      </c>
      <c r="D3416" s="3">
        <v>23848</v>
      </c>
      <c r="E3416" s="3">
        <v>195068</v>
      </c>
      <c r="F3416" s="3">
        <v>258369</v>
      </c>
      <c r="G3416" s="3">
        <v>208610</v>
      </c>
      <c r="H3416" s="2">
        <f t="shared" si="106"/>
        <v>2370250</v>
      </c>
      <c r="I3416" t="str">
        <f t="shared" si="107"/>
        <v>Hnrnpk_2370250</v>
      </c>
      <c r="J3416" s="3">
        <v>1684355</v>
      </c>
      <c r="K3416" s="3">
        <v>23848</v>
      </c>
      <c r="L3416" s="3">
        <v>195068</v>
      </c>
      <c r="M3416" s="3">
        <v>258369</v>
      </c>
      <c r="N3416" s="3">
        <v>208610</v>
      </c>
    </row>
    <row r="3417" spans="1:14" x14ac:dyDescent="0.2">
      <c r="A3417" s="5" t="str">
        <f>HYPERLINK("http://www.ncbi.nlm.nih.gov/protein/183980004","Hnrnpl")</f>
        <v>Hnrnpl</v>
      </c>
      <c r="B3417" s="4"/>
      <c r="C3417" s="3">
        <v>457028</v>
      </c>
      <c r="D3417" s="3">
        <v>2313</v>
      </c>
      <c r="E3417" s="3">
        <v>13729</v>
      </c>
      <c r="F3417" s="3">
        <v>41083</v>
      </c>
      <c r="G3417" s="3">
        <v>0</v>
      </c>
      <c r="H3417" s="2">
        <f t="shared" si="106"/>
        <v>514153</v>
      </c>
      <c r="I3417" t="str">
        <f t="shared" si="107"/>
        <v>Hnrnpl_514153</v>
      </c>
      <c r="J3417" s="3">
        <v>457028</v>
      </c>
      <c r="K3417" s="3">
        <v>2313</v>
      </c>
      <c r="L3417" s="3">
        <v>13729</v>
      </c>
      <c r="M3417" s="3">
        <v>41083</v>
      </c>
      <c r="N3417" s="3">
        <v>0</v>
      </c>
    </row>
    <row r="3418" spans="1:14" x14ac:dyDescent="0.2">
      <c r="A3418" s="5" t="str">
        <f>HYPERLINK("http://www.ncbi.nlm.nih.gov/protein/110347535","Hnrnpll")</f>
        <v>Hnrnpll</v>
      </c>
      <c r="B3418" s="4"/>
      <c r="C3418" s="3">
        <v>8622</v>
      </c>
      <c r="D3418" s="3">
        <v>2371</v>
      </c>
      <c r="E3418" s="3">
        <v>10681</v>
      </c>
      <c r="F3418" s="3">
        <v>24033</v>
      </c>
      <c r="G3418" s="3">
        <v>1167</v>
      </c>
      <c r="H3418" s="2">
        <f t="shared" si="106"/>
        <v>46874</v>
      </c>
      <c r="I3418" t="str">
        <f t="shared" si="107"/>
        <v>Hnrnpll_46874</v>
      </c>
      <c r="J3418" s="3">
        <v>8622</v>
      </c>
      <c r="K3418" s="3">
        <v>2371</v>
      </c>
      <c r="L3418" s="3">
        <v>10681</v>
      </c>
      <c r="M3418" s="3">
        <v>24033</v>
      </c>
      <c r="N3418" s="3">
        <v>1167</v>
      </c>
    </row>
    <row r="3419" spans="1:14" x14ac:dyDescent="0.2">
      <c r="A3419" s="5" t="str">
        <f>HYPERLINK("http://www.ncbi.nlm.nih.gov/protein/158186704","Hnrnpm")</f>
        <v>Hnrnpm</v>
      </c>
      <c r="B3419" s="4"/>
      <c r="C3419" s="3">
        <v>513356</v>
      </c>
      <c r="D3419" s="3">
        <v>10701</v>
      </c>
      <c r="E3419" s="3">
        <v>46193</v>
      </c>
      <c r="F3419" s="3">
        <v>34854</v>
      </c>
      <c r="G3419" s="3">
        <v>835</v>
      </c>
      <c r="H3419" s="2">
        <f t="shared" si="106"/>
        <v>605939</v>
      </c>
      <c r="I3419" t="str">
        <f t="shared" si="107"/>
        <v>Hnrnpm_605939</v>
      </c>
      <c r="J3419" s="3">
        <v>513356</v>
      </c>
      <c r="K3419" s="3">
        <v>10701</v>
      </c>
      <c r="L3419" s="3">
        <v>46193</v>
      </c>
      <c r="M3419" s="3">
        <v>34854</v>
      </c>
      <c r="N3419" s="3">
        <v>835</v>
      </c>
    </row>
    <row r="3420" spans="1:14" x14ac:dyDescent="0.2">
      <c r="A3420" s="5" t="str">
        <f>HYPERLINK("http://www.ncbi.nlm.nih.gov/protein/21313308","Hnrnpm")</f>
        <v>Hnrnpm</v>
      </c>
      <c r="B3420" s="4"/>
      <c r="C3420" s="3">
        <v>513356</v>
      </c>
      <c r="D3420" s="3">
        <v>10701</v>
      </c>
      <c r="E3420" s="3">
        <v>46193</v>
      </c>
      <c r="F3420" s="3">
        <v>34854</v>
      </c>
      <c r="G3420" s="3">
        <v>835</v>
      </c>
      <c r="H3420" s="2">
        <f t="shared" si="106"/>
        <v>605939</v>
      </c>
      <c r="I3420" t="str">
        <f t="shared" si="107"/>
        <v>Hnrnpm_605939</v>
      </c>
      <c r="J3420" s="3">
        <v>513356</v>
      </c>
      <c r="K3420" s="3">
        <v>10701</v>
      </c>
      <c r="L3420" s="3">
        <v>46193</v>
      </c>
      <c r="M3420" s="3">
        <v>34854</v>
      </c>
      <c r="N3420" s="3">
        <v>835</v>
      </c>
    </row>
    <row r="3421" spans="1:14" x14ac:dyDescent="0.2">
      <c r="A3421" s="5" t="str">
        <f>HYPERLINK("http://www.ncbi.nlm.nih.gov/protein/459683866","Hnrnpr")</f>
        <v>Hnrnpr</v>
      </c>
      <c r="B3421" s="4"/>
      <c r="C3421" s="3">
        <v>0</v>
      </c>
      <c r="D3421" s="3">
        <v>5588</v>
      </c>
      <c r="E3421" s="3">
        <v>0</v>
      </c>
      <c r="F3421" s="3">
        <v>0</v>
      </c>
      <c r="G3421" s="3">
        <v>0</v>
      </c>
      <c r="H3421" s="2">
        <f t="shared" si="106"/>
        <v>5588</v>
      </c>
      <c r="I3421" t="str">
        <f t="shared" si="107"/>
        <v>Hnrnpr_5588</v>
      </c>
      <c r="J3421" s="3">
        <v>0</v>
      </c>
      <c r="K3421" s="3">
        <v>5588</v>
      </c>
      <c r="L3421" s="3">
        <v>0</v>
      </c>
      <c r="M3421" s="3">
        <v>0</v>
      </c>
      <c r="N3421" s="3">
        <v>0</v>
      </c>
    </row>
    <row r="3422" spans="1:14" x14ac:dyDescent="0.2">
      <c r="A3422" s="5" t="str">
        <f>HYPERLINK("http://www.ncbi.nlm.nih.gov/protein/459683868","Hnrnpr")</f>
        <v>Hnrnpr</v>
      </c>
      <c r="B3422" s="4"/>
      <c r="C3422" s="3">
        <v>29601</v>
      </c>
      <c r="D3422" s="3">
        <v>0</v>
      </c>
      <c r="E3422" s="3">
        <v>25583</v>
      </c>
      <c r="F3422" s="3">
        <v>0</v>
      </c>
      <c r="G3422" s="3">
        <v>0</v>
      </c>
      <c r="H3422" s="2">
        <f t="shared" si="106"/>
        <v>55184</v>
      </c>
      <c r="I3422" t="str">
        <f t="shared" si="107"/>
        <v>Hnrnpr_55184</v>
      </c>
      <c r="J3422" s="3">
        <v>29601</v>
      </c>
      <c r="K3422" s="3">
        <v>0</v>
      </c>
      <c r="L3422" s="3">
        <v>25583</v>
      </c>
      <c r="M3422" s="3">
        <v>0</v>
      </c>
      <c r="N3422" s="3">
        <v>0</v>
      </c>
    </row>
    <row r="3423" spans="1:14" x14ac:dyDescent="0.2">
      <c r="A3423" s="5" t="str">
        <f>HYPERLINK("http://www.ncbi.nlm.nih.gov/protein/33859724","Hnrnpr")</f>
        <v>Hnrnpr</v>
      </c>
      <c r="B3423" s="4"/>
      <c r="C3423" s="3">
        <v>45069</v>
      </c>
      <c r="D3423" s="3">
        <v>5889</v>
      </c>
      <c r="E3423" s="3">
        <v>59204</v>
      </c>
      <c r="F3423" s="3">
        <v>100085</v>
      </c>
      <c r="G3423" s="3">
        <v>364</v>
      </c>
      <c r="H3423" s="2">
        <f t="shared" si="106"/>
        <v>210611</v>
      </c>
      <c r="I3423" t="str">
        <f t="shared" si="107"/>
        <v>Hnrnpr_210611</v>
      </c>
      <c r="J3423" s="3">
        <v>45069</v>
      </c>
      <c r="K3423" s="3">
        <v>5889</v>
      </c>
      <c r="L3423" s="3">
        <v>59204</v>
      </c>
      <c r="M3423" s="3">
        <v>100085</v>
      </c>
      <c r="N3423" s="3">
        <v>364</v>
      </c>
    </row>
    <row r="3424" spans="1:14" x14ac:dyDescent="0.2">
      <c r="A3424" s="5" t="str">
        <f>HYPERLINK("http://www.ncbi.nlm.nih.gov/protein/160333923","Hnrnpu")</f>
        <v>Hnrnpu</v>
      </c>
      <c r="B3424" s="4"/>
      <c r="C3424" s="3">
        <v>1394278</v>
      </c>
      <c r="D3424" s="3">
        <v>16316</v>
      </c>
      <c r="E3424" s="3">
        <v>166148</v>
      </c>
      <c r="F3424" s="3">
        <v>512474</v>
      </c>
      <c r="G3424" s="3">
        <v>18827</v>
      </c>
      <c r="H3424" s="2">
        <f t="shared" si="106"/>
        <v>2108043</v>
      </c>
      <c r="I3424" t="str">
        <f t="shared" si="107"/>
        <v>Hnrnpu_2108043</v>
      </c>
      <c r="J3424" s="3">
        <v>1394278</v>
      </c>
      <c r="K3424" s="3">
        <v>16316</v>
      </c>
      <c r="L3424" s="3">
        <v>166148</v>
      </c>
      <c r="M3424" s="3">
        <v>512474</v>
      </c>
      <c r="N3424" s="3">
        <v>18827</v>
      </c>
    </row>
    <row r="3425" spans="1:14" x14ac:dyDescent="0.2">
      <c r="A3425" s="5" t="str">
        <f>HYPERLINK("http://www.ncbi.nlm.nih.gov/protein/30017405","Hnrnpul1")</f>
        <v>Hnrnpul1</v>
      </c>
      <c r="B3425" s="4"/>
      <c r="C3425" s="3">
        <v>0</v>
      </c>
      <c r="D3425" s="3">
        <v>0</v>
      </c>
      <c r="E3425" s="3">
        <v>0</v>
      </c>
      <c r="F3425" s="3">
        <v>1694</v>
      </c>
      <c r="G3425" s="3">
        <v>13269</v>
      </c>
      <c r="H3425" s="2">
        <f t="shared" si="106"/>
        <v>14963</v>
      </c>
      <c r="I3425" t="str">
        <f t="shared" si="107"/>
        <v>Hnrnpul1_14963</v>
      </c>
      <c r="J3425" s="3">
        <v>0</v>
      </c>
      <c r="K3425" s="3">
        <v>0</v>
      </c>
      <c r="L3425" s="3">
        <v>0</v>
      </c>
      <c r="M3425" s="3">
        <v>1694</v>
      </c>
      <c r="N3425" s="3">
        <v>13269</v>
      </c>
    </row>
    <row r="3426" spans="1:14" x14ac:dyDescent="0.2">
      <c r="A3426" s="5" t="str">
        <f>HYPERLINK("http://www.ncbi.nlm.nih.gov/protein/21450323","Hnrnpul1")</f>
        <v>Hnrnpul1</v>
      </c>
      <c r="B3426" s="4"/>
      <c r="C3426" s="3">
        <v>4027</v>
      </c>
      <c r="D3426" s="3">
        <v>0</v>
      </c>
      <c r="E3426" s="3">
        <v>19</v>
      </c>
      <c r="F3426" s="3">
        <v>2685</v>
      </c>
      <c r="G3426" s="3">
        <v>19588</v>
      </c>
      <c r="H3426" s="2">
        <f t="shared" si="106"/>
        <v>26319</v>
      </c>
      <c r="I3426" t="str">
        <f t="shared" si="107"/>
        <v>Hnrnpul1_26319</v>
      </c>
      <c r="J3426" s="3">
        <v>4027</v>
      </c>
      <c r="K3426" s="3">
        <v>0</v>
      </c>
      <c r="L3426" s="3">
        <v>19</v>
      </c>
      <c r="M3426" s="3">
        <v>2685</v>
      </c>
      <c r="N3426" s="3">
        <v>19588</v>
      </c>
    </row>
    <row r="3427" spans="1:14" x14ac:dyDescent="0.2">
      <c r="A3427" s="5" t="str">
        <f>HYPERLINK("http://www.ncbi.nlm.nih.gov/protein/124487099","Hnrnpul2")</f>
        <v>Hnrnpul2</v>
      </c>
      <c r="B3427" s="4"/>
      <c r="C3427" s="3">
        <v>237850</v>
      </c>
      <c r="D3427" s="3">
        <v>0</v>
      </c>
      <c r="E3427" s="3">
        <v>19480</v>
      </c>
      <c r="F3427" s="3">
        <v>63831</v>
      </c>
      <c r="G3427" s="3">
        <v>1414</v>
      </c>
      <c r="H3427" s="2">
        <f t="shared" si="106"/>
        <v>322575</v>
      </c>
      <c r="I3427" t="str">
        <f t="shared" si="107"/>
        <v>Hnrnpul2_322575</v>
      </c>
      <c r="J3427" s="3">
        <v>237850</v>
      </c>
      <c r="K3427" s="3">
        <v>0</v>
      </c>
      <c r="L3427" s="3">
        <v>19480</v>
      </c>
      <c r="M3427" s="3">
        <v>63831</v>
      </c>
      <c r="N3427" s="3">
        <v>1414</v>
      </c>
    </row>
    <row r="3428" spans="1:14" x14ac:dyDescent="0.2">
      <c r="A3428" s="5" t="str">
        <f>HYPERLINK("http://www.ncbi.nlm.nih.gov/protein/13385656","Hoga1")</f>
        <v>Hoga1</v>
      </c>
      <c r="B3428" s="4"/>
      <c r="C3428" s="3">
        <v>970</v>
      </c>
      <c r="D3428" s="3">
        <v>2561</v>
      </c>
      <c r="E3428" s="3">
        <v>0</v>
      </c>
      <c r="F3428" s="3">
        <v>0</v>
      </c>
      <c r="G3428" s="3">
        <v>1992</v>
      </c>
      <c r="H3428" s="2">
        <f t="shared" si="106"/>
        <v>5523</v>
      </c>
      <c r="I3428" t="str">
        <f t="shared" si="107"/>
        <v>Hoga1_5523</v>
      </c>
      <c r="J3428" s="3">
        <v>970</v>
      </c>
      <c r="K3428" s="3">
        <v>2561</v>
      </c>
      <c r="L3428" s="3">
        <v>0</v>
      </c>
      <c r="M3428" s="3">
        <v>0</v>
      </c>
      <c r="N3428" s="3">
        <v>1992</v>
      </c>
    </row>
    <row r="3429" spans="1:14" x14ac:dyDescent="0.2">
      <c r="A3429" s="5" t="str">
        <f>HYPERLINK("http://www.ncbi.nlm.nih.gov/protein/225903402","Homer3")</f>
        <v>Homer3</v>
      </c>
      <c r="B3429" s="4"/>
      <c r="C3429" s="3">
        <v>0</v>
      </c>
      <c r="D3429" s="3">
        <v>0</v>
      </c>
      <c r="E3429" s="3">
        <v>442</v>
      </c>
      <c r="F3429" s="3">
        <v>0</v>
      </c>
      <c r="G3429" s="3">
        <v>0</v>
      </c>
      <c r="H3429" s="2">
        <f t="shared" si="106"/>
        <v>442</v>
      </c>
      <c r="I3429" t="str">
        <f t="shared" si="107"/>
        <v>Homer3_442</v>
      </c>
      <c r="J3429" s="3">
        <v>0</v>
      </c>
      <c r="K3429" s="3">
        <v>0</v>
      </c>
      <c r="L3429" s="3">
        <v>442</v>
      </c>
      <c r="M3429" s="3">
        <v>0</v>
      </c>
      <c r="N3429" s="3">
        <v>0</v>
      </c>
    </row>
    <row r="3430" spans="1:14" x14ac:dyDescent="0.2">
      <c r="A3430" s="5" t="str">
        <f>HYPERLINK("http://www.ncbi.nlm.nih.gov/protein/225903404","Homer3")</f>
        <v>Homer3</v>
      </c>
      <c r="B3430" s="4"/>
      <c r="C3430" s="3">
        <v>0</v>
      </c>
      <c r="D3430" s="3">
        <v>0</v>
      </c>
      <c r="E3430" s="3">
        <v>442</v>
      </c>
      <c r="F3430" s="3">
        <v>0</v>
      </c>
      <c r="G3430" s="3">
        <v>0</v>
      </c>
      <c r="H3430" s="2">
        <f t="shared" si="106"/>
        <v>442</v>
      </c>
      <c r="I3430" t="str">
        <f t="shared" si="107"/>
        <v>Homer3_442</v>
      </c>
      <c r="J3430" s="3">
        <v>0</v>
      </c>
      <c r="K3430" s="3">
        <v>0</v>
      </c>
      <c r="L3430" s="3">
        <v>442</v>
      </c>
      <c r="M3430" s="3">
        <v>0</v>
      </c>
      <c r="N3430" s="3">
        <v>0</v>
      </c>
    </row>
    <row r="3431" spans="1:14" x14ac:dyDescent="0.2">
      <c r="A3431" s="5" t="str">
        <f>HYPERLINK("http://www.ncbi.nlm.nih.gov/protein/22003856","Hook1")</f>
        <v>Hook1</v>
      </c>
      <c r="B3431" s="4"/>
      <c r="C3431" s="3">
        <v>0</v>
      </c>
      <c r="D3431" s="3">
        <v>0</v>
      </c>
      <c r="E3431" s="3">
        <v>50</v>
      </c>
      <c r="F3431" s="3">
        <v>0</v>
      </c>
      <c r="G3431" s="3">
        <v>18892</v>
      </c>
      <c r="H3431" s="2">
        <f t="shared" si="106"/>
        <v>18942</v>
      </c>
      <c r="I3431" t="str">
        <f t="shared" si="107"/>
        <v>Hook1_18942</v>
      </c>
      <c r="J3431" s="3">
        <v>0</v>
      </c>
      <c r="K3431" s="3">
        <v>0</v>
      </c>
      <c r="L3431" s="3">
        <v>50</v>
      </c>
      <c r="M3431" s="3">
        <v>0</v>
      </c>
      <c r="N3431" s="3">
        <v>18892</v>
      </c>
    </row>
    <row r="3432" spans="1:14" x14ac:dyDescent="0.2">
      <c r="A3432" s="5" t="str">
        <f>HYPERLINK("http://www.ncbi.nlm.nih.gov/protein/269784731","Hook2")</f>
        <v>Hook2</v>
      </c>
      <c r="B3432" s="4"/>
      <c r="C3432" s="3">
        <v>0</v>
      </c>
      <c r="D3432" s="3">
        <v>0</v>
      </c>
      <c r="E3432" s="3">
        <v>0</v>
      </c>
      <c r="F3432" s="3">
        <v>0</v>
      </c>
      <c r="G3432" s="3">
        <v>1735</v>
      </c>
      <c r="H3432" s="2">
        <f t="shared" si="106"/>
        <v>1735</v>
      </c>
      <c r="I3432" t="str">
        <f t="shared" si="107"/>
        <v>Hook2_1735</v>
      </c>
      <c r="J3432" s="3">
        <v>0</v>
      </c>
      <c r="K3432" s="3">
        <v>0</v>
      </c>
      <c r="L3432" s="3">
        <v>0</v>
      </c>
      <c r="M3432" s="3">
        <v>0</v>
      </c>
      <c r="N3432" s="3">
        <v>1735</v>
      </c>
    </row>
    <row r="3433" spans="1:14" x14ac:dyDescent="0.2">
      <c r="A3433" s="5" t="str">
        <f>HYPERLINK("http://www.ncbi.nlm.nih.gov/protein/269784735","Hook2")</f>
        <v>Hook2</v>
      </c>
      <c r="B3433" s="4"/>
      <c r="C3433" s="3">
        <v>0</v>
      </c>
      <c r="D3433" s="3">
        <v>0</v>
      </c>
      <c r="E3433" s="3">
        <v>0</v>
      </c>
      <c r="F3433" s="3">
        <v>0</v>
      </c>
      <c r="G3433" s="3">
        <v>1735</v>
      </c>
      <c r="H3433" s="2">
        <f t="shared" si="106"/>
        <v>1735</v>
      </c>
      <c r="I3433" t="str">
        <f t="shared" si="107"/>
        <v>Hook2_1735</v>
      </c>
      <c r="J3433" s="3">
        <v>0</v>
      </c>
      <c r="K3433" s="3">
        <v>0</v>
      </c>
      <c r="L3433" s="3">
        <v>0</v>
      </c>
      <c r="M3433" s="3">
        <v>0</v>
      </c>
      <c r="N3433" s="3">
        <v>1735</v>
      </c>
    </row>
    <row r="3434" spans="1:14" x14ac:dyDescent="0.2">
      <c r="A3434" s="5" t="str">
        <f>HYPERLINK("http://www.ncbi.nlm.nih.gov/protein/46559745","Hook3")</f>
        <v>Hook3</v>
      </c>
      <c r="B3434" s="4"/>
      <c r="C3434" s="3">
        <v>0</v>
      </c>
      <c r="D3434" s="3">
        <v>94</v>
      </c>
      <c r="E3434" s="3">
        <v>3085</v>
      </c>
      <c r="F3434" s="3">
        <v>1097</v>
      </c>
      <c r="G3434" s="3">
        <v>7411</v>
      </c>
      <c r="H3434" s="2">
        <f t="shared" si="106"/>
        <v>11687</v>
      </c>
      <c r="I3434" t="str">
        <f t="shared" si="107"/>
        <v>Hook3_11687</v>
      </c>
      <c r="J3434" s="3">
        <v>0</v>
      </c>
      <c r="K3434" s="3">
        <v>94</v>
      </c>
      <c r="L3434" s="3">
        <v>3085</v>
      </c>
      <c r="M3434" s="3">
        <v>1097</v>
      </c>
      <c r="N3434" s="3">
        <v>7411</v>
      </c>
    </row>
    <row r="3435" spans="1:14" x14ac:dyDescent="0.2">
      <c r="A3435" s="5" t="str">
        <f>HYPERLINK("http://www.ncbi.nlm.nih.gov/protein/6754232","Hoxa5")</f>
        <v>Hoxa5</v>
      </c>
      <c r="B3435" s="4"/>
      <c r="C3435" s="3">
        <v>0</v>
      </c>
      <c r="D3435" s="3">
        <v>0</v>
      </c>
      <c r="E3435" s="3">
        <v>0</v>
      </c>
      <c r="F3435" s="3">
        <v>25</v>
      </c>
      <c r="G3435" s="3">
        <v>0</v>
      </c>
      <c r="H3435" s="2">
        <f t="shared" si="106"/>
        <v>25</v>
      </c>
      <c r="I3435" t="str">
        <f t="shared" si="107"/>
        <v>Hoxa5_25</v>
      </c>
      <c r="J3435" s="3">
        <v>0</v>
      </c>
      <c r="K3435" s="3">
        <v>0</v>
      </c>
      <c r="L3435" s="3">
        <v>0</v>
      </c>
      <c r="M3435" s="3">
        <v>25</v>
      </c>
      <c r="N3435" s="3">
        <v>0</v>
      </c>
    </row>
    <row r="3436" spans="1:14" x14ac:dyDescent="0.2">
      <c r="A3436" s="5" t="str">
        <f>HYPERLINK("http://www.ncbi.nlm.nih.gov/protein/88014652","Hoxb7")</f>
        <v>Hoxb7</v>
      </c>
      <c r="B3436" s="4"/>
      <c r="C3436" s="3">
        <v>0</v>
      </c>
      <c r="D3436" s="3">
        <v>0</v>
      </c>
      <c r="E3436" s="3">
        <v>0</v>
      </c>
      <c r="F3436" s="3">
        <v>851</v>
      </c>
      <c r="G3436" s="3">
        <v>0</v>
      </c>
      <c r="H3436" s="2">
        <f t="shared" si="106"/>
        <v>851</v>
      </c>
      <c r="I3436" t="str">
        <f t="shared" si="107"/>
        <v>Hoxb7_851</v>
      </c>
      <c r="J3436" s="3">
        <v>0</v>
      </c>
      <c r="K3436" s="3">
        <v>0</v>
      </c>
      <c r="L3436" s="3">
        <v>0</v>
      </c>
      <c r="M3436" s="3">
        <v>851</v>
      </c>
      <c r="N3436" s="3">
        <v>0</v>
      </c>
    </row>
    <row r="3437" spans="1:14" x14ac:dyDescent="0.2">
      <c r="A3437" s="5" t="str">
        <f>HYPERLINK("http://www.ncbi.nlm.nih.gov/protein/112807184","Hoxd8")</f>
        <v>Hoxd8</v>
      </c>
      <c r="B3437" s="4"/>
      <c r="C3437" s="3">
        <v>0</v>
      </c>
      <c r="D3437" s="3">
        <v>0</v>
      </c>
      <c r="E3437" s="3">
        <v>0</v>
      </c>
      <c r="F3437" s="3">
        <v>827</v>
      </c>
      <c r="G3437" s="3">
        <v>0</v>
      </c>
      <c r="H3437" s="2">
        <f t="shared" si="106"/>
        <v>827</v>
      </c>
      <c r="I3437" t="str">
        <f t="shared" si="107"/>
        <v>Hoxd8_827</v>
      </c>
      <c r="J3437" s="3">
        <v>0</v>
      </c>
      <c r="K3437" s="3">
        <v>0</v>
      </c>
      <c r="L3437" s="3">
        <v>0</v>
      </c>
      <c r="M3437" s="3">
        <v>827</v>
      </c>
      <c r="N3437" s="3">
        <v>0</v>
      </c>
    </row>
    <row r="3438" spans="1:14" x14ac:dyDescent="0.2">
      <c r="A3438" s="5" t="str">
        <f>HYPERLINK("http://www.ncbi.nlm.nih.gov/protein/550821966","Hp1bp3")</f>
        <v>Hp1bp3</v>
      </c>
      <c r="B3438" s="4"/>
      <c r="C3438" s="3">
        <v>16604</v>
      </c>
      <c r="D3438" s="3">
        <v>0</v>
      </c>
      <c r="E3438" s="3">
        <v>0</v>
      </c>
      <c r="F3438" s="3">
        <v>0</v>
      </c>
      <c r="G3438" s="3">
        <v>0</v>
      </c>
      <c r="H3438" s="2">
        <f t="shared" si="106"/>
        <v>16604</v>
      </c>
      <c r="I3438" t="str">
        <f t="shared" si="107"/>
        <v>Hp1bp3_16604</v>
      </c>
      <c r="J3438" s="3">
        <v>16604</v>
      </c>
      <c r="K3438" s="3">
        <v>0</v>
      </c>
      <c r="L3438" s="3">
        <v>0</v>
      </c>
      <c r="M3438" s="3">
        <v>0</v>
      </c>
      <c r="N3438" s="3">
        <v>0</v>
      </c>
    </row>
    <row r="3439" spans="1:14" x14ac:dyDescent="0.2">
      <c r="A3439" s="5" t="str">
        <f>HYPERLINK("http://www.ncbi.nlm.nih.gov/protein/550821975","Hp1bp3")</f>
        <v>Hp1bp3</v>
      </c>
      <c r="B3439" s="4"/>
      <c r="C3439" s="3">
        <v>19569</v>
      </c>
      <c r="D3439" s="3">
        <v>0</v>
      </c>
      <c r="E3439" s="3">
        <v>0</v>
      </c>
      <c r="F3439" s="3">
        <v>0</v>
      </c>
      <c r="G3439" s="3">
        <v>0</v>
      </c>
      <c r="H3439" s="2">
        <f t="shared" si="106"/>
        <v>19569</v>
      </c>
      <c r="I3439" t="str">
        <f t="shared" si="107"/>
        <v>Hp1bp3_19569</v>
      </c>
      <c r="J3439" s="3">
        <v>19569</v>
      </c>
      <c r="K3439" s="3">
        <v>0</v>
      </c>
      <c r="L3439" s="3">
        <v>0</v>
      </c>
      <c r="M3439" s="3">
        <v>0</v>
      </c>
      <c r="N3439" s="3">
        <v>0</v>
      </c>
    </row>
    <row r="3440" spans="1:14" x14ac:dyDescent="0.2">
      <c r="A3440" s="5" t="str">
        <f>HYPERLINK("http://www.ncbi.nlm.nih.gov/protein/550822234","Hp1bp3")</f>
        <v>Hp1bp3</v>
      </c>
      <c r="B3440" s="4"/>
      <c r="C3440" s="3">
        <v>19569</v>
      </c>
      <c r="D3440" s="3">
        <v>0</v>
      </c>
      <c r="E3440" s="3">
        <v>0</v>
      </c>
      <c r="F3440" s="3">
        <v>0</v>
      </c>
      <c r="G3440" s="3">
        <v>0</v>
      </c>
      <c r="H3440" s="2">
        <f t="shared" si="106"/>
        <v>19569</v>
      </c>
      <c r="I3440" t="str">
        <f t="shared" si="107"/>
        <v>Hp1bp3_19569</v>
      </c>
      <c r="J3440" s="3">
        <v>19569</v>
      </c>
      <c r="K3440" s="3">
        <v>0</v>
      </c>
      <c r="L3440" s="3">
        <v>0</v>
      </c>
      <c r="M3440" s="3">
        <v>0</v>
      </c>
      <c r="N3440" s="3">
        <v>0</v>
      </c>
    </row>
    <row r="3441" spans="1:14" x14ac:dyDescent="0.2">
      <c r="A3441" s="5" t="str">
        <f>HYPERLINK("http://www.ncbi.nlm.nih.gov/protein/171543869","Hp1bp3")</f>
        <v>Hp1bp3</v>
      </c>
      <c r="B3441" s="4"/>
      <c r="C3441" s="3">
        <v>23944</v>
      </c>
      <c r="D3441" s="3">
        <v>0</v>
      </c>
      <c r="E3441" s="3">
        <v>82</v>
      </c>
      <c r="F3441" s="3">
        <v>0</v>
      </c>
      <c r="G3441" s="3">
        <v>0</v>
      </c>
      <c r="H3441" s="2">
        <f t="shared" si="106"/>
        <v>24026</v>
      </c>
      <c r="I3441" t="str">
        <f t="shared" si="107"/>
        <v>Hp1bp3_24026</v>
      </c>
      <c r="J3441" s="3">
        <v>23944</v>
      </c>
      <c r="K3441" s="3">
        <v>0</v>
      </c>
      <c r="L3441" s="3">
        <v>82</v>
      </c>
      <c r="M3441" s="3">
        <v>0</v>
      </c>
      <c r="N3441" s="3">
        <v>0</v>
      </c>
    </row>
    <row r="3442" spans="1:14" x14ac:dyDescent="0.2">
      <c r="A3442" s="5" t="str">
        <f>HYPERLINK("http://www.ncbi.nlm.nih.gov/protein/171543871","Hp1bp3")</f>
        <v>Hp1bp3</v>
      </c>
      <c r="B3442" s="4"/>
      <c r="C3442" s="3">
        <v>20979</v>
      </c>
      <c r="D3442" s="3">
        <v>0</v>
      </c>
      <c r="E3442" s="3">
        <v>82</v>
      </c>
      <c r="F3442" s="3">
        <v>0</v>
      </c>
      <c r="G3442" s="3">
        <v>0</v>
      </c>
      <c r="H3442" s="2">
        <f t="shared" si="106"/>
        <v>21061</v>
      </c>
      <c r="I3442" t="str">
        <f t="shared" si="107"/>
        <v>Hp1bp3_21061</v>
      </c>
      <c r="J3442" s="3">
        <v>20979</v>
      </c>
      <c r="K3442" s="3">
        <v>0</v>
      </c>
      <c r="L3442" s="3">
        <v>82</v>
      </c>
      <c r="M3442" s="3">
        <v>0</v>
      </c>
      <c r="N3442" s="3">
        <v>0</v>
      </c>
    </row>
    <row r="3443" spans="1:14" x14ac:dyDescent="0.2">
      <c r="A3443" s="5" t="str">
        <f>HYPERLINK("http://www.ncbi.nlm.nih.gov/protein/6754240","Hpca")</f>
        <v>Hpca</v>
      </c>
      <c r="B3443" s="4"/>
      <c r="C3443" s="3">
        <v>19642</v>
      </c>
      <c r="D3443" s="3">
        <v>6891</v>
      </c>
      <c r="E3443" s="3">
        <v>4728</v>
      </c>
      <c r="F3443" s="3">
        <v>4715</v>
      </c>
      <c r="G3443" s="3">
        <v>471</v>
      </c>
      <c r="H3443" s="2">
        <f t="shared" si="106"/>
        <v>36447</v>
      </c>
      <c r="I3443" t="str">
        <f t="shared" si="107"/>
        <v>Hpca_36447</v>
      </c>
      <c r="J3443" s="3">
        <v>19642</v>
      </c>
      <c r="K3443" s="3">
        <v>6891</v>
      </c>
      <c r="L3443" s="3">
        <v>4728</v>
      </c>
      <c r="M3443" s="3">
        <v>4715</v>
      </c>
      <c r="N3443" s="3">
        <v>471</v>
      </c>
    </row>
    <row r="3444" spans="1:14" x14ac:dyDescent="0.2">
      <c r="A3444" s="5" t="str">
        <f>HYPERLINK("http://www.ncbi.nlm.nih.gov/protein/7949055","Hpcal1")</f>
        <v>Hpcal1</v>
      </c>
      <c r="B3444" s="4"/>
      <c r="C3444" s="3">
        <v>34122</v>
      </c>
      <c r="D3444" s="3">
        <v>12245</v>
      </c>
      <c r="E3444" s="3">
        <v>7167</v>
      </c>
      <c r="F3444" s="3">
        <v>5681</v>
      </c>
      <c r="G3444" s="3">
        <v>4155</v>
      </c>
      <c r="H3444" s="2">
        <f t="shared" si="106"/>
        <v>63370</v>
      </c>
      <c r="I3444" t="str">
        <f t="shared" si="107"/>
        <v>Hpcal1_63370</v>
      </c>
      <c r="J3444" s="3">
        <v>34122</v>
      </c>
      <c r="K3444" s="3">
        <v>12245</v>
      </c>
      <c r="L3444" s="3">
        <v>7167</v>
      </c>
      <c r="M3444" s="3">
        <v>5681</v>
      </c>
      <c r="N3444" s="3">
        <v>4155</v>
      </c>
    </row>
    <row r="3445" spans="1:14" x14ac:dyDescent="0.2">
      <c r="A3445" s="5" t="str">
        <f>HYPERLINK("http://www.ncbi.nlm.nih.gov/protein/96975138","Hprt")</f>
        <v>Hprt</v>
      </c>
      <c r="B3445" s="4"/>
      <c r="C3445" s="3">
        <v>0</v>
      </c>
      <c r="D3445" s="3">
        <v>2808</v>
      </c>
      <c r="E3445" s="3">
        <v>2325</v>
      </c>
      <c r="F3445" s="3">
        <v>9119</v>
      </c>
      <c r="G3445" s="3">
        <v>58881</v>
      </c>
      <c r="H3445" s="2">
        <f t="shared" si="106"/>
        <v>73133</v>
      </c>
      <c r="I3445" t="str">
        <f t="shared" si="107"/>
        <v>Hprt_73133</v>
      </c>
      <c r="J3445" s="3">
        <v>0</v>
      </c>
      <c r="K3445" s="3">
        <v>2808</v>
      </c>
      <c r="L3445" s="3">
        <v>2325</v>
      </c>
      <c r="M3445" s="3">
        <v>9119</v>
      </c>
      <c r="N3445" s="3">
        <v>58881</v>
      </c>
    </row>
    <row r="3446" spans="1:14" x14ac:dyDescent="0.2">
      <c r="A3446" s="5" t="str">
        <f>HYPERLINK("http://www.ncbi.nlm.nih.gov/protein/268607540","Hps5")</f>
        <v>Hps5</v>
      </c>
      <c r="B3446" s="4"/>
      <c r="C3446" s="3">
        <v>0</v>
      </c>
      <c r="D3446" s="3">
        <v>2</v>
      </c>
      <c r="E3446" s="3">
        <v>0</v>
      </c>
      <c r="F3446" s="3">
        <v>41</v>
      </c>
      <c r="G3446" s="3">
        <v>43</v>
      </c>
      <c r="H3446" s="2">
        <f t="shared" si="106"/>
        <v>86</v>
      </c>
      <c r="I3446" t="str">
        <f t="shared" si="107"/>
        <v>Hps5_86</v>
      </c>
      <c r="J3446" s="3">
        <v>0</v>
      </c>
      <c r="K3446" s="3">
        <v>2</v>
      </c>
      <c r="L3446" s="3">
        <v>0</v>
      </c>
      <c r="M3446" s="3">
        <v>41</v>
      </c>
      <c r="N3446" s="3">
        <v>43</v>
      </c>
    </row>
    <row r="3447" spans="1:14" x14ac:dyDescent="0.2">
      <c r="A3447" s="5" t="str">
        <f>HYPERLINK("http://www.ncbi.nlm.nih.gov/protein/268607542","Hps5")</f>
        <v>Hps5</v>
      </c>
      <c r="B3447" s="4"/>
      <c r="C3447" s="3">
        <v>0</v>
      </c>
      <c r="D3447" s="3">
        <v>2</v>
      </c>
      <c r="E3447" s="3">
        <v>0</v>
      </c>
      <c r="F3447" s="3">
        <v>41</v>
      </c>
      <c r="G3447" s="3">
        <v>43</v>
      </c>
      <c r="H3447" s="2">
        <f t="shared" si="106"/>
        <v>86</v>
      </c>
      <c r="I3447" t="str">
        <f t="shared" si="107"/>
        <v>Hps5_86</v>
      </c>
      <c r="J3447" s="3">
        <v>0</v>
      </c>
      <c r="K3447" s="3">
        <v>2</v>
      </c>
      <c r="L3447" s="3">
        <v>0</v>
      </c>
      <c r="M3447" s="3">
        <v>41</v>
      </c>
      <c r="N3447" s="3">
        <v>43</v>
      </c>
    </row>
    <row r="3448" spans="1:14" x14ac:dyDescent="0.2">
      <c r="A3448" s="5" t="str">
        <f>HYPERLINK("http://www.ncbi.nlm.nih.gov/protein/194363764;194440734","Hras1")</f>
        <v>Hras1</v>
      </c>
      <c r="B3448" s="4"/>
      <c r="C3448" s="3">
        <v>11331</v>
      </c>
      <c r="D3448" s="3">
        <v>0</v>
      </c>
      <c r="E3448" s="3">
        <v>0</v>
      </c>
      <c r="F3448" s="3">
        <v>0</v>
      </c>
      <c r="G3448" s="3">
        <v>0</v>
      </c>
      <c r="H3448" s="2">
        <f t="shared" si="106"/>
        <v>11331</v>
      </c>
      <c r="I3448" t="str">
        <f t="shared" si="107"/>
        <v>Hras1_11331</v>
      </c>
      <c r="J3448" s="3">
        <v>11331</v>
      </c>
      <c r="K3448" s="3">
        <v>0</v>
      </c>
      <c r="L3448" s="3">
        <v>0</v>
      </c>
      <c r="M3448" s="3">
        <v>0</v>
      </c>
      <c r="N3448" s="3">
        <v>0</v>
      </c>
    </row>
    <row r="3449" spans="1:14" x14ac:dyDescent="0.2">
      <c r="A3449" s="5" t="str">
        <f>HYPERLINK("http://www.ncbi.nlm.nih.gov/protein/194440734;4885425","Hras1")</f>
        <v>Hras1</v>
      </c>
      <c r="B3449" s="4"/>
      <c r="C3449" s="3">
        <v>0</v>
      </c>
      <c r="D3449" s="3">
        <v>0</v>
      </c>
      <c r="E3449" s="3">
        <v>21833</v>
      </c>
      <c r="F3449" s="3">
        <v>0</v>
      </c>
      <c r="G3449" s="3">
        <v>0</v>
      </c>
      <c r="H3449" s="2">
        <f t="shared" si="106"/>
        <v>21833</v>
      </c>
      <c r="I3449" t="str">
        <f t="shared" si="107"/>
        <v>Hras1_21833</v>
      </c>
      <c r="J3449" s="3">
        <v>0</v>
      </c>
      <c r="K3449" s="3">
        <v>0</v>
      </c>
      <c r="L3449" s="3">
        <v>21833</v>
      </c>
      <c r="M3449" s="3">
        <v>0</v>
      </c>
      <c r="N3449" s="3">
        <v>0</v>
      </c>
    </row>
    <row r="3450" spans="1:14" x14ac:dyDescent="0.2">
      <c r="A3450" s="5" t="str">
        <f>HYPERLINK("http://www.ncbi.nlm.nih.gov/protein/194363766","Hras1")</f>
        <v>Hras1</v>
      </c>
      <c r="B3450" s="4"/>
      <c r="C3450" s="3">
        <v>7890</v>
      </c>
      <c r="D3450" s="3">
        <v>4618</v>
      </c>
      <c r="E3450" s="3">
        <v>21419</v>
      </c>
      <c r="F3450" s="3">
        <v>10723</v>
      </c>
      <c r="G3450" s="3">
        <v>3427</v>
      </c>
      <c r="H3450" s="2">
        <f t="shared" si="106"/>
        <v>48077</v>
      </c>
      <c r="I3450" t="str">
        <f t="shared" si="107"/>
        <v>Hras1_48077</v>
      </c>
      <c r="J3450" s="3">
        <v>7890</v>
      </c>
      <c r="K3450" s="3">
        <v>4618</v>
      </c>
      <c r="L3450" s="3">
        <v>21419</v>
      </c>
      <c r="M3450" s="3">
        <v>10723</v>
      </c>
      <c r="N3450" s="3">
        <v>3427</v>
      </c>
    </row>
    <row r="3451" spans="1:14" x14ac:dyDescent="0.2">
      <c r="A3451" s="5" t="str">
        <f>HYPERLINK("http://www.ncbi.nlm.nih.gov/protein/40807498","Hrsp12")</f>
        <v>Hrsp12</v>
      </c>
      <c r="B3451" s="4"/>
      <c r="C3451" s="3">
        <v>5986</v>
      </c>
      <c r="D3451" s="3">
        <v>7713</v>
      </c>
      <c r="E3451" s="3">
        <v>9356</v>
      </c>
      <c r="F3451" s="3">
        <v>4739</v>
      </c>
      <c r="G3451" s="3">
        <v>44616</v>
      </c>
      <c r="H3451" s="2">
        <f t="shared" si="106"/>
        <v>72410</v>
      </c>
      <c r="I3451" t="str">
        <f t="shared" si="107"/>
        <v>Hrsp12_72410</v>
      </c>
      <c r="J3451" s="3">
        <v>5986</v>
      </c>
      <c r="K3451" s="3">
        <v>7713</v>
      </c>
      <c r="L3451" s="3">
        <v>9356</v>
      </c>
      <c r="M3451" s="3">
        <v>4739</v>
      </c>
      <c r="N3451" s="3">
        <v>44616</v>
      </c>
    </row>
    <row r="3452" spans="1:14" x14ac:dyDescent="0.2">
      <c r="A3452" s="5" t="str">
        <f>HYPERLINK("http://www.ncbi.nlm.nih.gov/protein/160948577","Hs1bp3")</f>
        <v>Hs1bp3</v>
      </c>
      <c r="B3452" s="4"/>
      <c r="C3452" s="3">
        <v>0</v>
      </c>
      <c r="D3452" s="3">
        <v>418</v>
      </c>
      <c r="E3452" s="3">
        <v>440</v>
      </c>
      <c r="F3452" s="3">
        <v>0</v>
      </c>
      <c r="G3452" s="3">
        <v>20145</v>
      </c>
      <c r="H3452" s="2">
        <f t="shared" si="106"/>
        <v>21003</v>
      </c>
      <c r="I3452" t="str">
        <f t="shared" si="107"/>
        <v>Hs1bp3_21003</v>
      </c>
      <c r="J3452" s="3">
        <v>0</v>
      </c>
      <c r="K3452" s="3">
        <v>418</v>
      </c>
      <c r="L3452" s="3">
        <v>440</v>
      </c>
      <c r="M3452" s="3">
        <v>0</v>
      </c>
      <c r="N3452" s="3">
        <v>20145</v>
      </c>
    </row>
    <row r="3453" spans="1:14" x14ac:dyDescent="0.2">
      <c r="A3453" s="5" t="str">
        <f>HYPERLINK("http://www.ncbi.nlm.nih.gov/protein/170172560","Hs2st1")</f>
        <v>Hs2st1</v>
      </c>
      <c r="B3453" s="4"/>
      <c r="C3453" s="3">
        <v>0</v>
      </c>
      <c r="D3453" s="3">
        <v>3317</v>
      </c>
      <c r="E3453" s="3">
        <v>135</v>
      </c>
      <c r="F3453" s="3">
        <v>0</v>
      </c>
      <c r="G3453" s="3">
        <v>0</v>
      </c>
      <c r="H3453" s="2">
        <f t="shared" si="106"/>
        <v>3452</v>
      </c>
      <c r="I3453" t="str">
        <f t="shared" si="107"/>
        <v>Hs2st1_3452</v>
      </c>
      <c r="J3453" s="3">
        <v>0</v>
      </c>
      <c r="K3453" s="3">
        <v>3317</v>
      </c>
      <c r="L3453" s="3">
        <v>135</v>
      </c>
      <c r="M3453" s="3">
        <v>0</v>
      </c>
      <c r="N3453" s="3">
        <v>0</v>
      </c>
    </row>
    <row r="3454" spans="1:14" x14ac:dyDescent="0.2">
      <c r="A3454" s="5" t="str">
        <f>HYPERLINK("http://www.ncbi.nlm.nih.gov/protein/6754246","Hs3st1")</f>
        <v>Hs3st1</v>
      </c>
      <c r="B3454" s="4"/>
      <c r="C3454" s="3">
        <v>2087</v>
      </c>
      <c r="D3454" s="3">
        <v>0</v>
      </c>
      <c r="E3454" s="3">
        <v>559</v>
      </c>
      <c r="F3454" s="3">
        <v>3070</v>
      </c>
      <c r="G3454" s="3">
        <v>0</v>
      </c>
      <c r="H3454" s="2">
        <f t="shared" si="106"/>
        <v>5716</v>
      </c>
      <c r="I3454" t="str">
        <f t="shared" si="107"/>
        <v>Hs3st1_5716</v>
      </c>
      <c r="J3454" s="3">
        <v>2087</v>
      </c>
      <c r="K3454" s="3">
        <v>0</v>
      </c>
      <c r="L3454" s="3">
        <v>559</v>
      </c>
      <c r="M3454" s="3">
        <v>3070</v>
      </c>
      <c r="N3454" s="3">
        <v>0</v>
      </c>
    </row>
    <row r="3455" spans="1:14" x14ac:dyDescent="0.2">
      <c r="A3455" s="5" t="str">
        <f>HYPERLINK("http://www.ncbi.nlm.nih.gov/protein/358356422","Hs3st5")</f>
        <v>Hs3st5</v>
      </c>
      <c r="B3455" s="4"/>
      <c r="C3455" s="3">
        <v>0</v>
      </c>
      <c r="D3455" s="3">
        <v>0</v>
      </c>
      <c r="E3455" s="3">
        <v>310</v>
      </c>
      <c r="F3455" s="3">
        <v>3119</v>
      </c>
      <c r="G3455" s="3">
        <v>1253</v>
      </c>
      <c r="H3455" s="2">
        <f t="shared" si="106"/>
        <v>4682</v>
      </c>
      <c r="I3455" t="str">
        <f t="shared" si="107"/>
        <v>Hs3st5_4682</v>
      </c>
      <c r="J3455" s="3">
        <v>0</v>
      </c>
      <c r="K3455" s="3">
        <v>0</v>
      </c>
      <c r="L3455" s="3">
        <v>310</v>
      </c>
      <c r="M3455" s="3">
        <v>3119</v>
      </c>
      <c r="N3455" s="3">
        <v>1253</v>
      </c>
    </row>
    <row r="3456" spans="1:14" x14ac:dyDescent="0.2">
      <c r="A3456" s="5" t="str">
        <f>HYPERLINK("http://www.ncbi.nlm.nih.gov/protein/21311873","Hsbp1")</f>
        <v>Hsbp1</v>
      </c>
      <c r="B3456" s="4"/>
      <c r="C3456" s="3">
        <v>0</v>
      </c>
      <c r="D3456" s="3">
        <v>73</v>
      </c>
      <c r="E3456" s="3">
        <v>44</v>
      </c>
      <c r="F3456" s="3">
        <v>49</v>
      </c>
      <c r="G3456" s="3">
        <v>0</v>
      </c>
      <c r="H3456" s="2">
        <f t="shared" si="106"/>
        <v>166</v>
      </c>
      <c r="I3456" t="str">
        <f t="shared" si="107"/>
        <v>Hsbp1_166</v>
      </c>
      <c r="J3456" s="3">
        <v>0</v>
      </c>
      <c r="K3456" s="3">
        <v>73</v>
      </c>
      <c r="L3456" s="3">
        <v>44</v>
      </c>
      <c r="M3456" s="3">
        <v>49</v>
      </c>
      <c r="N3456" s="3">
        <v>0</v>
      </c>
    </row>
    <row r="3457" spans="1:14" x14ac:dyDescent="0.2">
      <c r="A3457" s="5" t="str">
        <f>HYPERLINK("http://www.ncbi.nlm.nih.gov/protein/225703114","Hscb")</f>
        <v>Hscb</v>
      </c>
      <c r="B3457" s="4"/>
      <c r="C3457" s="3">
        <v>0</v>
      </c>
      <c r="D3457" s="3">
        <v>703</v>
      </c>
      <c r="E3457" s="3">
        <v>12</v>
      </c>
      <c r="F3457" s="3">
        <v>0</v>
      </c>
      <c r="G3457" s="3">
        <v>0</v>
      </c>
      <c r="H3457" s="2">
        <f t="shared" si="106"/>
        <v>715</v>
      </c>
      <c r="I3457" t="str">
        <f t="shared" si="107"/>
        <v>Hscb_715</v>
      </c>
      <c r="J3457" s="3">
        <v>0</v>
      </c>
      <c r="K3457" s="3">
        <v>703</v>
      </c>
      <c r="L3457" s="3">
        <v>12</v>
      </c>
      <c r="M3457" s="3">
        <v>0</v>
      </c>
      <c r="N3457" s="3">
        <v>0</v>
      </c>
    </row>
    <row r="3458" spans="1:14" x14ac:dyDescent="0.2">
      <c r="A3458" s="5" t="str">
        <f>HYPERLINK("http://www.ncbi.nlm.nih.gov/protein/133778913","Hsd11b2")</f>
        <v>Hsd11b2</v>
      </c>
      <c r="B3458" s="4"/>
      <c r="C3458" s="3">
        <v>35349</v>
      </c>
      <c r="D3458" s="3">
        <v>10684</v>
      </c>
      <c r="E3458" s="3">
        <v>8483</v>
      </c>
      <c r="F3458" s="3">
        <v>2357</v>
      </c>
      <c r="G3458" s="3">
        <v>0</v>
      </c>
      <c r="H3458" s="2">
        <f t="shared" ref="H3458:H3521" si="108">SUM(C3458:G3458)</f>
        <v>56873</v>
      </c>
      <c r="I3458" t="str">
        <f t="shared" ref="I3458:I3521" si="109">A3458&amp;"_"&amp;H3458</f>
        <v>Hsd11b2_56873</v>
      </c>
      <c r="J3458" s="3">
        <v>35349</v>
      </c>
      <c r="K3458" s="3">
        <v>10684</v>
      </c>
      <c r="L3458" s="3">
        <v>8483</v>
      </c>
      <c r="M3458" s="3">
        <v>2357</v>
      </c>
      <c r="N3458" s="3">
        <v>0</v>
      </c>
    </row>
    <row r="3459" spans="1:14" x14ac:dyDescent="0.2">
      <c r="A3459" s="5" t="str">
        <f>HYPERLINK("http://www.ncbi.nlm.nih.gov/protein/61888838","Hsd17b10")</f>
        <v>Hsd17b10</v>
      </c>
      <c r="B3459" s="4"/>
      <c r="C3459" s="3">
        <v>74268</v>
      </c>
      <c r="D3459" s="3">
        <v>19808</v>
      </c>
      <c r="E3459" s="3">
        <v>819</v>
      </c>
      <c r="F3459" s="3">
        <v>2202</v>
      </c>
      <c r="G3459" s="3">
        <v>1788</v>
      </c>
      <c r="H3459" s="2">
        <f t="shared" si="108"/>
        <v>98885</v>
      </c>
      <c r="I3459" t="str">
        <f t="shared" si="109"/>
        <v>Hsd17b10_98885</v>
      </c>
      <c r="J3459" s="3">
        <v>74268</v>
      </c>
      <c r="K3459" s="3">
        <v>19808</v>
      </c>
      <c r="L3459" s="3">
        <v>819</v>
      </c>
      <c r="M3459" s="3">
        <v>2202</v>
      </c>
      <c r="N3459" s="3">
        <v>1788</v>
      </c>
    </row>
    <row r="3460" spans="1:14" x14ac:dyDescent="0.2">
      <c r="A3460" s="5" t="str">
        <f>HYPERLINK("http://www.ncbi.nlm.nih.gov/protein/16716597","Hsd17b11")</f>
        <v>Hsd17b11</v>
      </c>
      <c r="B3460" s="4"/>
      <c r="C3460" s="3">
        <v>132847</v>
      </c>
      <c r="D3460" s="3">
        <v>22328</v>
      </c>
      <c r="E3460" s="3">
        <v>20835</v>
      </c>
      <c r="F3460" s="3">
        <v>18409</v>
      </c>
      <c r="G3460" s="3">
        <v>0</v>
      </c>
      <c r="H3460" s="2">
        <f t="shared" si="108"/>
        <v>194419</v>
      </c>
      <c r="I3460" t="str">
        <f t="shared" si="109"/>
        <v>Hsd17b11_194419</v>
      </c>
      <c r="J3460" s="3">
        <v>132847</v>
      </c>
      <c r="K3460" s="3">
        <v>22328</v>
      </c>
      <c r="L3460" s="3">
        <v>20835</v>
      </c>
      <c r="M3460" s="3">
        <v>18409</v>
      </c>
      <c r="N3460" s="3">
        <v>0</v>
      </c>
    </row>
    <row r="3461" spans="1:14" x14ac:dyDescent="0.2">
      <c r="A3461" s="5" t="str">
        <f>HYPERLINK("http://www.ncbi.nlm.nih.gov/protein/9789991","Hsd17b12")</f>
        <v>Hsd17b12</v>
      </c>
      <c r="B3461" s="4"/>
      <c r="C3461" s="3">
        <v>30205</v>
      </c>
      <c r="D3461" s="3">
        <v>4144</v>
      </c>
      <c r="E3461" s="3">
        <v>1733</v>
      </c>
      <c r="F3461" s="3">
        <v>0</v>
      </c>
      <c r="G3461" s="3">
        <v>0</v>
      </c>
      <c r="H3461" s="2">
        <f t="shared" si="108"/>
        <v>36082</v>
      </c>
      <c r="I3461" t="str">
        <f t="shared" si="109"/>
        <v>Hsd17b12_36082</v>
      </c>
      <c r="J3461" s="3">
        <v>30205</v>
      </c>
      <c r="K3461" s="3">
        <v>4144</v>
      </c>
      <c r="L3461" s="3">
        <v>1733</v>
      </c>
      <c r="M3461" s="3">
        <v>0</v>
      </c>
      <c r="N3461" s="3">
        <v>0</v>
      </c>
    </row>
    <row r="3462" spans="1:14" x14ac:dyDescent="0.2">
      <c r="A3462" s="5" t="str">
        <f>HYPERLINK("http://www.ncbi.nlm.nih.gov/protein/254553340","Hsd17b13")</f>
        <v>Hsd17b13</v>
      </c>
      <c r="B3462" s="4"/>
      <c r="C3462" s="3">
        <v>12924</v>
      </c>
      <c r="D3462" s="3">
        <v>4945</v>
      </c>
      <c r="E3462" s="3">
        <v>812</v>
      </c>
      <c r="F3462" s="3">
        <v>3307</v>
      </c>
      <c r="G3462" s="3">
        <v>0</v>
      </c>
      <c r="H3462" s="2">
        <f t="shared" si="108"/>
        <v>21988</v>
      </c>
      <c r="I3462" t="str">
        <f t="shared" si="109"/>
        <v>Hsd17b13_21988</v>
      </c>
      <c r="J3462" s="3">
        <v>12924</v>
      </c>
      <c r="K3462" s="3">
        <v>4945</v>
      </c>
      <c r="L3462" s="3">
        <v>812</v>
      </c>
      <c r="M3462" s="3">
        <v>3307</v>
      </c>
      <c r="N3462" s="3">
        <v>0</v>
      </c>
    </row>
    <row r="3463" spans="1:14" x14ac:dyDescent="0.2">
      <c r="A3463" s="5" t="str">
        <f>HYPERLINK("http://www.ncbi.nlm.nih.gov/protein/254553342","Hsd17b13")</f>
        <v>Hsd17b13</v>
      </c>
      <c r="B3463" s="4"/>
      <c r="C3463" s="3">
        <v>12924</v>
      </c>
      <c r="D3463" s="3">
        <v>4945</v>
      </c>
      <c r="E3463" s="3">
        <v>812</v>
      </c>
      <c r="F3463" s="3">
        <v>3307</v>
      </c>
      <c r="G3463" s="3">
        <v>0</v>
      </c>
      <c r="H3463" s="2">
        <f t="shared" si="108"/>
        <v>21988</v>
      </c>
      <c r="I3463" t="str">
        <f t="shared" si="109"/>
        <v>Hsd17b13_21988</v>
      </c>
      <c r="J3463" s="3">
        <v>12924</v>
      </c>
      <c r="K3463" s="3">
        <v>4945</v>
      </c>
      <c r="L3463" s="3">
        <v>812</v>
      </c>
      <c r="M3463" s="3">
        <v>3307</v>
      </c>
      <c r="N3463" s="3">
        <v>0</v>
      </c>
    </row>
    <row r="3464" spans="1:14" x14ac:dyDescent="0.2">
      <c r="A3464" s="5" t="str">
        <f>HYPERLINK("http://www.ncbi.nlm.nih.gov/protein/295054257","Hsd17b14")</f>
        <v>Hsd17b14</v>
      </c>
      <c r="B3464" s="4"/>
      <c r="C3464" s="3">
        <v>0</v>
      </c>
      <c r="D3464" s="3">
        <v>0</v>
      </c>
      <c r="E3464" s="3">
        <v>0</v>
      </c>
      <c r="F3464" s="3">
        <v>12033</v>
      </c>
      <c r="G3464" s="3">
        <v>0</v>
      </c>
      <c r="H3464" s="2">
        <f t="shared" si="108"/>
        <v>12033</v>
      </c>
      <c r="I3464" t="str">
        <f t="shared" si="109"/>
        <v>Hsd17b14_12033</v>
      </c>
      <c r="J3464" s="3">
        <v>0</v>
      </c>
      <c r="K3464" s="3">
        <v>0</v>
      </c>
      <c r="L3464" s="3">
        <v>0</v>
      </c>
      <c r="M3464" s="3">
        <v>12033</v>
      </c>
      <c r="N3464" s="3">
        <v>0</v>
      </c>
    </row>
    <row r="3465" spans="1:14" x14ac:dyDescent="0.2">
      <c r="A3465" s="5" t="str">
        <f>HYPERLINK("http://www.ncbi.nlm.nih.gov/protein/31982273","Hsd17b4")</f>
        <v>Hsd17b4</v>
      </c>
      <c r="B3465" s="4"/>
      <c r="C3465" s="3">
        <v>304136</v>
      </c>
      <c r="D3465" s="3">
        <v>77896</v>
      </c>
      <c r="E3465" s="3">
        <v>75007</v>
      </c>
      <c r="F3465" s="3">
        <v>1089</v>
      </c>
      <c r="G3465" s="3">
        <v>6447</v>
      </c>
      <c r="H3465" s="2">
        <f t="shared" si="108"/>
        <v>464575</v>
      </c>
      <c r="I3465" t="str">
        <f t="shared" si="109"/>
        <v>Hsd17b4_464575</v>
      </c>
      <c r="J3465" s="3">
        <v>304136</v>
      </c>
      <c r="K3465" s="3">
        <v>77896</v>
      </c>
      <c r="L3465" s="3">
        <v>75007</v>
      </c>
      <c r="M3465" s="3">
        <v>1089</v>
      </c>
      <c r="N3465" s="3">
        <v>6447</v>
      </c>
    </row>
    <row r="3466" spans="1:14" x14ac:dyDescent="0.2">
      <c r="A3466" s="5" t="str">
        <f>HYPERLINK("http://www.ncbi.nlm.nih.gov/protein/87162470","Hsd17b7")</f>
        <v>Hsd17b7</v>
      </c>
      <c r="B3466" s="4"/>
      <c r="C3466" s="3">
        <v>0</v>
      </c>
      <c r="D3466" s="3">
        <v>1776</v>
      </c>
      <c r="E3466" s="3">
        <v>119</v>
      </c>
      <c r="F3466" s="3">
        <v>0</v>
      </c>
      <c r="G3466" s="3">
        <v>0</v>
      </c>
      <c r="H3466" s="2">
        <f t="shared" si="108"/>
        <v>1895</v>
      </c>
      <c r="I3466" t="str">
        <f t="shared" si="109"/>
        <v>Hsd17b7_1895</v>
      </c>
      <c r="J3466" s="3">
        <v>0</v>
      </c>
      <c r="K3466" s="3">
        <v>1776</v>
      </c>
      <c r="L3466" s="3">
        <v>119</v>
      </c>
      <c r="M3466" s="3">
        <v>0</v>
      </c>
      <c r="N3466" s="3">
        <v>0</v>
      </c>
    </row>
    <row r="3467" spans="1:14" x14ac:dyDescent="0.2">
      <c r="A3467" s="5" t="str">
        <f>HYPERLINK("http://www.ncbi.nlm.nih.gov/protein/30424792","Hsdl1")</f>
        <v>Hsdl1</v>
      </c>
      <c r="B3467" s="4"/>
      <c r="C3467" s="3">
        <v>0</v>
      </c>
      <c r="D3467" s="3">
        <v>3127</v>
      </c>
      <c r="E3467" s="3">
        <v>0</v>
      </c>
      <c r="F3467" s="3">
        <v>0</v>
      </c>
      <c r="G3467" s="3">
        <v>0</v>
      </c>
      <c r="H3467" s="2">
        <f t="shared" si="108"/>
        <v>3127</v>
      </c>
      <c r="I3467" t="str">
        <f t="shared" si="109"/>
        <v>Hsdl1_3127</v>
      </c>
      <c r="J3467" s="3">
        <v>0</v>
      </c>
      <c r="K3467" s="3">
        <v>3127</v>
      </c>
      <c r="L3467" s="3">
        <v>0</v>
      </c>
      <c r="M3467" s="3">
        <v>0</v>
      </c>
      <c r="N3467" s="3">
        <v>0</v>
      </c>
    </row>
    <row r="3468" spans="1:14" x14ac:dyDescent="0.2">
      <c r="A3468" s="5" t="str">
        <f>HYPERLINK("http://www.ncbi.nlm.nih.gov/protein/125656150","Hsdl2")</f>
        <v>Hsdl2</v>
      </c>
      <c r="B3468" s="4"/>
      <c r="C3468" s="3">
        <v>0</v>
      </c>
      <c r="D3468" s="3">
        <v>1033</v>
      </c>
      <c r="E3468" s="3">
        <v>1141</v>
      </c>
      <c r="F3468" s="3">
        <v>0</v>
      </c>
      <c r="G3468" s="3">
        <v>0</v>
      </c>
      <c r="H3468" s="2">
        <f t="shared" si="108"/>
        <v>2174</v>
      </c>
      <c r="I3468" t="str">
        <f t="shared" si="109"/>
        <v>Hsdl2_2174</v>
      </c>
      <c r="J3468" s="3">
        <v>0</v>
      </c>
      <c r="K3468" s="3">
        <v>1033</v>
      </c>
      <c r="L3468" s="3">
        <v>1141</v>
      </c>
      <c r="M3468" s="3">
        <v>0</v>
      </c>
      <c r="N3468" s="3">
        <v>0</v>
      </c>
    </row>
    <row r="3469" spans="1:14" x14ac:dyDescent="0.2">
      <c r="A3469" s="5" t="str">
        <f>HYPERLINK("http://www.ncbi.nlm.nih.gov/protein/6754254","Hsp90aa1")</f>
        <v>Hsp90aa1</v>
      </c>
      <c r="B3469" s="4"/>
      <c r="C3469" s="3">
        <v>1600568</v>
      </c>
      <c r="D3469" s="3">
        <v>144752</v>
      </c>
      <c r="E3469" s="3">
        <v>539280</v>
      </c>
      <c r="F3469" s="3">
        <v>1735339</v>
      </c>
      <c r="G3469" s="3">
        <v>2077954</v>
      </c>
      <c r="H3469" s="2">
        <f t="shared" si="108"/>
        <v>6097893</v>
      </c>
      <c r="I3469" t="str">
        <f t="shared" si="109"/>
        <v>Hsp90aa1_6097893</v>
      </c>
      <c r="J3469" s="3">
        <v>1600568</v>
      </c>
      <c r="K3469" s="3">
        <v>144752</v>
      </c>
      <c r="L3469" s="3">
        <v>539280</v>
      </c>
      <c r="M3469" s="3">
        <v>1735339</v>
      </c>
      <c r="N3469" s="3">
        <v>2077954</v>
      </c>
    </row>
    <row r="3470" spans="1:14" x14ac:dyDescent="0.2">
      <c r="A3470" s="5" t="str">
        <f>HYPERLINK("http://www.ncbi.nlm.nih.gov/protein/40556608","Hsp90ab1")</f>
        <v>Hsp90ab1</v>
      </c>
      <c r="B3470" s="4"/>
      <c r="C3470" s="3">
        <v>1923523</v>
      </c>
      <c r="D3470" s="3">
        <v>156906</v>
      </c>
      <c r="E3470" s="3">
        <v>535897</v>
      </c>
      <c r="F3470" s="3">
        <v>1602218</v>
      </c>
      <c r="G3470" s="3">
        <v>2319839</v>
      </c>
      <c r="H3470" s="2">
        <f t="shared" si="108"/>
        <v>6538383</v>
      </c>
      <c r="I3470" t="str">
        <f t="shared" si="109"/>
        <v>Hsp90ab1_6538383</v>
      </c>
      <c r="J3470" s="3">
        <v>1923523</v>
      </c>
      <c r="K3470" s="3">
        <v>156906</v>
      </c>
      <c r="L3470" s="3">
        <v>535897</v>
      </c>
      <c r="M3470" s="3">
        <v>1602218</v>
      </c>
      <c r="N3470" s="3">
        <v>2319839</v>
      </c>
    </row>
    <row r="3471" spans="1:14" x14ac:dyDescent="0.2">
      <c r="A3471" s="5" t="str">
        <f>HYPERLINK("http://www.ncbi.nlm.nih.gov/protein/6755863","Hsp90b1")</f>
        <v>Hsp90b1</v>
      </c>
      <c r="B3471" s="4"/>
      <c r="C3471" s="3">
        <v>1648145</v>
      </c>
      <c r="D3471" s="3">
        <v>159469</v>
      </c>
      <c r="E3471" s="3">
        <v>197086</v>
      </c>
      <c r="F3471" s="3">
        <v>66311</v>
      </c>
      <c r="G3471" s="3">
        <v>326276</v>
      </c>
      <c r="H3471" s="2">
        <f t="shared" si="108"/>
        <v>2397287</v>
      </c>
      <c r="I3471" t="str">
        <f t="shared" si="109"/>
        <v>Hsp90b1_2397287</v>
      </c>
      <c r="J3471" s="3">
        <v>1648145</v>
      </c>
      <c r="K3471" s="3">
        <v>159469</v>
      </c>
      <c r="L3471" s="3">
        <v>197086</v>
      </c>
      <c r="M3471" s="3">
        <v>66311</v>
      </c>
      <c r="N3471" s="3">
        <v>326276</v>
      </c>
    </row>
    <row r="3472" spans="1:14" x14ac:dyDescent="0.2">
      <c r="A3472" s="5" t="str">
        <f>HYPERLINK("http://www.ncbi.nlm.nih.gov/protein/30089677","Hspa13")</f>
        <v>Hspa13</v>
      </c>
      <c r="B3472" s="4"/>
      <c r="C3472" s="3">
        <v>0</v>
      </c>
      <c r="D3472" s="3">
        <v>1129</v>
      </c>
      <c r="E3472" s="3">
        <v>0</v>
      </c>
      <c r="F3472" s="3">
        <v>0</v>
      </c>
      <c r="G3472" s="3">
        <v>0</v>
      </c>
      <c r="H3472" s="2">
        <f t="shared" si="108"/>
        <v>1129</v>
      </c>
      <c r="I3472" t="str">
        <f t="shared" si="109"/>
        <v>Hspa13_1129</v>
      </c>
      <c r="J3472" s="3">
        <v>0</v>
      </c>
      <c r="K3472" s="3">
        <v>1129</v>
      </c>
      <c r="L3472" s="3">
        <v>0</v>
      </c>
      <c r="M3472" s="3">
        <v>0</v>
      </c>
      <c r="N3472" s="3">
        <v>0</v>
      </c>
    </row>
    <row r="3473" spans="1:14" x14ac:dyDescent="0.2">
      <c r="A3473" s="5" t="str">
        <f>HYPERLINK("http://www.ncbi.nlm.nih.gov/protein/82880662","Hspa14")</f>
        <v>Hspa14</v>
      </c>
      <c r="B3473" s="4"/>
      <c r="C3473" s="3">
        <v>0</v>
      </c>
      <c r="D3473" s="3">
        <v>3386</v>
      </c>
      <c r="E3473" s="3">
        <v>11468</v>
      </c>
      <c r="F3473" s="3">
        <v>18622</v>
      </c>
      <c r="G3473" s="3">
        <v>6726</v>
      </c>
      <c r="H3473" s="2">
        <f t="shared" si="108"/>
        <v>40202</v>
      </c>
      <c r="I3473" t="str">
        <f t="shared" si="109"/>
        <v>Hspa14_40202</v>
      </c>
      <c r="J3473" s="3">
        <v>0</v>
      </c>
      <c r="K3473" s="3">
        <v>3386</v>
      </c>
      <c r="L3473" s="3">
        <v>11468</v>
      </c>
      <c r="M3473" s="3">
        <v>18622</v>
      </c>
      <c r="N3473" s="3">
        <v>6726</v>
      </c>
    </row>
    <row r="3474" spans="1:14" x14ac:dyDescent="0.2">
      <c r="A3474" s="5" t="str">
        <f>HYPERLINK("http://www.ncbi.nlm.nih.gov/protein/124339829","Hspa1a")</f>
        <v>Hspa1a</v>
      </c>
      <c r="B3474" s="4"/>
      <c r="C3474" s="3">
        <v>1371084</v>
      </c>
      <c r="D3474" s="3">
        <v>133766</v>
      </c>
      <c r="E3474" s="3">
        <v>338075</v>
      </c>
      <c r="F3474" s="3">
        <v>667050</v>
      </c>
      <c r="G3474" s="3">
        <v>390940</v>
      </c>
      <c r="H3474" s="2">
        <f t="shared" si="108"/>
        <v>2900915</v>
      </c>
      <c r="I3474" t="str">
        <f t="shared" si="109"/>
        <v>Hspa1a_2900915</v>
      </c>
      <c r="J3474" s="3">
        <v>1371084</v>
      </c>
      <c r="K3474" s="3">
        <v>133766</v>
      </c>
      <c r="L3474" s="3">
        <v>338075</v>
      </c>
      <c r="M3474" s="3">
        <v>667050</v>
      </c>
      <c r="N3474" s="3">
        <v>390940</v>
      </c>
    </row>
    <row r="3475" spans="1:14" x14ac:dyDescent="0.2">
      <c r="A3475" s="5" t="str">
        <f>HYPERLINK("http://www.ncbi.nlm.nih.gov/protein/124339826","Hspa1b")</f>
        <v>Hspa1b</v>
      </c>
      <c r="B3475" s="4"/>
      <c r="C3475" s="3">
        <v>1394589</v>
      </c>
      <c r="D3475" s="3">
        <v>139087</v>
      </c>
      <c r="E3475" s="3">
        <v>340020</v>
      </c>
      <c r="F3475" s="3">
        <v>680580</v>
      </c>
      <c r="G3475" s="3">
        <v>393264</v>
      </c>
      <c r="H3475" s="2">
        <f t="shared" si="108"/>
        <v>2947540</v>
      </c>
      <c r="I3475" t="str">
        <f t="shared" si="109"/>
        <v>Hspa1b_2947540</v>
      </c>
      <c r="J3475" s="3">
        <v>1394589</v>
      </c>
      <c r="K3475" s="3">
        <v>139087</v>
      </c>
      <c r="L3475" s="3">
        <v>340020</v>
      </c>
      <c r="M3475" s="3">
        <v>680580</v>
      </c>
      <c r="N3475" s="3">
        <v>393264</v>
      </c>
    </row>
    <row r="3476" spans="1:14" x14ac:dyDescent="0.2">
      <c r="A3476" s="5" t="str">
        <f>HYPERLINK("http://www.ncbi.nlm.nih.gov/protein/124339838","Hspa1l")</f>
        <v>Hspa1l</v>
      </c>
      <c r="B3476" s="4"/>
      <c r="C3476" s="3">
        <v>1090526</v>
      </c>
      <c r="D3476" s="3">
        <v>59436</v>
      </c>
      <c r="E3476" s="3">
        <v>270367</v>
      </c>
      <c r="F3476" s="3">
        <v>415974</v>
      </c>
      <c r="G3476" s="3">
        <v>293719</v>
      </c>
      <c r="H3476" s="2">
        <f t="shared" si="108"/>
        <v>2130022</v>
      </c>
      <c r="I3476" t="str">
        <f t="shared" si="109"/>
        <v>Hspa1l_2130022</v>
      </c>
      <c r="J3476" s="3">
        <v>1090526</v>
      </c>
      <c r="K3476" s="3">
        <v>59436</v>
      </c>
      <c r="L3476" s="3">
        <v>270367</v>
      </c>
      <c r="M3476" s="3">
        <v>415974</v>
      </c>
      <c r="N3476" s="3">
        <v>293719</v>
      </c>
    </row>
    <row r="3477" spans="1:14" x14ac:dyDescent="0.2">
      <c r="A3477" s="5" t="str">
        <f>HYPERLINK("http://www.ncbi.nlm.nih.gov/protein/31560686","Hspa2")</f>
        <v>Hspa2</v>
      </c>
      <c r="B3477" s="4"/>
      <c r="C3477" s="3">
        <v>1488883</v>
      </c>
      <c r="D3477" s="3">
        <v>119059</v>
      </c>
      <c r="E3477" s="3">
        <v>333988</v>
      </c>
      <c r="F3477" s="3">
        <v>497584</v>
      </c>
      <c r="G3477" s="3">
        <v>436037</v>
      </c>
      <c r="H3477" s="2">
        <f t="shared" si="108"/>
        <v>2875551</v>
      </c>
      <c r="I3477" t="str">
        <f t="shared" si="109"/>
        <v>Hspa2_2875551</v>
      </c>
      <c r="J3477" s="3">
        <v>1488883</v>
      </c>
      <c r="K3477" s="3">
        <v>119059</v>
      </c>
      <c r="L3477" s="3">
        <v>333988</v>
      </c>
      <c r="M3477" s="3">
        <v>497584</v>
      </c>
      <c r="N3477" s="3">
        <v>436037</v>
      </c>
    </row>
    <row r="3478" spans="1:14" x14ac:dyDescent="0.2">
      <c r="A3478" s="5" t="str">
        <f>HYPERLINK("http://www.ncbi.nlm.nih.gov/protein/112293266","Hspa4")</f>
        <v>Hspa4</v>
      </c>
      <c r="B3478" s="4"/>
      <c r="C3478" s="3">
        <v>25061</v>
      </c>
      <c r="D3478" s="3">
        <v>3814</v>
      </c>
      <c r="E3478" s="3">
        <v>54138</v>
      </c>
      <c r="F3478" s="3">
        <v>93561</v>
      </c>
      <c r="G3478" s="3">
        <v>747727</v>
      </c>
      <c r="H3478" s="2">
        <f t="shared" si="108"/>
        <v>924301</v>
      </c>
      <c r="I3478" t="str">
        <f t="shared" si="109"/>
        <v>Hspa4_924301</v>
      </c>
      <c r="J3478" s="3">
        <v>25061</v>
      </c>
      <c r="K3478" s="3">
        <v>3814</v>
      </c>
      <c r="L3478" s="3">
        <v>54138</v>
      </c>
      <c r="M3478" s="3">
        <v>93561</v>
      </c>
      <c r="N3478" s="3">
        <v>747727</v>
      </c>
    </row>
    <row r="3479" spans="1:14" x14ac:dyDescent="0.2">
      <c r="A3479" s="5" t="str">
        <f>HYPERLINK("http://www.ncbi.nlm.nih.gov/protein/40254361","Hspa4l")</f>
        <v>Hspa4l</v>
      </c>
      <c r="B3479" s="4"/>
      <c r="C3479" s="3">
        <v>8000</v>
      </c>
      <c r="D3479" s="3">
        <v>1975</v>
      </c>
      <c r="E3479" s="3">
        <v>8408</v>
      </c>
      <c r="F3479" s="3">
        <v>14128</v>
      </c>
      <c r="G3479" s="3">
        <v>68112</v>
      </c>
      <c r="H3479" s="2">
        <f t="shared" si="108"/>
        <v>100623</v>
      </c>
      <c r="I3479" t="str">
        <f t="shared" si="109"/>
        <v>Hspa4l_100623</v>
      </c>
      <c r="J3479" s="3">
        <v>8000</v>
      </c>
      <c r="K3479" s="3">
        <v>1975</v>
      </c>
      <c r="L3479" s="3">
        <v>8408</v>
      </c>
      <c r="M3479" s="3">
        <v>14128</v>
      </c>
      <c r="N3479" s="3">
        <v>68112</v>
      </c>
    </row>
    <row r="3480" spans="1:14" x14ac:dyDescent="0.2">
      <c r="A3480" s="5" t="str">
        <f>HYPERLINK("http://www.ncbi.nlm.nih.gov/protein/254540166","Hspa5")</f>
        <v>Hspa5</v>
      </c>
      <c r="B3480" s="4"/>
      <c r="C3480" s="3">
        <v>1780827</v>
      </c>
      <c r="D3480" s="3">
        <v>108196</v>
      </c>
      <c r="E3480" s="3">
        <v>278796</v>
      </c>
      <c r="F3480" s="3">
        <v>170432</v>
      </c>
      <c r="G3480" s="3">
        <v>133055</v>
      </c>
      <c r="H3480" s="2">
        <f t="shared" si="108"/>
        <v>2471306</v>
      </c>
      <c r="I3480" t="str">
        <f t="shared" si="109"/>
        <v>Hspa5_2471306</v>
      </c>
      <c r="J3480" s="3">
        <v>1780827</v>
      </c>
      <c r="K3480" s="3">
        <v>108196</v>
      </c>
      <c r="L3480" s="3">
        <v>278796</v>
      </c>
      <c r="M3480" s="3">
        <v>170432</v>
      </c>
      <c r="N3480" s="3">
        <v>133055</v>
      </c>
    </row>
    <row r="3481" spans="1:14" x14ac:dyDescent="0.2">
      <c r="A3481" s="5" t="str">
        <f>HYPERLINK("http://www.ncbi.nlm.nih.gov/protein/31981690","Hspa8")</f>
        <v>Hspa8</v>
      </c>
      <c r="B3481" s="4"/>
      <c r="C3481" s="3">
        <v>2535072</v>
      </c>
      <c r="D3481" s="3">
        <v>308735</v>
      </c>
      <c r="E3481" s="3">
        <v>666232</v>
      </c>
      <c r="F3481" s="3">
        <v>1629672</v>
      </c>
      <c r="G3481" s="3">
        <v>1016985</v>
      </c>
      <c r="H3481" s="2">
        <f t="shared" si="108"/>
        <v>6156696</v>
      </c>
      <c r="I3481" t="str">
        <f t="shared" si="109"/>
        <v>Hspa8_6156696</v>
      </c>
      <c r="J3481" s="3">
        <v>2535072</v>
      </c>
      <c r="K3481" s="3">
        <v>308735</v>
      </c>
      <c r="L3481" s="3">
        <v>666232</v>
      </c>
      <c r="M3481" s="3">
        <v>1629672</v>
      </c>
      <c r="N3481" s="3">
        <v>1016985</v>
      </c>
    </row>
    <row r="3482" spans="1:14" x14ac:dyDescent="0.2">
      <c r="A3482" s="5" t="str">
        <f>HYPERLINK("http://www.ncbi.nlm.nih.gov/protein/162461907","Hspa9")</f>
        <v>Hspa9</v>
      </c>
      <c r="B3482" s="4"/>
      <c r="C3482" s="3">
        <v>1064092</v>
      </c>
      <c r="D3482" s="3">
        <v>118379</v>
      </c>
      <c r="E3482" s="3">
        <v>12208</v>
      </c>
      <c r="F3482" s="3">
        <v>4911</v>
      </c>
      <c r="G3482" s="3">
        <v>21173</v>
      </c>
      <c r="H3482" s="2">
        <f t="shared" si="108"/>
        <v>1220763</v>
      </c>
      <c r="I3482" t="str">
        <f t="shared" si="109"/>
        <v>Hspa9_1220763</v>
      </c>
      <c r="J3482" s="3">
        <v>1064092</v>
      </c>
      <c r="K3482" s="3">
        <v>118379</v>
      </c>
      <c r="L3482" s="3">
        <v>12208</v>
      </c>
      <c r="M3482" s="3">
        <v>4911</v>
      </c>
      <c r="N3482" s="3">
        <v>21173</v>
      </c>
    </row>
    <row r="3483" spans="1:14" x14ac:dyDescent="0.2">
      <c r="A3483" s="5" t="str">
        <f>HYPERLINK("http://www.ncbi.nlm.nih.gov/protein/158937312","Hspb1")</f>
        <v>Hspb1</v>
      </c>
      <c r="B3483" s="4"/>
      <c r="C3483" s="3">
        <v>0</v>
      </c>
      <c r="D3483" s="3">
        <v>0</v>
      </c>
      <c r="E3483" s="3">
        <v>0</v>
      </c>
      <c r="F3483" s="3">
        <v>0</v>
      </c>
      <c r="G3483" s="3">
        <v>589</v>
      </c>
      <c r="H3483" s="2">
        <f t="shared" si="108"/>
        <v>589</v>
      </c>
      <c r="I3483" t="str">
        <f t="shared" si="109"/>
        <v>Hspb1_589</v>
      </c>
      <c r="J3483" s="3">
        <v>0</v>
      </c>
      <c r="K3483" s="3">
        <v>0</v>
      </c>
      <c r="L3483" s="3">
        <v>0</v>
      </c>
      <c r="M3483" s="3">
        <v>0</v>
      </c>
      <c r="N3483" s="3">
        <v>589</v>
      </c>
    </row>
    <row r="3484" spans="1:14" x14ac:dyDescent="0.2">
      <c r="A3484" s="5" t="str">
        <f>HYPERLINK("http://www.ncbi.nlm.nih.gov/protein/110625938","Hspb11")</f>
        <v>Hspb11</v>
      </c>
      <c r="B3484" s="4"/>
      <c r="C3484" s="3">
        <v>0</v>
      </c>
      <c r="D3484" s="3">
        <v>44</v>
      </c>
      <c r="E3484" s="3">
        <v>23</v>
      </c>
      <c r="F3484" s="3">
        <v>3111</v>
      </c>
      <c r="G3484" s="3">
        <v>557</v>
      </c>
      <c r="H3484" s="2">
        <f t="shared" si="108"/>
        <v>3735</v>
      </c>
      <c r="I3484" t="str">
        <f t="shared" si="109"/>
        <v>Hspb11_3735</v>
      </c>
      <c r="J3484" s="3">
        <v>0</v>
      </c>
      <c r="K3484" s="3">
        <v>44</v>
      </c>
      <c r="L3484" s="3">
        <v>23</v>
      </c>
      <c r="M3484" s="3">
        <v>3111</v>
      </c>
      <c r="N3484" s="3">
        <v>557</v>
      </c>
    </row>
    <row r="3485" spans="1:14" x14ac:dyDescent="0.2">
      <c r="A3485" s="5" t="str">
        <f>HYPERLINK("http://www.ncbi.nlm.nih.gov/protein/120587017","Hspbap1")</f>
        <v>Hspbap1</v>
      </c>
      <c r="B3485" s="4"/>
      <c r="C3485" s="3">
        <v>0</v>
      </c>
      <c r="D3485" s="3">
        <v>0</v>
      </c>
      <c r="E3485" s="3">
        <v>0</v>
      </c>
      <c r="F3485" s="3">
        <v>0</v>
      </c>
      <c r="G3485" s="3">
        <v>2142</v>
      </c>
      <c r="H3485" s="2">
        <f t="shared" si="108"/>
        <v>2142</v>
      </c>
      <c r="I3485" t="str">
        <f t="shared" si="109"/>
        <v>Hspbap1_2142</v>
      </c>
      <c r="J3485" s="3">
        <v>0</v>
      </c>
      <c r="K3485" s="3">
        <v>0</v>
      </c>
      <c r="L3485" s="3">
        <v>0</v>
      </c>
      <c r="M3485" s="3">
        <v>0</v>
      </c>
      <c r="N3485" s="3">
        <v>2142</v>
      </c>
    </row>
    <row r="3486" spans="1:14" x14ac:dyDescent="0.2">
      <c r="A3486" s="5" t="str">
        <f>HYPERLINK("http://www.ncbi.nlm.nih.gov/protein/13195602","Hspbp1")</f>
        <v>Hspbp1</v>
      </c>
      <c r="B3486" s="4"/>
      <c r="C3486" s="3">
        <v>0</v>
      </c>
      <c r="D3486" s="3">
        <v>0</v>
      </c>
      <c r="E3486" s="3">
        <v>3104</v>
      </c>
      <c r="F3486" s="3">
        <v>0</v>
      </c>
      <c r="G3486" s="3">
        <v>15315</v>
      </c>
      <c r="H3486" s="2">
        <f t="shared" si="108"/>
        <v>18419</v>
      </c>
      <c r="I3486" t="str">
        <f t="shared" si="109"/>
        <v>Hspbp1_18419</v>
      </c>
      <c r="J3486" s="3">
        <v>0</v>
      </c>
      <c r="K3486" s="3">
        <v>0</v>
      </c>
      <c r="L3486" s="3">
        <v>3104</v>
      </c>
      <c r="M3486" s="3">
        <v>0</v>
      </c>
      <c r="N3486" s="3">
        <v>15315</v>
      </c>
    </row>
    <row r="3487" spans="1:14" x14ac:dyDescent="0.2">
      <c r="A3487" s="5" t="str">
        <f>HYPERLINK("http://www.ncbi.nlm.nih.gov/protein/183396771","Hspd1")</f>
        <v>Hspd1</v>
      </c>
      <c r="B3487" s="4"/>
      <c r="C3487" s="3">
        <v>1972400</v>
      </c>
      <c r="D3487" s="3">
        <v>117155</v>
      </c>
      <c r="E3487" s="3">
        <v>18302</v>
      </c>
      <c r="F3487" s="3">
        <v>8538</v>
      </c>
      <c r="G3487" s="3">
        <v>42281</v>
      </c>
      <c r="H3487" s="2">
        <f t="shared" si="108"/>
        <v>2158676</v>
      </c>
      <c r="I3487" t="str">
        <f t="shared" si="109"/>
        <v>Hspd1_2158676</v>
      </c>
      <c r="J3487" s="3">
        <v>1972400</v>
      </c>
      <c r="K3487" s="3">
        <v>117155</v>
      </c>
      <c r="L3487" s="3">
        <v>18302</v>
      </c>
      <c r="M3487" s="3">
        <v>8538</v>
      </c>
      <c r="N3487" s="3">
        <v>42281</v>
      </c>
    </row>
    <row r="3488" spans="1:14" x14ac:dyDescent="0.2">
      <c r="A3488" s="5" t="str">
        <f>HYPERLINK("http://www.ncbi.nlm.nih.gov/protein/6680309","Hspe1")</f>
        <v>Hspe1</v>
      </c>
      <c r="B3488" s="4"/>
      <c r="C3488" s="3">
        <v>53197</v>
      </c>
      <c r="D3488" s="3">
        <v>9661</v>
      </c>
      <c r="E3488" s="3">
        <v>2147</v>
      </c>
      <c r="F3488" s="3">
        <v>33</v>
      </c>
      <c r="G3488" s="3">
        <v>12209</v>
      </c>
      <c r="H3488" s="2">
        <f t="shared" si="108"/>
        <v>77247</v>
      </c>
      <c r="I3488" t="str">
        <f t="shared" si="109"/>
        <v>Hspe1_77247</v>
      </c>
      <c r="J3488" s="3">
        <v>53197</v>
      </c>
      <c r="K3488" s="3">
        <v>9661</v>
      </c>
      <c r="L3488" s="3">
        <v>2147</v>
      </c>
      <c r="M3488" s="3">
        <v>33</v>
      </c>
      <c r="N3488" s="3">
        <v>12209</v>
      </c>
    </row>
    <row r="3489" spans="1:14" x14ac:dyDescent="0.2">
      <c r="A3489" s="5" t="str">
        <f>HYPERLINK("http://www.ncbi.nlm.nih.gov/protein/183979966","Hspg2")</f>
        <v>Hspg2</v>
      </c>
      <c r="B3489" s="4"/>
      <c r="C3489" s="3">
        <v>0</v>
      </c>
      <c r="D3489" s="3">
        <v>2762</v>
      </c>
      <c r="E3489" s="3">
        <v>184</v>
      </c>
      <c r="F3489" s="3">
        <v>0</v>
      </c>
      <c r="G3489" s="3">
        <v>0</v>
      </c>
      <c r="H3489" s="2">
        <f t="shared" si="108"/>
        <v>2946</v>
      </c>
      <c r="I3489" t="str">
        <f t="shared" si="109"/>
        <v>Hspg2_2946</v>
      </c>
      <c r="J3489" s="3">
        <v>0</v>
      </c>
      <c r="K3489" s="3">
        <v>2762</v>
      </c>
      <c r="L3489" s="3">
        <v>184</v>
      </c>
      <c r="M3489" s="3">
        <v>0</v>
      </c>
      <c r="N3489" s="3">
        <v>0</v>
      </c>
    </row>
    <row r="3490" spans="1:14" x14ac:dyDescent="0.2">
      <c r="A3490" s="5" t="str">
        <f>HYPERLINK("http://www.ncbi.nlm.nih.gov/protein/114145505","Hsph1")</f>
        <v>Hsph1</v>
      </c>
      <c r="B3490" s="4"/>
      <c r="C3490" s="3">
        <v>8000</v>
      </c>
      <c r="D3490" s="3">
        <v>2117</v>
      </c>
      <c r="E3490" s="3">
        <v>14443</v>
      </c>
      <c r="F3490" s="3">
        <v>29059</v>
      </c>
      <c r="G3490" s="3">
        <v>160975</v>
      </c>
      <c r="H3490" s="2">
        <f t="shared" si="108"/>
        <v>214594</v>
      </c>
      <c r="I3490" t="str">
        <f t="shared" si="109"/>
        <v>Hsph1_214594</v>
      </c>
      <c r="J3490" s="3">
        <v>8000</v>
      </c>
      <c r="K3490" s="3">
        <v>2117</v>
      </c>
      <c r="L3490" s="3">
        <v>14443</v>
      </c>
      <c r="M3490" s="3">
        <v>29059</v>
      </c>
      <c r="N3490" s="3">
        <v>160975</v>
      </c>
    </row>
    <row r="3491" spans="1:14" x14ac:dyDescent="0.2">
      <c r="A3491" s="5" t="str">
        <f>HYPERLINK("http://www.ncbi.nlm.nih.gov/protein/225690589","Htatip2")</f>
        <v>Htatip2</v>
      </c>
      <c r="B3491" s="4"/>
      <c r="C3491" s="3">
        <v>0</v>
      </c>
      <c r="D3491" s="3">
        <v>148</v>
      </c>
      <c r="E3491" s="3">
        <v>53</v>
      </c>
      <c r="F3491" s="3">
        <v>0</v>
      </c>
      <c r="G3491" s="3">
        <v>0</v>
      </c>
      <c r="H3491" s="2">
        <f t="shared" si="108"/>
        <v>201</v>
      </c>
      <c r="I3491" t="str">
        <f t="shared" si="109"/>
        <v>Htatip2_201</v>
      </c>
      <c r="J3491" s="3">
        <v>0</v>
      </c>
      <c r="K3491" s="3">
        <v>148</v>
      </c>
      <c r="L3491" s="3">
        <v>53</v>
      </c>
      <c r="M3491" s="3">
        <v>0</v>
      </c>
      <c r="N3491" s="3">
        <v>0</v>
      </c>
    </row>
    <row r="3492" spans="1:14" x14ac:dyDescent="0.2">
      <c r="A3492" s="5" t="str">
        <f>HYPERLINK("http://www.ncbi.nlm.nih.gov/protein/225690591","Htatip2")</f>
        <v>Htatip2</v>
      </c>
      <c r="B3492" s="4"/>
      <c r="C3492" s="3">
        <v>0</v>
      </c>
      <c r="D3492" s="3">
        <v>148</v>
      </c>
      <c r="E3492" s="3">
        <v>53</v>
      </c>
      <c r="F3492" s="3">
        <v>0</v>
      </c>
      <c r="G3492" s="3">
        <v>0</v>
      </c>
      <c r="H3492" s="2">
        <f t="shared" si="108"/>
        <v>201</v>
      </c>
      <c r="I3492" t="str">
        <f t="shared" si="109"/>
        <v>Htatip2_201</v>
      </c>
      <c r="J3492" s="3">
        <v>0</v>
      </c>
      <c r="K3492" s="3">
        <v>148</v>
      </c>
      <c r="L3492" s="3">
        <v>53</v>
      </c>
      <c r="M3492" s="3">
        <v>0</v>
      </c>
      <c r="N3492" s="3">
        <v>0</v>
      </c>
    </row>
    <row r="3493" spans="1:14" x14ac:dyDescent="0.2">
      <c r="A3493" s="5" t="str">
        <f>HYPERLINK("http://www.ncbi.nlm.nih.gov/protein/23956212;321267528","Htatsf1")</f>
        <v>Htatsf1</v>
      </c>
      <c r="B3493" s="4"/>
      <c r="C3493" s="3">
        <v>0</v>
      </c>
      <c r="D3493" s="3">
        <v>54</v>
      </c>
      <c r="E3493" s="3">
        <v>318</v>
      </c>
      <c r="F3493" s="3">
        <v>2816</v>
      </c>
      <c r="G3493" s="3">
        <v>9531</v>
      </c>
      <c r="H3493" s="2">
        <f t="shared" si="108"/>
        <v>12719</v>
      </c>
      <c r="I3493" t="str">
        <f t="shared" si="109"/>
        <v>Htatsf1_12719</v>
      </c>
      <c r="J3493" s="3">
        <v>0</v>
      </c>
      <c r="K3493" s="3">
        <v>54</v>
      </c>
      <c r="L3493" s="3">
        <v>318</v>
      </c>
      <c r="M3493" s="3">
        <v>2816</v>
      </c>
      <c r="N3493" s="3">
        <v>9531</v>
      </c>
    </row>
    <row r="3494" spans="1:14" x14ac:dyDescent="0.2">
      <c r="A3494" s="5" t="str">
        <f>HYPERLINK("http://www.ncbi.nlm.nih.gov/protein/10946684","Htr6")</f>
        <v>Htr6</v>
      </c>
      <c r="B3494" s="4"/>
      <c r="C3494" s="3">
        <v>0</v>
      </c>
      <c r="D3494" s="3">
        <v>0</v>
      </c>
      <c r="E3494" s="3">
        <v>11908</v>
      </c>
      <c r="F3494" s="3">
        <v>2153</v>
      </c>
      <c r="G3494" s="3">
        <v>0</v>
      </c>
      <c r="H3494" s="2">
        <f t="shared" si="108"/>
        <v>14061</v>
      </c>
      <c r="I3494" t="str">
        <f t="shared" si="109"/>
        <v>Htr6_14061</v>
      </c>
      <c r="J3494" s="3">
        <v>0</v>
      </c>
      <c r="K3494" s="3">
        <v>0</v>
      </c>
      <c r="L3494" s="3">
        <v>11908</v>
      </c>
      <c r="M3494" s="3">
        <v>2153</v>
      </c>
      <c r="N3494" s="3">
        <v>0</v>
      </c>
    </row>
    <row r="3495" spans="1:14" x14ac:dyDescent="0.2">
      <c r="A3495" s="5" t="str">
        <f>HYPERLINK("http://www.ncbi.nlm.nih.gov/protein/229093139","Htra1")</f>
        <v>Htra1</v>
      </c>
      <c r="B3495" s="4"/>
      <c r="C3495" s="3">
        <v>0</v>
      </c>
      <c r="D3495" s="3">
        <v>585</v>
      </c>
      <c r="E3495" s="3">
        <v>40</v>
      </c>
      <c r="F3495" s="3">
        <v>65</v>
      </c>
      <c r="G3495" s="3">
        <v>0</v>
      </c>
      <c r="H3495" s="2">
        <f t="shared" si="108"/>
        <v>690</v>
      </c>
      <c r="I3495" t="str">
        <f t="shared" si="109"/>
        <v>Htra1_690</v>
      </c>
      <c r="J3495" s="3">
        <v>0</v>
      </c>
      <c r="K3495" s="3">
        <v>585</v>
      </c>
      <c r="L3495" s="3">
        <v>40</v>
      </c>
      <c r="M3495" s="3">
        <v>65</v>
      </c>
      <c r="N3495" s="3">
        <v>0</v>
      </c>
    </row>
    <row r="3496" spans="1:14" x14ac:dyDescent="0.2">
      <c r="A3496" s="5" t="str">
        <f>HYPERLINK("http://www.ncbi.nlm.nih.gov/protein/254281222","Htra2")</f>
        <v>Htra2</v>
      </c>
      <c r="B3496" s="4"/>
      <c r="C3496" s="3">
        <v>0</v>
      </c>
      <c r="D3496" s="3">
        <v>493</v>
      </c>
      <c r="E3496" s="3">
        <v>0</v>
      </c>
      <c r="F3496" s="3">
        <v>0</v>
      </c>
      <c r="G3496" s="3">
        <v>0</v>
      </c>
      <c r="H3496" s="2">
        <f t="shared" si="108"/>
        <v>493</v>
      </c>
      <c r="I3496" t="str">
        <f t="shared" si="109"/>
        <v>Htra2_493</v>
      </c>
      <c r="J3496" s="3">
        <v>0</v>
      </c>
      <c r="K3496" s="3">
        <v>493</v>
      </c>
      <c r="L3496" s="3">
        <v>0</v>
      </c>
      <c r="M3496" s="3">
        <v>0</v>
      </c>
      <c r="N3496" s="3">
        <v>0</v>
      </c>
    </row>
    <row r="3497" spans="1:14" x14ac:dyDescent="0.2">
      <c r="A3497" s="5" t="str">
        <f>HYPERLINK("http://www.ncbi.nlm.nih.gov/protein/45439304","Htt")</f>
        <v>Htt</v>
      </c>
      <c r="B3497" s="4"/>
      <c r="C3497" s="3">
        <v>0</v>
      </c>
      <c r="D3497" s="3">
        <v>61</v>
      </c>
      <c r="E3497" s="3">
        <v>64</v>
      </c>
      <c r="F3497" s="3">
        <v>1302</v>
      </c>
      <c r="G3497" s="3">
        <v>728</v>
      </c>
      <c r="H3497" s="2">
        <f t="shared" si="108"/>
        <v>2155</v>
      </c>
      <c r="I3497" t="str">
        <f t="shared" si="109"/>
        <v>Htt_2155</v>
      </c>
      <c r="J3497" s="3">
        <v>0</v>
      </c>
      <c r="K3497" s="3">
        <v>61</v>
      </c>
      <c r="L3497" s="3">
        <v>64</v>
      </c>
      <c r="M3497" s="3">
        <v>1302</v>
      </c>
      <c r="N3497" s="3">
        <v>728</v>
      </c>
    </row>
    <row r="3498" spans="1:14" x14ac:dyDescent="0.2">
      <c r="A3498" s="5" t="str">
        <f>HYPERLINK("http://www.ncbi.nlm.nih.gov/protein/6680331","Hus1")</f>
        <v>Hus1</v>
      </c>
      <c r="B3498" s="4"/>
      <c r="C3498" s="3">
        <v>0</v>
      </c>
      <c r="D3498" s="3">
        <v>0</v>
      </c>
      <c r="E3498" s="3">
        <v>0</v>
      </c>
      <c r="F3498" s="3">
        <v>0</v>
      </c>
      <c r="G3498" s="3">
        <v>1221</v>
      </c>
      <c r="H3498" s="2">
        <f t="shared" si="108"/>
        <v>1221</v>
      </c>
      <c r="I3498" t="str">
        <f t="shared" si="109"/>
        <v>Hus1_1221</v>
      </c>
      <c r="J3498" s="3">
        <v>0</v>
      </c>
      <c r="K3498" s="3">
        <v>0</v>
      </c>
      <c r="L3498" s="3">
        <v>0</v>
      </c>
      <c r="M3498" s="3">
        <v>0</v>
      </c>
      <c r="N3498" s="3">
        <v>1221</v>
      </c>
    </row>
    <row r="3499" spans="1:14" x14ac:dyDescent="0.2">
      <c r="A3499" s="5" t="str">
        <f>HYPERLINK("http://www.ncbi.nlm.nih.gov/protein/146231996","Huwe1")</f>
        <v>Huwe1</v>
      </c>
      <c r="B3499" s="4"/>
      <c r="C3499" s="3">
        <v>0</v>
      </c>
      <c r="D3499" s="3">
        <v>169</v>
      </c>
      <c r="E3499" s="3">
        <v>556</v>
      </c>
      <c r="F3499" s="3">
        <v>32488</v>
      </c>
      <c r="G3499" s="3">
        <v>43663</v>
      </c>
      <c r="H3499" s="2">
        <f t="shared" si="108"/>
        <v>76876</v>
      </c>
      <c r="I3499" t="str">
        <f t="shared" si="109"/>
        <v>Huwe1_76876</v>
      </c>
      <c r="J3499" s="3">
        <v>0</v>
      </c>
      <c r="K3499" s="3">
        <v>169</v>
      </c>
      <c r="L3499" s="3">
        <v>556</v>
      </c>
      <c r="M3499" s="3">
        <v>32488</v>
      </c>
      <c r="N3499" s="3">
        <v>43663</v>
      </c>
    </row>
    <row r="3500" spans="1:14" x14ac:dyDescent="0.2">
      <c r="A3500" s="5" t="str">
        <f>HYPERLINK("http://www.ncbi.nlm.nih.gov/protein/116812879","Hyal4")</f>
        <v>Hyal4</v>
      </c>
      <c r="B3500" s="4"/>
      <c r="C3500" s="3">
        <v>0</v>
      </c>
      <c r="D3500" s="3">
        <v>409</v>
      </c>
      <c r="E3500" s="3">
        <v>0</v>
      </c>
      <c r="F3500" s="3">
        <v>0</v>
      </c>
      <c r="G3500" s="3">
        <v>0</v>
      </c>
      <c r="H3500" s="2">
        <f t="shared" si="108"/>
        <v>409</v>
      </c>
      <c r="I3500" t="str">
        <f t="shared" si="109"/>
        <v>Hyal4_409</v>
      </c>
      <c r="J3500" s="3">
        <v>0</v>
      </c>
      <c r="K3500" s="3">
        <v>409</v>
      </c>
      <c r="L3500" s="3">
        <v>0</v>
      </c>
      <c r="M3500" s="3">
        <v>0</v>
      </c>
      <c r="N3500" s="3">
        <v>0</v>
      </c>
    </row>
    <row r="3501" spans="1:14" x14ac:dyDescent="0.2">
      <c r="A3501" s="5" t="str">
        <f>HYPERLINK("http://www.ncbi.nlm.nih.gov/protein/46361984","Hydin")</f>
        <v>Hydin</v>
      </c>
      <c r="B3501" s="4"/>
      <c r="C3501" s="3">
        <v>29894</v>
      </c>
      <c r="D3501" s="3">
        <v>4296</v>
      </c>
      <c r="E3501" s="3">
        <v>18251</v>
      </c>
      <c r="F3501" s="3">
        <v>4355</v>
      </c>
      <c r="G3501" s="3">
        <v>82046</v>
      </c>
      <c r="H3501" s="2">
        <f t="shared" si="108"/>
        <v>138842</v>
      </c>
      <c r="I3501" t="str">
        <f t="shared" si="109"/>
        <v>Hydin_138842</v>
      </c>
      <c r="J3501" s="3">
        <v>29894</v>
      </c>
      <c r="K3501" s="3">
        <v>4296</v>
      </c>
      <c r="L3501" s="3">
        <v>18251</v>
      </c>
      <c r="M3501" s="3">
        <v>4355</v>
      </c>
      <c r="N3501" s="3">
        <v>82046</v>
      </c>
    </row>
    <row r="3502" spans="1:14" x14ac:dyDescent="0.2">
      <c r="A3502" s="5" t="str">
        <f>HYPERLINK("http://www.ncbi.nlm.nih.gov/protein/157951706","Hyou1")</f>
        <v>Hyou1</v>
      </c>
      <c r="B3502" s="4"/>
      <c r="C3502" s="3">
        <v>48950</v>
      </c>
      <c r="D3502" s="3">
        <v>13844</v>
      </c>
      <c r="E3502" s="3">
        <v>5410</v>
      </c>
      <c r="F3502" s="3">
        <v>0</v>
      </c>
      <c r="G3502" s="3">
        <v>9960</v>
      </c>
      <c r="H3502" s="2">
        <f t="shared" si="108"/>
        <v>78164</v>
      </c>
      <c r="I3502" t="str">
        <f t="shared" si="109"/>
        <v>Hyou1_78164</v>
      </c>
      <c r="J3502" s="3">
        <v>48950</v>
      </c>
      <c r="K3502" s="3">
        <v>13844</v>
      </c>
      <c r="L3502" s="3">
        <v>5410</v>
      </c>
      <c r="M3502" s="3">
        <v>0</v>
      </c>
      <c r="N3502" s="3">
        <v>9960</v>
      </c>
    </row>
    <row r="3503" spans="1:14" x14ac:dyDescent="0.2">
      <c r="A3503" s="5" t="str">
        <f>HYPERLINK("http://www.ncbi.nlm.nih.gov/protein/27229055","Hypk")</f>
        <v>Hypk</v>
      </c>
      <c r="B3503" s="4"/>
      <c r="C3503" s="3">
        <v>0</v>
      </c>
      <c r="D3503" s="3">
        <v>0</v>
      </c>
      <c r="E3503" s="3">
        <v>815</v>
      </c>
      <c r="F3503" s="3">
        <v>6508</v>
      </c>
      <c r="G3503" s="3">
        <v>2013</v>
      </c>
      <c r="H3503" s="2">
        <f t="shared" si="108"/>
        <v>9336</v>
      </c>
      <c r="I3503" t="str">
        <f t="shared" si="109"/>
        <v>Hypk_9336</v>
      </c>
      <c r="J3503" s="3">
        <v>0</v>
      </c>
      <c r="K3503" s="3">
        <v>0</v>
      </c>
      <c r="L3503" s="3">
        <v>815</v>
      </c>
      <c r="M3503" s="3">
        <v>6508</v>
      </c>
      <c r="N3503" s="3">
        <v>2013</v>
      </c>
    </row>
    <row r="3504" spans="1:14" x14ac:dyDescent="0.2">
      <c r="A3504" s="5" t="str">
        <f>HYPERLINK("http://www.ncbi.nlm.nih.gov/protein/146260276","I830012O16Rik")</f>
        <v>I830012O16Rik</v>
      </c>
      <c r="B3504" s="4"/>
      <c r="C3504" s="3">
        <v>0</v>
      </c>
      <c r="D3504" s="3">
        <v>0</v>
      </c>
      <c r="E3504" s="3">
        <v>200</v>
      </c>
      <c r="F3504" s="3">
        <v>0</v>
      </c>
      <c r="G3504" s="3">
        <v>3406</v>
      </c>
      <c r="H3504" s="2">
        <f t="shared" si="108"/>
        <v>3606</v>
      </c>
      <c r="I3504" t="str">
        <f t="shared" si="109"/>
        <v>I830012O16Rik_3606</v>
      </c>
      <c r="J3504" s="3">
        <v>0</v>
      </c>
      <c r="K3504" s="3">
        <v>0</v>
      </c>
      <c r="L3504" s="3">
        <v>200</v>
      </c>
      <c r="M3504" s="3">
        <v>0</v>
      </c>
      <c r="N3504" s="3">
        <v>3406</v>
      </c>
    </row>
    <row r="3505" spans="1:14" x14ac:dyDescent="0.2">
      <c r="A3505" s="5" t="str">
        <f>HYPERLINK("http://www.ncbi.nlm.nih.gov/protein/27754071","Iah1")</f>
        <v>Iah1</v>
      </c>
      <c r="B3505" s="4"/>
      <c r="C3505" s="3">
        <v>0</v>
      </c>
      <c r="D3505" s="3">
        <v>956</v>
      </c>
      <c r="E3505" s="3">
        <v>618</v>
      </c>
      <c r="F3505" s="3">
        <v>0</v>
      </c>
      <c r="G3505" s="3">
        <v>9960</v>
      </c>
      <c r="H3505" s="2">
        <f t="shared" si="108"/>
        <v>11534</v>
      </c>
      <c r="I3505" t="str">
        <f t="shared" si="109"/>
        <v>Iah1_11534</v>
      </c>
      <c r="J3505" s="3">
        <v>0</v>
      </c>
      <c r="K3505" s="3">
        <v>956</v>
      </c>
      <c r="L3505" s="3">
        <v>618</v>
      </c>
      <c r="M3505" s="3">
        <v>0</v>
      </c>
      <c r="N3505" s="3">
        <v>9960</v>
      </c>
    </row>
    <row r="3506" spans="1:14" x14ac:dyDescent="0.2">
      <c r="A3506" s="5" t="str">
        <f>HYPERLINK("http://www.ncbi.nlm.nih.gov/protein/254553372","Iars")</f>
        <v>Iars</v>
      </c>
      <c r="B3506" s="4"/>
      <c r="C3506" s="3">
        <v>0</v>
      </c>
      <c r="D3506" s="3">
        <v>3138</v>
      </c>
      <c r="E3506" s="3">
        <v>6910</v>
      </c>
      <c r="F3506" s="3">
        <v>338850</v>
      </c>
      <c r="G3506" s="3">
        <v>643</v>
      </c>
      <c r="H3506" s="2">
        <f t="shared" si="108"/>
        <v>349541</v>
      </c>
      <c r="I3506" t="str">
        <f t="shared" si="109"/>
        <v>Iars_349541</v>
      </c>
      <c r="J3506" s="3">
        <v>0</v>
      </c>
      <c r="K3506" s="3">
        <v>3138</v>
      </c>
      <c r="L3506" s="3">
        <v>6910</v>
      </c>
      <c r="M3506" s="3">
        <v>338850</v>
      </c>
      <c r="N3506" s="3">
        <v>643</v>
      </c>
    </row>
    <row r="3507" spans="1:14" x14ac:dyDescent="0.2">
      <c r="A3507" s="5" t="str">
        <f>HYPERLINK("http://www.ncbi.nlm.nih.gov/protein/38490690","Iars2")</f>
        <v>Iars2</v>
      </c>
      <c r="B3507" s="4"/>
      <c r="C3507" s="3">
        <v>13437</v>
      </c>
      <c r="D3507" s="3">
        <v>12705</v>
      </c>
      <c r="E3507" s="3">
        <v>176</v>
      </c>
      <c r="F3507" s="3">
        <v>0</v>
      </c>
      <c r="G3507" s="3">
        <v>75</v>
      </c>
      <c r="H3507" s="2">
        <f t="shared" si="108"/>
        <v>26393</v>
      </c>
      <c r="I3507" t="str">
        <f t="shared" si="109"/>
        <v>Iars2_26393</v>
      </c>
      <c r="J3507" s="3">
        <v>13437</v>
      </c>
      <c r="K3507" s="3">
        <v>12705</v>
      </c>
      <c r="L3507" s="3">
        <v>176</v>
      </c>
      <c r="M3507" s="3">
        <v>0</v>
      </c>
      <c r="N3507" s="3">
        <v>75</v>
      </c>
    </row>
    <row r="3508" spans="1:14" x14ac:dyDescent="0.2">
      <c r="A3508" s="5" t="str">
        <f>HYPERLINK("http://www.ncbi.nlm.nih.gov/protein/124486857","Ibtk")</f>
        <v>Ibtk</v>
      </c>
      <c r="B3508" s="4"/>
      <c r="C3508" s="3">
        <v>0</v>
      </c>
      <c r="D3508" s="3">
        <v>0</v>
      </c>
      <c r="E3508" s="3">
        <v>44</v>
      </c>
      <c r="F3508" s="3">
        <v>0</v>
      </c>
      <c r="G3508" s="3">
        <v>0</v>
      </c>
      <c r="H3508" s="2">
        <f t="shared" si="108"/>
        <v>44</v>
      </c>
      <c r="I3508" t="str">
        <f t="shared" si="109"/>
        <v>Ibtk_44</v>
      </c>
      <c r="J3508" s="3">
        <v>0</v>
      </c>
      <c r="K3508" s="3">
        <v>0</v>
      </c>
      <c r="L3508" s="3">
        <v>44</v>
      </c>
      <c r="M3508" s="3">
        <v>0</v>
      </c>
      <c r="N3508" s="3">
        <v>0</v>
      </c>
    </row>
    <row r="3509" spans="1:14" x14ac:dyDescent="0.2">
      <c r="A3509" s="5" t="str">
        <f>HYPERLINK("http://www.ncbi.nlm.nih.gov/protein/255522770","Ick")</f>
        <v>Ick</v>
      </c>
      <c r="B3509" s="4"/>
      <c r="C3509" s="3">
        <v>0</v>
      </c>
      <c r="D3509" s="3">
        <v>2261</v>
      </c>
      <c r="E3509" s="3">
        <v>3440</v>
      </c>
      <c r="F3509" s="3">
        <v>4330</v>
      </c>
      <c r="G3509" s="3">
        <v>34420</v>
      </c>
      <c r="H3509" s="2">
        <f t="shared" si="108"/>
        <v>44451</v>
      </c>
      <c r="I3509" t="str">
        <f t="shared" si="109"/>
        <v>Ick_44451</v>
      </c>
      <c r="J3509" s="3">
        <v>0</v>
      </c>
      <c r="K3509" s="3">
        <v>2261</v>
      </c>
      <c r="L3509" s="3">
        <v>3440</v>
      </c>
      <c r="M3509" s="3">
        <v>4330</v>
      </c>
      <c r="N3509" s="3">
        <v>34420</v>
      </c>
    </row>
    <row r="3510" spans="1:14" x14ac:dyDescent="0.2">
      <c r="A3510" s="5" t="str">
        <f>HYPERLINK("http://www.ncbi.nlm.nih.gov/protein/7657220","Icosl")</f>
        <v>Icosl</v>
      </c>
      <c r="B3510" s="4"/>
      <c r="C3510" s="3">
        <v>0</v>
      </c>
      <c r="D3510" s="3">
        <v>42</v>
      </c>
      <c r="E3510" s="3">
        <v>0</v>
      </c>
      <c r="F3510" s="3">
        <v>0</v>
      </c>
      <c r="G3510" s="3">
        <v>0</v>
      </c>
      <c r="H3510" s="2">
        <f t="shared" si="108"/>
        <v>42</v>
      </c>
      <c r="I3510" t="str">
        <f t="shared" si="109"/>
        <v>Icosl_42</v>
      </c>
      <c r="J3510" s="3">
        <v>0</v>
      </c>
      <c r="K3510" s="3">
        <v>42</v>
      </c>
      <c r="L3510" s="3">
        <v>0</v>
      </c>
      <c r="M3510" s="3">
        <v>0</v>
      </c>
      <c r="N3510" s="3">
        <v>0</v>
      </c>
    </row>
    <row r="3511" spans="1:14" x14ac:dyDescent="0.2">
      <c r="A3511" s="5" t="str">
        <f>HYPERLINK("http://www.ncbi.nlm.nih.gov/protein/19387848","Ict1")</f>
        <v>Ict1</v>
      </c>
      <c r="B3511" s="4"/>
      <c r="C3511" s="3">
        <v>0</v>
      </c>
      <c r="D3511" s="3">
        <v>134</v>
      </c>
      <c r="E3511" s="3">
        <v>0</v>
      </c>
      <c r="F3511" s="3">
        <v>0</v>
      </c>
      <c r="G3511" s="3">
        <v>0</v>
      </c>
      <c r="H3511" s="2">
        <f t="shared" si="108"/>
        <v>134</v>
      </c>
      <c r="I3511" t="str">
        <f t="shared" si="109"/>
        <v>Ict1_134</v>
      </c>
      <c r="J3511" s="3">
        <v>0</v>
      </c>
      <c r="K3511" s="3">
        <v>134</v>
      </c>
      <c r="L3511" s="3">
        <v>0</v>
      </c>
      <c r="M3511" s="3">
        <v>0</v>
      </c>
      <c r="N3511" s="3">
        <v>0</v>
      </c>
    </row>
    <row r="3512" spans="1:14" x14ac:dyDescent="0.2">
      <c r="A3512" s="5" t="str">
        <f>HYPERLINK("http://www.ncbi.nlm.nih.gov/protein/459352741","Ide")</f>
        <v>Ide</v>
      </c>
      <c r="B3512" s="4"/>
      <c r="C3512" s="3">
        <v>0</v>
      </c>
      <c r="D3512" s="3">
        <v>100</v>
      </c>
      <c r="E3512" s="3">
        <v>1157</v>
      </c>
      <c r="F3512" s="3">
        <v>0</v>
      </c>
      <c r="G3512" s="3">
        <v>0</v>
      </c>
      <c r="H3512" s="2">
        <f t="shared" si="108"/>
        <v>1257</v>
      </c>
      <c r="I3512" t="str">
        <f t="shared" si="109"/>
        <v>Ide_1257</v>
      </c>
      <c r="J3512" s="3">
        <v>0</v>
      </c>
      <c r="K3512" s="3">
        <v>100</v>
      </c>
      <c r="L3512" s="3">
        <v>1157</v>
      </c>
      <c r="M3512" s="3">
        <v>0</v>
      </c>
      <c r="N3512" s="3">
        <v>0</v>
      </c>
    </row>
    <row r="3513" spans="1:14" x14ac:dyDescent="0.2">
      <c r="A3513" s="5" t="str">
        <f>HYPERLINK("http://www.ncbi.nlm.nih.gov/protein/121583922","Ide")</f>
        <v>Ide</v>
      </c>
      <c r="B3513" s="4"/>
      <c r="C3513" s="3">
        <v>0</v>
      </c>
      <c r="D3513" s="3">
        <v>113</v>
      </c>
      <c r="E3513" s="3">
        <v>4444</v>
      </c>
      <c r="F3513" s="3">
        <v>16862</v>
      </c>
      <c r="G3513" s="3">
        <v>105114</v>
      </c>
      <c r="H3513" s="2">
        <f t="shared" si="108"/>
        <v>126533</v>
      </c>
      <c r="I3513" t="str">
        <f t="shared" si="109"/>
        <v>Ide_126533</v>
      </c>
      <c r="J3513" s="3">
        <v>0</v>
      </c>
      <c r="K3513" s="3">
        <v>113</v>
      </c>
      <c r="L3513" s="3">
        <v>4444</v>
      </c>
      <c r="M3513" s="3">
        <v>16862</v>
      </c>
      <c r="N3513" s="3">
        <v>105114</v>
      </c>
    </row>
    <row r="3514" spans="1:14" x14ac:dyDescent="0.2">
      <c r="A3514" s="5" t="str">
        <f>HYPERLINK("http://www.ncbi.nlm.nih.gov/protein/162417975","Idh1")</f>
        <v>Idh1</v>
      </c>
      <c r="B3514" s="4"/>
      <c r="C3514" s="3">
        <v>17482</v>
      </c>
      <c r="D3514" s="3">
        <v>45326</v>
      </c>
      <c r="E3514" s="3">
        <v>29344</v>
      </c>
      <c r="F3514" s="3">
        <v>2488</v>
      </c>
      <c r="G3514" s="3">
        <v>638501</v>
      </c>
      <c r="H3514" s="2">
        <f t="shared" si="108"/>
        <v>733141</v>
      </c>
      <c r="I3514" t="str">
        <f t="shared" si="109"/>
        <v>Idh1_733141</v>
      </c>
      <c r="J3514" s="3">
        <v>17482</v>
      </c>
      <c r="K3514" s="3">
        <v>45326</v>
      </c>
      <c r="L3514" s="3">
        <v>29344</v>
      </c>
      <c r="M3514" s="3">
        <v>2488</v>
      </c>
      <c r="N3514" s="3">
        <v>638501</v>
      </c>
    </row>
    <row r="3515" spans="1:14" x14ac:dyDescent="0.2">
      <c r="A3515" s="5" t="str">
        <f>HYPERLINK("http://www.ncbi.nlm.nih.gov/protein/225579033","Idh2")</f>
        <v>Idh2</v>
      </c>
      <c r="B3515" s="4"/>
      <c r="C3515" s="3">
        <v>766162</v>
      </c>
      <c r="D3515" s="3">
        <v>114544</v>
      </c>
      <c r="E3515" s="3">
        <v>4604</v>
      </c>
      <c r="F3515" s="3">
        <v>0</v>
      </c>
      <c r="G3515" s="3">
        <v>111904</v>
      </c>
      <c r="H3515" s="2">
        <f t="shared" si="108"/>
        <v>997214</v>
      </c>
      <c r="I3515" t="str">
        <f t="shared" si="109"/>
        <v>Idh2_997214</v>
      </c>
      <c r="J3515" s="3">
        <v>766162</v>
      </c>
      <c r="K3515" s="3">
        <v>114544</v>
      </c>
      <c r="L3515" s="3">
        <v>4604</v>
      </c>
      <c r="M3515" s="3">
        <v>0</v>
      </c>
      <c r="N3515" s="3">
        <v>111904</v>
      </c>
    </row>
    <row r="3516" spans="1:14" x14ac:dyDescent="0.2">
      <c r="A3516" s="5" t="str">
        <f>HYPERLINK("http://www.ncbi.nlm.nih.gov/protein/18250284","Idh3a")</f>
        <v>Idh3a</v>
      </c>
      <c r="B3516" s="4"/>
      <c r="C3516" s="3">
        <v>171418</v>
      </c>
      <c r="D3516" s="3">
        <v>16182</v>
      </c>
      <c r="E3516" s="3">
        <v>1793</v>
      </c>
      <c r="F3516" s="3">
        <v>0</v>
      </c>
      <c r="G3516" s="3">
        <v>10624</v>
      </c>
      <c r="H3516" s="2">
        <f t="shared" si="108"/>
        <v>200017</v>
      </c>
      <c r="I3516" t="str">
        <f t="shared" si="109"/>
        <v>Idh3a_200017</v>
      </c>
      <c r="J3516" s="3">
        <v>171418</v>
      </c>
      <c r="K3516" s="3">
        <v>16182</v>
      </c>
      <c r="L3516" s="3">
        <v>1793</v>
      </c>
      <c r="M3516" s="3">
        <v>0</v>
      </c>
      <c r="N3516" s="3">
        <v>10624</v>
      </c>
    </row>
    <row r="3517" spans="1:14" x14ac:dyDescent="0.2">
      <c r="A3517" s="5" t="str">
        <f>HYPERLINK("http://www.ncbi.nlm.nih.gov/protein/18700024","Idh3b")</f>
        <v>Idh3b</v>
      </c>
      <c r="B3517" s="4"/>
      <c r="C3517" s="3">
        <v>25317</v>
      </c>
      <c r="D3517" s="3">
        <v>530</v>
      </c>
      <c r="E3517" s="3">
        <v>47</v>
      </c>
      <c r="F3517" s="3">
        <v>426</v>
      </c>
      <c r="G3517" s="3">
        <v>0</v>
      </c>
      <c r="H3517" s="2">
        <f t="shared" si="108"/>
        <v>26320</v>
      </c>
      <c r="I3517" t="str">
        <f t="shared" si="109"/>
        <v>Idh3b_26320</v>
      </c>
      <c r="J3517" s="3">
        <v>25317</v>
      </c>
      <c r="K3517" s="3">
        <v>530</v>
      </c>
      <c r="L3517" s="3">
        <v>47</v>
      </c>
      <c r="M3517" s="3">
        <v>426</v>
      </c>
      <c r="N3517" s="3">
        <v>0</v>
      </c>
    </row>
    <row r="3518" spans="1:14" x14ac:dyDescent="0.2">
      <c r="A3518" s="5" t="str">
        <f>HYPERLINK("http://www.ncbi.nlm.nih.gov/protein/6680345","Idh3g")</f>
        <v>Idh3g</v>
      </c>
      <c r="B3518" s="4"/>
      <c r="C3518" s="3">
        <v>1446</v>
      </c>
      <c r="D3518" s="3">
        <v>301</v>
      </c>
      <c r="E3518" s="3">
        <v>0</v>
      </c>
      <c r="F3518" s="3">
        <v>0</v>
      </c>
      <c r="G3518" s="3">
        <v>0</v>
      </c>
      <c r="H3518" s="2">
        <f t="shared" si="108"/>
        <v>1747</v>
      </c>
      <c r="I3518" t="str">
        <f t="shared" si="109"/>
        <v>Idh3g_1747</v>
      </c>
      <c r="J3518" s="3">
        <v>1446</v>
      </c>
      <c r="K3518" s="3">
        <v>301</v>
      </c>
      <c r="L3518" s="3">
        <v>0</v>
      </c>
      <c r="M3518" s="3">
        <v>0</v>
      </c>
      <c r="N3518" s="3">
        <v>0</v>
      </c>
    </row>
    <row r="3519" spans="1:14" x14ac:dyDescent="0.2">
      <c r="A3519" s="5" t="str">
        <f>HYPERLINK("http://www.ncbi.nlm.nih.gov/protein/281604088","Idi1")</f>
        <v>Idi1</v>
      </c>
      <c r="B3519" s="4"/>
      <c r="C3519" s="3">
        <v>293</v>
      </c>
      <c r="D3519" s="3">
        <v>4513</v>
      </c>
      <c r="E3519" s="3">
        <v>2573</v>
      </c>
      <c r="F3519" s="3">
        <v>573</v>
      </c>
      <c r="G3519" s="3">
        <v>67834</v>
      </c>
      <c r="H3519" s="2">
        <f t="shared" si="108"/>
        <v>75786</v>
      </c>
      <c r="I3519" t="str">
        <f t="shared" si="109"/>
        <v>Idi1_75786</v>
      </c>
      <c r="J3519" s="3">
        <v>293</v>
      </c>
      <c r="K3519" s="3">
        <v>4513</v>
      </c>
      <c r="L3519" s="3">
        <v>2573</v>
      </c>
      <c r="M3519" s="3">
        <v>573</v>
      </c>
      <c r="N3519" s="3">
        <v>67834</v>
      </c>
    </row>
    <row r="3520" spans="1:14" x14ac:dyDescent="0.2">
      <c r="A3520" s="5" t="str">
        <f>HYPERLINK("http://www.ncbi.nlm.nih.gov/protein/347582671","Ido2")</f>
        <v>Ido2</v>
      </c>
      <c r="B3520" s="4"/>
      <c r="C3520" s="3">
        <v>0</v>
      </c>
      <c r="D3520" s="3">
        <v>0</v>
      </c>
      <c r="E3520" s="3">
        <v>0</v>
      </c>
      <c r="F3520" s="3">
        <v>2701</v>
      </c>
      <c r="G3520" s="3">
        <v>0</v>
      </c>
      <c r="H3520" s="2">
        <f t="shared" si="108"/>
        <v>2701</v>
      </c>
      <c r="I3520" t="str">
        <f t="shared" si="109"/>
        <v>Ido2_2701</v>
      </c>
      <c r="J3520" s="3">
        <v>0</v>
      </c>
      <c r="K3520" s="3">
        <v>0</v>
      </c>
      <c r="L3520" s="3">
        <v>0</v>
      </c>
      <c r="M3520" s="3">
        <v>2701</v>
      </c>
      <c r="N3520" s="3">
        <v>0</v>
      </c>
    </row>
    <row r="3521" spans="1:14" x14ac:dyDescent="0.2">
      <c r="A3521" s="5" t="str">
        <f>HYPERLINK("http://www.ncbi.nlm.nih.gov/protein/13384796","Ier3ip1")</f>
        <v>Ier3ip1</v>
      </c>
      <c r="B3521" s="4"/>
      <c r="C3521" s="3">
        <v>366</v>
      </c>
      <c r="D3521" s="3">
        <v>255</v>
      </c>
      <c r="E3521" s="3">
        <v>442</v>
      </c>
      <c r="F3521" s="3">
        <v>0</v>
      </c>
      <c r="G3521" s="3">
        <v>0</v>
      </c>
      <c r="H3521" s="2">
        <f t="shared" si="108"/>
        <v>1063</v>
      </c>
      <c r="I3521" t="str">
        <f t="shared" si="109"/>
        <v>Ier3ip1_1063</v>
      </c>
      <c r="J3521" s="3">
        <v>366</v>
      </c>
      <c r="K3521" s="3">
        <v>255</v>
      </c>
      <c r="L3521" s="3">
        <v>442</v>
      </c>
      <c r="M3521" s="3">
        <v>0</v>
      </c>
      <c r="N3521" s="3">
        <v>0</v>
      </c>
    </row>
    <row r="3522" spans="1:14" x14ac:dyDescent="0.2">
      <c r="A3522" s="5" t="str">
        <f>HYPERLINK("http://www.ncbi.nlm.nih.gov/protein/118130979","Ifi204")</f>
        <v>Ifi204</v>
      </c>
      <c r="B3522" s="4"/>
      <c r="C3522" s="3">
        <v>29894</v>
      </c>
      <c r="D3522" s="3">
        <v>4296</v>
      </c>
      <c r="E3522" s="3">
        <v>18251</v>
      </c>
      <c r="F3522" s="3">
        <v>4355</v>
      </c>
      <c r="G3522" s="3">
        <v>82120</v>
      </c>
      <c r="H3522" s="2">
        <f t="shared" ref="H3522:H3585" si="110">SUM(C3522:G3522)</f>
        <v>138916</v>
      </c>
      <c r="I3522" t="str">
        <f t="shared" ref="I3522:I3585" si="111">A3522&amp;"_"&amp;H3522</f>
        <v>Ifi204_138916</v>
      </c>
      <c r="J3522" s="3">
        <v>29894</v>
      </c>
      <c r="K3522" s="3">
        <v>4296</v>
      </c>
      <c r="L3522" s="3">
        <v>18251</v>
      </c>
      <c r="M3522" s="3">
        <v>4355</v>
      </c>
      <c r="N3522" s="3">
        <v>82120</v>
      </c>
    </row>
    <row r="3523" spans="1:14" x14ac:dyDescent="0.2">
      <c r="A3523" s="5" t="str">
        <f>HYPERLINK("http://www.ncbi.nlm.nih.gov/protein/125628657","Ifi30")</f>
        <v>Ifi30</v>
      </c>
      <c r="B3523" s="4"/>
      <c r="C3523" s="3">
        <v>60337</v>
      </c>
      <c r="D3523" s="3">
        <v>13932</v>
      </c>
      <c r="E3523" s="3">
        <v>9706</v>
      </c>
      <c r="F3523" s="3">
        <v>2276</v>
      </c>
      <c r="G3523" s="3">
        <v>57007</v>
      </c>
      <c r="H3523" s="2">
        <f t="shared" si="110"/>
        <v>143258</v>
      </c>
      <c r="I3523" t="str">
        <f t="shared" si="111"/>
        <v>Ifi30_143258</v>
      </c>
      <c r="J3523" s="3">
        <v>60337</v>
      </c>
      <c r="K3523" s="3">
        <v>13932</v>
      </c>
      <c r="L3523" s="3">
        <v>9706</v>
      </c>
      <c r="M3523" s="3">
        <v>2276</v>
      </c>
      <c r="N3523" s="3">
        <v>57007</v>
      </c>
    </row>
    <row r="3524" spans="1:14" x14ac:dyDescent="0.2">
      <c r="A3524" s="5" t="str">
        <f>HYPERLINK("http://www.ncbi.nlm.nih.gov/protein/21312544","Ifi35")</f>
        <v>Ifi35</v>
      </c>
      <c r="B3524" s="4"/>
      <c r="C3524" s="3">
        <v>0</v>
      </c>
      <c r="D3524" s="3">
        <v>106</v>
      </c>
      <c r="E3524" s="3">
        <v>815</v>
      </c>
      <c r="F3524" s="3">
        <v>0</v>
      </c>
      <c r="G3524" s="3">
        <v>4102</v>
      </c>
      <c r="H3524" s="2">
        <f t="shared" si="110"/>
        <v>5023</v>
      </c>
      <c r="I3524" t="str">
        <f t="shared" si="111"/>
        <v>Ifi35_5023</v>
      </c>
      <c r="J3524" s="3">
        <v>0</v>
      </c>
      <c r="K3524" s="3">
        <v>106</v>
      </c>
      <c r="L3524" s="3">
        <v>815</v>
      </c>
      <c r="M3524" s="3">
        <v>0</v>
      </c>
      <c r="N3524" s="3">
        <v>4102</v>
      </c>
    </row>
    <row r="3525" spans="1:14" x14ac:dyDescent="0.2">
      <c r="A3525" s="5" t="str">
        <f>HYPERLINK("http://www.ncbi.nlm.nih.gov/protein/410991922","Ifi47")</f>
        <v>Ifi47</v>
      </c>
      <c r="B3525" s="4"/>
      <c r="C3525" s="3">
        <v>0</v>
      </c>
      <c r="D3525" s="3">
        <v>0</v>
      </c>
      <c r="E3525" s="3">
        <v>94</v>
      </c>
      <c r="F3525" s="3">
        <v>0</v>
      </c>
      <c r="G3525" s="3">
        <v>2463</v>
      </c>
      <c r="H3525" s="2">
        <f t="shared" si="110"/>
        <v>2557</v>
      </c>
      <c r="I3525" t="str">
        <f t="shared" si="111"/>
        <v>Ifi47_2557</v>
      </c>
      <c r="J3525" s="3">
        <v>0</v>
      </c>
      <c r="K3525" s="3">
        <v>0</v>
      </c>
      <c r="L3525" s="3">
        <v>94</v>
      </c>
      <c r="M3525" s="3">
        <v>0</v>
      </c>
      <c r="N3525" s="3">
        <v>2463</v>
      </c>
    </row>
    <row r="3526" spans="1:14" x14ac:dyDescent="0.2">
      <c r="A3526" s="5" t="str">
        <f>HYPERLINK("http://www.ncbi.nlm.nih.gov/protein/257096036","Ifih1")</f>
        <v>Ifih1</v>
      </c>
      <c r="B3526" s="4"/>
      <c r="C3526" s="3">
        <v>0</v>
      </c>
      <c r="D3526" s="3">
        <v>0</v>
      </c>
      <c r="E3526" s="3">
        <v>16</v>
      </c>
      <c r="F3526" s="3">
        <v>0</v>
      </c>
      <c r="G3526" s="3">
        <v>2142</v>
      </c>
      <c r="H3526" s="2">
        <f t="shared" si="110"/>
        <v>2158</v>
      </c>
      <c r="I3526" t="str">
        <f t="shared" si="111"/>
        <v>Ifih1_2158</v>
      </c>
      <c r="J3526" s="3">
        <v>0</v>
      </c>
      <c r="K3526" s="3">
        <v>0</v>
      </c>
      <c r="L3526" s="3">
        <v>16</v>
      </c>
      <c r="M3526" s="3">
        <v>0</v>
      </c>
      <c r="N3526" s="3">
        <v>2142</v>
      </c>
    </row>
    <row r="3527" spans="1:14" x14ac:dyDescent="0.2">
      <c r="A3527" s="5" t="str">
        <f>HYPERLINK("http://www.ncbi.nlm.nih.gov/protein/257096038","Ifih1")</f>
        <v>Ifih1</v>
      </c>
      <c r="B3527" s="4"/>
      <c r="C3527" s="3">
        <v>0</v>
      </c>
      <c r="D3527" s="3">
        <v>0</v>
      </c>
      <c r="E3527" s="3">
        <v>16</v>
      </c>
      <c r="F3527" s="3">
        <v>0</v>
      </c>
      <c r="G3527" s="3">
        <v>2142</v>
      </c>
      <c r="H3527" s="2">
        <f t="shared" si="110"/>
        <v>2158</v>
      </c>
      <c r="I3527" t="str">
        <f t="shared" si="111"/>
        <v>Ifih1_2158</v>
      </c>
      <c r="J3527" s="3">
        <v>0</v>
      </c>
      <c r="K3527" s="3">
        <v>0</v>
      </c>
      <c r="L3527" s="3">
        <v>16</v>
      </c>
      <c r="M3527" s="3">
        <v>0</v>
      </c>
      <c r="N3527" s="3">
        <v>2142</v>
      </c>
    </row>
    <row r="3528" spans="1:14" x14ac:dyDescent="0.2">
      <c r="A3528" s="5" t="str">
        <f>HYPERLINK("http://www.ncbi.nlm.nih.gov/protein/110626104","Ifit1")</f>
        <v>Ifit1</v>
      </c>
      <c r="B3528" s="4"/>
      <c r="C3528" s="3">
        <v>0</v>
      </c>
      <c r="D3528" s="3">
        <v>532</v>
      </c>
      <c r="E3528" s="3">
        <v>1652</v>
      </c>
      <c r="F3528" s="3">
        <v>15438</v>
      </c>
      <c r="G3528" s="3">
        <v>2849</v>
      </c>
      <c r="H3528" s="2">
        <f t="shared" si="110"/>
        <v>20471</v>
      </c>
      <c r="I3528" t="str">
        <f t="shared" si="111"/>
        <v>Ifit1_20471</v>
      </c>
      <c r="J3528" s="3">
        <v>0</v>
      </c>
      <c r="K3528" s="3">
        <v>532</v>
      </c>
      <c r="L3528" s="3">
        <v>1652</v>
      </c>
      <c r="M3528" s="3">
        <v>15438</v>
      </c>
      <c r="N3528" s="3">
        <v>2849</v>
      </c>
    </row>
    <row r="3529" spans="1:14" x14ac:dyDescent="0.2">
      <c r="A3529" s="5" t="str">
        <f>HYPERLINK("http://www.ncbi.nlm.nih.gov/protein/6680363","Ifit2")</f>
        <v>Ifit2</v>
      </c>
      <c r="B3529" s="4"/>
      <c r="C3529" s="3">
        <v>0</v>
      </c>
      <c r="D3529" s="3">
        <v>0</v>
      </c>
      <c r="E3529" s="3">
        <v>244</v>
      </c>
      <c r="F3529" s="3">
        <v>0</v>
      </c>
      <c r="G3529" s="3">
        <v>578</v>
      </c>
      <c r="H3529" s="2">
        <f t="shared" si="110"/>
        <v>822</v>
      </c>
      <c r="I3529" t="str">
        <f t="shared" si="111"/>
        <v>Ifit2_822</v>
      </c>
      <c r="J3529" s="3">
        <v>0</v>
      </c>
      <c r="K3529" s="3">
        <v>0</v>
      </c>
      <c r="L3529" s="3">
        <v>244</v>
      </c>
      <c r="M3529" s="3">
        <v>0</v>
      </c>
      <c r="N3529" s="3">
        <v>578</v>
      </c>
    </row>
    <row r="3530" spans="1:14" x14ac:dyDescent="0.2">
      <c r="A3530" s="5" t="str">
        <f>HYPERLINK("http://www.ncbi.nlm.nih.gov/protein/6754288","Ifit3")</f>
        <v>Ifit3</v>
      </c>
      <c r="B3530" s="4"/>
      <c r="C3530" s="3">
        <v>0</v>
      </c>
      <c r="D3530" s="3">
        <v>0</v>
      </c>
      <c r="E3530" s="3">
        <v>200</v>
      </c>
      <c r="F3530" s="3">
        <v>0</v>
      </c>
      <c r="G3530" s="3">
        <v>3406</v>
      </c>
      <c r="H3530" s="2">
        <f t="shared" si="110"/>
        <v>3606</v>
      </c>
      <c r="I3530" t="str">
        <f t="shared" si="111"/>
        <v>Ifit3_3606</v>
      </c>
      <c r="J3530" s="3">
        <v>0</v>
      </c>
      <c r="K3530" s="3">
        <v>0</v>
      </c>
      <c r="L3530" s="3">
        <v>200</v>
      </c>
      <c r="M3530" s="3">
        <v>0</v>
      </c>
      <c r="N3530" s="3">
        <v>3406</v>
      </c>
    </row>
    <row r="3531" spans="1:14" x14ac:dyDescent="0.2">
      <c r="A3531" s="5" t="str">
        <f>HYPERLINK("http://www.ncbi.nlm.nih.gov/protein/13507626","Ifitm2")</f>
        <v>Ifitm2</v>
      </c>
      <c r="B3531" s="4"/>
      <c r="C3531" s="3">
        <v>0</v>
      </c>
      <c r="D3531" s="3">
        <v>2601</v>
      </c>
      <c r="E3531" s="3">
        <v>2109</v>
      </c>
      <c r="F3531" s="3">
        <v>65</v>
      </c>
      <c r="G3531" s="3">
        <v>0</v>
      </c>
      <c r="H3531" s="2">
        <f t="shared" si="110"/>
        <v>4775</v>
      </c>
      <c r="I3531" t="str">
        <f t="shared" si="111"/>
        <v>Ifitm2_4775</v>
      </c>
      <c r="J3531" s="3">
        <v>0</v>
      </c>
      <c r="K3531" s="3">
        <v>2601</v>
      </c>
      <c r="L3531" s="3">
        <v>2109</v>
      </c>
      <c r="M3531" s="3">
        <v>65</v>
      </c>
      <c r="N3531" s="3">
        <v>0</v>
      </c>
    </row>
    <row r="3532" spans="1:14" x14ac:dyDescent="0.2">
      <c r="A3532" s="5" t="str">
        <f>HYPERLINK("http://www.ncbi.nlm.nih.gov/protein/21539593","Ifitm3")</f>
        <v>Ifitm3</v>
      </c>
      <c r="B3532" s="4"/>
      <c r="C3532" s="3">
        <v>0</v>
      </c>
      <c r="D3532" s="3">
        <v>2042</v>
      </c>
      <c r="E3532" s="3">
        <v>2356</v>
      </c>
      <c r="F3532" s="3">
        <v>1040</v>
      </c>
      <c r="G3532" s="3">
        <v>0</v>
      </c>
      <c r="H3532" s="2">
        <f t="shared" si="110"/>
        <v>5438</v>
      </c>
      <c r="I3532" t="str">
        <f t="shared" si="111"/>
        <v>Ifitm3_5438</v>
      </c>
      <c r="J3532" s="3">
        <v>0</v>
      </c>
      <c r="K3532" s="3">
        <v>2042</v>
      </c>
      <c r="L3532" s="3">
        <v>2356</v>
      </c>
      <c r="M3532" s="3">
        <v>1040</v>
      </c>
      <c r="N3532" s="3">
        <v>0</v>
      </c>
    </row>
    <row r="3533" spans="1:14" x14ac:dyDescent="0.2">
      <c r="A3533" s="5" t="str">
        <f>HYPERLINK("http://www.ncbi.nlm.nih.gov/protein/226062273","Ifrd1")</f>
        <v>Ifrd1</v>
      </c>
      <c r="B3533" s="4"/>
      <c r="C3533" s="3">
        <v>0</v>
      </c>
      <c r="D3533" s="3">
        <v>0</v>
      </c>
      <c r="E3533" s="3">
        <v>59</v>
      </c>
      <c r="F3533" s="3">
        <v>6303</v>
      </c>
      <c r="G3533" s="3">
        <v>0</v>
      </c>
      <c r="H3533" s="2">
        <f t="shared" si="110"/>
        <v>6362</v>
      </c>
      <c r="I3533" t="str">
        <f t="shared" si="111"/>
        <v>Ifrd1_6362</v>
      </c>
      <c r="J3533" s="3">
        <v>0</v>
      </c>
      <c r="K3533" s="3">
        <v>0</v>
      </c>
      <c r="L3533" s="3">
        <v>59</v>
      </c>
      <c r="M3533" s="3">
        <v>6303</v>
      </c>
      <c r="N3533" s="3">
        <v>0</v>
      </c>
    </row>
    <row r="3534" spans="1:14" x14ac:dyDescent="0.2">
      <c r="A3534" s="5" t="str">
        <f>HYPERLINK("http://www.ncbi.nlm.nih.gov/protein/268370099","Ift122")</f>
        <v>Ift122</v>
      </c>
      <c r="B3534" s="4"/>
      <c r="C3534" s="3">
        <v>0</v>
      </c>
      <c r="D3534" s="3">
        <v>0</v>
      </c>
      <c r="E3534" s="3">
        <v>37</v>
      </c>
      <c r="F3534" s="3">
        <v>0</v>
      </c>
      <c r="G3534" s="3">
        <v>0</v>
      </c>
      <c r="H3534" s="2">
        <f t="shared" si="110"/>
        <v>37</v>
      </c>
      <c r="I3534" t="str">
        <f t="shared" si="111"/>
        <v>Ift122_37</v>
      </c>
      <c r="J3534" s="3">
        <v>0</v>
      </c>
      <c r="K3534" s="3">
        <v>0</v>
      </c>
      <c r="L3534" s="3">
        <v>37</v>
      </c>
      <c r="M3534" s="3">
        <v>0</v>
      </c>
      <c r="N3534" s="3">
        <v>0</v>
      </c>
    </row>
    <row r="3535" spans="1:14" x14ac:dyDescent="0.2">
      <c r="A3535" s="5" t="str">
        <f>HYPERLINK("http://www.ncbi.nlm.nih.gov/protein/268370101","Ift122")</f>
        <v>Ift122</v>
      </c>
      <c r="B3535" s="4"/>
      <c r="C3535" s="3">
        <v>0</v>
      </c>
      <c r="D3535" s="3">
        <v>0</v>
      </c>
      <c r="E3535" s="3">
        <v>37</v>
      </c>
      <c r="F3535" s="3">
        <v>0</v>
      </c>
      <c r="G3535" s="3">
        <v>0</v>
      </c>
      <c r="H3535" s="2">
        <f t="shared" si="110"/>
        <v>37</v>
      </c>
      <c r="I3535" t="str">
        <f t="shared" si="111"/>
        <v>Ift122_37</v>
      </c>
      <c r="J3535" s="3">
        <v>0</v>
      </c>
      <c r="K3535" s="3">
        <v>0</v>
      </c>
      <c r="L3535" s="3">
        <v>37</v>
      </c>
      <c r="M3535" s="3">
        <v>0</v>
      </c>
      <c r="N3535" s="3">
        <v>0</v>
      </c>
    </row>
    <row r="3536" spans="1:14" x14ac:dyDescent="0.2">
      <c r="A3536" s="5" t="str">
        <f>HYPERLINK("http://www.ncbi.nlm.nih.gov/protein/184186088","Ift140")</f>
        <v>Ift140</v>
      </c>
      <c r="B3536" s="4"/>
      <c r="C3536" s="3">
        <v>0</v>
      </c>
      <c r="D3536" s="3">
        <v>0</v>
      </c>
      <c r="E3536" s="3">
        <v>15</v>
      </c>
      <c r="F3536" s="3">
        <v>0</v>
      </c>
      <c r="G3536" s="3">
        <v>0</v>
      </c>
      <c r="H3536" s="2">
        <f t="shared" si="110"/>
        <v>15</v>
      </c>
      <c r="I3536" t="str">
        <f t="shared" si="111"/>
        <v>Ift140_15</v>
      </c>
      <c r="J3536" s="3">
        <v>0</v>
      </c>
      <c r="K3536" s="3">
        <v>0</v>
      </c>
      <c r="L3536" s="3">
        <v>15</v>
      </c>
      <c r="M3536" s="3">
        <v>0</v>
      </c>
      <c r="N3536" s="3">
        <v>0</v>
      </c>
    </row>
    <row r="3537" spans="1:14" x14ac:dyDescent="0.2">
      <c r="A3537" s="5" t="str">
        <f>HYPERLINK("http://www.ncbi.nlm.nih.gov/protein/281182704","Ift172")</f>
        <v>Ift172</v>
      </c>
      <c r="B3537" s="4"/>
      <c r="C3537" s="3">
        <v>0</v>
      </c>
      <c r="D3537" s="3">
        <v>0</v>
      </c>
      <c r="E3537" s="3">
        <v>13</v>
      </c>
      <c r="F3537" s="3">
        <v>0</v>
      </c>
      <c r="G3537" s="3">
        <v>0</v>
      </c>
      <c r="H3537" s="2">
        <f t="shared" si="110"/>
        <v>13</v>
      </c>
      <c r="I3537" t="str">
        <f t="shared" si="111"/>
        <v>Ift172_13</v>
      </c>
      <c r="J3537" s="3">
        <v>0</v>
      </c>
      <c r="K3537" s="3">
        <v>0</v>
      </c>
      <c r="L3537" s="3">
        <v>13</v>
      </c>
      <c r="M3537" s="3">
        <v>0</v>
      </c>
      <c r="N3537" s="3">
        <v>0</v>
      </c>
    </row>
    <row r="3538" spans="1:14" x14ac:dyDescent="0.2">
      <c r="A3538" s="5" t="str">
        <f>HYPERLINK("http://www.ncbi.nlm.nih.gov/protein/9506865","Ift20")</f>
        <v>Ift20</v>
      </c>
      <c r="B3538" s="4"/>
      <c r="C3538" s="3">
        <v>0</v>
      </c>
      <c r="D3538" s="3">
        <v>0</v>
      </c>
      <c r="E3538" s="3">
        <v>0</v>
      </c>
      <c r="F3538" s="3">
        <v>98</v>
      </c>
      <c r="G3538" s="3">
        <v>107</v>
      </c>
      <c r="H3538" s="2">
        <f t="shared" si="110"/>
        <v>205</v>
      </c>
      <c r="I3538" t="str">
        <f t="shared" si="111"/>
        <v>Ift20_205</v>
      </c>
      <c r="J3538" s="3">
        <v>0</v>
      </c>
      <c r="K3538" s="3">
        <v>0</v>
      </c>
      <c r="L3538" s="3">
        <v>0</v>
      </c>
      <c r="M3538" s="3">
        <v>98</v>
      </c>
      <c r="N3538" s="3">
        <v>107</v>
      </c>
    </row>
    <row r="3539" spans="1:14" x14ac:dyDescent="0.2">
      <c r="A3539" s="5" t="str">
        <f>HYPERLINK("http://www.ncbi.nlm.nih.gov/protein/21313158","Ift27")</f>
        <v>Ift27</v>
      </c>
      <c r="B3539" s="4"/>
      <c r="C3539" s="3">
        <v>0</v>
      </c>
      <c r="D3539" s="3">
        <v>246</v>
      </c>
      <c r="E3539" s="3">
        <v>29</v>
      </c>
      <c r="F3539" s="3">
        <v>606</v>
      </c>
      <c r="G3539" s="3">
        <v>1799</v>
      </c>
      <c r="H3539" s="2">
        <f t="shared" si="110"/>
        <v>2680</v>
      </c>
      <c r="I3539" t="str">
        <f t="shared" si="111"/>
        <v>Ift27_2680</v>
      </c>
      <c r="J3539" s="3">
        <v>0</v>
      </c>
      <c r="K3539" s="3">
        <v>246</v>
      </c>
      <c r="L3539" s="3">
        <v>29</v>
      </c>
      <c r="M3539" s="3">
        <v>606</v>
      </c>
      <c r="N3539" s="3">
        <v>1799</v>
      </c>
    </row>
    <row r="3540" spans="1:14" x14ac:dyDescent="0.2">
      <c r="A3540" s="5" t="str">
        <f>HYPERLINK("http://www.ncbi.nlm.nih.gov/protein/31981999","Ift52")</f>
        <v>Ift52</v>
      </c>
      <c r="B3540" s="4"/>
      <c r="C3540" s="3">
        <v>0</v>
      </c>
      <c r="D3540" s="3">
        <v>0</v>
      </c>
      <c r="E3540" s="3">
        <v>0</v>
      </c>
      <c r="F3540" s="3">
        <v>0</v>
      </c>
      <c r="G3540" s="3">
        <v>632</v>
      </c>
      <c r="H3540" s="2">
        <f t="shared" si="110"/>
        <v>632</v>
      </c>
      <c r="I3540" t="str">
        <f t="shared" si="111"/>
        <v>Ift52_632</v>
      </c>
      <c r="J3540" s="3">
        <v>0</v>
      </c>
      <c r="K3540" s="3">
        <v>0</v>
      </c>
      <c r="L3540" s="3">
        <v>0</v>
      </c>
      <c r="M3540" s="3">
        <v>0</v>
      </c>
      <c r="N3540" s="3">
        <v>632</v>
      </c>
    </row>
    <row r="3541" spans="1:14" x14ac:dyDescent="0.2">
      <c r="A3541" s="5" t="str">
        <f>HYPERLINK("http://www.ncbi.nlm.nih.gov/protein/28076907","Ift80")</f>
        <v>Ift80</v>
      </c>
      <c r="B3541" s="4"/>
      <c r="C3541" s="3">
        <v>0</v>
      </c>
      <c r="D3541" s="3">
        <v>182</v>
      </c>
      <c r="E3541" s="3">
        <v>117</v>
      </c>
      <c r="F3541" s="3">
        <v>3782</v>
      </c>
      <c r="G3541" s="3">
        <v>56139</v>
      </c>
      <c r="H3541" s="2">
        <f t="shared" si="110"/>
        <v>60220</v>
      </c>
      <c r="I3541" t="str">
        <f t="shared" si="111"/>
        <v>Ift80_60220</v>
      </c>
      <c r="J3541" s="3">
        <v>0</v>
      </c>
      <c r="K3541" s="3">
        <v>182</v>
      </c>
      <c r="L3541" s="3">
        <v>117</v>
      </c>
      <c r="M3541" s="3">
        <v>3782</v>
      </c>
      <c r="N3541" s="3">
        <v>56139</v>
      </c>
    </row>
    <row r="3542" spans="1:14" x14ac:dyDescent="0.2">
      <c r="A3542" s="5" t="str">
        <f>HYPERLINK("http://www.ncbi.nlm.nih.gov/protein/15638942","Ift81")</f>
        <v>Ift81</v>
      </c>
      <c r="B3542" s="4"/>
      <c r="C3542" s="3">
        <v>0</v>
      </c>
      <c r="D3542" s="3">
        <v>104</v>
      </c>
      <c r="E3542" s="3">
        <v>7</v>
      </c>
      <c r="F3542" s="3">
        <v>933</v>
      </c>
      <c r="G3542" s="3">
        <v>0</v>
      </c>
      <c r="H3542" s="2">
        <f t="shared" si="110"/>
        <v>1044</v>
      </c>
      <c r="I3542" t="str">
        <f t="shared" si="111"/>
        <v>Ift81_1044</v>
      </c>
      <c r="J3542" s="3">
        <v>0</v>
      </c>
      <c r="K3542" s="3">
        <v>104</v>
      </c>
      <c r="L3542" s="3">
        <v>7</v>
      </c>
      <c r="M3542" s="3">
        <v>933</v>
      </c>
      <c r="N3542" s="3">
        <v>0</v>
      </c>
    </row>
    <row r="3543" spans="1:14" x14ac:dyDescent="0.2">
      <c r="A3543" s="5" t="str">
        <f>HYPERLINK("http://www.ncbi.nlm.nih.gov/protein/304555605","Igbp1")</f>
        <v>Igbp1</v>
      </c>
      <c r="B3543" s="4"/>
      <c r="C3543" s="3">
        <v>201</v>
      </c>
      <c r="D3543" s="3">
        <v>292</v>
      </c>
      <c r="E3543" s="3">
        <v>233</v>
      </c>
      <c r="F3543" s="3">
        <v>1784</v>
      </c>
      <c r="G3543" s="3">
        <v>2013</v>
      </c>
      <c r="H3543" s="2">
        <f t="shared" si="110"/>
        <v>4523</v>
      </c>
      <c r="I3543" t="str">
        <f t="shared" si="111"/>
        <v>Igbp1_4523</v>
      </c>
      <c r="J3543" s="3">
        <v>201</v>
      </c>
      <c r="K3543" s="3">
        <v>292</v>
      </c>
      <c r="L3543" s="3">
        <v>233</v>
      </c>
      <c r="M3543" s="3">
        <v>1784</v>
      </c>
      <c r="N3543" s="3">
        <v>2013</v>
      </c>
    </row>
    <row r="3544" spans="1:14" x14ac:dyDescent="0.2">
      <c r="A3544" s="5" t="str">
        <f>HYPERLINK("http://www.ncbi.nlm.nih.gov/protein/113866007","Igbp1b")</f>
        <v>Igbp1b</v>
      </c>
      <c r="B3544" s="4"/>
      <c r="C3544" s="3">
        <v>0</v>
      </c>
      <c r="D3544" s="3">
        <v>0</v>
      </c>
      <c r="E3544" s="3">
        <v>26</v>
      </c>
      <c r="F3544" s="3">
        <v>0</v>
      </c>
      <c r="G3544" s="3">
        <v>0</v>
      </c>
      <c r="H3544" s="2">
        <f t="shared" si="110"/>
        <v>26</v>
      </c>
      <c r="I3544" t="str">
        <f t="shared" si="111"/>
        <v>Igbp1b_26</v>
      </c>
      <c r="J3544" s="3">
        <v>0</v>
      </c>
      <c r="K3544" s="3">
        <v>0</v>
      </c>
      <c r="L3544" s="3">
        <v>26</v>
      </c>
      <c r="M3544" s="3">
        <v>0</v>
      </c>
      <c r="N3544" s="3">
        <v>0</v>
      </c>
    </row>
    <row r="3545" spans="1:14" x14ac:dyDescent="0.2">
      <c r="A3545" s="5" t="str">
        <f>HYPERLINK("http://www.ncbi.nlm.nih.gov/protein/112983656","Igf1r")</f>
        <v>Igf1r</v>
      </c>
      <c r="B3545" s="4"/>
      <c r="C3545" s="3">
        <v>0</v>
      </c>
      <c r="D3545" s="3">
        <v>451</v>
      </c>
      <c r="E3545" s="3">
        <v>3777</v>
      </c>
      <c r="F3545" s="3">
        <v>0</v>
      </c>
      <c r="G3545" s="3">
        <v>0</v>
      </c>
      <c r="H3545" s="2">
        <f t="shared" si="110"/>
        <v>4228</v>
      </c>
      <c r="I3545" t="str">
        <f t="shared" si="111"/>
        <v>Igf1r_4228</v>
      </c>
      <c r="J3545" s="3">
        <v>0</v>
      </c>
      <c r="K3545" s="3">
        <v>451</v>
      </c>
      <c r="L3545" s="3">
        <v>3777</v>
      </c>
      <c r="M3545" s="3">
        <v>0</v>
      </c>
      <c r="N3545" s="3">
        <v>0</v>
      </c>
    </row>
    <row r="3546" spans="1:14" x14ac:dyDescent="0.2">
      <c r="A3546" s="5" t="str">
        <f>HYPERLINK("http://www.ncbi.nlm.nih.gov/protein/6753518","Igf2bp1")</f>
        <v>Igf2bp1</v>
      </c>
      <c r="B3546" s="4"/>
      <c r="C3546" s="3">
        <v>0</v>
      </c>
      <c r="D3546" s="3">
        <v>192</v>
      </c>
      <c r="E3546" s="3">
        <v>3941</v>
      </c>
      <c r="F3546" s="3">
        <v>3561</v>
      </c>
      <c r="G3546" s="3">
        <v>0</v>
      </c>
      <c r="H3546" s="2">
        <f t="shared" si="110"/>
        <v>7694</v>
      </c>
      <c r="I3546" t="str">
        <f t="shared" si="111"/>
        <v>Igf2bp1_7694</v>
      </c>
      <c r="J3546" s="3">
        <v>0</v>
      </c>
      <c r="K3546" s="3">
        <v>192</v>
      </c>
      <c r="L3546" s="3">
        <v>3941</v>
      </c>
      <c r="M3546" s="3">
        <v>3561</v>
      </c>
      <c r="N3546" s="3">
        <v>0</v>
      </c>
    </row>
    <row r="3547" spans="1:14" x14ac:dyDescent="0.2">
      <c r="A3547" s="5" t="str">
        <f>HYPERLINK("http://www.ncbi.nlm.nih.gov/protein/145207996","Igf2bp2")</f>
        <v>Igf2bp2</v>
      </c>
      <c r="B3547" s="4"/>
      <c r="C3547" s="3">
        <v>28667</v>
      </c>
      <c r="D3547" s="3">
        <v>18082</v>
      </c>
      <c r="E3547" s="3">
        <v>99959</v>
      </c>
      <c r="F3547" s="3">
        <v>195840</v>
      </c>
      <c r="G3547" s="3">
        <v>942</v>
      </c>
      <c r="H3547" s="2">
        <f t="shared" si="110"/>
        <v>343490</v>
      </c>
      <c r="I3547" t="str">
        <f t="shared" si="111"/>
        <v>Igf2bp2_343490</v>
      </c>
      <c r="J3547" s="3">
        <v>28667</v>
      </c>
      <c r="K3547" s="3">
        <v>18082</v>
      </c>
      <c r="L3547" s="3">
        <v>99959</v>
      </c>
      <c r="M3547" s="3">
        <v>195840</v>
      </c>
      <c r="N3547" s="3">
        <v>942</v>
      </c>
    </row>
    <row r="3548" spans="1:14" x14ac:dyDescent="0.2">
      <c r="A3548" s="5" t="str">
        <f>HYPERLINK("http://www.ncbi.nlm.nih.gov/protein/225543383","Igf2bp3")</f>
        <v>Igf2bp3</v>
      </c>
      <c r="B3548" s="4"/>
      <c r="C3548" s="3">
        <v>0</v>
      </c>
      <c r="D3548" s="3">
        <v>4551</v>
      </c>
      <c r="E3548" s="3">
        <v>11153</v>
      </c>
      <c r="F3548" s="3">
        <v>59877</v>
      </c>
      <c r="G3548" s="3">
        <v>0</v>
      </c>
      <c r="H3548" s="2">
        <f t="shared" si="110"/>
        <v>75581</v>
      </c>
      <c r="I3548" t="str">
        <f t="shared" si="111"/>
        <v>Igf2bp3_75581</v>
      </c>
      <c r="J3548" s="3">
        <v>0</v>
      </c>
      <c r="K3548" s="3">
        <v>4551</v>
      </c>
      <c r="L3548" s="3">
        <v>11153</v>
      </c>
      <c r="M3548" s="3">
        <v>59877</v>
      </c>
      <c r="N3548" s="3">
        <v>0</v>
      </c>
    </row>
    <row r="3549" spans="1:14" x14ac:dyDescent="0.2">
      <c r="A3549" s="5" t="str">
        <f>HYPERLINK("http://www.ncbi.nlm.nih.gov/protein/133778978","Igf2r")</f>
        <v>Igf2r</v>
      </c>
      <c r="B3549" s="4"/>
      <c r="C3549" s="3">
        <v>0</v>
      </c>
      <c r="D3549" s="3">
        <v>395</v>
      </c>
      <c r="E3549" s="3">
        <v>6326</v>
      </c>
      <c r="F3549" s="3">
        <v>1563</v>
      </c>
      <c r="G3549" s="3">
        <v>0</v>
      </c>
      <c r="H3549" s="2">
        <f t="shared" si="110"/>
        <v>8284</v>
      </c>
      <c r="I3549" t="str">
        <f t="shared" si="111"/>
        <v>Igf2r_8284</v>
      </c>
      <c r="J3549" s="3">
        <v>0</v>
      </c>
      <c r="K3549" s="3">
        <v>395</v>
      </c>
      <c r="L3549" s="3">
        <v>6326</v>
      </c>
      <c r="M3549" s="3">
        <v>1563</v>
      </c>
      <c r="N3549" s="3">
        <v>0</v>
      </c>
    </row>
    <row r="3550" spans="1:14" x14ac:dyDescent="0.2">
      <c r="A3550" s="5" t="str">
        <f>HYPERLINK("http://www.ncbi.nlm.nih.gov/protein/226958445","Igfbp7")</f>
        <v>Igfbp7</v>
      </c>
      <c r="B3550" s="4"/>
      <c r="C3550" s="3">
        <v>0</v>
      </c>
      <c r="D3550" s="3">
        <v>1088</v>
      </c>
      <c r="E3550" s="3">
        <v>998</v>
      </c>
      <c r="F3550" s="3">
        <v>327</v>
      </c>
      <c r="G3550" s="3">
        <v>728</v>
      </c>
      <c r="H3550" s="2">
        <f t="shared" si="110"/>
        <v>3141</v>
      </c>
      <c r="I3550" t="str">
        <f t="shared" si="111"/>
        <v>Igfbp7_3141</v>
      </c>
      <c r="J3550" s="3">
        <v>0</v>
      </c>
      <c r="K3550" s="3">
        <v>1088</v>
      </c>
      <c r="L3550" s="3">
        <v>998</v>
      </c>
      <c r="M3550" s="3">
        <v>327</v>
      </c>
      <c r="N3550" s="3">
        <v>728</v>
      </c>
    </row>
    <row r="3551" spans="1:14" x14ac:dyDescent="0.2">
      <c r="A3551" s="5" t="str">
        <f>HYPERLINK("http://www.ncbi.nlm.nih.gov/protein/226958453","Igfbp7")</f>
        <v>Igfbp7</v>
      </c>
      <c r="B3551" s="4"/>
      <c r="C3551" s="3">
        <v>0</v>
      </c>
      <c r="D3551" s="3">
        <v>1088</v>
      </c>
      <c r="E3551" s="3">
        <v>462</v>
      </c>
      <c r="F3551" s="3">
        <v>327</v>
      </c>
      <c r="G3551" s="3">
        <v>728</v>
      </c>
      <c r="H3551" s="2">
        <f t="shared" si="110"/>
        <v>2605</v>
      </c>
      <c r="I3551" t="str">
        <f t="shared" si="111"/>
        <v>Igfbp7_2605</v>
      </c>
      <c r="J3551" s="3">
        <v>0</v>
      </c>
      <c r="K3551" s="3">
        <v>1088</v>
      </c>
      <c r="L3551" s="3">
        <v>462</v>
      </c>
      <c r="M3551" s="3">
        <v>327</v>
      </c>
      <c r="N3551" s="3">
        <v>728</v>
      </c>
    </row>
    <row r="3552" spans="1:14" x14ac:dyDescent="0.2">
      <c r="A3552" s="5" t="str">
        <f>HYPERLINK("http://www.ncbi.nlm.nih.gov/protein/153945808","Ighmbp2")</f>
        <v>Ighmbp2</v>
      </c>
      <c r="B3552" s="4"/>
      <c r="C3552" s="3">
        <v>0</v>
      </c>
      <c r="D3552" s="3">
        <v>0</v>
      </c>
      <c r="E3552" s="3">
        <v>0</v>
      </c>
      <c r="F3552" s="3">
        <v>25</v>
      </c>
      <c r="G3552" s="3">
        <v>0</v>
      </c>
      <c r="H3552" s="2">
        <f t="shared" si="110"/>
        <v>25</v>
      </c>
      <c r="I3552" t="str">
        <f t="shared" si="111"/>
        <v>Ighmbp2_25</v>
      </c>
      <c r="J3552" s="3">
        <v>0</v>
      </c>
      <c r="K3552" s="3">
        <v>0</v>
      </c>
      <c r="L3552" s="3">
        <v>0</v>
      </c>
      <c r="M3552" s="3">
        <v>25</v>
      </c>
      <c r="N3552" s="3">
        <v>0</v>
      </c>
    </row>
    <row r="3553" spans="1:14" x14ac:dyDescent="0.2">
      <c r="A3553" s="5" t="str">
        <f>HYPERLINK("http://www.ncbi.nlm.nih.gov/protein/262050642","Igsf1")</f>
        <v>Igsf1</v>
      </c>
      <c r="B3553" s="4"/>
      <c r="C3553" s="3">
        <v>0</v>
      </c>
      <c r="D3553" s="3">
        <v>0</v>
      </c>
      <c r="E3553" s="3">
        <v>79</v>
      </c>
      <c r="F3553" s="3">
        <v>0</v>
      </c>
      <c r="G3553" s="3">
        <v>0</v>
      </c>
      <c r="H3553" s="2">
        <f t="shared" si="110"/>
        <v>79</v>
      </c>
      <c r="I3553" t="str">
        <f t="shared" si="111"/>
        <v>Igsf1_79</v>
      </c>
      <c r="J3553" s="3">
        <v>0</v>
      </c>
      <c r="K3553" s="3">
        <v>0</v>
      </c>
      <c r="L3553" s="3">
        <v>79</v>
      </c>
      <c r="M3553" s="3">
        <v>0</v>
      </c>
      <c r="N3553" s="3">
        <v>0</v>
      </c>
    </row>
    <row r="3554" spans="1:14" x14ac:dyDescent="0.2">
      <c r="A3554" s="5" t="str">
        <f>HYPERLINK("http://www.ncbi.nlm.nih.gov/protein/29244558","Igsf1")</f>
        <v>Igsf1</v>
      </c>
      <c r="B3554" s="4"/>
      <c r="C3554" s="3">
        <v>0</v>
      </c>
      <c r="D3554" s="3">
        <v>0</v>
      </c>
      <c r="E3554" s="3">
        <v>79</v>
      </c>
      <c r="F3554" s="3">
        <v>0</v>
      </c>
      <c r="G3554" s="3">
        <v>0</v>
      </c>
      <c r="H3554" s="2">
        <f t="shared" si="110"/>
        <v>79</v>
      </c>
      <c r="I3554" t="str">
        <f t="shared" si="111"/>
        <v>Igsf1_79</v>
      </c>
      <c r="J3554" s="3">
        <v>0</v>
      </c>
      <c r="K3554" s="3">
        <v>0</v>
      </c>
      <c r="L3554" s="3">
        <v>79</v>
      </c>
      <c r="M3554" s="3">
        <v>0</v>
      </c>
      <c r="N3554" s="3">
        <v>0</v>
      </c>
    </row>
    <row r="3555" spans="1:14" x14ac:dyDescent="0.2">
      <c r="A3555" s="5" t="str">
        <f>HYPERLINK("http://www.ncbi.nlm.nih.gov/protein/34330164","Igsf1")</f>
        <v>Igsf1</v>
      </c>
      <c r="B3555" s="4"/>
      <c r="C3555" s="3">
        <v>0</v>
      </c>
      <c r="D3555" s="3">
        <v>0</v>
      </c>
      <c r="E3555" s="3">
        <v>79</v>
      </c>
      <c r="F3555" s="3">
        <v>0</v>
      </c>
      <c r="G3555" s="3">
        <v>0</v>
      </c>
      <c r="H3555" s="2">
        <f t="shared" si="110"/>
        <v>79</v>
      </c>
      <c r="I3555" t="str">
        <f t="shared" si="111"/>
        <v>Igsf1_79</v>
      </c>
      <c r="J3555" s="3">
        <v>0</v>
      </c>
      <c r="K3555" s="3">
        <v>0</v>
      </c>
      <c r="L3555" s="3">
        <v>79</v>
      </c>
      <c r="M3555" s="3">
        <v>0</v>
      </c>
      <c r="N3555" s="3">
        <v>0</v>
      </c>
    </row>
    <row r="3556" spans="1:14" x14ac:dyDescent="0.2">
      <c r="A3556" s="5" t="str">
        <f>HYPERLINK("http://www.ncbi.nlm.nih.gov/protein/205360918","Igtp")</f>
        <v>Igtp</v>
      </c>
      <c r="B3556" s="4"/>
      <c r="C3556" s="3">
        <v>0</v>
      </c>
      <c r="D3556" s="3">
        <v>691</v>
      </c>
      <c r="E3556" s="3">
        <v>0</v>
      </c>
      <c r="F3556" s="3">
        <v>0</v>
      </c>
      <c r="G3556" s="3">
        <v>0</v>
      </c>
      <c r="H3556" s="2">
        <f t="shared" si="110"/>
        <v>691</v>
      </c>
      <c r="I3556" t="str">
        <f t="shared" si="111"/>
        <v>Igtp_691</v>
      </c>
      <c r="J3556" s="3">
        <v>0</v>
      </c>
      <c r="K3556" s="3">
        <v>691</v>
      </c>
      <c r="L3556" s="3">
        <v>0</v>
      </c>
      <c r="M3556" s="3">
        <v>0</v>
      </c>
      <c r="N3556" s="3">
        <v>0</v>
      </c>
    </row>
    <row r="3557" spans="1:14" x14ac:dyDescent="0.2">
      <c r="A3557" s="5" t="str">
        <f>HYPERLINK("http://www.ncbi.nlm.nih.gov/protein/158937298","Ikbkap")</f>
        <v>Ikbkap</v>
      </c>
      <c r="B3557" s="4"/>
      <c r="C3557" s="3">
        <v>0</v>
      </c>
      <c r="D3557" s="3">
        <v>461</v>
      </c>
      <c r="E3557" s="3">
        <v>1561</v>
      </c>
      <c r="F3557" s="3">
        <v>37613</v>
      </c>
      <c r="G3557" s="3">
        <v>1157</v>
      </c>
      <c r="H3557" s="2">
        <f t="shared" si="110"/>
        <v>40792</v>
      </c>
      <c r="I3557" t="str">
        <f t="shared" si="111"/>
        <v>Ikbkap_40792</v>
      </c>
      <c r="J3557" s="3">
        <v>0</v>
      </c>
      <c r="K3557" s="3">
        <v>461</v>
      </c>
      <c r="L3557" s="3">
        <v>1561</v>
      </c>
      <c r="M3557" s="3">
        <v>37613</v>
      </c>
      <c r="N3557" s="3">
        <v>1157</v>
      </c>
    </row>
    <row r="3558" spans="1:14" x14ac:dyDescent="0.2">
      <c r="A3558" s="5" t="str">
        <f>HYPERLINK("http://www.ncbi.nlm.nih.gov/protein/229576825","Ikbkb")</f>
        <v>Ikbkb</v>
      </c>
      <c r="B3558" s="4"/>
      <c r="C3558" s="3">
        <v>0</v>
      </c>
      <c r="D3558" s="3">
        <v>0</v>
      </c>
      <c r="E3558" s="3">
        <v>108</v>
      </c>
      <c r="F3558" s="3">
        <v>933</v>
      </c>
      <c r="G3558" s="3">
        <v>6586</v>
      </c>
      <c r="H3558" s="2">
        <f t="shared" si="110"/>
        <v>7627</v>
      </c>
      <c r="I3558" t="str">
        <f t="shared" si="111"/>
        <v>Ikbkb_7627</v>
      </c>
      <c r="J3558" s="3">
        <v>0</v>
      </c>
      <c r="K3558" s="3">
        <v>0</v>
      </c>
      <c r="L3558" s="3">
        <v>108</v>
      </c>
      <c r="M3558" s="3">
        <v>933</v>
      </c>
      <c r="N3558" s="3">
        <v>6586</v>
      </c>
    </row>
    <row r="3559" spans="1:14" x14ac:dyDescent="0.2">
      <c r="A3559" s="5" t="str">
        <f>HYPERLINK("http://www.ncbi.nlm.nih.gov/protein/33469101","Ikbkb")</f>
        <v>Ikbkb</v>
      </c>
      <c r="B3559" s="4"/>
      <c r="C3559" s="3">
        <v>0</v>
      </c>
      <c r="D3559" s="3">
        <v>0</v>
      </c>
      <c r="E3559" s="3">
        <v>108</v>
      </c>
      <c r="F3559" s="3">
        <v>933</v>
      </c>
      <c r="G3559" s="3">
        <v>6586</v>
      </c>
      <c r="H3559" s="2">
        <f t="shared" si="110"/>
        <v>7627</v>
      </c>
      <c r="I3559" t="str">
        <f t="shared" si="111"/>
        <v>Ikbkb_7627</v>
      </c>
      <c r="J3559" s="3">
        <v>0</v>
      </c>
      <c r="K3559" s="3">
        <v>0</v>
      </c>
      <c r="L3559" s="3">
        <v>108</v>
      </c>
      <c r="M3559" s="3">
        <v>933</v>
      </c>
      <c r="N3559" s="3">
        <v>6586</v>
      </c>
    </row>
    <row r="3560" spans="1:14" x14ac:dyDescent="0.2">
      <c r="A3560" s="5" t="str">
        <f>HYPERLINK("http://www.ncbi.nlm.nih.gov/protein/209862941","Ikbkg")</f>
        <v>Ikbkg</v>
      </c>
      <c r="B3560" s="4"/>
      <c r="C3560" s="3">
        <v>0</v>
      </c>
      <c r="D3560" s="3">
        <v>0</v>
      </c>
      <c r="E3560" s="3">
        <v>0</v>
      </c>
      <c r="F3560" s="3">
        <v>0</v>
      </c>
      <c r="G3560" s="3">
        <v>6554</v>
      </c>
      <c r="H3560" s="2">
        <f t="shared" si="110"/>
        <v>6554</v>
      </c>
      <c r="I3560" t="str">
        <f t="shared" si="111"/>
        <v>Ikbkg_6554</v>
      </c>
      <c r="J3560" s="3">
        <v>0</v>
      </c>
      <c r="K3560" s="3">
        <v>0</v>
      </c>
      <c r="L3560" s="3">
        <v>0</v>
      </c>
      <c r="M3560" s="3">
        <v>0</v>
      </c>
      <c r="N3560" s="3">
        <v>6554</v>
      </c>
    </row>
    <row r="3561" spans="1:14" x14ac:dyDescent="0.2">
      <c r="A3561" s="5" t="str">
        <f>HYPERLINK("http://www.ncbi.nlm.nih.gov/protein/238637310","Ikbkg")</f>
        <v>Ikbkg</v>
      </c>
      <c r="B3561" s="4"/>
      <c r="C3561" s="3">
        <v>0</v>
      </c>
      <c r="D3561" s="3">
        <v>0</v>
      </c>
      <c r="E3561" s="3">
        <v>0</v>
      </c>
      <c r="F3561" s="3">
        <v>0</v>
      </c>
      <c r="G3561" s="3">
        <v>6554</v>
      </c>
      <c r="H3561" s="2">
        <f t="shared" si="110"/>
        <v>6554</v>
      </c>
      <c r="I3561" t="str">
        <f t="shared" si="111"/>
        <v>Ikbkg_6554</v>
      </c>
      <c r="J3561" s="3">
        <v>0</v>
      </c>
      <c r="K3561" s="3">
        <v>0</v>
      </c>
      <c r="L3561" s="3">
        <v>0</v>
      </c>
      <c r="M3561" s="3">
        <v>0</v>
      </c>
      <c r="N3561" s="3">
        <v>6554</v>
      </c>
    </row>
    <row r="3562" spans="1:14" x14ac:dyDescent="0.2">
      <c r="A3562" s="5" t="str">
        <f>HYPERLINK("http://www.ncbi.nlm.nih.gov/protein/238637312","Ikbkg")</f>
        <v>Ikbkg</v>
      </c>
      <c r="B3562" s="4"/>
      <c r="C3562" s="3">
        <v>0</v>
      </c>
      <c r="D3562" s="3">
        <v>0</v>
      </c>
      <c r="E3562" s="3">
        <v>0</v>
      </c>
      <c r="F3562" s="3">
        <v>0</v>
      </c>
      <c r="G3562" s="3">
        <v>6554</v>
      </c>
      <c r="H3562" s="2">
        <f t="shared" si="110"/>
        <v>6554</v>
      </c>
      <c r="I3562" t="str">
        <f t="shared" si="111"/>
        <v>Ikbkg_6554</v>
      </c>
      <c r="J3562" s="3">
        <v>0</v>
      </c>
      <c r="K3562" s="3">
        <v>0</v>
      </c>
      <c r="L3562" s="3">
        <v>0</v>
      </c>
      <c r="M3562" s="3">
        <v>0</v>
      </c>
      <c r="N3562" s="3">
        <v>6554</v>
      </c>
    </row>
    <row r="3563" spans="1:14" x14ac:dyDescent="0.2">
      <c r="A3563" s="5" t="str">
        <f>HYPERLINK("http://www.ncbi.nlm.nih.gov/protein/238637314","Ikbkg")</f>
        <v>Ikbkg</v>
      </c>
      <c r="B3563" s="4"/>
      <c r="C3563" s="3">
        <v>0</v>
      </c>
      <c r="D3563" s="3">
        <v>0</v>
      </c>
      <c r="E3563" s="3">
        <v>0</v>
      </c>
      <c r="F3563" s="3">
        <v>0</v>
      </c>
      <c r="G3563" s="3">
        <v>6554</v>
      </c>
      <c r="H3563" s="2">
        <f t="shared" si="110"/>
        <v>6554</v>
      </c>
      <c r="I3563" t="str">
        <f t="shared" si="111"/>
        <v>Ikbkg_6554</v>
      </c>
      <c r="J3563" s="3">
        <v>0</v>
      </c>
      <c r="K3563" s="3">
        <v>0</v>
      </c>
      <c r="L3563" s="3">
        <v>0</v>
      </c>
      <c r="M3563" s="3">
        <v>0</v>
      </c>
      <c r="N3563" s="3">
        <v>6554</v>
      </c>
    </row>
    <row r="3564" spans="1:14" x14ac:dyDescent="0.2">
      <c r="A3564" s="5" t="str">
        <f>HYPERLINK("http://www.ncbi.nlm.nih.gov/protein/238637316","Ikbkg")</f>
        <v>Ikbkg</v>
      </c>
      <c r="B3564" s="4"/>
      <c r="C3564" s="3">
        <v>0</v>
      </c>
      <c r="D3564" s="3">
        <v>0</v>
      </c>
      <c r="E3564" s="3">
        <v>0</v>
      </c>
      <c r="F3564" s="3">
        <v>0</v>
      </c>
      <c r="G3564" s="3">
        <v>6554</v>
      </c>
      <c r="H3564" s="2">
        <f t="shared" si="110"/>
        <v>6554</v>
      </c>
      <c r="I3564" t="str">
        <f t="shared" si="111"/>
        <v>Ikbkg_6554</v>
      </c>
      <c r="J3564" s="3">
        <v>0</v>
      </c>
      <c r="K3564" s="3">
        <v>0</v>
      </c>
      <c r="L3564" s="3">
        <v>0</v>
      </c>
      <c r="M3564" s="3">
        <v>0</v>
      </c>
      <c r="N3564" s="3">
        <v>6554</v>
      </c>
    </row>
    <row r="3565" spans="1:14" x14ac:dyDescent="0.2">
      <c r="A3565" s="5" t="str">
        <f>HYPERLINK("http://www.ncbi.nlm.nih.gov/protein/111607428","Il10rb")</f>
        <v>Il10rb</v>
      </c>
      <c r="B3565" s="4"/>
      <c r="C3565" s="3">
        <v>0</v>
      </c>
      <c r="D3565" s="3">
        <v>140</v>
      </c>
      <c r="E3565" s="3">
        <v>281</v>
      </c>
      <c r="F3565" s="3">
        <v>0</v>
      </c>
      <c r="G3565" s="3">
        <v>0</v>
      </c>
      <c r="H3565" s="2">
        <f t="shared" si="110"/>
        <v>421</v>
      </c>
      <c r="I3565" t="str">
        <f t="shared" si="111"/>
        <v>Il10rb_421</v>
      </c>
      <c r="J3565" s="3">
        <v>0</v>
      </c>
      <c r="K3565" s="3">
        <v>140</v>
      </c>
      <c r="L3565" s="3">
        <v>281</v>
      </c>
      <c r="M3565" s="3">
        <v>0</v>
      </c>
      <c r="N3565" s="3">
        <v>0</v>
      </c>
    </row>
    <row r="3566" spans="1:14" x14ac:dyDescent="0.2">
      <c r="A3566" s="5" t="str">
        <f>HYPERLINK("http://www.ncbi.nlm.nih.gov/protein/6754326","Il18rap")</f>
        <v>Il18rap</v>
      </c>
      <c r="B3566" s="4"/>
      <c r="C3566" s="3">
        <v>0</v>
      </c>
      <c r="D3566" s="3">
        <v>0</v>
      </c>
      <c r="E3566" s="3">
        <v>31</v>
      </c>
      <c r="F3566" s="3">
        <v>0</v>
      </c>
      <c r="G3566" s="3">
        <v>0</v>
      </c>
      <c r="H3566" s="2">
        <f t="shared" si="110"/>
        <v>31</v>
      </c>
      <c r="I3566" t="str">
        <f t="shared" si="111"/>
        <v>Il18rap_31</v>
      </c>
      <c r="J3566" s="3">
        <v>0</v>
      </c>
      <c r="K3566" s="3">
        <v>0</v>
      </c>
      <c r="L3566" s="3">
        <v>31</v>
      </c>
      <c r="M3566" s="3">
        <v>0</v>
      </c>
      <c r="N3566" s="3">
        <v>0</v>
      </c>
    </row>
    <row r="3567" spans="1:14" x14ac:dyDescent="0.2">
      <c r="A3567" s="5" t="str">
        <f>HYPERLINK("http://www.ncbi.nlm.nih.gov/protein/13624317","Il1rn")</f>
        <v>Il1rn</v>
      </c>
      <c r="B3567" s="4"/>
      <c r="C3567" s="3">
        <v>0</v>
      </c>
      <c r="D3567" s="3">
        <v>0</v>
      </c>
      <c r="E3567" s="3">
        <v>0</v>
      </c>
      <c r="F3567" s="3">
        <v>0</v>
      </c>
      <c r="G3567" s="3">
        <v>1328</v>
      </c>
      <c r="H3567" s="2">
        <f t="shared" si="110"/>
        <v>1328</v>
      </c>
      <c r="I3567" t="str">
        <f t="shared" si="111"/>
        <v>Il1rn_1328</v>
      </c>
      <c r="J3567" s="3">
        <v>0</v>
      </c>
      <c r="K3567" s="3">
        <v>0</v>
      </c>
      <c r="L3567" s="3">
        <v>0</v>
      </c>
      <c r="M3567" s="3">
        <v>0</v>
      </c>
      <c r="N3567" s="3">
        <v>1328</v>
      </c>
    </row>
    <row r="3568" spans="1:14" x14ac:dyDescent="0.2">
      <c r="A3568" s="5" t="str">
        <f>HYPERLINK("http://www.ncbi.nlm.nih.gov/protein/227116259","Il1rn")</f>
        <v>Il1rn</v>
      </c>
      <c r="B3568" s="4"/>
      <c r="C3568" s="3">
        <v>0</v>
      </c>
      <c r="D3568" s="3">
        <v>0</v>
      </c>
      <c r="E3568" s="3">
        <v>0</v>
      </c>
      <c r="F3568" s="3">
        <v>0</v>
      </c>
      <c r="G3568" s="3">
        <v>1328</v>
      </c>
      <c r="H3568" s="2">
        <f t="shared" si="110"/>
        <v>1328</v>
      </c>
      <c r="I3568" t="str">
        <f t="shared" si="111"/>
        <v>Il1rn_1328</v>
      </c>
      <c r="J3568" s="3">
        <v>0</v>
      </c>
      <c r="K3568" s="3">
        <v>0</v>
      </c>
      <c r="L3568" s="3">
        <v>0</v>
      </c>
      <c r="M3568" s="3">
        <v>0</v>
      </c>
      <c r="N3568" s="3">
        <v>1328</v>
      </c>
    </row>
    <row r="3569" spans="1:14" x14ac:dyDescent="0.2">
      <c r="A3569" s="5" t="str">
        <f>HYPERLINK("http://www.ncbi.nlm.nih.gov/protein/89257344","Il1rn")</f>
        <v>Il1rn</v>
      </c>
      <c r="B3569" s="4"/>
      <c r="C3569" s="3">
        <v>0</v>
      </c>
      <c r="D3569" s="3">
        <v>0</v>
      </c>
      <c r="E3569" s="3">
        <v>0</v>
      </c>
      <c r="F3569" s="3">
        <v>0</v>
      </c>
      <c r="G3569" s="3">
        <v>1328</v>
      </c>
      <c r="H3569" s="2">
        <f t="shared" si="110"/>
        <v>1328</v>
      </c>
      <c r="I3569" t="str">
        <f t="shared" si="111"/>
        <v>Il1rn_1328</v>
      </c>
      <c r="J3569" s="3">
        <v>0</v>
      </c>
      <c r="K3569" s="3">
        <v>0</v>
      </c>
      <c r="L3569" s="3">
        <v>0</v>
      </c>
      <c r="M3569" s="3">
        <v>0</v>
      </c>
      <c r="N3569" s="3">
        <v>1328</v>
      </c>
    </row>
    <row r="3570" spans="1:14" x14ac:dyDescent="0.2">
      <c r="A3570" s="5" t="str">
        <f>HYPERLINK("http://www.ncbi.nlm.nih.gov/protein/13385872","Ilf2")</f>
        <v>Ilf2</v>
      </c>
      <c r="B3570" s="4"/>
      <c r="C3570" s="3">
        <v>106065</v>
      </c>
      <c r="D3570" s="3">
        <v>7937</v>
      </c>
      <c r="E3570" s="3">
        <v>31532</v>
      </c>
      <c r="F3570" s="3">
        <v>76535</v>
      </c>
      <c r="G3570" s="3">
        <v>0</v>
      </c>
      <c r="H3570" s="2">
        <f t="shared" si="110"/>
        <v>222069</v>
      </c>
      <c r="I3570" t="str">
        <f t="shared" si="111"/>
        <v>Ilf2_222069</v>
      </c>
      <c r="J3570" s="3">
        <v>106065</v>
      </c>
      <c r="K3570" s="3">
        <v>7937</v>
      </c>
      <c r="L3570" s="3">
        <v>31532</v>
      </c>
      <c r="M3570" s="3">
        <v>76535</v>
      </c>
      <c r="N3570" s="3">
        <v>0</v>
      </c>
    </row>
    <row r="3571" spans="1:14" x14ac:dyDescent="0.2">
      <c r="A3571" s="5" t="str">
        <f>HYPERLINK("http://www.ncbi.nlm.nih.gov/protein/472339066;111607430","Ilf3")</f>
        <v>Ilf3</v>
      </c>
      <c r="B3571" s="4"/>
      <c r="C3571" s="3">
        <v>42690</v>
      </c>
      <c r="D3571" s="3">
        <v>0</v>
      </c>
      <c r="E3571" s="3">
        <v>28624</v>
      </c>
      <c r="F3571" s="3">
        <v>0</v>
      </c>
      <c r="G3571" s="3">
        <v>0</v>
      </c>
      <c r="H3571" s="2">
        <f t="shared" si="110"/>
        <v>71314</v>
      </c>
      <c r="I3571" t="str">
        <f t="shared" si="111"/>
        <v>Ilf3_71314</v>
      </c>
      <c r="J3571" s="3">
        <v>42690</v>
      </c>
      <c r="K3571" s="3">
        <v>0</v>
      </c>
      <c r="L3571" s="3">
        <v>28624</v>
      </c>
      <c r="M3571" s="3">
        <v>0</v>
      </c>
      <c r="N3571" s="3">
        <v>0</v>
      </c>
    </row>
    <row r="3572" spans="1:14" x14ac:dyDescent="0.2">
      <c r="A3572" s="5" t="str">
        <f>HYPERLINK("http://www.ncbi.nlm.nih.gov/protein/472339106","Ilf3")</f>
        <v>Ilf3</v>
      </c>
      <c r="B3572" s="4"/>
      <c r="C3572" s="3">
        <v>34360</v>
      </c>
      <c r="D3572" s="3">
        <v>0</v>
      </c>
      <c r="E3572" s="3">
        <v>6443</v>
      </c>
      <c r="F3572" s="3">
        <v>0</v>
      </c>
      <c r="G3572" s="3">
        <v>0</v>
      </c>
      <c r="H3572" s="2">
        <f t="shared" si="110"/>
        <v>40803</v>
      </c>
      <c r="I3572" t="str">
        <f t="shared" si="111"/>
        <v>Ilf3_40803</v>
      </c>
      <c r="J3572" s="3">
        <v>34360</v>
      </c>
      <c r="K3572" s="3">
        <v>0</v>
      </c>
      <c r="L3572" s="3">
        <v>6443</v>
      </c>
      <c r="M3572" s="3">
        <v>0</v>
      </c>
      <c r="N3572" s="3">
        <v>0</v>
      </c>
    </row>
    <row r="3573" spans="1:14" x14ac:dyDescent="0.2">
      <c r="A3573" s="5" t="str">
        <f>HYPERLINK("http://www.ncbi.nlm.nih.gov/protein/111607430","Ilf3")</f>
        <v>Ilf3</v>
      </c>
      <c r="B3573" s="4"/>
      <c r="C3573" s="3">
        <v>0</v>
      </c>
      <c r="D3573" s="3">
        <v>0</v>
      </c>
      <c r="E3573" s="3">
        <v>0</v>
      </c>
      <c r="F3573" s="3">
        <v>30516</v>
      </c>
      <c r="G3573" s="3">
        <v>0</v>
      </c>
      <c r="H3573" s="2">
        <f t="shared" si="110"/>
        <v>30516</v>
      </c>
      <c r="I3573" t="str">
        <f t="shared" si="111"/>
        <v>Ilf3_30516</v>
      </c>
      <c r="J3573" s="3">
        <v>0</v>
      </c>
      <c r="K3573" s="3">
        <v>0</v>
      </c>
      <c r="L3573" s="3">
        <v>0</v>
      </c>
      <c r="M3573" s="3">
        <v>30516</v>
      </c>
      <c r="N3573" s="3">
        <v>0</v>
      </c>
    </row>
    <row r="3574" spans="1:14" x14ac:dyDescent="0.2">
      <c r="A3574" s="5" t="str">
        <f>HYPERLINK("http://www.ncbi.nlm.nih.gov/protein/111607432","Ilf3")</f>
        <v>Ilf3</v>
      </c>
      <c r="B3574" s="4"/>
      <c r="C3574" s="3">
        <v>42690</v>
      </c>
      <c r="D3574" s="3">
        <v>0</v>
      </c>
      <c r="E3574" s="3">
        <v>28624</v>
      </c>
      <c r="F3574" s="3">
        <v>30516</v>
      </c>
      <c r="G3574" s="3">
        <v>0</v>
      </c>
      <c r="H3574" s="2">
        <f t="shared" si="110"/>
        <v>101830</v>
      </c>
      <c r="I3574" t="str">
        <f t="shared" si="111"/>
        <v>Ilf3_101830</v>
      </c>
      <c r="J3574" s="3">
        <v>42690</v>
      </c>
      <c r="K3574" s="3">
        <v>0</v>
      </c>
      <c r="L3574" s="3">
        <v>28624</v>
      </c>
      <c r="M3574" s="3">
        <v>30516</v>
      </c>
      <c r="N3574" s="3">
        <v>0</v>
      </c>
    </row>
    <row r="3575" spans="1:14" x14ac:dyDescent="0.2">
      <c r="A3575" s="5" t="str">
        <f>HYPERLINK("http://www.ncbi.nlm.nih.gov/protein/111607434","Ilf3")</f>
        <v>Ilf3</v>
      </c>
      <c r="B3575" s="4"/>
      <c r="C3575" s="3">
        <v>42690</v>
      </c>
      <c r="D3575" s="3">
        <v>0</v>
      </c>
      <c r="E3575" s="3">
        <v>28624</v>
      </c>
      <c r="F3575" s="3">
        <v>30516</v>
      </c>
      <c r="G3575" s="3">
        <v>0</v>
      </c>
      <c r="H3575" s="2">
        <f t="shared" si="110"/>
        <v>101830</v>
      </c>
      <c r="I3575" t="str">
        <f t="shared" si="111"/>
        <v>Ilf3_101830</v>
      </c>
      <c r="J3575" s="3">
        <v>42690</v>
      </c>
      <c r="K3575" s="3">
        <v>0</v>
      </c>
      <c r="L3575" s="3">
        <v>28624</v>
      </c>
      <c r="M3575" s="3">
        <v>30516</v>
      </c>
      <c r="N3575" s="3">
        <v>0</v>
      </c>
    </row>
    <row r="3576" spans="1:14" x14ac:dyDescent="0.2">
      <c r="A3576" s="5" t="str">
        <f>HYPERLINK("http://www.ncbi.nlm.nih.gov/protein/111607436","Ilf3")</f>
        <v>Ilf3</v>
      </c>
      <c r="B3576" s="4"/>
      <c r="C3576" s="3">
        <v>42690</v>
      </c>
      <c r="D3576" s="3">
        <v>0</v>
      </c>
      <c r="E3576" s="3">
        <v>28624</v>
      </c>
      <c r="F3576" s="3">
        <v>30516</v>
      </c>
      <c r="G3576" s="3">
        <v>0</v>
      </c>
      <c r="H3576" s="2">
        <f t="shared" si="110"/>
        <v>101830</v>
      </c>
      <c r="I3576" t="str">
        <f t="shared" si="111"/>
        <v>Ilf3_101830</v>
      </c>
      <c r="J3576" s="3">
        <v>42690</v>
      </c>
      <c r="K3576" s="3">
        <v>0</v>
      </c>
      <c r="L3576" s="3">
        <v>28624</v>
      </c>
      <c r="M3576" s="3">
        <v>30516</v>
      </c>
      <c r="N3576" s="3">
        <v>0</v>
      </c>
    </row>
    <row r="3577" spans="1:14" x14ac:dyDescent="0.2">
      <c r="A3577" s="5" t="str">
        <f>HYPERLINK("http://www.ncbi.nlm.nih.gov/protein/240255651;240255653","Ilk")</f>
        <v>Ilk</v>
      </c>
      <c r="B3577" s="4"/>
      <c r="C3577" s="3">
        <v>0</v>
      </c>
      <c r="D3577" s="3">
        <v>0</v>
      </c>
      <c r="E3577" s="3">
        <v>7380</v>
      </c>
      <c r="F3577" s="3">
        <v>0</v>
      </c>
      <c r="G3577" s="3">
        <v>0</v>
      </c>
      <c r="H3577" s="2">
        <f t="shared" si="110"/>
        <v>7380</v>
      </c>
      <c r="I3577" t="str">
        <f t="shared" si="111"/>
        <v>Ilk_7380</v>
      </c>
      <c r="J3577" s="3">
        <v>0</v>
      </c>
      <c r="K3577" s="3">
        <v>0</v>
      </c>
      <c r="L3577" s="3">
        <v>7380</v>
      </c>
      <c r="M3577" s="3">
        <v>0</v>
      </c>
      <c r="N3577" s="3">
        <v>0</v>
      </c>
    </row>
    <row r="3578" spans="1:14" x14ac:dyDescent="0.2">
      <c r="A3578" s="5" t="str">
        <f>HYPERLINK("http://www.ncbi.nlm.nih.gov/protein/240255653;240255651","Ilk")</f>
        <v>Ilk</v>
      </c>
      <c r="B3578" s="4"/>
      <c r="C3578" s="3">
        <v>0</v>
      </c>
      <c r="D3578" s="3">
        <v>3277</v>
      </c>
      <c r="E3578" s="3">
        <v>0</v>
      </c>
      <c r="F3578" s="3">
        <v>15733</v>
      </c>
      <c r="G3578" s="3">
        <v>2624</v>
      </c>
      <c r="H3578" s="2">
        <f t="shared" si="110"/>
        <v>21634</v>
      </c>
      <c r="I3578" t="str">
        <f t="shared" si="111"/>
        <v>Ilk_21634</v>
      </c>
      <c r="J3578" s="3">
        <v>0</v>
      </c>
      <c r="K3578" s="3">
        <v>3277</v>
      </c>
      <c r="L3578" s="3">
        <v>0</v>
      </c>
      <c r="M3578" s="3">
        <v>15733</v>
      </c>
      <c r="N3578" s="3">
        <v>2624</v>
      </c>
    </row>
    <row r="3579" spans="1:14" x14ac:dyDescent="0.2">
      <c r="A3579" s="5" t="str">
        <f>HYPERLINK("http://www.ncbi.nlm.nih.gov/protein/39930415","Ilkap")</f>
        <v>Ilkap</v>
      </c>
      <c r="B3579" s="4"/>
      <c r="C3579" s="3">
        <v>0</v>
      </c>
      <c r="D3579" s="3">
        <v>321</v>
      </c>
      <c r="E3579" s="3">
        <v>0</v>
      </c>
      <c r="F3579" s="3">
        <v>0</v>
      </c>
      <c r="G3579" s="3">
        <v>3191</v>
      </c>
      <c r="H3579" s="2">
        <f t="shared" si="110"/>
        <v>3512</v>
      </c>
      <c r="I3579" t="str">
        <f t="shared" si="111"/>
        <v>Ilkap_3512</v>
      </c>
      <c r="J3579" s="3">
        <v>0</v>
      </c>
      <c r="K3579" s="3">
        <v>321</v>
      </c>
      <c r="L3579" s="3">
        <v>0</v>
      </c>
      <c r="M3579" s="3">
        <v>0</v>
      </c>
      <c r="N3579" s="3">
        <v>3191</v>
      </c>
    </row>
    <row r="3580" spans="1:14" x14ac:dyDescent="0.2">
      <c r="A3580" s="5" t="str">
        <f>HYPERLINK("http://www.ncbi.nlm.nih.gov/protein/30424591","Ilvbl")</f>
        <v>Ilvbl</v>
      </c>
      <c r="B3580" s="4"/>
      <c r="C3580" s="3">
        <v>1318</v>
      </c>
      <c r="D3580" s="3">
        <v>2027</v>
      </c>
      <c r="E3580" s="3">
        <v>913</v>
      </c>
      <c r="F3580" s="3">
        <v>0</v>
      </c>
      <c r="G3580" s="3">
        <v>0</v>
      </c>
      <c r="H3580" s="2">
        <f t="shared" si="110"/>
        <v>4258</v>
      </c>
      <c r="I3580" t="str">
        <f t="shared" si="111"/>
        <v>Ilvbl_4258</v>
      </c>
      <c r="J3580" s="3">
        <v>1318</v>
      </c>
      <c r="K3580" s="3">
        <v>2027</v>
      </c>
      <c r="L3580" s="3">
        <v>913</v>
      </c>
      <c r="M3580" s="3">
        <v>0</v>
      </c>
      <c r="N3580" s="3">
        <v>0</v>
      </c>
    </row>
    <row r="3581" spans="1:14" x14ac:dyDescent="0.2">
      <c r="A3581" s="5" t="str">
        <f>HYPERLINK("http://www.ncbi.nlm.nih.gov/protein/358439483","Immt")</f>
        <v>Immt</v>
      </c>
      <c r="B3581" s="4"/>
      <c r="C3581" s="3">
        <v>146723</v>
      </c>
      <c r="D3581" s="3">
        <v>44988</v>
      </c>
      <c r="E3581" s="3">
        <v>15287</v>
      </c>
      <c r="F3581" s="3">
        <v>0</v>
      </c>
      <c r="G3581" s="3">
        <v>0</v>
      </c>
      <c r="H3581" s="2">
        <f t="shared" si="110"/>
        <v>206998</v>
      </c>
      <c r="I3581" t="str">
        <f t="shared" si="111"/>
        <v>Immt_206998</v>
      </c>
      <c r="J3581" s="3">
        <v>146723</v>
      </c>
      <c r="K3581" s="3">
        <v>44988</v>
      </c>
      <c r="L3581" s="3">
        <v>15287</v>
      </c>
      <c r="M3581" s="3">
        <v>0</v>
      </c>
      <c r="N3581" s="3">
        <v>0</v>
      </c>
    </row>
    <row r="3582" spans="1:14" x14ac:dyDescent="0.2">
      <c r="A3582" s="5" t="str">
        <f>HYPERLINK("http://www.ncbi.nlm.nih.gov/protein/358439528","Immt")</f>
        <v>Immt</v>
      </c>
      <c r="B3582" s="4"/>
      <c r="C3582" s="3">
        <v>146723</v>
      </c>
      <c r="D3582" s="3">
        <v>44988</v>
      </c>
      <c r="E3582" s="3">
        <v>15066</v>
      </c>
      <c r="F3582" s="3">
        <v>0</v>
      </c>
      <c r="G3582" s="3">
        <v>0</v>
      </c>
      <c r="H3582" s="2">
        <f t="shared" si="110"/>
        <v>206777</v>
      </c>
      <c r="I3582" t="str">
        <f t="shared" si="111"/>
        <v>Immt_206777</v>
      </c>
      <c r="J3582" s="3">
        <v>146723</v>
      </c>
      <c r="K3582" s="3">
        <v>44988</v>
      </c>
      <c r="L3582" s="3">
        <v>15066</v>
      </c>
      <c r="M3582" s="3">
        <v>0</v>
      </c>
      <c r="N3582" s="3">
        <v>0</v>
      </c>
    </row>
    <row r="3583" spans="1:14" x14ac:dyDescent="0.2">
      <c r="A3583" s="5" t="str">
        <f>HYPERLINK("http://www.ncbi.nlm.nih.gov/protein/358439536","Immt")</f>
        <v>Immt</v>
      </c>
      <c r="B3583" s="4"/>
      <c r="C3583" s="3">
        <v>141176</v>
      </c>
      <c r="D3583" s="3">
        <v>44988</v>
      </c>
      <c r="E3583" s="3">
        <v>14042</v>
      </c>
      <c r="F3583" s="3">
        <v>0</v>
      </c>
      <c r="G3583" s="3">
        <v>0</v>
      </c>
      <c r="H3583" s="2">
        <f t="shared" si="110"/>
        <v>200206</v>
      </c>
      <c r="I3583" t="str">
        <f t="shared" si="111"/>
        <v>Immt_200206</v>
      </c>
      <c r="J3583" s="3">
        <v>141176</v>
      </c>
      <c r="K3583" s="3">
        <v>44988</v>
      </c>
      <c r="L3583" s="3">
        <v>14042</v>
      </c>
      <c r="M3583" s="3">
        <v>0</v>
      </c>
      <c r="N3583" s="3">
        <v>0</v>
      </c>
    </row>
    <row r="3584" spans="1:14" x14ac:dyDescent="0.2">
      <c r="A3584" s="5" t="str">
        <f>HYPERLINK("http://www.ncbi.nlm.nih.gov/protein/358439544","Immt")</f>
        <v>Immt</v>
      </c>
      <c r="B3584" s="4"/>
      <c r="C3584" s="3">
        <v>141176</v>
      </c>
      <c r="D3584" s="3">
        <v>44950</v>
      </c>
      <c r="E3584" s="3">
        <v>14263</v>
      </c>
      <c r="F3584" s="3">
        <v>0</v>
      </c>
      <c r="G3584" s="3">
        <v>0</v>
      </c>
      <c r="H3584" s="2">
        <f t="shared" si="110"/>
        <v>200389</v>
      </c>
      <c r="I3584" t="str">
        <f t="shared" si="111"/>
        <v>Immt_200389</v>
      </c>
      <c r="J3584" s="3">
        <v>141176</v>
      </c>
      <c r="K3584" s="3">
        <v>44950</v>
      </c>
      <c r="L3584" s="3">
        <v>14263</v>
      </c>
      <c r="M3584" s="3">
        <v>0</v>
      </c>
      <c r="N3584" s="3">
        <v>0</v>
      </c>
    </row>
    <row r="3585" spans="1:14" x14ac:dyDescent="0.2">
      <c r="A3585" s="5" t="str">
        <f>HYPERLINK("http://www.ncbi.nlm.nih.gov/protein/358439552","Immt")</f>
        <v>Immt</v>
      </c>
      <c r="B3585" s="4"/>
      <c r="C3585" s="3">
        <v>77178</v>
      </c>
      <c r="D3585" s="3">
        <v>24514</v>
      </c>
      <c r="E3585" s="3">
        <v>8341</v>
      </c>
      <c r="F3585" s="3">
        <v>0</v>
      </c>
      <c r="G3585" s="3">
        <v>0</v>
      </c>
      <c r="H3585" s="2">
        <f t="shared" si="110"/>
        <v>110033</v>
      </c>
      <c r="I3585" t="str">
        <f t="shared" si="111"/>
        <v>Immt_110033</v>
      </c>
      <c r="J3585" s="3">
        <v>77178</v>
      </c>
      <c r="K3585" s="3">
        <v>24514</v>
      </c>
      <c r="L3585" s="3">
        <v>8341</v>
      </c>
      <c r="M3585" s="3">
        <v>0</v>
      </c>
      <c r="N3585" s="3">
        <v>0</v>
      </c>
    </row>
    <row r="3586" spans="1:14" x14ac:dyDescent="0.2">
      <c r="A3586" s="5" t="str">
        <f>HYPERLINK("http://www.ncbi.nlm.nih.gov/protein/70608131","Immt")</f>
        <v>Immt</v>
      </c>
      <c r="B3586" s="4"/>
      <c r="C3586" s="3">
        <v>146723</v>
      </c>
      <c r="D3586" s="3">
        <v>45710</v>
      </c>
      <c r="E3586" s="3">
        <v>15287</v>
      </c>
      <c r="F3586" s="3">
        <v>0</v>
      </c>
      <c r="G3586" s="3">
        <v>0</v>
      </c>
      <c r="H3586" s="2">
        <f t="shared" ref="H3586:H3649" si="112">SUM(C3586:G3586)</f>
        <v>207720</v>
      </c>
      <c r="I3586" t="str">
        <f t="shared" ref="I3586:I3649" si="113">A3586&amp;"_"&amp;H3586</f>
        <v>Immt_207720</v>
      </c>
      <c r="J3586" s="3">
        <v>146723</v>
      </c>
      <c r="K3586" s="3">
        <v>45710</v>
      </c>
      <c r="L3586" s="3">
        <v>15287</v>
      </c>
      <c r="M3586" s="3">
        <v>0</v>
      </c>
      <c r="N3586" s="3">
        <v>0</v>
      </c>
    </row>
    <row r="3587" spans="1:14" x14ac:dyDescent="0.2">
      <c r="A3587" s="5" t="str">
        <f>HYPERLINK("http://www.ncbi.nlm.nih.gov/protein/19527196","Imp3")</f>
        <v>Imp3</v>
      </c>
      <c r="B3587" s="4"/>
      <c r="C3587" s="3">
        <v>4778</v>
      </c>
      <c r="D3587" s="3">
        <v>79</v>
      </c>
      <c r="E3587" s="3">
        <v>3</v>
      </c>
      <c r="F3587" s="3">
        <v>237</v>
      </c>
      <c r="G3587" s="3">
        <v>0</v>
      </c>
      <c r="H3587" s="2">
        <f t="shared" si="112"/>
        <v>5097</v>
      </c>
      <c r="I3587" t="str">
        <f t="shared" si="113"/>
        <v>Imp3_5097</v>
      </c>
      <c r="J3587" s="3">
        <v>4778</v>
      </c>
      <c r="K3587" s="3">
        <v>79</v>
      </c>
      <c r="L3587" s="3">
        <v>3</v>
      </c>
      <c r="M3587" s="3">
        <v>237</v>
      </c>
      <c r="N3587" s="3">
        <v>0</v>
      </c>
    </row>
    <row r="3588" spans="1:14" x14ac:dyDescent="0.2">
      <c r="A3588" s="5" t="str">
        <f>HYPERLINK("http://www.ncbi.nlm.nih.gov/protein/31980942","Impa1")</f>
        <v>Impa1</v>
      </c>
      <c r="B3588" s="4"/>
      <c r="C3588" s="3">
        <v>16311</v>
      </c>
      <c r="D3588" s="3">
        <v>10701</v>
      </c>
      <c r="E3588" s="3">
        <v>15952</v>
      </c>
      <c r="F3588" s="3">
        <v>11722</v>
      </c>
      <c r="G3588" s="3">
        <v>227738</v>
      </c>
      <c r="H3588" s="2">
        <f t="shared" si="112"/>
        <v>282424</v>
      </c>
      <c r="I3588" t="str">
        <f t="shared" si="113"/>
        <v>Impa1_282424</v>
      </c>
      <c r="J3588" s="3">
        <v>16311</v>
      </c>
      <c r="K3588" s="3">
        <v>10701</v>
      </c>
      <c r="L3588" s="3">
        <v>15952</v>
      </c>
      <c r="M3588" s="3">
        <v>11722</v>
      </c>
      <c r="N3588" s="3">
        <v>227738</v>
      </c>
    </row>
    <row r="3589" spans="1:14" x14ac:dyDescent="0.2">
      <c r="A3589" s="5" t="str">
        <f>HYPERLINK("http://www.ncbi.nlm.nih.gov/protein/16716595","Impa2")</f>
        <v>Impa2</v>
      </c>
      <c r="B3589" s="4"/>
      <c r="C3589" s="3">
        <v>0</v>
      </c>
      <c r="D3589" s="3">
        <v>79</v>
      </c>
      <c r="E3589" s="3">
        <v>266</v>
      </c>
      <c r="F3589" s="3">
        <v>0</v>
      </c>
      <c r="G3589" s="3">
        <v>11963</v>
      </c>
      <c r="H3589" s="2">
        <f t="shared" si="112"/>
        <v>12308</v>
      </c>
      <c r="I3589" t="str">
        <f t="shared" si="113"/>
        <v>Impa2_12308</v>
      </c>
      <c r="J3589" s="3">
        <v>0</v>
      </c>
      <c r="K3589" s="3">
        <v>79</v>
      </c>
      <c r="L3589" s="3">
        <v>266</v>
      </c>
      <c r="M3589" s="3">
        <v>0</v>
      </c>
      <c r="N3589" s="3">
        <v>11963</v>
      </c>
    </row>
    <row r="3590" spans="1:14" x14ac:dyDescent="0.2">
      <c r="A3590" s="5" t="str">
        <f>HYPERLINK("http://www.ncbi.nlm.nih.gov/protein/29244210","Impad1")</f>
        <v>Impad1</v>
      </c>
      <c r="B3590" s="4"/>
      <c r="C3590" s="3">
        <v>0</v>
      </c>
      <c r="D3590" s="3">
        <v>1954</v>
      </c>
      <c r="E3590" s="3">
        <v>546</v>
      </c>
      <c r="F3590" s="3">
        <v>0</v>
      </c>
      <c r="G3590" s="3">
        <v>0</v>
      </c>
      <c r="H3590" s="2">
        <f t="shared" si="112"/>
        <v>2500</v>
      </c>
      <c r="I3590" t="str">
        <f t="shared" si="113"/>
        <v>Impad1_2500</v>
      </c>
      <c r="J3590" s="3">
        <v>0</v>
      </c>
      <c r="K3590" s="3">
        <v>1954</v>
      </c>
      <c r="L3590" s="3">
        <v>546</v>
      </c>
      <c r="M3590" s="3">
        <v>0</v>
      </c>
      <c r="N3590" s="3">
        <v>0</v>
      </c>
    </row>
    <row r="3591" spans="1:14" x14ac:dyDescent="0.2">
      <c r="A3591" s="5" t="str">
        <f>HYPERLINK("http://www.ncbi.nlm.nih.gov/protein/34328209","Impdh1")</f>
        <v>Impdh1</v>
      </c>
      <c r="B3591" s="4"/>
      <c r="C3591" s="3">
        <v>0</v>
      </c>
      <c r="D3591" s="3">
        <v>0</v>
      </c>
      <c r="E3591" s="3">
        <v>0</v>
      </c>
      <c r="F3591" s="3">
        <v>9389</v>
      </c>
      <c r="G3591" s="3">
        <v>0</v>
      </c>
      <c r="H3591" s="2">
        <f t="shared" si="112"/>
        <v>9389</v>
      </c>
      <c r="I3591" t="str">
        <f t="shared" si="113"/>
        <v>Impdh1_9389</v>
      </c>
      <c r="J3591" s="3">
        <v>0</v>
      </c>
      <c r="K3591" s="3">
        <v>0</v>
      </c>
      <c r="L3591" s="3">
        <v>0</v>
      </c>
      <c r="M3591" s="3">
        <v>9389</v>
      </c>
      <c r="N3591" s="3">
        <v>0</v>
      </c>
    </row>
    <row r="3592" spans="1:14" x14ac:dyDescent="0.2">
      <c r="A3592" s="5" t="str">
        <f>HYPERLINK("http://www.ncbi.nlm.nih.gov/protein/31981382","Impdh2")</f>
        <v>Impdh2</v>
      </c>
      <c r="B3592" s="4"/>
      <c r="C3592" s="3">
        <v>0</v>
      </c>
      <c r="D3592" s="3">
        <v>1424</v>
      </c>
      <c r="E3592" s="3">
        <v>1010</v>
      </c>
      <c r="F3592" s="3">
        <v>184822</v>
      </c>
      <c r="G3592" s="3">
        <v>16118</v>
      </c>
      <c r="H3592" s="2">
        <f t="shared" si="112"/>
        <v>203374</v>
      </c>
      <c r="I3592" t="str">
        <f t="shared" si="113"/>
        <v>Impdh2_203374</v>
      </c>
      <c r="J3592" s="3">
        <v>0</v>
      </c>
      <c r="K3592" s="3">
        <v>1424</v>
      </c>
      <c r="L3592" s="3">
        <v>1010</v>
      </c>
      <c r="M3592" s="3">
        <v>184822</v>
      </c>
      <c r="N3592" s="3">
        <v>16118</v>
      </c>
    </row>
    <row r="3593" spans="1:14" x14ac:dyDescent="0.2">
      <c r="A3593" s="5" t="str">
        <f>HYPERLINK("http://www.ncbi.nlm.nih.gov/protein/55769576","Inadl")</f>
        <v>Inadl</v>
      </c>
      <c r="B3593" s="4"/>
      <c r="C3593" s="3">
        <v>0</v>
      </c>
      <c r="D3593" s="3">
        <v>0</v>
      </c>
      <c r="E3593" s="3">
        <v>502</v>
      </c>
      <c r="F3593" s="3">
        <v>0</v>
      </c>
      <c r="G3593" s="3">
        <v>0</v>
      </c>
      <c r="H3593" s="2">
        <f t="shared" si="112"/>
        <v>502</v>
      </c>
      <c r="I3593" t="str">
        <f t="shared" si="113"/>
        <v>Inadl_502</v>
      </c>
      <c r="J3593" s="3">
        <v>0</v>
      </c>
      <c r="K3593" s="3">
        <v>0</v>
      </c>
      <c r="L3593" s="3">
        <v>502</v>
      </c>
      <c r="M3593" s="3">
        <v>0</v>
      </c>
      <c r="N3593" s="3">
        <v>0</v>
      </c>
    </row>
    <row r="3594" spans="1:14" x14ac:dyDescent="0.2">
      <c r="A3594" s="5" t="str">
        <f>HYPERLINK("http://www.ncbi.nlm.nih.gov/protein/55769581","Inadl")</f>
        <v>Inadl</v>
      </c>
      <c r="B3594" s="4"/>
      <c r="C3594" s="3">
        <v>0</v>
      </c>
      <c r="D3594" s="3">
        <v>0</v>
      </c>
      <c r="E3594" s="3">
        <v>587</v>
      </c>
      <c r="F3594" s="3">
        <v>0</v>
      </c>
      <c r="G3594" s="3">
        <v>0</v>
      </c>
      <c r="H3594" s="2">
        <f t="shared" si="112"/>
        <v>587</v>
      </c>
      <c r="I3594" t="str">
        <f t="shared" si="113"/>
        <v>Inadl_587</v>
      </c>
      <c r="J3594" s="3">
        <v>0</v>
      </c>
      <c r="K3594" s="3">
        <v>0</v>
      </c>
      <c r="L3594" s="3">
        <v>587</v>
      </c>
      <c r="M3594" s="3">
        <v>0</v>
      </c>
      <c r="N3594" s="3">
        <v>0</v>
      </c>
    </row>
    <row r="3595" spans="1:14" x14ac:dyDescent="0.2">
      <c r="A3595" s="5" t="str">
        <f>HYPERLINK("http://www.ncbi.nlm.nih.gov/protein/6671754","Inadl")</f>
        <v>Inadl</v>
      </c>
      <c r="B3595" s="4"/>
      <c r="C3595" s="3">
        <v>0</v>
      </c>
      <c r="D3595" s="3">
        <v>0</v>
      </c>
      <c r="E3595" s="3">
        <v>502</v>
      </c>
      <c r="F3595" s="3">
        <v>0</v>
      </c>
      <c r="G3595" s="3">
        <v>0</v>
      </c>
      <c r="H3595" s="2">
        <f t="shared" si="112"/>
        <v>502</v>
      </c>
      <c r="I3595" t="str">
        <f t="shared" si="113"/>
        <v>Inadl_502</v>
      </c>
      <c r="J3595" s="3">
        <v>0</v>
      </c>
      <c r="K3595" s="3">
        <v>0</v>
      </c>
      <c r="L3595" s="3">
        <v>502</v>
      </c>
      <c r="M3595" s="3">
        <v>0</v>
      </c>
      <c r="N3595" s="3">
        <v>0</v>
      </c>
    </row>
    <row r="3596" spans="1:14" x14ac:dyDescent="0.2">
      <c r="A3596" s="5" t="str">
        <f>HYPERLINK("http://www.ncbi.nlm.nih.gov/protein/55769578","Inadl")</f>
        <v>Inadl</v>
      </c>
      <c r="B3596" s="4"/>
      <c r="C3596" s="3">
        <v>293</v>
      </c>
      <c r="D3596" s="3">
        <v>35</v>
      </c>
      <c r="E3596" s="3">
        <v>1166</v>
      </c>
      <c r="F3596" s="3">
        <v>0</v>
      </c>
      <c r="G3596" s="3">
        <v>0</v>
      </c>
      <c r="H3596" s="2">
        <f t="shared" si="112"/>
        <v>1494</v>
      </c>
      <c r="I3596" t="str">
        <f t="shared" si="113"/>
        <v>Inadl_1494</v>
      </c>
      <c r="J3596" s="3">
        <v>293</v>
      </c>
      <c r="K3596" s="3">
        <v>35</v>
      </c>
      <c r="L3596" s="3">
        <v>1166</v>
      </c>
      <c r="M3596" s="3">
        <v>0</v>
      </c>
      <c r="N3596" s="3">
        <v>0</v>
      </c>
    </row>
    <row r="3597" spans="1:14" x14ac:dyDescent="0.2">
      <c r="A3597" s="5" t="str">
        <f>HYPERLINK("http://www.ncbi.nlm.nih.gov/protein/114052809","Inf2")</f>
        <v>Inf2</v>
      </c>
      <c r="B3597" s="4"/>
      <c r="C3597" s="3">
        <v>531</v>
      </c>
      <c r="D3597" s="3">
        <v>2</v>
      </c>
      <c r="E3597" s="3">
        <v>202</v>
      </c>
      <c r="F3597" s="3">
        <v>25</v>
      </c>
      <c r="G3597" s="3">
        <v>1167</v>
      </c>
      <c r="H3597" s="2">
        <f t="shared" si="112"/>
        <v>1927</v>
      </c>
      <c r="I3597" t="str">
        <f t="shared" si="113"/>
        <v>Inf2_1927</v>
      </c>
      <c r="J3597" s="3">
        <v>531</v>
      </c>
      <c r="K3597" s="3">
        <v>2</v>
      </c>
      <c r="L3597" s="3">
        <v>202</v>
      </c>
      <c r="M3597" s="3">
        <v>25</v>
      </c>
      <c r="N3597" s="3">
        <v>1167</v>
      </c>
    </row>
    <row r="3598" spans="1:14" x14ac:dyDescent="0.2">
      <c r="A3598" s="5" t="str">
        <f>HYPERLINK("http://www.ncbi.nlm.nih.gov/protein/6678281","Inmt")</f>
        <v>Inmt</v>
      </c>
      <c r="B3598" s="4"/>
      <c r="C3598" s="3">
        <v>8732</v>
      </c>
      <c r="D3598" s="3">
        <v>6872</v>
      </c>
      <c r="E3598" s="3">
        <v>14333</v>
      </c>
      <c r="F3598" s="3">
        <v>8652</v>
      </c>
      <c r="G3598" s="3">
        <v>368846</v>
      </c>
      <c r="H3598" s="2">
        <f t="shared" si="112"/>
        <v>407435</v>
      </c>
      <c r="I3598" t="str">
        <f t="shared" si="113"/>
        <v>Inmt_407435</v>
      </c>
      <c r="J3598" s="3">
        <v>8732</v>
      </c>
      <c r="K3598" s="3">
        <v>6872</v>
      </c>
      <c r="L3598" s="3">
        <v>14333</v>
      </c>
      <c r="M3598" s="3">
        <v>8652</v>
      </c>
      <c r="N3598" s="3">
        <v>368846</v>
      </c>
    </row>
    <row r="3599" spans="1:14" x14ac:dyDescent="0.2">
      <c r="A3599" s="5" t="str">
        <f>HYPERLINK("http://www.ncbi.nlm.nih.gov/protein/170650609","Inpp1")</f>
        <v>Inpp1</v>
      </c>
      <c r="B3599" s="4"/>
      <c r="C3599" s="3">
        <v>0</v>
      </c>
      <c r="D3599" s="3">
        <v>98</v>
      </c>
      <c r="E3599" s="3">
        <v>97</v>
      </c>
      <c r="F3599" s="3">
        <v>0</v>
      </c>
      <c r="G3599" s="3">
        <v>33307</v>
      </c>
      <c r="H3599" s="2">
        <f t="shared" si="112"/>
        <v>33502</v>
      </c>
      <c r="I3599" t="str">
        <f t="shared" si="113"/>
        <v>Inpp1_33502</v>
      </c>
      <c r="J3599" s="3">
        <v>0</v>
      </c>
      <c r="K3599" s="3">
        <v>98</v>
      </c>
      <c r="L3599" s="3">
        <v>97</v>
      </c>
      <c r="M3599" s="3">
        <v>0</v>
      </c>
      <c r="N3599" s="3">
        <v>33307</v>
      </c>
    </row>
    <row r="3600" spans="1:14" x14ac:dyDescent="0.2">
      <c r="A3600" s="5" t="str">
        <f>HYPERLINK("http://www.ncbi.nlm.nih.gov/protein/158853999","Inpp5d")</f>
        <v>Inpp5d</v>
      </c>
      <c r="B3600" s="4"/>
      <c r="C3600" s="3">
        <v>0</v>
      </c>
      <c r="D3600" s="3">
        <v>0</v>
      </c>
      <c r="E3600" s="3">
        <v>645</v>
      </c>
      <c r="F3600" s="3">
        <v>5615</v>
      </c>
      <c r="G3600" s="3">
        <v>0</v>
      </c>
      <c r="H3600" s="2">
        <f t="shared" si="112"/>
        <v>6260</v>
      </c>
      <c r="I3600" t="str">
        <f t="shared" si="113"/>
        <v>Inpp5d_6260</v>
      </c>
      <c r="J3600" s="3">
        <v>0</v>
      </c>
      <c r="K3600" s="3">
        <v>0</v>
      </c>
      <c r="L3600" s="3">
        <v>645</v>
      </c>
      <c r="M3600" s="3">
        <v>5615</v>
      </c>
      <c r="N3600" s="3">
        <v>0</v>
      </c>
    </row>
    <row r="3601" spans="1:14" x14ac:dyDescent="0.2">
      <c r="A3601" s="5" t="str">
        <f>HYPERLINK("http://www.ncbi.nlm.nih.gov/protein/158854001","Inpp5d")</f>
        <v>Inpp5d</v>
      </c>
      <c r="B3601" s="4"/>
      <c r="C3601" s="3">
        <v>0</v>
      </c>
      <c r="D3601" s="3">
        <v>0</v>
      </c>
      <c r="E3601" s="3">
        <v>645</v>
      </c>
      <c r="F3601" s="3">
        <v>5615</v>
      </c>
      <c r="G3601" s="3">
        <v>0</v>
      </c>
      <c r="H3601" s="2">
        <f t="shared" si="112"/>
        <v>6260</v>
      </c>
      <c r="I3601" t="str">
        <f t="shared" si="113"/>
        <v>Inpp5d_6260</v>
      </c>
      <c r="J3601" s="3">
        <v>0</v>
      </c>
      <c r="K3601" s="3">
        <v>0</v>
      </c>
      <c r="L3601" s="3">
        <v>645</v>
      </c>
      <c r="M3601" s="3">
        <v>5615</v>
      </c>
      <c r="N3601" s="3">
        <v>0</v>
      </c>
    </row>
    <row r="3602" spans="1:14" x14ac:dyDescent="0.2">
      <c r="A3602" s="5" t="str">
        <f>HYPERLINK("http://www.ncbi.nlm.nih.gov/protein/158854003","Inpp5d")</f>
        <v>Inpp5d</v>
      </c>
      <c r="B3602" s="4"/>
      <c r="C3602" s="3">
        <v>0</v>
      </c>
      <c r="D3602" s="3">
        <v>0</v>
      </c>
      <c r="E3602" s="3">
        <v>645</v>
      </c>
      <c r="F3602" s="3">
        <v>5615</v>
      </c>
      <c r="G3602" s="3">
        <v>0</v>
      </c>
      <c r="H3602" s="2">
        <f t="shared" si="112"/>
        <v>6260</v>
      </c>
      <c r="I3602" t="str">
        <f t="shared" si="113"/>
        <v>Inpp5d_6260</v>
      </c>
      <c r="J3602" s="3">
        <v>0</v>
      </c>
      <c r="K3602" s="3">
        <v>0</v>
      </c>
      <c r="L3602" s="3">
        <v>645</v>
      </c>
      <c r="M3602" s="3">
        <v>5615</v>
      </c>
      <c r="N3602" s="3">
        <v>0</v>
      </c>
    </row>
    <row r="3603" spans="1:14" x14ac:dyDescent="0.2">
      <c r="A3603" s="5" t="str">
        <f>HYPERLINK("http://www.ncbi.nlm.nih.gov/protein/170172575","Inppl1")</f>
        <v>Inppl1</v>
      </c>
      <c r="B3603" s="4"/>
      <c r="C3603" s="3">
        <v>29894</v>
      </c>
      <c r="D3603" s="3">
        <v>4296</v>
      </c>
      <c r="E3603" s="3">
        <v>18251</v>
      </c>
      <c r="F3603" s="3">
        <v>4355</v>
      </c>
      <c r="G3603" s="3">
        <v>31015</v>
      </c>
      <c r="H3603" s="2">
        <f t="shared" si="112"/>
        <v>87811</v>
      </c>
      <c r="I3603" t="str">
        <f t="shared" si="113"/>
        <v>Inppl1_87811</v>
      </c>
      <c r="J3603" s="3">
        <v>29894</v>
      </c>
      <c r="K3603" s="3">
        <v>4296</v>
      </c>
      <c r="L3603" s="3">
        <v>18251</v>
      </c>
      <c r="M3603" s="3">
        <v>4355</v>
      </c>
      <c r="N3603" s="3">
        <v>31015</v>
      </c>
    </row>
    <row r="3604" spans="1:14" x14ac:dyDescent="0.2">
      <c r="A3604" s="5" t="str">
        <f>HYPERLINK("http://www.ncbi.nlm.nih.gov/protein/157057178","Insr")</f>
        <v>Insr</v>
      </c>
      <c r="B3604" s="4"/>
      <c r="C3604" s="3">
        <v>0</v>
      </c>
      <c r="D3604" s="3">
        <v>52</v>
      </c>
      <c r="E3604" s="3">
        <v>768</v>
      </c>
      <c r="F3604" s="3">
        <v>0</v>
      </c>
      <c r="G3604" s="3">
        <v>0</v>
      </c>
      <c r="H3604" s="2">
        <f t="shared" si="112"/>
        <v>820</v>
      </c>
      <c r="I3604" t="str">
        <f t="shared" si="113"/>
        <v>Insr_820</v>
      </c>
      <c r="J3604" s="3">
        <v>0</v>
      </c>
      <c r="K3604" s="3">
        <v>52</v>
      </c>
      <c r="L3604" s="3">
        <v>768</v>
      </c>
      <c r="M3604" s="3">
        <v>0</v>
      </c>
      <c r="N3604" s="3">
        <v>0</v>
      </c>
    </row>
    <row r="3605" spans="1:14" x14ac:dyDescent="0.2">
      <c r="A3605" s="5" t="str">
        <f>HYPERLINK("http://www.ncbi.nlm.nih.gov/protein/160333073","Insrr")</f>
        <v>Insrr</v>
      </c>
      <c r="B3605" s="4"/>
      <c r="C3605" s="3">
        <v>0</v>
      </c>
      <c r="D3605" s="3">
        <v>52</v>
      </c>
      <c r="E3605" s="3">
        <v>66</v>
      </c>
      <c r="F3605" s="3">
        <v>0</v>
      </c>
      <c r="G3605" s="3">
        <v>0</v>
      </c>
      <c r="H3605" s="2">
        <f t="shared" si="112"/>
        <v>118</v>
      </c>
      <c r="I3605" t="str">
        <f t="shared" si="113"/>
        <v>Insrr_118</v>
      </c>
      <c r="J3605" s="3">
        <v>0</v>
      </c>
      <c r="K3605" s="3">
        <v>52</v>
      </c>
      <c r="L3605" s="3">
        <v>66</v>
      </c>
      <c r="M3605" s="3">
        <v>0</v>
      </c>
      <c r="N3605" s="3">
        <v>0</v>
      </c>
    </row>
    <row r="3606" spans="1:14" x14ac:dyDescent="0.2">
      <c r="A3606" s="5" t="str">
        <f>HYPERLINK("http://www.ncbi.nlm.nih.gov/protein/294832004","Ints1")</f>
        <v>Ints1</v>
      </c>
      <c r="B3606" s="4"/>
      <c r="C3606" s="3">
        <v>0</v>
      </c>
      <c r="D3606" s="3">
        <v>0</v>
      </c>
      <c r="E3606" s="3">
        <v>29</v>
      </c>
      <c r="F3606" s="3">
        <v>0</v>
      </c>
      <c r="G3606" s="3">
        <v>0</v>
      </c>
      <c r="H3606" s="2">
        <f t="shared" si="112"/>
        <v>29</v>
      </c>
      <c r="I3606" t="str">
        <f t="shared" si="113"/>
        <v>Ints1_29</v>
      </c>
      <c r="J3606" s="3">
        <v>0</v>
      </c>
      <c r="K3606" s="3">
        <v>0</v>
      </c>
      <c r="L3606" s="3">
        <v>29</v>
      </c>
      <c r="M3606" s="3">
        <v>0</v>
      </c>
      <c r="N3606" s="3">
        <v>0</v>
      </c>
    </row>
    <row r="3607" spans="1:14" x14ac:dyDescent="0.2">
      <c r="A3607" s="5" t="str">
        <f>HYPERLINK("http://www.ncbi.nlm.nih.gov/protein/21313674","Ints12")</f>
        <v>Ints12</v>
      </c>
      <c r="B3607" s="4"/>
      <c r="C3607" s="3">
        <v>0</v>
      </c>
      <c r="D3607" s="3">
        <v>0</v>
      </c>
      <c r="E3607" s="3">
        <v>0</v>
      </c>
      <c r="F3607" s="3">
        <v>41</v>
      </c>
      <c r="G3607" s="3">
        <v>21</v>
      </c>
      <c r="H3607" s="2">
        <f t="shared" si="112"/>
        <v>62</v>
      </c>
      <c r="I3607" t="str">
        <f t="shared" si="113"/>
        <v>Ints12_62</v>
      </c>
      <c r="J3607" s="3">
        <v>0</v>
      </c>
      <c r="K3607" s="3">
        <v>0</v>
      </c>
      <c r="L3607" s="3">
        <v>0</v>
      </c>
      <c r="M3607" s="3">
        <v>41</v>
      </c>
      <c r="N3607" s="3">
        <v>21</v>
      </c>
    </row>
    <row r="3608" spans="1:14" x14ac:dyDescent="0.2">
      <c r="A3608" s="5" t="str">
        <f>HYPERLINK("http://www.ncbi.nlm.nih.gov/protein/31652266","Ints3")</f>
        <v>Ints3</v>
      </c>
      <c r="B3608" s="4"/>
      <c r="C3608" s="3">
        <v>934</v>
      </c>
      <c r="D3608" s="3">
        <v>0</v>
      </c>
      <c r="E3608" s="3">
        <v>228</v>
      </c>
      <c r="F3608" s="3">
        <v>2014</v>
      </c>
      <c r="G3608" s="3">
        <v>1831</v>
      </c>
      <c r="H3608" s="2">
        <f t="shared" si="112"/>
        <v>5007</v>
      </c>
      <c r="I3608" t="str">
        <f t="shared" si="113"/>
        <v>Ints3_5007</v>
      </c>
      <c r="J3608" s="3">
        <v>934</v>
      </c>
      <c r="K3608" s="3">
        <v>0</v>
      </c>
      <c r="L3608" s="3">
        <v>228</v>
      </c>
      <c r="M3608" s="3">
        <v>2014</v>
      </c>
      <c r="N3608" s="3">
        <v>1831</v>
      </c>
    </row>
    <row r="3609" spans="1:14" x14ac:dyDescent="0.2">
      <c r="A3609" s="5" t="str">
        <f>HYPERLINK("http://www.ncbi.nlm.nih.gov/protein/30794414","Ints4")</f>
        <v>Ints4</v>
      </c>
      <c r="B3609" s="4"/>
      <c r="C3609" s="3">
        <v>1080</v>
      </c>
      <c r="D3609" s="3">
        <v>0</v>
      </c>
      <c r="E3609" s="3">
        <v>181</v>
      </c>
      <c r="F3609" s="3">
        <v>0</v>
      </c>
      <c r="G3609" s="3">
        <v>0</v>
      </c>
      <c r="H3609" s="2">
        <f t="shared" si="112"/>
        <v>1261</v>
      </c>
      <c r="I3609" t="str">
        <f t="shared" si="113"/>
        <v>Ints4_1261</v>
      </c>
      <c r="J3609" s="3">
        <v>1080</v>
      </c>
      <c r="K3609" s="3">
        <v>0</v>
      </c>
      <c r="L3609" s="3">
        <v>181</v>
      </c>
      <c r="M3609" s="3">
        <v>0</v>
      </c>
      <c r="N3609" s="3">
        <v>0</v>
      </c>
    </row>
    <row r="3610" spans="1:14" x14ac:dyDescent="0.2">
      <c r="A3610" s="5" t="str">
        <f>HYPERLINK("http://www.ncbi.nlm.nih.gov/protein/28849895","Ints5")</f>
        <v>Ints5</v>
      </c>
      <c r="B3610" s="4"/>
      <c r="C3610" s="3">
        <v>0</v>
      </c>
      <c r="D3610" s="3">
        <v>0</v>
      </c>
      <c r="E3610" s="3">
        <v>37</v>
      </c>
      <c r="F3610" s="3">
        <v>0</v>
      </c>
      <c r="G3610" s="3">
        <v>0</v>
      </c>
      <c r="H3610" s="2">
        <f t="shared" si="112"/>
        <v>37</v>
      </c>
      <c r="I3610" t="str">
        <f t="shared" si="113"/>
        <v>Ints5_37</v>
      </c>
      <c r="J3610" s="3">
        <v>0</v>
      </c>
      <c r="K3610" s="3">
        <v>0</v>
      </c>
      <c r="L3610" s="3">
        <v>37</v>
      </c>
      <c r="M3610" s="3">
        <v>0</v>
      </c>
      <c r="N3610" s="3">
        <v>0</v>
      </c>
    </row>
    <row r="3611" spans="1:14" x14ac:dyDescent="0.2">
      <c r="A3611" s="5" t="str">
        <f>HYPERLINK("http://www.ncbi.nlm.nih.gov/protein/153791768","Ints7")</f>
        <v>Ints7</v>
      </c>
      <c r="B3611" s="4"/>
      <c r="C3611" s="3">
        <v>513</v>
      </c>
      <c r="D3611" s="3">
        <v>0</v>
      </c>
      <c r="E3611" s="3">
        <v>0</v>
      </c>
      <c r="F3611" s="3">
        <v>434</v>
      </c>
      <c r="G3611" s="3">
        <v>0</v>
      </c>
      <c r="H3611" s="2">
        <f t="shared" si="112"/>
        <v>947</v>
      </c>
      <c r="I3611" t="str">
        <f t="shared" si="113"/>
        <v>Ints7_947</v>
      </c>
      <c r="J3611" s="3">
        <v>513</v>
      </c>
      <c r="K3611" s="3">
        <v>0</v>
      </c>
      <c r="L3611" s="3">
        <v>0</v>
      </c>
      <c r="M3611" s="3">
        <v>434</v>
      </c>
      <c r="N3611" s="3">
        <v>0</v>
      </c>
    </row>
    <row r="3612" spans="1:14" x14ac:dyDescent="0.2">
      <c r="A3612" s="5" t="str">
        <f>HYPERLINK("http://www.ncbi.nlm.nih.gov/protein/31981980","Ints9")</f>
        <v>Ints9</v>
      </c>
      <c r="B3612" s="4"/>
      <c r="C3612" s="3">
        <v>0</v>
      </c>
      <c r="D3612" s="3">
        <v>0</v>
      </c>
      <c r="E3612" s="3">
        <v>0</v>
      </c>
      <c r="F3612" s="3">
        <v>900</v>
      </c>
      <c r="G3612" s="3">
        <v>353</v>
      </c>
      <c r="H3612" s="2">
        <f t="shared" si="112"/>
        <v>1253</v>
      </c>
      <c r="I3612" t="str">
        <f t="shared" si="113"/>
        <v>Ints9_1253</v>
      </c>
      <c r="J3612" s="3">
        <v>0</v>
      </c>
      <c r="K3612" s="3">
        <v>0</v>
      </c>
      <c r="L3612" s="3">
        <v>0</v>
      </c>
      <c r="M3612" s="3">
        <v>900</v>
      </c>
      <c r="N3612" s="3">
        <v>353</v>
      </c>
    </row>
    <row r="3613" spans="1:14" x14ac:dyDescent="0.2">
      <c r="A3613" s="5" t="str">
        <f>HYPERLINK("http://www.ncbi.nlm.nih.gov/protein/359279877","Ints9")</f>
        <v>Ints9</v>
      </c>
      <c r="B3613" s="4"/>
      <c r="C3613" s="3">
        <v>0</v>
      </c>
      <c r="D3613" s="3">
        <v>0</v>
      </c>
      <c r="E3613" s="3">
        <v>0</v>
      </c>
      <c r="F3613" s="3">
        <v>900</v>
      </c>
      <c r="G3613" s="3">
        <v>353</v>
      </c>
      <c r="H3613" s="2">
        <f t="shared" si="112"/>
        <v>1253</v>
      </c>
      <c r="I3613" t="str">
        <f t="shared" si="113"/>
        <v>Ints9_1253</v>
      </c>
      <c r="J3613" s="3">
        <v>0</v>
      </c>
      <c r="K3613" s="3">
        <v>0</v>
      </c>
      <c r="L3613" s="3">
        <v>0</v>
      </c>
      <c r="M3613" s="3">
        <v>900</v>
      </c>
      <c r="N3613" s="3">
        <v>353</v>
      </c>
    </row>
    <row r="3614" spans="1:14" x14ac:dyDescent="0.2">
      <c r="A3614" s="5" t="str">
        <f>HYPERLINK("http://www.ncbi.nlm.nih.gov/protein/111120342","Invs")</f>
        <v>Invs</v>
      </c>
      <c r="B3614" s="4"/>
      <c r="C3614" s="3">
        <v>0</v>
      </c>
      <c r="D3614" s="3">
        <v>0</v>
      </c>
      <c r="E3614" s="3">
        <v>0</v>
      </c>
      <c r="F3614" s="3">
        <v>0</v>
      </c>
      <c r="G3614" s="3">
        <v>2677</v>
      </c>
      <c r="H3614" s="2">
        <f t="shared" si="112"/>
        <v>2677</v>
      </c>
      <c r="I3614" t="str">
        <f t="shared" si="113"/>
        <v>Invs_2677</v>
      </c>
      <c r="J3614" s="3">
        <v>0</v>
      </c>
      <c r="K3614" s="3">
        <v>0</v>
      </c>
      <c r="L3614" s="3">
        <v>0</v>
      </c>
      <c r="M3614" s="3">
        <v>0</v>
      </c>
      <c r="N3614" s="3">
        <v>2677</v>
      </c>
    </row>
    <row r="3615" spans="1:14" x14ac:dyDescent="0.2">
      <c r="A3615" s="5" t="str">
        <f>HYPERLINK("http://www.ncbi.nlm.nih.gov/protein/31541898","Ipo11")</f>
        <v>Ipo11</v>
      </c>
      <c r="B3615" s="4"/>
      <c r="C3615" s="3">
        <v>0</v>
      </c>
      <c r="D3615" s="3">
        <v>0</v>
      </c>
      <c r="E3615" s="3">
        <v>16</v>
      </c>
      <c r="F3615" s="3">
        <v>4739</v>
      </c>
      <c r="G3615" s="3">
        <v>1917</v>
      </c>
      <c r="H3615" s="2">
        <f t="shared" si="112"/>
        <v>6672</v>
      </c>
      <c r="I3615" t="str">
        <f t="shared" si="113"/>
        <v>Ipo11_6672</v>
      </c>
      <c r="J3615" s="3">
        <v>0</v>
      </c>
      <c r="K3615" s="3">
        <v>0</v>
      </c>
      <c r="L3615" s="3">
        <v>16</v>
      </c>
      <c r="M3615" s="3">
        <v>4739</v>
      </c>
      <c r="N3615" s="3">
        <v>1917</v>
      </c>
    </row>
    <row r="3616" spans="1:14" x14ac:dyDescent="0.2">
      <c r="A3616" s="5" t="str">
        <f>HYPERLINK("http://www.ncbi.nlm.nih.gov/protein/19745156","Ipo4")</f>
        <v>Ipo4</v>
      </c>
      <c r="B3616" s="4"/>
      <c r="C3616" s="3">
        <v>769</v>
      </c>
      <c r="D3616" s="3">
        <v>503</v>
      </c>
      <c r="E3616" s="3">
        <v>3213</v>
      </c>
      <c r="F3616" s="3">
        <v>21577</v>
      </c>
      <c r="G3616" s="3">
        <v>38908</v>
      </c>
      <c r="H3616" s="2">
        <f t="shared" si="112"/>
        <v>64970</v>
      </c>
      <c r="I3616" t="str">
        <f t="shared" si="113"/>
        <v>Ipo4_64970</v>
      </c>
      <c r="J3616" s="3">
        <v>769</v>
      </c>
      <c r="K3616" s="3">
        <v>503</v>
      </c>
      <c r="L3616" s="3">
        <v>3213</v>
      </c>
      <c r="M3616" s="3">
        <v>21577</v>
      </c>
      <c r="N3616" s="3">
        <v>38908</v>
      </c>
    </row>
    <row r="3617" spans="1:14" x14ac:dyDescent="0.2">
      <c r="A3617" s="5" t="str">
        <f>HYPERLINK("http://www.ncbi.nlm.nih.gov/protein/29789199","Ipo5")</f>
        <v>Ipo5</v>
      </c>
      <c r="B3617" s="4"/>
      <c r="C3617" s="3">
        <v>146</v>
      </c>
      <c r="D3617" s="3">
        <v>430</v>
      </c>
      <c r="E3617" s="3">
        <v>23210</v>
      </c>
      <c r="F3617" s="3">
        <v>85809</v>
      </c>
      <c r="G3617" s="3">
        <v>184225</v>
      </c>
      <c r="H3617" s="2">
        <f t="shared" si="112"/>
        <v>293820</v>
      </c>
      <c r="I3617" t="str">
        <f t="shared" si="113"/>
        <v>Ipo5_293820</v>
      </c>
      <c r="J3617" s="3">
        <v>146</v>
      </c>
      <c r="K3617" s="3">
        <v>430</v>
      </c>
      <c r="L3617" s="3">
        <v>23210</v>
      </c>
      <c r="M3617" s="3">
        <v>85809</v>
      </c>
      <c r="N3617" s="3">
        <v>184225</v>
      </c>
    </row>
    <row r="3618" spans="1:14" x14ac:dyDescent="0.2">
      <c r="A3618" s="5" t="str">
        <f>HYPERLINK("http://www.ncbi.nlm.nih.gov/protein/74229034","Ipo7")</f>
        <v>Ipo7</v>
      </c>
      <c r="B3618" s="4"/>
      <c r="C3618" s="3">
        <v>0</v>
      </c>
      <c r="D3618" s="3">
        <v>84</v>
      </c>
      <c r="E3618" s="3">
        <v>2810</v>
      </c>
      <c r="F3618" s="3">
        <v>14636</v>
      </c>
      <c r="G3618" s="3">
        <v>67373</v>
      </c>
      <c r="H3618" s="2">
        <f t="shared" si="112"/>
        <v>84903</v>
      </c>
      <c r="I3618" t="str">
        <f t="shared" si="113"/>
        <v>Ipo7_84903</v>
      </c>
      <c r="J3618" s="3">
        <v>0</v>
      </c>
      <c r="K3618" s="3">
        <v>84</v>
      </c>
      <c r="L3618" s="3">
        <v>2810</v>
      </c>
      <c r="M3618" s="3">
        <v>14636</v>
      </c>
      <c r="N3618" s="3">
        <v>67373</v>
      </c>
    </row>
    <row r="3619" spans="1:14" x14ac:dyDescent="0.2">
      <c r="A3619" s="5" t="str">
        <f>HYPERLINK("http://www.ncbi.nlm.nih.gov/protein/124487445","Ipo8")</f>
        <v>Ipo8</v>
      </c>
      <c r="B3619" s="4"/>
      <c r="C3619" s="3">
        <v>0</v>
      </c>
      <c r="D3619" s="3">
        <v>0</v>
      </c>
      <c r="E3619" s="3">
        <v>0</v>
      </c>
      <c r="F3619" s="3">
        <v>2595</v>
      </c>
      <c r="G3619" s="3">
        <v>2367</v>
      </c>
      <c r="H3619" s="2">
        <f t="shared" si="112"/>
        <v>4962</v>
      </c>
      <c r="I3619" t="str">
        <f t="shared" si="113"/>
        <v>Ipo8_4962</v>
      </c>
      <c r="J3619" s="3">
        <v>0</v>
      </c>
      <c r="K3619" s="3">
        <v>0</v>
      </c>
      <c r="L3619" s="3">
        <v>0</v>
      </c>
      <c r="M3619" s="3">
        <v>2595</v>
      </c>
      <c r="N3619" s="3">
        <v>2367</v>
      </c>
    </row>
    <row r="3620" spans="1:14" x14ac:dyDescent="0.2">
      <c r="A3620" s="5" t="str">
        <f>HYPERLINK("http://www.ncbi.nlm.nih.gov/protein/112734861","Ipo9")</f>
        <v>Ipo9</v>
      </c>
      <c r="B3620" s="4"/>
      <c r="C3620" s="3">
        <v>879</v>
      </c>
      <c r="D3620" s="3">
        <v>1557</v>
      </c>
      <c r="E3620" s="3">
        <v>5082</v>
      </c>
      <c r="F3620" s="3">
        <v>33970</v>
      </c>
      <c r="G3620" s="3">
        <v>44776</v>
      </c>
      <c r="H3620" s="2">
        <f t="shared" si="112"/>
        <v>86264</v>
      </c>
      <c r="I3620" t="str">
        <f t="shared" si="113"/>
        <v>Ipo9_86264</v>
      </c>
      <c r="J3620" s="3">
        <v>879</v>
      </c>
      <c r="K3620" s="3">
        <v>1557</v>
      </c>
      <c r="L3620" s="3">
        <v>5082</v>
      </c>
      <c r="M3620" s="3">
        <v>33970</v>
      </c>
      <c r="N3620" s="3">
        <v>44776</v>
      </c>
    </row>
    <row r="3621" spans="1:14" x14ac:dyDescent="0.2">
      <c r="A3621" s="5" t="str">
        <f>HYPERLINK("http://www.ncbi.nlm.nih.gov/protein/242332572","Iqgap1")</f>
        <v>Iqgap1</v>
      </c>
      <c r="B3621" s="4"/>
      <c r="C3621" s="3">
        <v>52374</v>
      </c>
      <c r="D3621" s="3">
        <v>95170</v>
      </c>
      <c r="E3621" s="3">
        <v>218102</v>
      </c>
      <c r="F3621" s="3">
        <v>1056674</v>
      </c>
      <c r="G3621" s="3">
        <v>752696</v>
      </c>
      <c r="H3621" s="2">
        <f t="shared" si="112"/>
        <v>2175016</v>
      </c>
      <c r="I3621" t="str">
        <f t="shared" si="113"/>
        <v>Iqgap1_2175016</v>
      </c>
      <c r="J3621" s="3">
        <v>52374</v>
      </c>
      <c r="K3621" s="3">
        <v>95170</v>
      </c>
      <c r="L3621" s="3">
        <v>218102</v>
      </c>
      <c r="M3621" s="3">
        <v>1056674</v>
      </c>
      <c r="N3621" s="3">
        <v>752696</v>
      </c>
    </row>
    <row r="3622" spans="1:14" x14ac:dyDescent="0.2">
      <c r="A3622" s="5" t="str">
        <f>HYPERLINK("http://www.ncbi.nlm.nih.gov/protein/118344444","Iqgap2")</f>
        <v>Iqgap2</v>
      </c>
      <c r="B3622" s="4"/>
      <c r="C3622" s="3">
        <v>0</v>
      </c>
      <c r="D3622" s="3">
        <v>3768</v>
      </c>
      <c r="E3622" s="3">
        <v>17055</v>
      </c>
      <c r="F3622" s="3">
        <v>48630</v>
      </c>
      <c r="G3622" s="3">
        <v>49681</v>
      </c>
      <c r="H3622" s="2">
        <f t="shared" si="112"/>
        <v>119134</v>
      </c>
      <c r="I3622" t="str">
        <f t="shared" si="113"/>
        <v>Iqgap2_119134</v>
      </c>
      <c r="J3622" s="3">
        <v>0</v>
      </c>
      <c r="K3622" s="3">
        <v>3768</v>
      </c>
      <c r="L3622" s="3">
        <v>17055</v>
      </c>
      <c r="M3622" s="3">
        <v>48630</v>
      </c>
      <c r="N3622" s="3">
        <v>49681</v>
      </c>
    </row>
    <row r="3623" spans="1:14" x14ac:dyDescent="0.2">
      <c r="A3623" s="5" t="str">
        <f>HYPERLINK("http://www.ncbi.nlm.nih.gov/protein/118344446","Iqgap3")</f>
        <v>Iqgap3</v>
      </c>
      <c r="B3623" s="4"/>
      <c r="C3623" s="3">
        <v>0</v>
      </c>
      <c r="D3623" s="3">
        <v>605</v>
      </c>
      <c r="E3623" s="3">
        <v>4686</v>
      </c>
      <c r="F3623" s="3">
        <v>26456</v>
      </c>
      <c r="G3623" s="3">
        <v>21216</v>
      </c>
      <c r="H3623" s="2">
        <f t="shared" si="112"/>
        <v>52963</v>
      </c>
      <c r="I3623" t="str">
        <f t="shared" si="113"/>
        <v>Iqgap3_52963</v>
      </c>
      <c r="J3623" s="3">
        <v>0</v>
      </c>
      <c r="K3623" s="3">
        <v>605</v>
      </c>
      <c r="L3623" s="3">
        <v>4686</v>
      </c>
      <c r="M3623" s="3">
        <v>26456</v>
      </c>
      <c r="N3623" s="3">
        <v>21216</v>
      </c>
    </row>
    <row r="3624" spans="1:14" x14ac:dyDescent="0.2">
      <c r="A3624" s="5" t="str">
        <f>HYPERLINK("http://www.ncbi.nlm.nih.gov/protein/23943898","Irak4")</f>
        <v>Irak4</v>
      </c>
      <c r="B3624" s="4"/>
      <c r="C3624" s="3">
        <v>0</v>
      </c>
      <c r="D3624" s="3">
        <v>296</v>
      </c>
      <c r="E3624" s="3">
        <v>948</v>
      </c>
      <c r="F3624" s="3">
        <v>0</v>
      </c>
      <c r="G3624" s="3">
        <v>2303</v>
      </c>
      <c r="H3624" s="2">
        <f t="shared" si="112"/>
        <v>3547</v>
      </c>
      <c r="I3624" t="str">
        <f t="shared" si="113"/>
        <v>Irak4_3547</v>
      </c>
      <c r="J3624" s="3">
        <v>0</v>
      </c>
      <c r="K3624" s="3">
        <v>296</v>
      </c>
      <c r="L3624" s="3">
        <v>948</v>
      </c>
      <c r="M3624" s="3">
        <v>0</v>
      </c>
      <c r="N3624" s="3">
        <v>2303</v>
      </c>
    </row>
    <row r="3625" spans="1:14" x14ac:dyDescent="0.2">
      <c r="A3625" s="5" t="str">
        <f>HYPERLINK("http://www.ncbi.nlm.nih.gov/protein/254281215","Ireb2")</f>
        <v>Ireb2</v>
      </c>
      <c r="B3625" s="4"/>
      <c r="C3625" s="3">
        <v>0</v>
      </c>
      <c r="D3625" s="3">
        <v>0</v>
      </c>
      <c r="E3625" s="3">
        <v>404</v>
      </c>
      <c r="F3625" s="3">
        <v>0</v>
      </c>
      <c r="G3625" s="3">
        <v>11556</v>
      </c>
      <c r="H3625" s="2">
        <f t="shared" si="112"/>
        <v>11960</v>
      </c>
      <c r="I3625" t="str">
        <f t="shared" si="113"/>
        <v>Ireb2_11960</v>
      </c>
      <c r="J3625" s="3">
        <v>0</v>
      </c>
      <c r="K3625" s="3">
        <v>0</v>
      </c>
      <c r="L3625" s="3">
        <v>404</v>
      </c>
      <c r="M3625" s="3">
        <v>0</v>
      </c>
      <c r="N3625" s="3">
        <v>11556</v>
      </c>
    </row>
    <row r="3626" spans="1:14" x14ac:dyDescent="0.2">
      <c r="A3626" s="5" t="str">
        <f>HYPERLINK("http://www.ncbi.nlm.nih.gov/protein/31982348","Irf2bp1")</f>
        <v>Irf2bp1</v>
      </c>
      <c r="B3626" s="4"/>
      <c r="C3626" s="3">
        <v>0</v>
      </c>
      <c r="D3626" s="3">
        <v>0</v>
      </c>
      <c r="E3626" s="3">
        <v>236</v>
      </c>
      <c r="F3626" s="3">
        <v>0</v>
      </c>
      <c r="G3626" s="3">
        <v>5001</v>
      </c>
      <c r="H3626" s="2">
        <f t="shared" si="112"/>
        <v>5237</v>
      </c>
      <c r="I3626" t="str">
        <f t="shared" si="113"/>
        <v>Irf2bp1_5237</v>
      </c>
      <c r="J3626" s="3">
        <v>0</v>
      </c>
      <c r="K3626" s="3">
        <v>0</v>
      </c>
      <c r="L3626" s="3">
        <v>236</v>
      </c>
      <c r="M3626" s="3">
        <v>0</v>
      </c>
      <c r="N3626" s="3">
        <v>5001</v>
      </c>
    </row>
    <row r="3627" spans="1:14" x14ac:dyDescent="0.2">
      <c r="A3627" s="5" t="str">
        <f>HYPERLINK("http://www.ncbi.nlm.nih.gov/protein/257196179","Irf2bp2")</f>
        <v>Irf2bp2</v>
      </c>
      <c r="B3627" s="4"/>
      <c r="C3627" s="3">
        <v>0</v>
      </c>
      <c r="D3627" s="3">
        <v>0</v>
      </c>
      <c r="E3627" s="3">
        <v>919</v>
      </c>
      <c r="F3627" s="3">
        <v>475</v>
      </c>
      <c r="G3627" s="3">
        <v>5205</v>
      </c>
      <c r="H3627" s="2">
        <f t="shared" si="112"/>
        <v>6599</v>
      </c>
      <c r="I3627" t="str">
        <f t="shared" si="113"/>
        <v>Irf2bp2_6599</v>
      </c>
      <c r="J3627" s="3">
        <v>0</v>
      </c>
      <c r="K3627" s="3">
        <v>0</v>
      </c>
      <c r="L3627" s="3">
        <v>919</v>
      </c>
      <c r="M3627" s="3">
        <v>475</v>
      </c>
      <c r="N3627" s="3">
        <v>5205</v>
      </c>
    </row>
    <row r="3628" spans="1:14" x14ac:dyDescent="0.2">
      <c r="A3628" s="5" t="str">
        <f>HYPERLINK("http://www.ncbi.nlm.nih.gov/protein/22003884","Irf2bpl")</f>
        <v>Irf2bpl</v>
      </c>
      <c r="B3628" s="4"/>
      <c r="C3628" s="3">
        <v>5016</v>
      </c>
      <c r="D3628" s="3">
        <v>6056</v>
      </c>
      <c r="E3628" s="3">
        <v>7289</v>
      </c>
      <c r="F3628" s="3">
        <v>7302</v>
      </c>
      <c r="G3628" s="3">
        <v>39282</v>
      </c>
      <c r="H3628" s="2">
        <f t="shared" si="112"/>
        <v>64945</v>
      </c>
      <c r="I3628" t="str">
        <f t="shared" si="113"/>
        <v>Irf2bpl_64945</v>
      </c>
      <c r="J3628" s="3">
        <v>5016</v>
      </c>
      <c r="K3628" s="3">
        <v>6056</v>
      </c>
      <c r="L3628" s="3">
        <v>7289</v>
      </c>
      <c r="M3628" s="3">
        <v>7302</v>
      </c>
      <c r="N3628" s="3">
        <v>39282</v>
      </c>
    </row>
    <row r="3629" spans="1:14" x14ac:dyDescent="0.2">
      <c r="A3629" s="5" t="str">
        <f>HYPERLINK("http://www.ncbi.nlm.nih.gov/protein/8393627","Irf3")</f>
        <v>Irf3</v>
      </c>
      <c r="B3629" s="4"/>
      <c r="C3629" s="3">
        <v>0</v>
      </c>
      <c r="D3629" s="3">
        <v>0</v>
      </c>
      <c r="E3629" s="3">
        <v>70</v>
      </c>
      <c r="F3629" s="3">
        <v>0</v>
      </c>
      <c r="G3629" s="3">
        <v>3663</v>
      </c>
      <c r="H3629" s="2">
        <f t="shared" si="112"/>
        <v>3733</v>
      </c>
      <c r="I3629" t="str">
        <f t="shared" si="113"/>
        <v>Irf3_3733</v>
      </c>
      <c r="J3629" s="3">
        <v>0</v>
      </c>
      <c r="K3629" s="3">
        <v>0</v>
      </c>
      <c r="L3629" s="3">
        <v>70</v>
      </c>
      <c r="M3629" s="3">
        <v>0</v>
      </c>
      <c r="N3629" s="3">
        <v>3663</v>
      </c>
    </row>
    <row r="3630" spans="1:14" x14ac:dyDescent="0.2">
      <c r="A3630" s="5" t="str">
        <f>HYPERLINK("http://www.ncbi.nlm.nih.gov/protein/114145467","Irf6")</f>
        <v>Irf6</v>
      </c>
      <c r="B3630" s="4"/>
      <c r="C3630" s="3">
        <v>0</v>
      </c>
      <c r="D3630" s="3">
        <v>238</v>
      </c>
      <c r="E3630" s="3">
        <v>783</v>
      </c>
      <c r="F3630" s="3">
        <v>1220</v>
      </c>
      <c r="G3630" s="3">
        <v>11973</v>
      </c>
      <c r="H3630" s="2">
        <f t="shared" si="112"/>
        <v>14214</v>
      </c>
      <c r="I3630" t="str">
        <f t="shared" si="113"/>
        <v>Irf6_14214</v>
      </c>
      <c r="J3630" s="3">
        <v>0</v>
      </c>
      <c r="K3630" s="3">
        <v>238</v>
      </c>
      <c r="L3630" s="3">
        <v>783</v>
      </c>
      <c r="M3630" s="3">
        <v>1220</v>
      </c>
      <c r="N3630" s="3">
        <v>11973</v>
      </c>
    </row>
    <row r="3631" spans="1:14" x14ac:dyDescent="0.2">
      <c r="A3631" s="5" t="str">
        <f>HYPERLINK("http://www.ncbi.nlm.nih.gov/protein/134031980","Irgc1")</f>
        <v>Irgc1</v>
      </c>
      <c r="B3631" s="4"/>
      <c r="C3631" s="3">
        <v>0</v>
      </c>
      <c r="D3631" s="3">
        <v>0</v>
      </c>
      <c r="E3631" s="3">
        <v>417</v>
      </c>
      <c r="F3631" s="3">
        <v>0</v>
      </c>
      <c r="G3631" s="3">
        <v>0</v>
      </c>
      <c r="H3631" s="2">
        <f t="shared" si="112"/>
        <v>417</v>
      </c>
      <c r="I3631" t="str">
        <f t="shared" si="113"/>
        <v>Irgc1_417</v>
      </c>
      <c r="J3631" s="3">
        <v>0</v>
      </c>
      <c r="K3631" s="3">
        <v>0</v>
      </c>
      <c r="L3631" s="3">
        <v>417</v>
      </c>
      <c r="M3631" s="3">
        <v>0</v>
      </c>
      <c r="N3631" s="3">
        <v>0</v>
      </c>
    </row>
    <row r="3632" spans="1:14" x14ac:dyDescent="0.2">
      <c r="A3632" s="5" t="str">
        <f>HYPERLINK("http://www.ncbi.nlm.nih.gov/protein/6680351","Irgm1")</f>
        <v>Irgm1</v>
      </c>
      <c r="B3632" s="4"/>
      <c r="C3632" s="3">
        <v>2050</v>
      </c>
      <c r="D3632" s="3">
        <v>1620</v>
      </c>
      <c r="E3632" s="3">
        <v>6165</v>
      </c>
      <c r="F3632" s="3">
        <v>0</v>
      </c>
      <c r="G3632" s="3">
        <v>0</v>
      </c>
      <c r="H3632" s="2">
        <f t="shared" si="112"/>
        <v>9835</v>
      </c>
      <c r="I3632" t="str">
        <f t="shared" si="113"/>
        <v>Irgm1_9835</v>
      </c>
      <c r="J3632" s="3">
        <v>2050</v>
      </c>
      <c r="K3632" s="3">
        <v>1620</v>
      </c>
      <c r="L3632" s="3">
        <v>6165</v>
      </c>
      <c r="M3632" s="3">
        <v>0</v>
      </c>
      <c r="N3632" s="3">
        <v>0</v>
      </c>
    </row>
    <row r="3633" spans="1:14" x14ac:dyDescent="0.2">
      <c r="A3633" s="5" t="str">
        <f>HYPERLINK("http://www.ncbi.nlm.nih.gov/protein/208431800","Irgq")</f>
        <v>Irgq</v>
      </c>
      <c r="B3633" s="4"/>
      <c r="C3633" s="3">
        <v>0</v>
      </c>
      <c r="D3633" s="3">
        <v>0</v>
      </c>
      <c r="E3633" s="3">
        <v>0</v>
      </c>
      <c r="F3633" s="3">
        <v>0</v>
      </c>
      <c r="G3633" s="3">
        <v>5398</v>
      </c>
      <c r="H3633" s="2">
        <f t="shared" si="112"/>
        <v>5398</v>
      </c>
      <c r="I3633" t="str">
        <f t="shared" si="113"/>
        <v>Irgq_5398</v>
      </c>
      <c r="J3633" s="3">
        <v>0</v>
      </c>
      <c r="K3633" s="3">
        <v>0</v>
      </c>
      <c r="L3633" s="3">
        <v>0</v>
      </c>
      <c r="M3633" s="3">
        <v>0</v>
      </c>
      <c r="N3633" s="3">
        <v>5398</v>
      </c>
    </row>
    <row r="3634" spans="1:14" x14ac:dyDescent="0.2">
      <c r="A3634" s="5" t="str">
        <f>HYPERLINK("http://www.ncbi.nlm.nih.gov/protein/21312189","Isca1")</f>
        <v>Isca1</v>
      </c>
      <c r="B3634" s="4"/>
      <c r="C3634" s="3">
        <v>0</v>
      </c>
      <c r="D3634" s="3">
        <v>687</v>
      </c>
      <c r="E3634" s="3">
        <v>0</v>
      </c>
      <c r="F3634" s="3">
        <v>0</v>
      </c>
      <c r="G3634" s="3">
        <v>0</v>
      </c>
      <c r="H3634" s="2">
        <f t="shared" si="112"/>
        <v>687</v>
      </c>
      <c r="I3634" t="str">
        <f t="shared" si="113"/>
        <v>Isca1_687</v>
      </c>
      <c r="J3634" s="3">
        <v>0</v>
      </c>
      <c r="K3634" s="3">
        <v>687</v>
      </c>
      <c r="L3634" s="3">
        <v>0</v>
      </c>
      <c r="M3634" s="3">
        <v>0</v>
      </c>
      <c r="N3634" s="3">
        <v>0</v>
      </c>
    </row>
    <row r="3635" spans="1:14" x14ac:dyDescent="0.2">
      <c r="A3635" s="5" t="str">
        <f>HYPERLINK("http://www.ncbi.nlm.nih.gov/protein/254039596","Isca2")</f>
        <v>Isca2</v>
      </c>
      <c r="B3635" s="4"/>
      <c r="C3635" s="3">
        <v>5290</v>
      </c>
      <c r="D3635" s="3">
        <v>4384</v>
      </c>
      <c r="E3635" s="3">
        <v>0</v>
      </c>
      <c r="F3635" s="3">
        <v>0</v>
      </c>
      <c r="G3635" s="3">
        <v>953</v>
      </c>
      <c r="H3635" s="2">
        <f t="shared" si="112"/>
        <v>10627</v>
      </c>
      <c r="I3635" t="str">
        <f t="shared" si="113"/>
        <v>Isca2_10627</v>
      </c>
      <c r="J3635" s="3">
        <v>5290</v>
      </c>
      <c r="K3635" s="3">
        <v>4384</v>
      </c>
      <c r="L3635" s="3">
        <v>0</v>
      </c>
      <c r="M3635" s="3">
        <v>0</v>
      </c>
      <c r="N3635" s="3">
        <v>953</v>
      </c>
    </row>
    <row r="3636" spans="1:14" x14ac:dyDescent="0.2">
      <c r="A3636" s="5" t="str">
        <f>HYPERLINK("http://www.ncbi.nlm.nih.gov/protein/21313484","Iscu")</f>
        <v>Iscu</v>
      </c>
      <c r="B3636" s="4"/>
      <c r="C3636" s="3">
        <v>165</v>
      </c>
      <c r="D3636" s="3">
        <v>582</v>
      </c>
      <c r="E3636" s="3">
        <v>0</v>
      </c>
      <c r="F3636" s="3">
        <v>0</v>
      </c>
      <c r="G3636" s="3">
        <v>3256</v>
      </c>
      <c r="H3636" s="2">
        <f t="shared" si="112"/>
        <v>4003</v>
      </c>
      <c r="I3636" t="str">
        <f t="shared" si="113"/>
        <v>Iscu_4003</v>
      </c>
      <c r="J3636" s="3">
        <v>165</v>
      </c>
      <c r="K3636" s="3">
        <v>582</v>
      </c>
      <c r="L3636" s="3">
        <v>0</v>
      </c>
      <c r="M3636" s="3">
        <v>0</v>
      </c>
      <c r="N3636" s="3">
        <v>3256</v>
      </c>
    </row>
    <row r="3637" spans="1:14" x14ac:dyDescent="0.2">
      <c r="A3637" s="5" t="str">
        <f>HYPERLINK("http://www.ncbi.nlm.nih.gov/protein/226874851","Isg15")</f>
        <v>Isg15</v>
      </c>
      <c r="B3637" s="4"/>
      <c r="C3637" s="3">
        <v>0</v>
      </c>
      <c r="D3637" s="3">
        <v>0</v>
      </c>
      <c r="E3637" s="3">
        <v>212</v>
      </c>
      <c r="F3637" s="3">
        <v>434</v>
      </c>
      <c r="G3637" s="3">
        <v>4220</v>
      </c>
      <c r="H3637" s="2">
        <f t="shared" si="112"/>
        <v>4866</v>
      </c>
      <c r="I3637" t="str">
        <f t="shared" si="113"/>
        <v>Isg15_4866</v>
      </c>
      <c r="J3637" s="3">
        <v>0</v>
      </c>
      <c r="K3637" s="3">
        <v>0</v>
      </c>
      <c r="L3637" s="3">
        <v>212</v>
      </c>
      <c r="M3637" s="3">
        <v>434</v>
      </c>
      <c r="N3637" s="3">
        <v>4220</v>
      </c>
    </row>
    <row r="3638" spans="1:14" x14ac:dyDescent="0.2">
      <c r="A3638" s="5" t="str">
        <f>HYPERLINK("http://www.ncbi.nlm.nih.gov/protein/15805028","Isg20")</f>
        <v>Isg20</v>
      </c>
      <c r="B3638" s="4"/>
      <c r="C3638" s="3">
        <v>604</v>
      </c>
      <c r="D3638" s="3">
        <v>115</v>
      </c>
      <c r="E3638" s="3">
        <v>598</v>
      </c>
      <c r="F3638" s="3">
        <v>1261</v>
      </c>
      <c r="G3638" s="3">
        <v>0</v>
      </c>
      <c r="H3638" s="2">
        <f t="shared" si="112"/>
        <v>2578</v>
      </c>
      <c r="I3638" t="str">
        <f t="shared" si="113"/>
        <v>Isg20_2578</v>
      </c>
      <c r="J3638" s="3">
        <v>604</v>
      </c>
      <c r="K3638" s="3">
        <v>115</v>
      </c>
      <c r="L3638" s="3">
        <v>598</v>
      </c>
      <c r="M3638" s="3">
        <v>1261</v>
      </c>
      <c r="N3638" s="3">
        <v>0</v>
      </c>
    </row>
    <row r="3639" spans="1:14" x14ac:dyDescent="0.2">
      <c r="A3639" s="5" t="str">
        <f>HYPERLINK("http://www.ncbi.nlm.nih.gov/protein/29244084","Isg20l2")</f>
        <v>Isg20l2</v>
      </c>
      <c r="B3639" s="4"/>
      <c r="C3639" s="3">
        <v>0</v>
      </c>
      <c r="D3639" s="3">
        <v>0</v>
      </c>
      <c r="E3639" s="3">
        <v>618</v>
      </c>
      <c r="F3639" s="3">
        <v>0</v>
      </c>
      <c r="G3639" s="3">
        <v>0</v>
      </c>
      <c r="H3639" s="2">
        <f t="shared" si="112"/>
        <v>618</v>
      </c>
      <c r="I3639" t="str">
        <f t="shared" si="113"/>
        <v>Isg20l2_618</v>
      </c>
      <c r="J3639" s="3">
        <v>0</v>
      </c>
      <c r="K3639" s="3">
        <v>0</v>
      </c>
      <c r="L3639" s="3">
        <v>618</v>
      </c>
      <c r="M3639" s="3">
        <v>0</v>
      </c>
      <c r="N3639" s="3">
        <v>0</v>
      </c>
    </row>
    <row r="3640" spans="1:14" x14ac:dyDescent="0.2">
      <c r="A3640" s="5" t="str">
        <f>HYPERLINK("http://www.ncbi.nlm.nih.gov/protein/31541909","Isoc1")</f>
        <v>Isoc1</v>
      </c>
      <c r="B3640" s="4"/>
      <c r="C3640" s="3">
        <v>0</v>
      </c>
      <c r="D3640" s="3">
        <v>741</v>
      </c>
      <c r="E3640" s="3">
        <v>66</v>
      </c>
      <c r="F3640" s="3">
        <v>2055</v>
      </c>
      <c r="G3640" s="3">
        <v>15357</v>
      </c>
      <c r="H3640" s="2">
        <f t="shared" si="112"/>
        <v>18219</v>
      </c>
      <c r="I3640" t="str">
        <f t="shared" si="113"/>
        <v>Isoc1_18219</v>
      </c>
      <c r="J3640" s="3">
        <v>0</v>
      </c>
      <c r="K3640" s="3">
        <v>741</v>
      </c>
      <c r="L3640" s="3">
        <v>66</v>
      </c>
      <c r="M3640" s="3">
        <v>2055</v>
      </c>
      <c r="N3640" s="3">
        <v>15357</v>
      </c>
    </row>
    <row r="3641" spans="1:14" x14ac:dyDescent="0.2">
      <c r="A3641" s="5" t="str">
        <f>HYPERLINK("http://www.ncbi.nlm.nih.gov/protein/197333728","Isoc2a")</f>
        <v>Isoc2a</v>
      </c>
      <c r="B3641" s="4"/>
      <c r="C3641" s="3">
        <v>458</v>
      </c>
      <c r="D3641" s="3">
        <v>1758</v>
      </c>
      <c r="E3641" s="3">
        <v>0</v>
      </c>
      <c r="F3641" s="3">
        <v>0</v>
      </c>
      <c r="G3641" s="3">
        <v>0</v>
      </c>
      <c r="H3641" s="2">
        <f t="shared" si="112"/>
        <v>2216</v>
      </c>
      <c r="I3641" t="str">
        <f t="shared" si="113"/>
        <v>Isoc2a_2216</v>
      </c>
      <c r="J3641" s="3">
        <v>458</v>
      </c>
      <c r="K3641" s="3">
        <v>1758</v>
      </c>
      <c r="L3641" s="3">
        <v>0</v>
      </c>
      <c r="M3641" s="3">
        <v>0</v>
      </c>
      <c r="N3641" s="3">
        <v>0</v>
      </c>
    </row>
    <row r="3642" spans="1:14" x14ac:dyDescent="0.2">
      <c r="A3642" s="5" t="str">
        <f>HYPERLINK("http://www.ncbi.nlm.nih.gov/protein/21312626","Ist1")</f>
        <v>Ist1</v>
      </c>
      <c r="B3642" s="4"/>
      <c r="C3642" s="3">
        <v>0</v>
      </c>
      <c r="D3642" s="3">
        <v>0</v>
      </c>
      <c r="E3642" s="3">
        <v>8745</v>
      </c>
      <c r="F3642" s="3">
        <v>8849</v>
      </c>
      <c r="G3642" s="3">
        <v>30972</v>
      </c>
      <c r="H3642" s="2">
        <f t="shared" si="112"/>
        <v>48566</v>
      </c>
      <c r="I3642" t="str">
        <f t="shared" si="113"/>
        <v>Ist1_48566</v>
      </c>
      <c r="J3642" s="3">
        <v>0</v>
      </c>
      <c r="K3642" s="3">
        <v>0</v>
      </c>
      <c r="L3642" s="3">
        <v>8745</v>
      </c>
      <c r="M3642" s="3">
        <v>8849</v>
      </c>
      <c r="N3642" s="3">
        <v>30972</v>
      </c>
    </row>
    <row r="3643" spans="1:14" x14ac:dyDescent="0.2">
      <c r="A3643" s="5" t="str">
        <f>HYPERLINK("http://www.ncbi.nlm.nih.gov/protein/20149316","Isy1")</f>
        <v>Isy1</v>
      </c>
      <c r="B3643" s="4"/>
      <c r="C3643" s="3">
        <v>0</v>
      </c>
      <c r="D3643" s="3">
        <v>0</v>
      </c>
      <c r="E3643" s="3">
        <v>0</v>
      </c>
      <c r="F3643" s="3">
        <v>1334</v>
      </c>
      <c r="G3643" s="3">
        <v>1446</v>
      </c>
      <c r="H3643" s="2">
        <f t="shared" si="112"/>
        <v>2780</v>
      </c>
      <c r="I3643" t="str">
        <f t="shared" si="113"/>
        <v>Isy1_2780</v>
      </c>
      <c r="J3643" s="3">
        <v>0</v>
      </c>
      <c r="K3643" s="3">
        <v>0</v>
      </c>
      <c r="L3643" s="3">
        <v>0</v>
      </c>
      <c r="M3643" s="3">
        <v>1334</v>
      </c>
      <c r="N3643" s="3">
        <v>1446</v>
      </c>
    </row>
    <row r="3644" spans="1:14" x14ac:dyDescent="0.2">
      <c r="A3644" s="5" t="str">
        <f>HYPERLINK("http://www.ncbi.nlm.nih.gov/protein/12963757","Isyna1")</f>
        <v>Isyna1</v>
      </c>
      <c r="B3644" s="4"/>
      <c r="C3644" s="3">
        <v>0</v>
      </c>
      <c r="D3644" s="3">
        <v>1964</v>
      </c>
      <c r="E3644" s="3">
        <v>3979</v>
      </c>
      <c r="F3644" s="3">
        <v>35042</v>
      </c>
      <c r="G3644" s="3">
        <v>87133</v>
      </c>
      <c r="H3644" s="2">
        <f t="shared" si="112"/>
        <v>128118</v>
      </c>
      <c r="I3644" t="str">
        <f t="shared" si="113"/>
        <v>Isyna1_128118</v>
      </c>
      <c r="J3644" s="3">
        <v>0</v>
      </c>
      <c r="K3644" s="3">
        <v>1964</v>
      </c>
      <c r="L3644" s="3">
        <v>3979</v>
      </c>
      <c r="M3644" s="3">
        <v>35042</v>
      </c>
      <c r="N3644" s="3">
        <v>87133</v>
      </c>
    </row>
    <row r="3645" spans="1:14" x14ac:dyDescent="0.2">
      <c r="A3645" s="5" t="str">
        <f>HYPERLINK("http://www.ncbi.nlm.nih.gov/protein/343962614;124487317","Itch")</f>
        <v>Itch</v>
      </c>
      <c r="B3645" s="4"/>
      <c r="C3645" s="3">
        <v>0</v>
      </c>
      <c r="D3645" s="3">
        <v>0</v>
      </c>
      <c r="E3645" s="3">
        <v>3129</v>
      </c>
      <c r="F3645" s="3">
        <v>0</v>
      </c>
      <c r="G3645" s="3">
        <v>0</v>
      </c>
      <c r="H3645" s="2">
        <f t="shared" si="112"/>
        <v>3129</v>
      </c>
      <c r="I3645" t="str">
        <f t="shared" si="113"/>
        <v>Itch_3129</v>
      </c>
      <c r="J3645" s="3">
        <v>0</v>
      </c>
      <c r="K3645" s="3">
        <v>0</v>
      </c>
      <c r="L3645" s="3">
        <v>3129</v>
      </c>
      <c r="M3645" s="3">
        <v>0</v>
      </c>
      <c r="N3645" s="3">
        <v>0</v>
      </c>
    </row>
    <row r="3646" spans="1:14" x14ac:dyDescent="0.2">
      <c r="A3646" s="5" t="str">
        <f>HYPERLINK("http://www.ncbi.nlm.nih.gov/protein/124487317","Itch")</f>
        <v>Itch</v>
      </c>
      <c r="B3646" s="4"/>
      <c r="C3646" s="3">
        <v>2142</v>
      </c>
      <c r="D3646" s="3">
        <v>202</v>
      </c>
      <c r="E3646" s="3">
        <v>0</v>
      </c>
      <c r="F3646" s="3">
        <v>303</v>
      </c>
      <c r="G3646" s="3">
        <v>11</v>
      </c>
      <c r="H3646" s="2">
        <f t="shared" si="112"/>
        <v>2658</v>
      </c>
      <c r="I3646" t="str">
        <f t="shared" si="113"/>
        <v>Itch_2658</v>
      </c>
      <c r="J3646" s="3">
        <v>2142</v>
      </c>
      <c r="K3646" s="3">
        <v>202</v>
      </c>
      <c r="L3646" s="3">
        <v>0</v>
      </c>
      <c r="M3646" s="3">
        <v>303</v>
      </c>
      <c r="N3646" s="3">
        <v>11</v>
      </c>
    </row>
    <row r="3647" spans="1:14" x14ac:dyDescent="0.2">
      <c r="A3647" s="5" t="str">
        <f>HYPERLINK("http://www.ncbi.nlm.nih.gov/protein/268839462","Itfg1")</f>
        <v>Itfg1</v>
      </c>
      <c r="B3647" s="4"/>
      <c r="C3647" s="3">
        <v>0</v>
      </c>
      <c r="D3647" s="3">
        <v>1376</v>
      </c>
      <c r="E3647" s="3">
        <v>1136</v>
      </c>
      <c r="F3647" s="3">
        <v>0</v>
      </c>
      <c r="G3647" s="3">
        <v>0</v>
      </c>
      <c r="H3647" s="2">
        <f t="shared" si="112"/>
        <v>2512</v>
      </c>
      <c r="I3647" t="str">
        <f t="shared" si="113"/>
        <v>Itfg1_2512</v>
      </c>
      <c r="J3647" s="3">
        <v>0</v>
      </c>
      <c r="K3647" s="3">
        <v>1376</v>
      </c>
      <c r="L3647" s="3">
        <v>1136</v>
      </c>
      <c r="M3647" s="3">
        <v>0</v>
      </c>
      <c r="N3647" s="3">
        <v>0</v>
      </c>
    </row>
    <row r="3648" spans="1:14" x14ac:dyDescent="0.2">
      <c r="A3648" s="5" t="str">
        <f>HYPERLINK("http://www.ncbi.nlm.nih.gov/protein/19527142","Itfg2")</f>
        <v>Itfg2</v>
      </c>
      <c r="B3648" s="4"/>
      <c r="C3648" s="3">
        <v>0</v>
      </c>
      <c r="D3648" s="3">
        <v>0</v>
      </c>
      <c r="E3648" s="3">
        <v>70</v>
      </c>
      <c r="F3648" s="3">
        <v>0</v>
      </c>
      <c r="G3648" s="3">
        <v>0</v>
      </c>
      <c r="H3648" s="2">
        <f t="shared" si="112"/>
        <v>70</v>
      </c>
      <c r="I3648" t="str">
        <f t="shared" si="113"/>
        <v>Itfg2_70</v>
      </c>
      <c r="J3648" s="3">
        <v>0</v>
      </c>
      <c r="K3648" s="3">
        <v>0</v>
      </c>
      <c r="L3648" s="3">
        <v>70</v>
      </c>
      <c r="M3648" s="3">
        <v>0</v>
      </c>
      <c r="N3648" s="3">
        <v>0</v>
      </c>
    </row>
    <row r="3649" spans="1:14" x14ac:dyDescent="0.2">
      <c r="A3649" s="5" t="str">
        <f>HYPERLINK("http://www.ncbi.nlm.nih.gov/protein/46402185","Itfg3")</f>
        <v>Itfg3</v>
      </c>
      <c r="B3649" s="4"/>
      <c r="C3649" s="3">
        <v>0</v>
      </c>
      <c r="D3649" s="3">
        <v>1380</v>
      </c>
      <c r="E3649" s="3">
        <v>6516</v>
      </c>
      <c r="F3649" s="3">
        <v>0</v>
      </c>
      <c r="G3649" s="3">
        <v>0</v>
      </c>
      <c r="H3649" s="2">
        <f t="shared" si="112"/>
        <v>7896</v>
      </c>
      <c r="I3649" t="str">
        <f t="shared" si="113"/>
        <v>Itfg3_7896</v>
      </c>
      <c r="J3649" s="3">
        <v>0</v>
      </c>
      <c r="K3649" s="3">
        <v>1380</v>
      </c>
      <c r="L3649" s="3">
        <v>6516</v>
      </c>
      <c r="M3649" s="3">
        <v>0</v>
      </c>
      <c r="N3649" s="3">
        <v>0</v>
      </c>
    </row>
    <row r="3650" spans="1:14" x14ac:dyDescent="0.2">
      <c r="A3650" s="5" t="str">
        <f>HYPERLINK("http://www.ncbi.nlm.nih.gov/protein/153791389","Itga1")</f>
        <v>Itga1</v>
      </c>
      <c r="B3650" s="4"/>
      <c r="C3650" s="3">
        <v>0</v>
      </c>
      <c r="D3650" s="3">
        <v>960</v>
      </c>
      <c r="E3650" s="3">
        <v>2066</v>
      </c>
      <c r="F3650" s="3">
        <v>0</v>
      </c>
      <c r="G3650" s="3">
        <v>0</v>
      </c>
      <c r="H3650" s="2">
        <f t="shared" ref="H3650:H3713" si="114">SUM(C3650:G3650)</f>
        <v>3026</v>
      </c>
      <c r="I3650" t="str">
        <f t="shared" ref="I3650:I3713" si="115">A3650&amp;"_"&amp;H3650</f>
        <v>Itga1_3026</v>
      </c>
      <c r="J3650" s="3">
        <v>0</v>
      </c>
      <c r="K3650" s="3">
        <v>960</v>
      </c>
      <c r="L3650" s="3">
        <v>2066</v>
      </c>
      <c r="M3650" s="3">
        <v>0</v>
      </c>
      <c r="N3650" s="3">
        <v>0</v>
      </c>
    </row>
    <row r="3651" spans="1:14" x14ac:dyDescent="0.2">
      <c r="A3651" s="5" t="str">
        <f>HYPERLINK("http://www.ncbi.nlm.nih.gov/protein/41054731","Itga2")</f>
        <v>Itga2</v>
      </c>
      <c r="B3651" s="4"/>
      <c r="C3651" s="3">
        <v>0</v>
      </c>
      <c r="D3651" s="3">
        <v>56</v>
      </c>
      <c r="E3651" s="3">
        <v>508</v>
      </c>
      <c r="F3651" s="3">
        <v>0</v>
      </c>
      <c r="G3651" s="3">
        <v>0</v>
      </c>
      <c r="H3651" s="2">
        <f t="shared" si="114"/>
        <v>564</v>
      </c>
      <c r="I3651" t="str">
        <f t="shared" si="115"/>
        <v>Itga2_564</v>
      </c>
      <c r="J3651" s="3">
        <v>0</v>
      </c>
      <c r="K3651" s="3">
        <v>56</v>
      </c>
      <c r="L3651" s="3">
        <v>508</v>
      </c>
      <c r="M3651" s="3">
        <v>0</v>
      </c>
      <c r="N3651" s="3">
        <v>0</v>
      </c>
    </row>
    <row r="3652" spans="1:14" x14ac:dyDescent="0.2">
      <c r="A3652" s="5" t="str">
        <f>HYPERLINK("http://www.ncbi.nlm.nih.gov/protein/7305189","Itga3")</f>
        <v>Itga3</v>
      </c>
      <c r="B3652" s="4"/>
      <c r="C3652" s="3">
        <v>30608</v>
      </c>
      <c r="D3652" s="3">
        <v>17948</v>
      </c>
      <c r="E3652" s="3">
        <v>135980</v>
      </c>
      <c r="F3652" s="3">
        <v>30819</v>
      </c>
      <c r="G3652" s="3">
        <v>0</v>
      </c>
      <c r="H3652" s="2">
        <f t="shared" si="114"/>
        <v>215355</v>
      </c>
      <c r="I3652" t="str">
        <f t="shared" si="115"/>
        <v>Itga3_215355</v>
      </c>
      <c r="J3652" s="3">
        <v>30608</v>
      </c>
      <c r="K3652" s="3">
        <v>17948</v>
      </c>
      <c r="L3652" s="3">
        <v>135980</v>
      </c>
      <c r="M3652" s="3">
        <v>30819</v>
      </c>
      <c r="N3652" s="3">
        <v>0</v>
      </c>
    </row>
    <row r="3653" spans="1:14" x14ac:dyDescent="0.2">
      <c r="A3653" s="5" t="str">
        <f>HYPERLINK("http://www.ncbi.nlm.nih.gov/protein/225903442","Itga5")</f>
        <v>Itga5</v>
      </c>
      <c r="B3653" s="4"/>
      <c r="C3653" s="3">
        <v>0</v>
      </c>
      <c r="D3653" s="3">
        <v>246</v>
      </c>
      <c r="E3653" s="3">
        <v>1061</v>
      </c>
      <c r="F3653" s="3">
        <v>0</v>
      </c>
      <c r="G3653" s="3">
        <v>0</v>
      </c>
      <c r="H3653" s="2">
        <f t="shared" si="114"/>
        <v>1307</v>
      </c>
      <c r="I3653" t="str">
        <f t="shared" si="115"/>
        <v>Itga5_1307</v>
      </c>
      <c r="J3653" s="3">
        <v>0</v>
      </c>
      <c r="K3653" s="3">
        <v>246</v>
      </c>
      <c r="L3653" s="3">
        <v>1061</v>
      </c>
      <c r="M3653" s="3">
        <v>0</v>
      </c>
      <c r="N3653" s="3">
        <v>0</v>
      </c>
    </row>
    <row r="3654" spans="1:14" x14ac:dyDescent="0.2">
      <c r="A3654" s="5" t="str">
        <f>HYPERLINK("http://www.ncbi.nlm.nih.gov/protein/485836844","Itga6")</f>
        <v>Itga6</v>
      </c>
      <c r="B3654" s="4"/>
      <c r="C3654" s="3">
        <v>256</v>
      </c>
      <c r="D3654" s="3">
        <v>0</v>
      </c>
      <c r="E3654" s="3">
        <v>0</v>
      </c>
      <c r="F3654" s="3">
        <v>0</v>
      </c>
      <c r="G3654" s="3">
        <v>0</v>
      </c>
      <c r="H3654" s="2">
        <f t="shared" si="114"/>
        <v>256</v>
      </c>
      <c r="I3654" t="str">
        <f t="shared" si="115"/>
        <v>Itga6_256</v>
      </c>
      <c r="J3654" s="3">
        <v>256</v>
      </c>
      <c r="K3654" s="3">
        <v>0</v>
      </c>
      <c r="L3654" s="3">
        <v>0</v>
      </c>
      <c r="M3654" s="3">
        <v>0</v>
      </c>
      <c r="N3654" s="3">
        <v>0</v>
      </c>
    </row>
    <row r="3655" spans="1:14" x14ac:dyDescent="0.2">
      <c r="A3655" s="5" t="str">
        <f>HYPERLINK("http://www.ncbi.nlm.nih.gov/protein/31982236","Itga6")</f>
        <v>Itga6</v>
      </c>
      <c r="B3655" s="4"/>
      <c r="C3655" s="3">
        <v>842</v>
      </c>
      <c r="D3655" s="3">
        <v>3632</v>
      </c>
      <c r="E3655" s="3">
        <v>32050</v>
      </c>
      <c r="F3655" s="3">
        <v>0</v>
      </c>
      <c r="G3655" s="3">
        <v>0</v>
      </c>
      <c r="H3655" s="2">
        <f t="shared" si="114"/>
        <v>36524</v>
      </c>
      <c r="I3655" t="str">
        <f t="shared" si="115"/>
        <v>Itga6_36524</v>
      </c>
      <c r="J3655" s="3">
        <v>842</v>
      </c>
      <c r="K3655" s="3">
        <v>3632</v>
      </c>
      <c r="L3655" s="3">
        <v>32050</v>
      </c>
      <c r="M3655" s="3">
        <v>0</v>
      </c>
      <c r="N3655" s="3">
        <v>0</v>
      </c>
    </row>
    <row r="3656" spans="1:14" x14ac:dyDescent="0.2">
      <c r="A3656" s="5" t="str">
        <f>HYPERLINK("http://www.ncbi.nlm.nih.gov/protein/294997269","Itgad")</f>
        <v>Itgad</v>
      </c>
      <c r="B3656" s="4"/>
      <c r="C3656" s="3">
        <v>3661</v>
      </c>
      <c r="D3656" s="3">
        <v>0</v>
      </c>
      <c r="E3656" s="3">
        <v>2919</v>
      </c>
      <c r="F3656" s="3">
        <v>5984</v>
      </c>
      <c r="G3656" s="3">
        <v>0</v>
      </c>
      <c r="H3656" s="2">
        <f t="shared" si="114"/>
        <v>12564</v>
      </c>
      <c r="I3656" t="str">
        <f t="shared" si="115"/>
        <v>Itgad_12564</v>
      </c>
      <c r="J3656" s="3">
        <v>3661</v>
      </c>
      <c r="K3656" s="3">
        <v>0</v>
      </c>
      <c r="L3656" s="3">
        <v>2919</v>
      </c>
      <c r="M3656" s="3">
        <v>5984</v>
      </c>
      <c r="N3656" s="3">
        <v>0</v>
      </c>
    </row>
    <row r="3657" spans="1:14" x14ac:dyDescent="0.2">
      <c r="A3657" s="5" t="str">
        <f>HYPERLINK("http://www.ncbi.nlm.nih.gov/protein/154240716","Itgav")</f>
        <v>Itgav</v>
      </c>
      <c r="B3657" s="4"/>
      <c r="C3657" s="3">
        <v>9116</v>
      </c>
      <c r="D3657" s="3">
        <v>7882</v>
      </c>
      <c r="E3657" s="3">
        <v>54529</v>
      </c>
      <c r="F3657" s="3">
        <v>4486</v>
      </c>
      <c r="G3657" s="3">
        <v>0</v>
      </c>
      <c r="H3657" s="2">
        <f t="shared" si="114"/>
        <v>76013</v>
      </c>
      <c r="I3657" t="str">
        <f t="shared" si="115"/>
        <v>Itgav_76013</v>
      </c>
      <c r="J3657" s="3">
        <v>9116</v>
      </c>
      <c r="K3657" s="3">
        <v>7882</v>
      </c>
      <c r="L3657" s="3">
        <v>54529</v>
      </c>
      <c r="M3657" s="3">
        <v>4486</v>
      </c>
      <c r="N3657" s="3">
        <v>0</v>
      </c>
    </row>
    <row r="3658" spans="1:14" x14ac:dyDescent="0.2">
      <c r="A3658" s="5" t="str">
        <f>HYPERLINK("http://www.ncbi.nlm.nih.gov/protein/45504394","Itgb1")</f>
        <v>Itgb1</v>
      </c>
      <c r="B3658" s="4"/>
      <c r="C3658" s="3">
        <v>146778</v>
      </c>
      <c r="D3658" s="3">
        <v>94769</v>
      </c>
      <c r="E3658" s="3">
        <v>233824</v>
      </c>
      <c r="F3658" s="3">
        <v>35378</v>
      </c>
      <c r="G3658" s="3">
        <v>0</v>
      </c>
      <c r="H3658" s="2">
        <f t="shared" si="114"/>
        <v>510749</v>
      </c>
      <c r="I3658" t="str">
        <f t="shared" si="115"/>
        <v>Itgb1_510749</v>
      </c>
      <c r="J3658" s="3">
        <v>146778</v>
      </c>
      <c r="K3658" s="3">
        <v>94769</v>
      </c>
      <c r="L3658" s="3">
        <v>233824</v>
      </c>
      <c r="M3658" s="3">
        <v>35378</v>
      </c>
      <c r="N3658" s="3">
        <v>0</v>
      </c>
    </row>
    <row r="3659" spans="1:14" x14ac:dyDescent="0.2">
      <c r="A3659" s="5" t="str">
        <f>HYPERLINK("http://www.ncbi.nlm.nih.gov/protein/6680488","Itgb1bp1")</f>
        <v>Itgb1bp1</v>
      </c>
      <c r="B3659" s="4"/>
      <c r="C3659" s="3">
        <v>0</v>
      </c>
      <c r="D3659" s="3">
        <v>0</v>
      </c>
      <c r="E3659" s="3">
        <v>135</v>
      </c>
      <c r="F3659" s="3">
        <v>1113</v>
      </c>
      <c r="G3659" s="3">
        <v>0</v>
      </c>
      <c r="H3659" s="2">
        <f t="shared" si="114"/>
        <v>1248</v>
      </c>
      <c r="I3659" t="str">
        <f t="shared" si="115"/>
        <v>Itgb1bp1_1248</v>
      </c>
      <c r="J3659" s="3">
        <v>0</v>
      </c>
      <c r="K3659" s="3">
        <v>0</v>
      </c>
      <c r="L3659" s="3">
        <v>135</v>
      </c>
      <c r="M3659" s="3">
        <v>1113</v>
      </c>
      <c r="N3659" s="3">
        <v>0</v>
      </c>
    </row>
    <row r="3660" spans="1:14" x14ac:dyDescent="0.2">
      <c r="A3660" s="5" t="str">
        <f>HYPERLINK("http://www.ncbi.nlm.nih.gov/protein/111607447","Itgb2")</f>
        <v>Itgb2</v>
      </c>
      <c r="B3660" s="4"/>
      <c r="C3660" s="3">
        <v>0</v>
      </c>
      <c r="D3660" s="3">
        <v>0</v>
      </c>
      <c r="E3660" s="3">
        <v>793</v>
      </c>
      <c r="F3660" s="3">
        <v>0</v>
      </c>
      <c r="G3660" s="3">
        <v>0</v>
      </c>
      <c r="H3660" s="2">
        <f t="shared" si="114"/>
        <v>793</v>
      </c>
      <c r="I3660" t="str">
        <f t="shared" si="115"/>
        <v>Itgb2_793</v>
      </c>
      <c r="J3660" s="3">
        <v>0</v>
      </c>
      <c r="K3660" s="3">
        <v>0</v>
      </c>
      <c r="L3660" s="3">
        <v>793</v>
      </c>
      <c r="M3660" s="3">
        <v>0</v>
      </c>
      <c r="N3660" s="3">
        <v>0</v>
      </c>
    </row>
    <row r="3661" spans="1:14" x14ac:dyDescent="0.2">
      <c r="A3661" s="5" t="str">
        <f>HYPERLINK("http://www.ncbi.nlm.nih.gov/protein/110735426","Itgb4")</f>
        <v>Itgb4</v>
      </c>
      <c r="B3661" s="4"/>
      <c r="C3661" s="3">
        <v>3039</v>
      </c>
      <c r="D3661" s="3">
        <v>4851</v>
      </c>
      <c r="E3661" s="3">
        <v>12634</v>
      </c>
      <c r="F3661" s="3">
        <v>0</v>
      </c>
      <c r="G3661" s="3">
        <v>0</v>
      </c>
      <c r="H3661" s="2">
        <f t="shared" si="114"/>
        <v>20524</v>
      </c>
      <c r="I3661" t="str">
        <f t="shared" si="115"/>
        <v>Itgb4_20524</v>
      </c>
      <c r="J3661" s="3">
        <v>3039</v>
      </c>
      <c r="K3661" s="3">
        <v>4851</v>
      </c>
      <c r="L3661" s="3">
        <v>12634</v>
      </c>
      <c r="M3661" s="3">
        <v>0</v>
      </c>
      <c r="N3661" s="3">
        <v>0</v>
      </c>
    </row>
    <row r="3662" spans="1:14" x14ac:dyDescent="0.2">
      <c r="A3662" s="5" t="str">
        <f>HYPERLINK("http://www.ncbi.nlm.nih.gov/protein/110735428","Itgb4")</f>
        <v>Itgb4</v>
      </c>
      <c r="B3662" s="4"/>
      <c r="C3662" s="3">
        <v>3039</v>
      </c>
      <c r="D3662" s="3">
        <v>4668</v>
      </c>
      <c r="E3662" s="3">
        <v>12608</v>
      </c>
      <c r="F3662" s="3">
        <v>0</v>
      </c>
      <c r="G3662" s="3">
        <v>0</v>
      </c>
      <c r="H3662" s="2">
        <f t="shared" si="114"/>
        <v>20315</v>
      </c>
      <c r="I3662" t="str">
        <f t="shared" si="115"/>
        <v>Itgb4_20315</v>
      </c>
      <c r="J3662" s="3">
        <v>3039</v>
      </c>
      <c r="K3662" s="3">
        <v>4668</v>
      </c>
      <c r="L3662" s="3">
        <v>12608</v>
      </c>
      <c r="M3662" s="3">
        <v>0</v>
      </c>
      <c r="N3662" s="3">
        <v>0</v>
      </c>
    </row>
    <row r="3663" spans="1:14" x14ac:dyDescent="0.2">
      <c r="A3663" s="5" t="str">
        <f>HYPERLINK("http://www.ncbi.nlm.nih.gov/protein/225007617","Itgb5")</f>
        <v>Itgb5</v>
      </c>
      <c r="B3663" s="4"/>
      <c r="C3663" s="3">
        <v>769</v>
      </c>
      <c r="D3663" s="3">
        <v>301</v>
      </c>
      <c r="E3663" s="3">
        <v>7096</v>
      </c>
      <c r="F3663" s="3">
        <v>0</v>
      </c>
      <c r="G3663" s="3">
        <v>0</v>
      </c>
      <c r="H3663" s="2">
        <f t="shared" si="114"/>
        <v>8166</v>
      </c>
      <c r="I3663" t="str">
        <f t="shared" si="115"/>
        <v>Itgb5_8166</v>
      </c>
      <c r="J3663" s="3">
        <v>769</v>
      </c>
      <c r="K3663" s="3">
        <v>301</v>
      </c>
      <c r="L3663" s="3">
        <v>7096</v>
      </c>
      <c r="M3663" s="3">
        <v>0</v>
      </c>
      <c r="N3663" s="3">
        <v>0</v>
      </c>
    </row>
    <row r="3664" spans="1:14" x14ac:dyDescent="0.2">
      <c r="A3664" s="5" t="str">
        <f>HYPERLINK("http://www.ncbi.nlm.nih.gov/protein/225007621","Itgb5")</f>
        <v>Itgb5</v>
      </c>
      <c r="B3664" s="4"/>
      <c r="C3664" s="3">
        <v>769</v>
      </c>
      <c r="D3664" s="3">
        <v>301</v>
      </c>
      <c r="E3664" s="3">
        <v>8174</v>
      </c>
      <c r="F3664" s="3">
        <v>0</v>
      </c>
      <c r="G3664" s="3">
        <v>0</v>
      </c>
      <c r="H3664" s="2">
        <f t="shared" si="114"/>
        <v>9244</v>
      </c>
      <c r="I3664" t="str">
        <f t="shared" si="115"/>
        <v>Itgb5_9244</v>
      </c>
      <c r="J3664" s="3">
        <v>769</v>
      </c>
      <c r="K3664" s="3">
        <v>301</v>
      </c>
      <c r="L3664" s="3">
        <v>8174</v>
      </c>
      <c r="M3664" s="3">
        <v>0</v>
      </c>
      <c r="N3664" s="3">
        <v>0</v>
      </c>
    </row>
    <row r="3665" spans="1:14" x14ac:dyDescent="0.2">
      <c r="A3665" s="5" t="str">
        <f>HYPERLINK("http://www.ncbi.nlm.nih.gov/protein/10946686","Itgb6")</f>
        <v>Itgb6</v>
      </c>
      <c r="B3665" s="4"/>
      <c r="C3665" s="3">
        <v>0</v>
      </c>
      <c r="D3665" s="3">
        <v>678</v>
      </c>
      <c r="E3665" s="3">
        <v>7684</v>
      </c>
      <c r="F3665" s="3">
        <v>0</v>
      </c>
      <c r="G3665" s="3">
        <v>0</v>
      </c>
      <c r="H3665" s="2">
        <f t="shared" si="114"/>
        <v>8362</v>
      </c>
      <c r="I3665" t="str">
        <f t="shared" si="115"/>
        <v>Itgb6_8362</v>
      </c>
      <c r="J3665" s="3">
        <v>0</v>
      </c>
      <c r="K3665" s="3">
        <v>678</v>
      </c>
      <c r="L3665" s="3">
        <v>7684</v>
      </c>
      <c r="M3665" s="3">
        <v>0</v>
      </c>
      <c r="N3665" s="3">
        <v>0</v>
      </c>
    </row>
    <row r="3666" spans="1:14" x14ac:dyDescent="0.2">
      <c r="A3666" s="5" t="str">
        <f>HYPERLINK("http://www.ncbi.nlm.nih.gov/protein/160708008","Itgb7")</f>
        <v>Itgb7</v>
      </c>
      <c r="B3666" s="4"/>
      <c r="C3666" s="3">
        <v>0</v>
      </c>
      <c r="D3666" s="3">
        <v>0</v>
      </c>
      <c r="E3666" s="3">
        <v>793</v>
      </c>
      <c r="F3666" s="3">
        <v>0</v>
      </c>
      <c r="G3666" s="3">
        <v>0</v>
      </c>
      <c r="H3666" s="2">
        <f t="shared" si="114"/>
        <v>793</v>
      </c>
      <c r="I3666" t="str">
        <f t="shared" si="115"/>
        <v>Itgb7_793</v>
      </c>
      <c r="J3666" s="3">
        <v>0</v>
      </c>
      <c r="K3666" s="3">
        <v>0</v>
      </c>
      <c r="L3666" s="3">
        <v>793</v>
      </c>
      <c r="M3666" s="3">
        <v>0</v>
      </c>
      <c r="N3666" s="3">
        <v>0</v>
      </c>
    </row>
    <row r="3667" spans="1:14" x14ac:dyDescent="0.2">
      <c r="A3667" s="5" t="str">
        <f>HYPERLINK("http://www.ncbi.nlm.nih.gov/protein/6680502","Itm2b")</f>
        <v>Itm2b</v>
      </c>
      <c r="B3667" s="4"/>
      <c r="C3667" s="3">
        <v>787</v>
      </c>
      <c r="D3667" s="3">
        <v>6582</v>
      </c>
      <c r="E3667" s="3">
        <v>2467</v>
      </c>
      <c r="F3667" s="3">
        <v>344</v>
      </c>
      <c r="G3667" s="3">
        <v>0</v>
      </c>
      <c r="H3667" s="2">
        <f t="shared" si="114"/>
        <v>10180</v>
      </c>
      <c r="I3667" t="str">
        <f t="shared" si="115"/>
        <v>Itm2b_10180</v>
      </c>
      <c r="J3667" s="3">
        <v>787</v>
      </c>
      <c r="K3667" s="3">
        <v>6582</v>
      </c>
      <c r="L3667" s="3">
        <v>2467</v>
      </c>
      <c r="M3667" s="3">
        <v>344</v>
      </c>
      <c r="N3667" s="3">
        <v>0</v>
      </c>
    </row>
    <row r="3668" spans="1:14" x14ac:dyDescent="0.2">
      <c r="A3668" s="5" t="str">
        <f>HYPERLINK("http://www.ncbi.nlm.nih.gov/protein/160333680","Itm2c")</f>
        <v>Itm2c</v>
      </c>
      <c r="B3668" s="4"/>
      <c r="C3668" s="3">
        <v>0</v>
      </c>
      <c r="D3668" s="3">
        <v>42</v>
      </c>
      <c r="E3668" s="3">
        <v>0</v>
      </c>
      <c r="F3668" s="3">
        <v>0</v>
      </c>
      <c r="G3668" s="3">
        <v>0</v>
      </c>
      <c r="H3668" s="2">
        <f t="shared" si="114"/>
        <v>42</v>
      </c>
      <c r="I3668" t="str">
        <f t="shared" si="115"/>
        <v>Itm2c_42</v>
      </c>
      <c r="J3668" s="3">
        <v>0</v>
      </c>
      <c r="K3668" s="3">
        <v>42</v>
      </c>
      <c r="L3668" s="3">
        <v>0</v>
      </c>
      <c r="M3668" s="3">
        <v>0</v>
      </c>
      <c r="N3668" s="3">
        <v>0</v>
      </c>
    </row>
    <row r="3669" spans="1:14" x14ac:dyDescent="0.2">
      <c r="A3669" s="5" t="str">
        <f>HYPERLINK("http://www.ncbi.nlm.nih.gov/protein/31982664","Itpa")</f>
        <v>Itpa</v>
      </c>
      <c r="B3669" s="4"/>
      <c r="C3669" s="3">
        <v>0</v>
      </c>
      <c r="D3669" s="3">
        <v>2050</v>
      </c>
      <c r="E3669" s="3">
        <v>4896</v>
      </c>
      <c r="F3669" s="3">
        <v>0</v>
      </c>
      <c r="G3669" s="3">
        <v>932</v>
      </c>
      <c r="H3669" s="2">
        <f t="shared" si="114"/>
        <v>7878</v>
      </c>
      <c r="I3669" t="str">
        <f t="shared" si="115"/>
        <v>Itpa_7878</v>
      </c>
      <c r="J3669" s="3">
        <v>0</v>
      </c>
      <c r="K3669" s="3">
        <v>2050</v>
      </c>
      <c r="L3669" s="3">
        <v>4896</v>
      </c>
      <c r="M3669" s="3">
        <v>0</v>
      </c>
      <c r="N3669" s="3">
        <v>932</v>
      </c>
    </row>
    <row r="3670" spans="1:14" x14ac:dyDescent="0.2">
      <c r="A3670" s="5" t="str">
        <f>HYPERLINK("http://www.ncbi.nlm.nih.gov/protein/29789389","Itpk1")</f>
        <v>Itpk1</v>
      </c>
      <c r="B3670" s="4"/>
      <c r="C3670" s="3">
        <v>0</v>
      </c>
      <c r="D3670" s="3">
        <v>0</v>
      </c>
      <c r="E3670" s="3">
        <v>10</v>
      </c>
      <c r="F3670" s="3">
        <v>41</v>
      </c>
      <c r="G3670" s="3">
        <v>503</v>
      </c>
      <c r="H3670" s="2">
        <f t="shared" si="114"/>
        <v>554</v>
      </c>
      <c r="I3670" t="str">
        <f t="shared" si="115"/>
        <v>Itpk1_554</v>
      </c>
      <c r="J3670" s="3">
        <v>0</v>
      </c>
      <c r="K3670" s="3">
        <v>0</v>
      </c>
      <c r="L3670" s="3">
        <v>10</v>
      </c>
      <c r="M3670" s="3">
        <v>41</v>
      </c>
      <c r="N3670" s="3">
        <v>503</v>
      </c>
    </row>
    <row r="3671" spans="1:14" x14ac:dyDescent="0.2">
      <c r="A3671" s="5" t="str">
        <f>HYPERLINK("http://www.ncbi.nlm.nih.gov/protein/291327470","Itpr1")</f>
        <v>Itpr1</v>
      </c>
      <c r="B3671" s="4"/>
      <c r="C3671" s="3">
        <v>0</v>
      </c>
      <c r="D3671" s="3">
        <v>426</v>
      </c>
      <c r="E3671" s="3">
        <v>277</v>
      </c>
      <c r="F3671" s="3">
        <v>0</v>
      </c>
      <c r="G3671" s="3">
        <v>0</v>
      </c>
      <c r="H3671" s="2">
        <f t="shared" si="114"/>
        <v>703</v>
      </c>
      <c r="I3671" t="str">
        <f t="shared" si="115"/>
        <v>Itpr1_703</v>
      </c>
      <c r="J3671" s="3">
        <v>0</v>
      </c>
      <c r="K3671" s="3">
        <v>426</v>
      </c>
      <c r="L3671" s="3">
        <v>277</v>
      </c>
      <c r="M3671" s="3">
        <v>0</v>
      </c>
      <c r="N3671" s="3">
        <v>0</v>
      </c>
    </row>
    <row r="3672" spans="1:14" x14ac:dyDescent="0.2">
      <c r="A3672" s="5" t="str">
        <f>HYPERLINK("http://www.ncbi.nlm.nih.gov/protein/60592758","Itpr2")</f>
        <v>Itpr2</v>
      </c>
      <c r="B3672" s="4"/>
      <c r="C3672" s="3">
        <v>0</v>
      </c>
      <c r="D3672" s="3">
        <v>399</v>
      </c>
      <c r="E3672" s="3">
        <v>256</v>
      </c>
      <c r="F3672" s="3">
        <v>0</v>
      </c>
      <c r="G3672" s="3">
        <v>0</v>
      </c>
      <c r="H3672" s="2">
        <f t="shared" si="114"/>
        <v>655</v>
      </c>
      <c r="I3672" t="str">
        <f t="shared" si="115"/>
        <v>Itpr2_655</v>
      </c>
      <c r="J3672" s="3">
        <v>0</v>
      </c>
      <c r="K3672" s="3">
        <v>399</v>
      </c>
      <c r="L3672" s="3">
        <v>256</v>
      </c>
      <c r="M3672" s="3">
        <v>0</v>
      </c>
      <c r="N3672" s="3">
        <v>0</v>
      </c>
    </row>
    <row r="3673" spans="1:14" x14ac:dyDescent="0.2">
      <c r="A3673" s="5" t="str">
        <f>HYPERLINK("http://www.ncbi.nlm.nih.gov/protein/60593032","Itpr2")</f>
        <v>Itpr2</v>
      </c>
      <c r="B3673" s="4"/>
      <c r="C3673" s="3">
        <v>0</v>
      </c>
      <c r="D3673" s="3">
        <v>399</v>
      </c>
      <c r="E3673" s="3">
        <v>256</v>
      </c>
      <c r="F3673" s="3">
        <v>0</v>
      </c>
      <c r="G3673" s="3">
        <v>0</v>
      </c>
      <c r="H3673" s="2">
        <f t="shared" si="114"/>
        <v>655</v>
      </c>
      <c r="I3673" t="str">
        <f t="shared" si="115"/>
        <v>Itpr2_655</v>
      </c>
      <c r="J3673" s="3">
        <v>0</v>
      </c>
      <c r="K3673" s="3">
        <v>399</v>
      </c>
      <c r="L3673" s="3">
        <v>256</v>
      </c>
      <c r="M3673" s="3">
        <v>0</v>
      </c>
      <c r="N3673" s="3">
        <v>0</v>
      </c>
    </row>
    <row r="3674" spans="1:14" x14ac:dyDescent="0.2">
      <c r="A3674" s="5" t="str">
        <f>HYPERLINK("http://www.ncbi.nlm.nih.gov/protein/61102728","Itpr3")</f>
        <v>Itpr3</v>
      </c>
      <c r="B3674" s="4"/>
      <c r="C3674" s="3">
        <v>860</v>
      </c>
      <c r="D3674" s="3">
        <v>756</v>
      </c>
      <c r="E3674" s="3">
        <v>525</v>
      </c>
      <c r="F3674" s="3">
        <v>0</v>
      </c>
      <c r="G3674" s="3">
        <v>0</v>
      </c>
      <c r="H3674" s="2">
        <f t="shared" si="114"/>
        <v>2141</v>
      </c>
      <c r="I3674" t="str">
        <f t="shared" si="115"/>
        <v>Itpr3_2141</v>
      </c>
      <c r="J3674" s="3">
        <v>860</v>
      </c>
      <c r="K3674" s="3">
        <v>756</v>
      </c>
      <c r="L3674" s="3">
        <v>525</v>
      </c>
      <c r="M3674" s="3">
        <v>0</v>
      </c>
      <c r="N3674" s="3">
        <v>0</v>
      </c>
    </row>
    <row r="3675" spans="1:14" x14ac:dyDescent="0.2">
      <c r="A3675" s="5" t="str">
        <f>HYPERLINK("http://www.ncbi.nlm.nih.gov/protein/160333276","Itsn1")</f>
        <v>Itsn1</v>
      </c>
      <c r="B3675" s="4"/>
      <c r="C3675" s="3">
        <v>0</v>
      </c>
      <c r="D3675" s="3">
        <v>0</v>
      </c>
      <c r="E3675" s="3">
        <v>0</v>
      </c>
      <c r="F3675" s="3">
        <v>0</v>
      </c>
      <c r="G3675" s="3">
        <v>418</v>
      </c>
      <c r="H3675" s="2">
        <f t="shared" si="114"/>
        <v>418</v>
      </c>
      <c r="I3675" t="str">
        <f t="shared" si="115"/>
        <v>Itsn1_418</v>
      </c>
      <c r="J3675" s="3">
        <v>0</v>
      </c>
      <c r="K3675" s="3">
        <v>0</v>
      </c>
      <c r="L3675" s="3">
        <v>0</v>
      </c>
      <c r="M3675" s="3">
        <v>0</v>
      </c>
      <c r="N3675" s="3">
        <v>418</v>
      </c>
    </row>
    <row r="3676" spans="1:14" x14ac:dyDescent="0.2">
      <c r="A3676" s="5" t="str">
        <f>HYPERLINK("http://www.ncbi.nlm.nih.gov/protein/160333280","Itsn1")</f>
        <v>Itsn1</v>
      </c>
      <c r="B3676" s="4"/>
      <c r="C3676" s="3">
        <v>0</v>
      </c>
      <c r="D3676" s="3">
        <v>0</v>
      </c>
      <c r="E3676" s="3">
        <v>0</v>
      </c>
      <c r="F3676" s="3">
        <v>0</v>
      </c>
      <c r="G3676" s="3">
        <v>418</v>
      </c>
      <c r="H3676" s="2">
        <f t="shared" si="114"/>
        <v>418</v>
      </c>
      <c r="I3676" t="str">
        <f t="shared" si="115"/>
        <v>Itsn1_418</v>
      </c>
      <c r="J3676" s="3">
        <v>0</v>
      </c>
      <c r="K3676" s="3">
        <v>0</v>
      </c>
      <c r="L3676" s="3">
        <v>0</v>
      </c>
      <c r="M3676" s="3">
        <v>0</v>
      </c>
      <c r="N3676" s="3">
        <v>418</v>
      </c>
    </row>
    <row r="3677" spans="1:14" x14ac:dyDescent="0.2">
      <c r="A3677" s="5" t="str">
        <f>HYPERLINK("http://www.ncbi.nlm.nih.gov/protein/134288904","Itsn1")</f>
        <v>Itsn1</v>
      </c>
      <c r="B3677" s="4"/>
      <c r="C3677" s="3">
        <v>0</v>
      </c>
      <c r="D3677" s="3">
        <v>61</v>
      </c>
      <c r="E3677" s="3">
        <v>129</v>
      </c>
      <c r="F3677" s="3">
        <v>0</v>
      </c>
      <c r="G3677" s="3">
        <v>418</v>
      </c>
      <c r="H3677" s="2">
        <f t="shared" si="114"/>
        <v>608</v>
      </c>
      <c r="I3677" t="str">
        <f t="shared" si="115"/>
        <v>Itsn1_608</v>
      </c>
      <c r="J3677" s="3">
        <v>0</v>
      </c>
      <c r="K3677" s="3">
        <v>61</v>
      </c>
      <c r="L3677" s="3">
        <v>129</v>
      </c>
      <c r="M3677" s="3">
        <v>0</v>
      </c>
      <c r="N3677" s="3">
        <v>418</v>
      </c>
    </row>
    <row r="3678" spans="1:14" x14ac:dyDescent="0.2">
      <c r="A3678" s="5" t="str">
        <f>HYPERLINK("http://www.ncbi.nlm.nih.gov/protein/312176405","Itsn2")</f>
        <v>Itsn2</v>
      </c>
      <c r="B3678" s="4"/>
      <c r="C3678" s="3">
        <v>0</v>
      </c>
      <c r="D3678" s="3">
        <v>0</v>
      </c>
      <c r="E3678" s="3">
        <v>0</v>
      </c>
      <c r="F3678" s="3">
        <v>0</v>
      </c>
      <c r="G3678" s="3">
        <v>246</v>
      </c>
      <c r="H3678" s="2">
        <f t="shared" si="114"/>
        <v>246</v>
      </c>
      <c r="I3678" t="str">
        <f t="shared" si="115"/>
        <v>Itsn2_246</v>
      </c>
      <c r="J3678" s="3">
        <v>0</v>
      </c>
      <c r="K3678" s="3">
        <v>0</v>
      </c>
      <c r="L3678" s="3">
        <v>0</v>
      </c>
      <c r="M3678" s="3">
        <v>0</v>
      </c>
      <c r="N3678" s="3">
        <v>246</v>
      </c>
    </row>
    <row r="3679" spans="1:14" x14ac:dyDescent="0.2">
      <c r="A3679" s="5" t="str">
        <f>HYPERLINK("http://www.ncbi.nlm.nih.gov/protein/312176401","Itsn2")</f>
        <v>Itsn2</v>
      </c>
      <c r="B3679" s="4"/>
      <c r="C3679" s="3">
        <v>0</v>
      </c>
      <c r="D3679" s="3">
        <v>61</v>
      </c>
      <c r="E3679" s="3">
        <v>129</v>
      </c>
      <c r="F3679" s="3">
        <v>0</v>
      </c>
      <c r="G3679" s="3">
        <v>246</v>
      </c>
      <c r="H3679" s="2">
        <f t="shared" si="114"/>
        <v>436</v>
      </c>
      <c r="I3679" t="str">
        <f t="shared" si="115"/>
        <v>Itsn2_436</v>
      </c>
      <c r="J3679" s="3">
        <v>0</v>
      </c>
      <c r="K3679" s="3">
        <v>61</v>
      </c>
      <c r="L3679" s="3">
        <v>129</v>
      </c>
      <c r="M3679" s="3">
        <v>0</v>
      </c>
      <c r="N3679" s="3">
        <v>246</v>
      </c>
    </row>
    <row r="3680" spans="1:14" x14ac:dyDescent="0.2">
      <c r="A3680" s="5" t="str">
        <f>HYPERLINK("http://www.ncbi.nlm.nih.gov/protein/46560563","Itsn2")</f>
        <v>Itsn2</v>
      </c>
      <c r="B3680" s="4"/>
      <c r="C3680" s="3">
        <v>0</v>
      </c>
      <c r="D3680" s="3">
        <v>61</v>
      </c>
      <c r="E3680" s="3">
        <v>129</v>
      </c>
      <c r="F3680" s="3">
        <v>0</v>
      </c>
      <c r="G3680" s="3">
        <v>246</v>
      </c>
      <c r="H3680" s="2">
        <f t="shared" si="114"/>
        <v>436</v>
      </c>
      <c r="I3680" t="str">
        <f t="shared" si="115"/>
        <v>Itsn2_436</v>
      </c>
      <c r="J3680" s="3">
        <v>0</v>
      </c>
      <c r="K3680" s="3">
        <v>61</v>
      </c>
      <c r="L3680" s="3">
        <v>129</v>
      </c>
      <c r="M3680" s="3">
        <v>0</v>
      </c>
      <c r="N3680" s="3">
        <v>246</v>
      </c>
    </row>
    <row r="3681" spans="1:14" x14ac:dyDescent="0.2">
      <c r="A3681" s="5" t="str">
        <f>HYPERLINK("http://www.ncbi.nlm.nih.gov/protein/9789985","Ivd")</f>
        <v>Ivd</v>
      </c>
      <c r="B3681" s="4"/>
      <c r="C3681" s="3">
        <v>22278</v>
      </c>
      <c r="D3681" s="3">
        <v>24871</v>
      </c>
      <c r="E3681" s="3">
        <v>0</v>
      </c>
      <c r="F3681" s="3">
        <v>98</v>
      </c>
      <c r="G3681" s="3">
        <v>2495</v>
      </c>
      <c r="H3681" s="2">
        <f t="shared" si="114"/>
        <v>49742</v>
      </c>
      <c r="I3681" t="str">
        <f t="shared" si="115"/>
        <v>Ivd_49742</v>
      </c>
      <c r="J3681" s="3">
        <v>22278</v>
      </c>
      <c r="K3681" s="3">
        <v>24871</v>
      </c>
      <c r="L3681" s="3">
        <v>0</v>
      </c>
      <c r="M3681" s="3">
        <v>98</v>
      </c>
      <c r="N3681" s="3">
        <v>2495</v>
      </c>
    </row>
    <row r="3682" spans="1:14" x14ac:dyDescent="0.2">
      <c r="A3682" s="5" t="str">
        <f>HYPERLINK("http://www.ncbi.nlm.nih.gov/protein/83627715","Ivl")</f>
        <v>Ivl</v>
      </c>
      <c r="B3682" s="4"/>
      <c r="C3682" s="3">
        <v>0</v>
      </c>
      <c r="D3682" s="3">
        <v>0</v>
      </c>
      <c r="E3682" s="3">
        <v>0</v>
      </c>
      <c r="F3682" s="3">
        <v>0</v>
      </c>
      <c r="G3682" s="3">
        <v>6501</v>
      </c>
      <c r="H3682" s="2">
        <f t="shared" si="114"/>
        <v>6501</v>
      </c>
      <c r="I3682" t="str">
        <f t="shared" si="115"/>
        <v>Ivl_6501</v>
      </c>
      <c r="J3682" s="3">
        <v>0</v>
      </c>
      <c r="K3682" s="3">
        <v>0</v>
      </c>
      <c r="L3682" s="3">
        <v>0</v>
      </c>
      <c r="M3682" s="3">
        <v>0</v>
      </c>
      <c r="N3682" s="3">
        <v>6501</v>
      </c>
    </row>
    <row r="3683" spans="1:14" x14ac:dyDescent="0.2">
      <c r="A3683" s="5" t="str">
        <f>HYPERLINK("http://www.ncbi.nlm.nih.gov/protein/87239990","Ivns1abp")</f>
        <v>Ivns1abp</v>
      </c>
      <c r="B3683" s="4"/>
      <c r="C3683" s="3">
        <v>0</v>
      </c>
      <c r="D3683" s="3">
        <v>0</v>
      </c>
      <c r="E3683" s="3">
        <v>0</v>
      </c>
      <c r="F3683" s="3">
        <v>3479</v>
      </c>
      <c r="G3683" s="3">
        <v>0</v>
      </c>
      <c r="H3683" s="2">
        <f t="shared" si="114"/>
        <v>3479</v>
      </c>
      <c r="I3683" t="str">
        <f t="shared" si="115"/>
        <v>Ivns1abp_3479</v>
      </c>
      <c r="J3683" s="3">
        <v>0</v>
      </c>
      <c r="K3683" s="3">
        <v>0</v>
      </c>
      <c r="L3683" s="3">
        <v>0</v>
      </c>
      <c r="M3683" s="3">
        <v>3479</v>
      </c>
      <c r="N3683" s="3">
        <v>0</v>
      </c>
    </row>
    <row r="3684" spans="1:14" x14ac:dyDescent="0.2">
      <c r="A3684" s="5" t="str">
        <f>HYPERLINK("http://www.ncbi.nlm.nih.gov/protein/87239992","Ivns1abp")</f>
        <v>Ivns1abp</v>
      </c>
      <c r="B3684" s="4"/>
      <c r="C3684" s="3">
        <v>0</v>
      </c>
      <c r="D3684" s="3">
        <v>0</v>
      </c>
      <c r="E3684" s="3">
        <v>0</v>
      </c>
      <c r="F3684" s="3">
        <v>909</v>
      </c>
      <c r="G3684" s="3">
        <v>0</v>
      </c>
      <c r="H3684" s="2">
        <f t="shared" si="114"/>
        <v>909</v>
      </c>
      <c r="I3684" t="str">
        <f t="shared" si="115"/>
        <v>Ivns1abp_909</v>
      </c>
      <c r="J3684" s="3">
        <v>0</v>
      </c>
      <c r="K3684" s="3">
        <v>0</v>
      </c>
      <c r="L3684" s="3">
        <v>0</v>
      </c>
      <c r="M3684" s="3">
        <v>909</v>
      </c>
      <c r="N3684" s="3">
        <v>0</v>
      </c>
    </row>
    <row r="3685" spans="1:14" x14ac:dyDescent="0.2">
      <c r="A3685" s="5" t="str">
        <f>HYPERLINK("http://www.ncbi.nlm.nih.gov/protein/87239996","Ivns1abp")</f>
        <v>Ivns1abp</v>
      </c>
      <c r="B3685" s="4"/>
      <c r="C3685" s="3">
        <v>0</v>
      </c>
      <c r="D3685" s="3">
        <v>0</v>
      </c>
      <c r="E3685" s="3">
        <v>0</v>
      </c>
      <c r="F3685" s="3">
        <v>3479</v>
      </c>
      <c r="G3685" s="3">
        <v>0</v>
      </c>
      <c r="H3685" s="2">
        <f t="shared" si="114"/>
        <v>3479</v>
      </c>
      <c r="I3685" t="str">
        <f t="shared" si="115"/>
        <v>Ivns1abp_3479</v>
      </c>
      <c r="J3685" s="3">
        <v>0</v>
      </c>
      <c r="K3685" s="3">
        <v>0</v>
      </c>
      <c r="L3685" s="3">
        <v>0</v>
      </c>
      <c r="M3685" s="3">
        <v>3479</v>
      </c>
      <c r="N3685" s="3">
        <v>0</v>
      </c>
    </row>
    <row r="3686" spans="1:14" x14ac:dyDescent="0.2">
      <c r="A3686" s="5" t="str">
        <f>HYPERLINK("http://www.ncbi.nlm.nih.gov/protein/30352010","Iws1")</f>
        <v>Iws1</v>
      </c>
      <c r="B3686" s="4"/>
      <c r="C3686" s="3">
        <v>0</v>
      </c>
      <c r="D3686" s="3">
        <v>0</v>
      </c>
      <c r="E3686" s="3">
        <v>127</v>
      </c>
      <c r="F3686" s="3">
        <v>0</v>
      </c>
      <c r="G3686" s="3">
        <v>450</v>
      </c>
      <c r="H3686" s="2">
        <f t="shared" si="114"/>
        <v>577</v>
      </c>
      <c r="I3686" t="str">
        <f t="shared" si="115"/>
        <v>Iws1_577</v>
      </c>
      <c r="J3686" s="3">
        <v>0</v>
      </c>
      <c r="K3686" s="3">
        <v>0</v>
      </c>
      <c r="L3686" s="3">
        <v>127</v>
      </c>
      <c r="M3686" s="3">
        <v>0</v>
      </c>
      <c r="N3686" s="3">
        <v>450</v>
      </c>
    </row>
    <row r="3687" spans="1:14" x14ac:dyDescent="0.2">
      <c r="A3687" s="5" t="str">
        <f>HYPERLINK("http://www.ncbi.nlm.nih.gov/protein/344179114","Jagn1")</f>
        <v>Jagn1</v>
      </c>
      <c r="B3687" s="4"/>
      <c r="C3687" s="3">
        <v>2270</v>
      </c>
      <c r="D3687" s="3">
        <v>0</v>
      </c>
      <c r="E3687" s="3">
        <v>57</v>
      </c>
      <c r="F3687" s="3">
        <v>0</v>
      </c>
      <c r="G3687" s="3">
        <v>0</v>
      </c>
      <c r="H3687" s="2">
        <f t="shared" si="114"/>
        <v>2327</v>
      </c>
      <c r="I3687" t="str">
        <f t="shared" si="115"/>
        <v>Jagn1_2327</v>
      </c>
      <c r="J3687" s="3">
        <v>2270</v>
      </c>
      <c r="K3687" s="3">
        <v>0</v>
      </c>
      <c r="L3687" s="3">
        <v>57</v>
      </c>
      <c r="M3687" s="3">
        <v>0</v>
      </c>
      <c r="N3687" s="3">
        <v>0</v>
      </c>
    </row>
    <row r="3688" spans="1:14" x14ac:dyDescent="0.2">
      <c r="A3688" s="5" t="str">
        <f>HYPERLINK("http://www.ncbi.nlm.nih.gov/protein/13385862","Jagn1")</f>
        <v>Jagn1</v>
      </c>
      <c r="B3688" s="4"/>
      <c r="C3688" s="3">
        <v>14077</v>
      </c>
      <c r="D3688" s="3">
        <v>914</v>
      </c>
      <c r="E3688" s="3">
        <v>246</v>
      </c>
      <c r="F3688" s="3">
        <v>360</v>
      </c>
      <c r="G3688" s="3">
        <v>0</v>
      </c>
      <c r="H3688" s="2">
        <f t="shared" si="114"/>
        <v>15597</v>
      </c>
      <c r="I3688" t="str">
        <f t="shared" si="115"/>
        <v>Jagn1_15597</v>
      </c>
      <c r="J3688" s="3">
        <v>14077</v>
      </c>
      <c r="K3688" s="3">
        <v>914</v>
      </c>
      <c r="L3688" s="3">
        <v>246</v>
      </c>
      <c r="M3688" s="3">
        <v>360</v>
      </c>
      <c r="N3688" s="3">
        <v>0</v>
      </c>
    </row>
    <row r="3689" spans="1:14" x14ac:dyDescent="0.2">
      <c r="A3689" s="5" t="str">
        <f>HYPERLINK("http://www.ncbi.nlm.nih.gov/protein/326439090","Jagn1")</f>
        <v>Jagn1</v>
      </c>
      <c r="B3689" s="4"/>
      <c r="C3689" s="3">
        <v>11789</v>
      </c>
      <c r="D3689" s="3">
        <v>914</v>
      </c>
      <c r="E3689" s="3">
        <v>189</v>
      </c>
      <c r="F3689" s="3">
        <v>360</v>
      </c>
      <c r="G3689" s="3">
        <v>0</v>
      </c>
      <c r="H3689" s="2">
        <f t="shared" si="114"/>
        <v>13252</v>
      </c>
      <c r="I3689" t="str">
        <f t="shared" si="115"/>
        <v>Jagn1_13252</v>
      </c>
      <c r="J3689" s="3">
        <v>11789</v>
      </c>
      <c r="K3689" s="3">
        <v>914</v>
      </c>
      <c r="L3689" s="3">
        <v>189</v>
      </c>
      <c r="M3689" s="3">
        <v>360</v>
      </c>
      <c r="N3689" s="3">
        <v>0</v>
      </c>
    </row>
    <row r="3690" spans="1:14" x14ac:dyDescent="0.2">
      <c r="A3690" s="5" t="str">
        <f>HYPERLINK("http://www.ncbi.nlm.nih.gov/protein/111607496","Jak1")</f>
        <v>Jak1</v>
      </c>
      <c r="B3690" s="4"/>
      <c r="C3690" s="3">
        <v>0</v>
      </c>
      <c r="D3690" s="3">
        <v>0</v>
      </c>
      <c r="E3690" s="3">
        <v>1124</v>
      </c>
      <c r="F3690" s="3">
        <v>0</v>
      </c>
      <c r="G3690" s="3">
        <v>0</v>
      </c>
      <c r="H3690" s="2">
        <f t="shared" si="114"/>
        <v>1124</v>
      </c>
      <c r="I3690" t="str">
        <f t="shared" si="115"/>
        <v>Jak1_1124</v>
      </c>
      <c r="J3690" s="3">
        <v>0</v>
      </c>
      <c r="K3690" s="3">
        <v>0</v>
      </c>
      <c r="L3690" s="3">
        <v>1124</v>
      </c>
      <c r="M3690" s="3">
        <v>0</v>
      </c>
      <c r="N3690" s="3">
        <v>0</v>
      </c>
    </row>
    <row r="3691" spans="1:14" x14ac:dyDescent="0.2">
      <c r="A3691" s="5" t="str">
        <f>HYPERLINK("http://www.ncbi.nlm.nih.gov/protein/114326480","Jak2")</f>
        <v>Jak2</v>
      </c>
      <c r="B3691" s="4"/>
      <c r="C3691" s="3">
        <v>0</v>
      </c>
      <c r="D3691" s="3">
        <v>0</v>
      </c>
      <c r="E3691" s="3">
        <v>0</v>
      </c>
      <c r="F3691" s="3">
        <v>0</v>
      </c>
      <c r="G3691" s="3">
        <v>33114</v>
      </c>
      <c r="H3691" s="2">
        <f t="shared" si="114"/>
        <v>33114</v>
      </c>
      <c r="I3691" t="str">
        <f t="shared" si="115"/>
        <v>Jak2_33114</v>
      </c>
      <c r="J3691" s="3">
        <v>0</v>
      </c>
      <c r="K3691" s="3">
        <v>0</v>
      </c>
      <c r="L3691" s="3">
        <v>0</v>
      </c>
      <c r="M3691" s="3">
        <v>0</v>
      </c>
      <c r="N3691" s="3">
        <v>33114</v>
      </c>
    </row>
    <row r="3692" spans="1:14" x14ac:dyDescent="0.2">
      <c r="A3692" s="5" t="str">
        <f>HYPERLINK("http://www.ncbi.nlm.nih.gov/protein/253970431","Jakmip3")</f>
        <v>Jakmip3</v>
      </c>
      <c r="B3692" s="4"/>
      <c r="C3692" s="3">
        <v>0</v>
      </c>
      <c r="D3692" s="3">
        <v>0</v>
      </c>
      <c r="E3692" s="3">
        <v>12</v>
      </c>
      <c r="F3692" s="3">
        <v>0</v>
      </c>
      <c r="G3692" s="3">
        <v>0</v>
      </c>
      <c r="H3692" s="2">
        <f t="shared" si="114"/>
        <v>12</v>
      </c>
      <c r="I3692" t="str">
        <f t="shared" si="115"/>
        <v>Jakmip3_12</v>
      </c>
      <c r="J3692" s="3">
        <v>0</v>
      </c>
      <c r="K3692" s="3">
        <v>0</v>
      </c>
      <c r="L3692" s="3">
        <v>12</v>
      </c>
      <c r="M3692" s="3">
        <v>0</v>
      </c>
      <c r="N3692" s="3">
        <v>0</v>
      </c>
    </row>
    <row r="3693" spans="1:14" x14ac:dyDescent="0.2">
      <c r="A3693" s="5" t="str">
        <f>HYPERLINK("http://www.ncbi.nlm.nih.gov/protein/11230774","Jarid2")</f>
        <v>Jarid2</v>
      </c>
      <c r="B3693" s="4"/>
      <c r="C3693" s="3">
        <v>0</v>
      </c>
      <c r="D3693" s="3">
        <v>505</v>
      </c>
      <c r="E3693" s="3">
        <v>206</v>
      </c>
      <c r="F3693" s="3">
        <v>0</v>
      </c>
      <c r="G3693" s="3">
        <v>0</v>
      </c>
      <c r="H3693" s="2">
        <f t="shared" si="114"/>
        <v>711</v>
      </c>
      <c r="I3693" t="str">
        <f t="shared" si="115"/>
        <v>Jarid2_711</v>
      </c>
      <c r="J3693" s="3">
        <v>0</v>
      </c>
      <c r="K3693" s="3">
        <v>505</v>
      </c>
      <c r="L3693" s="3">
        <v>206</v>
      </c>
      <c r="M3693" s="3">
        <v>0</v>
      </c>
      <c r="N3693" s="3">
        <v>0</v>
      </c>
    </row>
    <row r="3694" spans="1:14" x14ac:dyDescent="0.2">
      <c r="A3694" s="5" t="str">
        <f>HYPERLINK("http://www.ncbi.nlm.nih.gov/protein/226531205","Jmjd1c")</f>
        <v>Jmjd1c</v>
      </c>
      <c r="B3694" s="4"/>
      <c r="C3694" s="3">
        <v>0</v>
      </c>
      <c r="D3694" s="3">
        <v>0</v>
      </c>
      <c r="E3694" s="3">
        <v>9</v>
      </c>
      <c r="F3694" s="3">
        <v>0</v>
      </c>
      <c r="G3694" s="3">
        <v>0</v>
      </c>
      <c r="H3694" s="2">
        <f t="shared" si="114"/>
        <v>9</v>
      </c>
      <c r="I3694" t="str">
        <f t="shared" si="115"/>
        <v>Jmjd1c_9</v>
      </c>
      <c r="J3694" s="3">
        <v>0</v>
      </c>
      <c r="K3694" s="3">
        <v>0</v>
      </c>
      <c r="L3694" s="3">
        <v>9</v>
      </c>
      <c r="M3694" s="3">
        <v>0</v>
      </c>
      <c r="N3694" s="3">
        <v>0</v>
      </c>
    </row>
    <row r="3695" spans="1:14" x14ac:dyDescent="0.2">
      <c r="A3695" s="5" t="str">
        <f>HYPERLINK("http://www.ncbi.nlm.nih.gov/protein/334724461","Jmjd1c")</f>
        <v>Jmjd1c</v>
      </c>
      <c r="B3695" s="4"/>
      <c r="C3695" s="3">
        <v>0</v>
      </c>
      <c r="D3695" s="3">
        <v>0</v>
      </c>
      <c r="E3695" s="3">
        <v>9</v>
      </c>
      <c r="F3695" s="3">
        <v>0</v>
      </c>
      <c r="G3695" s="3">
        <v>0</v>
      </c>
      <c r="H3695" s="2">
        <f t="shared" si="114"/>
        <v>9</v>
      </c>
      <c r="I3695" t="str">
        <f t="shared" si="115"/>
        <v>Jmjd1c_9</v>
      </c>
      <c r="J3695" s="3">
        <v>0</v>
      </c>
      <c r="K3695" s="3">
        <v>0</v>
      </c>
      <c r="L3695" s="3">
        <v>9</v>
      </c>
      <c r="M3695" s="3">
        <v>0</v>
      </c>
      <c r="N3695" s="3">
        <v>0</v>
      </c>
    </row>
    <row r="3696" spans="1:14" x14ac:dyDescent="0.2">
      <c r="A3696" s="5" t="str">
        <f>HYPERLINK("http://www.ncbi.nlm.nih.gov/protein/167860141","Jmjd7")</f>
        <v>Jmjd7</v>
      </c>
      <c r="B3696" s="4"/>
      <c r="C3696" s="3">
        <v>0</v>
      </c>
      <c r="D3696" s="3">
        <v>0</v>
      </c>
      <c r="E3696" s="3">
        <v>0</v>
      </c>
      <c r="F3696" s="3">
        <v>0</v>
      </c>
      <c r="G3696" s="3">
        <v>1724</v>
      </c>
      <c r="H3696" s="2">
        <f t="shared" si="114"/>
        <v>1724</v>
      </c>
      <c r="I3696" t="str">
        <f t="shared" si="115"/>
        <v>Jmjd7_1724</v>
      </c>
      <c r="J3696" s="3">
        <v>0</v>
      </c>
      <c r="K3696" s="3">
        <v>0</v>
      </c>
      <c r="L3696" s="3">
        <v>0</v>
      </c>
      <c r="M3696" s="3">
        <v>0</v>
      </c>
      <c r="N3696" s="3">
        <v>1724</v>
      </c>
    </row>
    <row r="3697" spans="1:14" x14ac:dyDescent="0.2">
      <c r="A3697" s="5" t="str">
        <f>HYPERLINK("http://www.ncbi.nlm.nih.gov/protein/326633188","Josd2")</f>
        <v>Josd2</v>
      </c>
      <c r="B3697" s="4"/>
      <c r="C3697" s="3">
        <v>0</v>
      </c>
      <c r="D3697" s="3">
        <v>0</v>
      </c>
      <c r="E3697" s="3">
        <v>0</v>
      </c>
      <c r="F3697" s="3">
        <v>156</v>
      </c>
      <c r="G3697" s="3">
        <v>225</v>
      </c>
      <c r="H3697" s="2">
        <f t="shared" si="114"/>
        <v>381</v>
      </c>
      <c r="I3697" t="str">
        <f t="shared" si="115"/>
        <v>Josd2_381</v>
      </c>
      <c r="J3697" s="3">
        <v>0</v>
      </c>
      <c r="K3697" s="3">
        <v>0</v>
      </c>
      <c r="L3697" s="3">
        <v>0</v>
      </c>
      <c r="M3697" s="3">
        <v>156</v>
      </c>
      <c r="N3697" s="3">
        <v>225</v>
      </c>
    </row>
    <row r="3698" spans="1:14" x14ac:dyDescent="0.2">
      <c r="A3698" s="5" t="str">
        <f>HYPERLINK("http://www.ncbi.nlm.nih.gov/protein/46049047","Jtb")</f>
        <v>Jtb</v>
      </c>
      <c r="B3698" s="4"/>
      <c r="C3698" s="3">
        <v>0</v>
      </c>
      <c r="D3698" s="3">
        <v>376</v>
      </c>
      <c r="E3698" s="3">
        <v>571</v>
      </c>
      <c r="F3698" s="3">
        <v>164</v>
      </c>
      <c r="G3698" s="3">
        <v>0</v>
      </c>
      <c r="H3698" s="2">
        <f t="shared" si="114"/>
        <v>1111</v>
      </c>
      <c r="I3698" t="str">
        <f t="shared" si="115"/>
        <v>Jtb_1111</v>
      </c>
      <c r="J3698" s="3">
        <v>0</v>
      </c>
      <c r="K3698" s="3">
        <v>376</v>
      </c>
      <c r="L3698" s="3">
        <v>571</v>
      </c>
      <c r="M3698" s="3">
        <v>164</v>
      </c>
      <c r="N3698" s="3">
        <v>0</v>
      </c>
    </row>
    <row r="3699" spans="1:14" x14ac:dyDescent="0.2">
      <c r="A3699" s="5" t="str">
        <f>HYPERLINK("http://www.ncbi.nlm.nih.gov/protein/6754404","Jund")</f>
        <v>Jund</v>
      </c>
      <c r="B3699" s="4"/>
      <c r="C3699" s="3">
        <v>0</v>
      </c>
      <c r="D3699" s="3">
        <v>0</v>
      </c>
      <c r="E3699" s="3">
        <v>0</v>
      </c>
      <c r="F3699" s="3">
        <v>90</v>
      </c>
      <c r="G3699" s="3">
        <v>0</v>
      </c>
      <c r="H3699" s="2">
        <f t="shared" si="114"/>
        <v>90</v>
      </c>
      <c r="I3699" t="str">
        <f t="shared" si="115"/>
        <v>Jund_90</v>
      </c>
      <c r="J3699" s="3">
        <v>0</v>
      </c>
      <c r="K3699" s="3">
        <v>0</v>
      </c>
      <c r="L3699" s="3">
        <v>0</v>
      </c>
      <c r="M3699" s="3">
        <v>90</v>
      </c>
      <c r="N3699" s="3">
        <v>0</v>
      </c>
    </row>
    <row r="3700" spans="1:14" x14ac:dyDescent="0.2">
      <c r="A3700" s="5" t="str">
        <f>HYPERLINK("http://www.ncbi.nlm.nih.gov/protein/28395018","Jup")</f>
        <v>Jup</v>
      </c>
      <c r="B3700" s="4"/>
      <c r="C3700" s="3">
        <v>189870</v>
      </c>
      <c r="D3700" s="3">
        <v>94015</v>
      </c>
      <c r="E3700" s="3">
        <v>169308</v>
      </c>
      <c r="F3700" s="3">
        <v>10175</v>
      </c>
      <c r="G3700" s="3">
        <v>5548</v>
      </c>
      <c r="H3700" s="2">
        <f t="shared" si="114"/>
        <v>468916</v>
      </c>
      <c r="I3700" t="str">
        <f t="shared" si="115"/>
        <v>Jup_468916</v>
      </c>
      <c r="J3700" s="3">
        <v>189870</v>
      </c>
      <c r="K3700" s="3">
        <v>94015</v>
      </c>
      <c r="L3700" s="3">
        <v>169308</v>
      </c>
      <c r="M3700" s="3">
        <v>10175</v>
      </c>
      <c r="N3700" s="3">
        <v>5548</v>
      </c>
    </row>
    <row r="3701" spans="1:14" x14ac:dyDescent="0.2">
      <c r="A3701" s="5" t="str">
        <f>HYPERLINK("http://www.ncbi.nlm.nih.gov/protein/256017137","Kalrn")</f>
        <v>Kalrn</v>
      </c>
      <c r="B3701" s="4"/>
      <c r="C3701" s="3">
        <v>0</v>
      </c>
      <c r="D3701" s="3">
        <v>0</v>
      </c>
      <c r="E3701" s="3">
        <v>0</v>
      </c>
      <c r="F3701" s="3">
        <v>0</v>
      </c>
      <c r="G3701" s="3">
        <v>2677</v>
      </c>
      <c r="H3701" s="2">
        <f t="shared" si="114"/>
        <v>2677</v>
      </c>
      <c r="I3701" t="str">
        <f t="shared" si="115"/>
        <v>Kalrn_2677</v>
      </c>
      <c r="J3701" s="3">
        <v>0</v>
      </c>
      <c r="K3701" s="3">
        <v>0</v>
      </c>
      <c r="L3701" s="3">
        <v>0</v>
      </c>
      <c r="M3701" s="3">
        <v>0</v>
      </c>
      <c r="N3701" s="3">
        <v>2677</v>
      </c>
    </row>
    <row r="3702" spans="1:14" x14ac:dyDescent="0.2">
      <c r="A3702" s="5" t="str">
        <f>HYPERLINK("http://www.ncbi.nlm.nih.gov/protein/295054244","Kalrn")</f>
        <v>Kalrn</v>
      </c>
      <c r="B3702" s="4"/>
      <c r="C3702" s="3">
        <v>0</v>
      </c>
      <c r="D3702" s="3">
        <v>0</v>
      </c>
      <c r="E3702" s="3">
        <v>0</v>
      </c>
      <c r="F3702" s="3">
        <v>0</v>
      </c>
      <c r="G3702" s="3">
        <v>2677</v>
      </c>
      <c r="H3702" s="2">
        <f t="shared" si="114"/>
        <v>2677</v>
      </c>
      <c r="I3702" t="str">
        <f t="shared" si="115"/>
        <v>Kalrn_2677</v>
      </c>
      <c r="J3702" s="3">
        <v>0</v>
      </c>
      <c r="K3702" s="3">
        <v>0</v>
      </c>
      <c r="L3702" s="3">
        <v>0</v>
      </c>
      <c r="M3702" s="3">
        <v>0</v>
      </c>
      <c r="N3702" s="3">
        <v>2677</v>
      </c>
    </row>
    <row r="3703" spans="1:14" x14ac:dyDescent="0.2">
      <c r="A3703" s="5" t="str">
        <f>HYPERLINK("http://www.ncbi.nlm.nih.gov/protein/75677563","Kank1")</f>
        <v>Kank1</v>
      </c>
      <c r="B3703" s="4"/>
      <c r="C3703" s="3">
        <v>0</v>
      </c>
      <c r="D3703" s="3">
        <v>38</v>
      </c>
      <c r="E3703" s="3">
        <v>0</v>
      </c>
      <c r="F3703" s="3">
        <v>0</v>
      </c>
      <c r="G3703" s="3">
        <v>0</v>
      </c>
      <c r="H3703" s="2">
        <f t="shared" si="114"/>
        <v>38</v>
      </c>
      <c r="I3703" t="str">
        <f t="shared" si="115"/>
        <v>Kank1_38</v>
      </c>
      <c r="J3703" s="3">
        <v>0</v>
      </c>
      <c r="K3703" s="3">
        <v>38</v>
      </c>
      <c r="L3703" s="3">
        <v>0</v>
      </c>
      <c r="M3703" s="3">
        <v>0</v>
      </c>
      <c r="N3703" s="3">
        <v>0</v>
      </c>
    </row>
    <row r="3704" spans="1:14" x14ac:dyDescent="0.2">
      <c r="A3704" s="5" t="str">
        <f>HYPERLINK("http://www.ncbi.nlm.nih.gov/protein/16716381","Kars")</f>
        <v>Kars</v>
      </c>
      <c r="B3704" s="4"/>
      <c r="C3704" s="3">
        <v>860</v>
      </c>
      <c r="D3704" s="3">
        <v>11273</v>
      </c>
      <c r="E3704" s="3">
        <v>9834</v>
      </c>
      <c r="F3704" s="3">
        <v>492599</v>
      </c>
      <c r="G3704" s="3">
        <v>5269</v>
      </c>
      <c r="H3704" s="2">
        <f t="shared" si="114"/>
        <v>519835</v>
      </c>
      <c r="I3704" t="str">
        <f t="shared" si="115"/>
        <v>Kars_519835</v>
      </c>
      <c r="J3704" s="3">
        <v>860</v>
      </c>
      <c r="K3704" s="3">
        <v>11273</v>
      </c>
      <c r="L3704" s="3">
        <v>9834</v>
      </c>
      <c r="M3704" s="3">
        <v>492599</v>
      </c>
      <c r="N3704" s="3">
        <v>5269</v>
      </c>
    </row>
    <row r="3705" spans="1:14" x14ac:dyDescent="0.2">
      <c r="A3705" s="5" t="str">
        <f>HYPERLINK("http://www.ncbi.nlm.nih.gov/protein/195963321","Kars")</f>
        <v>Kars</v>
      </c>
      <c r="B3705" s="4"/>
      <c r="C3705" s="3">
        <v>860</v>
      </c>
      <c r="D3705" s="3">
        <v>11273</v>
      </c>
      <c r="E3705" s="3">
        <v>9834</v>
      </c>
      <c r="F3705" s="3">
        <v>491952</v>
      </c>
      <c r="G3705" s="3">
        <v>5269</v>
      </c>
      <c r="H3705" s="2">
        <f t="shared" si="114"/>
        <v>519188</v>
      </c>
      <c r="I3705" t="str">
        <f t="shared" si="115"/>
        <v>Kars_519188</v>
      </c>
      <c r="J3705" s="3">
        <v>860</v>
      </c>
      <c r="K3705" s="3">
        <v>11273</v>
      </c>
      <c r="L3705" s="3">
        <v>9834</v>
      </c>
      <c r="M3705" s="3">
        <v>491952</v>
      </c>
      <c r="N3705" s="3">
        <v>5269</v>
      </c>
    </row>
    <row r="3706" spans="1:14" x14ac:dyDescent="0.2">
      <c r="A3706" s="5" t="str">
        <f>HYPERLINK("http://www.ncbi.nlm.nih.gov/protein/124487239","Kat6a")</f>
        <v>Kat6a</v>
      </c>
      <c r="B3706" s="4"/>
      <c r="C3706" s="3">
        <v>0</v>
      </c>
      <c r="D3706" s="3">
        <v>0</v>
      </c>
      <c r="E3706" s="3">
        <v>44</v>
      </c>
      <c r="F3706" s="3">
        <v>0</v>
      </c>
      <c r="G3706" s="3">
        <v>0</v>
      </c>
      <c r="H3706" s="2">
        <f t="shared" si="114"/>
        <v>44</v>
      </c>
      <c r="I3706" t="str">
        <f t="shared" si="115"/>
        <v>Kat6a_44</v>
      </c>
      <c r="J3706" s="3">
        <v>0</v>
      </c>
      <c r="K3706" s="3">
        <v>0</v>
      </c>
      <c r="L3706" s="3">
        <v>44</v>
      </c>
      <c r="M3706" s="3">
        <v>0</v>
      </c>
      <c r="N3706" s="3">
        <v>0</v>
      </c>
    </row>
    <row r="3707" spans="1:14" x14ac:dyDescent="0.2">
      <c r="A3707" s="5" t="str">
        <f>HYPERLINK("http://www.ncbi.nlm.nih.gov/protein/21313044","Katnal2")</f>
        <v>Katnal2</v>
      </c>
      <c r="B3707" s="4"/>
      <c r="C3707" s="3">
        <v>0</v>
      </c>
      <c r="D3707" s="3">
        <v>0</v>
      </c>
      <c r="E3707" s="3">
        <v>7081</v>
      </c>
      <c r="F3707" s="3">
        <v>14726</v>
      </c>
      <c r="G3707" s="3">
        <v>12220</v>
      </c>
      <c r="H3707" s="2">
        <f t="shared" si="114"/>
        <v>34027</v>
      </c>
      <c r="I3707" t="str">
        <f t="shared" si="115"/>
        <v>Katnal2_34027</v>
      </c>
      <c r="J3707" s="3">
        <v>0</v>
      </c>
      <c r="K3707" s="3">
        <v>0</v>
      </c>
      <c r="L3707" s="3">
        <v>7081</v>
      </c>
      <c r="M3707" s="3">
        <v>14726</v>
      </c>
      <c r="N3707" s="3">
        <v>12220</v>
      </c>
    </row>
    <row r="3708" spans="1:14" x14ac:dyDescent="0.2">
      <c r="A3708" s="5" t="str">
        <f>HYPERLINK("http://www.ncbi.nlm.nih.gov/protein/84095201","Katnb1")</f>
        <v>Katnb1</v>
      </c>
      <c r="B3708" s="4"/>
      <c r="C3708" s="3">
        <v>0</v>
      </c>
      <c r="D3708" s="3">
        <v>35</v>
      </c>
      <c r="E3708" s="3">
        <v>1</v>
      </c>
      <c r="F3708" s="3">
        <v>0</v>
      </c>
      <c r="G3708" s="3">
        <v>0</v>
      </c>
      <c r="H3708" s="2">
        <f t="shared" si="114"/>
        <v>36</v>
      </c>
      <c r="I3708" t="str">
        <f t="shared" si="115"/>
        <v>Katnb1_36</v>
      </c>
      <c r="J3708" s="3">
        <v>0</v>
      </c>
      <c r="K3708" s="3">
        <v>35</v>
      </c>
      <c r="L3708" s="3">
        <v>1</v>
      </c>
      <c r="M3708" s="3">
        <v>0</v>
      </c>
      <c r="N3708" s="3">
        <v>0</v>
      </c>
    </row>
    <row r="3709" spans="1:14" x14ac:dyDescent="0.2">
      <c r="A3709" s="5" t="str">
        <f>HYPERLINK("http://www.ncbi.nlm.nih.gov/protein/172072622","Kbtbd2")</f>
        <v>Kbtbd2</v>
      </c>
      <c r="B3709" s="4"/>
      <c r="C3709" s="3">
        <v>0</v>
      </c>
      <c r="D3709" s="3">
        <v>0</v>
      </c>
      <c r="E3709" s="3">
        <v>0</v>
      </c>
      <c r="F3709" s="3">
        <v>131</v>
      </c>
      <c r="G3709" s="3">
        <v>0</v>
      </c>
      <c r="H3709" s="2">
        <f t="shared" si="114"/>
        <v>131</v>
      </c>
      <c r="I3709" t="str">
        <f t="shared" si="115"/>
        <v>Kbtbd2_131</v>
      </c>
      <c r="J3709" s="3">
        <v>0</v>
      </c>
      <c r="K3709" s="3">
        <v>0</v>
      </c>
      <c r="L3709" s="3">
        <v>0</v>
      </c>
      <c r="M3709" s="3">
        <v>131</v>
      </c>
      <c r="N3709" s="3">
        <v>0</v>
      </c>
    </row>
    <row r="3710" spans="1:14" x14ac:dyDescent="0.2">
      <c r="A3710" s="5" t="str">
        <f>HYPERLINK("http://www.ncbi.nlm.nih.gov/protein/257153339","Kbtbd3")</f>
        <v>Kbtbd3</v>
      </c>
      <c r="B3710" s="4"/>
      <c r="C3710" s="3">
        <v>119758</v>
      </c>
      <c r="D3710" s="3">
        <v>42</v>
      </c>
      <c r="E3710" s="3">
        <v>2698</v>
      </c>
      <c r="F3710" s="3">
        <v>28216</v>
      </c>
      <c r="G3710" s="3">
        <v>0</v>
      </c>
      <c r="H3710" s="2">
        <f t="shared" si="114"/>
        <v>150714</v>
      </c>
      <c r="I3710" t="str">
        <f t="shared" si="115"/>
        <v>Kbtbd3_150714</v>
      </c>
      <c r="J3710" s="3">
        <v>119758</v>
      </c>
      <c r="K3710" s="3">
        <v>42</v>
      </c>
      <c r="L3710" s="3">
        <v>2698</v>
      </c>
      <c r="M3710" s="3">
        <v>28216</v>
      </c>
      <c r="N3710" s="3">
        <v>0</v>
      </c>
    </row>
    <row r="3711" spans="1:14" x14ac:dyDescent="0.2">
      <c r="A3711" s="5" t="str">
        <f>HYPERLINK("http://www.ncbi.nlm.nih.gov/protein/126517505","Kcmf1")</f>
        <v>Kcmf1</v>
      </c>
      <c r="B3711" s="4"/>
      <c r="C3711" s="3">
        <v>0</v>
      </c>
      <c r="D3711" s="3">
        <v>0</v>
      </c>
      <c r="E3711" s="3">
        <v>0</v>
      </c>
      <c r="F3711" s="3">
        <v>5795</v>
      </c>
      <c r="G3711" s="3">
        <v>0</v>
      </c>
      <c r="H3711" s="2">
        <f t="shared" si="114"/>
        <v>5795</v>
      </c>
      <c r="I3711" t="str">
        <f t="shared" si="115"/>
        <v>Kcmf1_5795</v>
      </c>
      <c r="J3711" s="3">
        <v>0</v>
      </c>
      <c r="K3711" s="3">
        <v>0</v>
      </c>
      <c r="L3711" s="3">
        <v>0</v>
      </c>
      <c r="M3711" s="3">
        <v>5795</v>
      </c>
      <c r="N3711" s="3">
        <v>0</v>
      </c>
    </row>
    <row r="3712" spans="1:14" x14ac:dyDescent="0.2">
      <c r="A3712" s="5" t="str">
        <f>HYPERLINK("http://www.ncbi.nlm.nih.gov/protein/358030294","Kcnab2")</f>
        <v>Kcnab2</v>
      </c>
      <c r="B3712" s="4"/>
      <c r="C3712" s="3">
        <v>0</v>
      </c>
      <c r="D3712" s="3">
        <v>0</v>
      </c>
      <c r="E3712" s="3">
        <v>42</v>
      </c>
      <c r="F3712" s="3">
        <v>1113</v>
      </c>
      <c r="G3712" s="3">
        <v>0</v>
      </c>
      <c r="H3712" s="2">
        <f t="shared" si="114"/>
        <v>1155</v>
      </c>
      <c r="I3712" t="str">
        <f t="shared" si="115"/>
        <v>Kcnab2_1155</v>
      </c>
      <c r="J3712" s="3">
        <v>0</v>
      </c>
      <c r="K3712" s="3">
        <v>0</v>
      </c>
      <c r="L3712" s="3">
        <v>42</v>
      </c>
      <c r="M3712" s="3">
        <v>1113</v>
      </c>
      <c r="N3712" s="3">
        <v>0</v>
      </c>
    </row>
    <row r="3713" spans="1:14" x14ac:dyDescent="0.2">
      <c r="A3713" s="5" t="str">
        <f>HYPERLINK("http://www.ncbi.nlm.nih.gov/protein/358030297","Kcnab2")</f>
        <v>Kcnab2</v>
      </c>
      <c r="B3713" s="4"/>
      <c r="C3713" s="3">
        <v>0</v>
      </c>
      <c r="D3713" s="3">
        <v>0</v>
      </c>
      <c r="E3713" s="3">
        <v>42</v>
      </c>
      <c r="F3713" s="3">
        <v>1113</v>
      </c>
      <c r="G3713" s="3">
        <v>0</v>
      </c>
      <c r="H3713" s="2">
        <f t="shared" si="114"/>
        <v>1155</v>
      </c>
      <c r="I3713" t="str">
        <f t="shared" si="115"/>
        <v>Kcnab2_1155</v>
      </c>
      <c r="J3713" s="3">
        <v>0</v>
      </c>
      <c r="K3713" s="3">
        <v>0</v>
      </c>
      <c r="L3713" s="3">
        <v>42</v>
      </c>
      <c r="M3713" s="3">
        <v>1113</v>
      </c>
      <c r="N3713" s="3">
        <v>0</v>
      </c>
    </row>
    <row r="3714" spans="1:14" x14ac:dyDescent="0.2">
      <c r="A3714" s="5" t="str">
        <f>HYPERLINK("http://www.ncbi.nlm.nih.gov/protein/28076887","Kcng4")</f>
        <v>Kcng4</v>
      </c>
      <c r="B3714" s="4"/>
      <c r="C3714" s="3">
        <v>29894</v>
      </c>
      <c r="D3714" s="3">
        <v>4296</v>
      </c>
      <c r="E3714" s="3">
        <v>18251</v>
      </c>
      <c r="F3714" s="3">
        <v>4355</v>
      </c>
      <c r="G3714" s="3">
        <v>82046</v>
      </c>
      <c r="H3714" s="2">
        <f t="shared" ref="H3714:H3777" si="116">SUM(C3714:G3714)</f>
        <v>138842</v>
      </c>
      <c r="I3714" t="str">
        <f t="shared" ref="I3714:I3777" si="117">A3714&amp;"_"&amp;H3714</f>
        <v>Kcng4_138842</v>
      </c>
      <c r="J3714" s="3">
        <v>29894</v>
      </c>
      <c r="K3714" s="3">
        <v>4296</v>
      </c>
      <c r="L3714" s="3">
        <v>18251</v>
      </c>
      <c r="M3714" s="3">
        <v>4355</v>
      </c>
      <c r="N3714" s="3">
        <v>82046</v>
      </c>
    </row>
    <row r="3715" spans="1:14" x14ac:dyDescent="0.2">
      <c r="A3715" s="5" t="str">
        <f>HYPERLINK("http://www.ncbi.nlm.nih.gov/protein/40445393","Kcnk12")</f>
        <v>Kcnk12</v>
      </c>
      <c r="B3715" s="4"/>
      <c r="C3715" s="3">
        <v>0</v>
      </c>
      <c r="D3715" s="3">
        <v>0</v>
      </c>
      <c r="E3715" s="3">
        <v>344</v>
      </c>
      <c r="F3715" s="3">
        <v>0</v>
      </c>
      <c r="G3715" s="3">
        <v>0</v>
      </c>
      <c r="H3715" s="2">
        <f t="shared" si="116"/>
        <v>344</v>
      </c>
      <c r="I3715" t="str">
        <f t="shared" si="117"/>
        <v>Kcnk12_344</v>
      </c>
      <c r="J3715" s="3">
        <v>0</v>
      </c>
      <c r="K3715" s="3">
        <v>0</v>
      </c>
      <c r="L3715" s="3">
        <v>344</v>
      </c>
      <c r="M3715" s="3">
        <v>0</v>
      </c>
      <c r="N3715" s="3">
        <v>0</v>
      </c>
    </row>
    <row r="3716" spans="1:14" x14ac:dyDescent="0.2">
      <c r="A3716" s="5" t="str">
        <f>HYPERLINK("http://www.ncbi.nlm.nih.gov/protein/27370096","Kctd13")</f>
        <v>Kctd13</v>
      </c>
      <c r="B3716" s="4"/>
      <c r="C3716" s="3">
        <v>0</v>
      </c>
      <c r="D3716" s="3">
        <v>0</v>
      </c>
      <c r="E3716" s="3">
        <v>111</v>
      </c>
      <c r="F3716" s="3">
        <v>3233</v>
      </c>
      <c r="G3716" s="3">
        <v>0</v>
      </c>
      <c r="H3716" s="2">
        <f t="shared" si="116"/>
        <v>3344</v>
      </c>
      <c r="I3716" t="str">
        <f t="shared" si="117"/>
        <v>Kctd13_3344</v>
      </c>
      <c r="J3716" s="3">
        <v>0</v>
      </c>
      <c r="K3716" s="3">
        <v>0</v>
      </c>
      <c r="L3716" s="3">
        <v>111</v>
      </c>
      <c r="M3716" s="3">
        <v>3233</v>
      </c>
      <c r="N3716" s="3">
        <v>0</v>
      </c>
    </row>
    <row r="3717" spans="1:14" x14ac:dyDescent="0.2">
      <c r="A3717" s="5" t="str">
        <f>HYPERLINK("http://www.ncbi.nlm.nih.gov/protein/27369698","Kctd7")</f>
        <v>Kctd7</v>
      </c>
      <c r="B3717" s="4"/>
      <c r="C3717" s="3">
        <v>0</v>
      </c>
      <c r="D3717" s="3">
        <v>0</v>
      </c>
      <c r="E3717" s="3">
        <v>309</v>
      </c>
      <c r="F3717" s="3">
        <v>0</v>
      </c>
      <c r="G3717" s="3">
        <v>0</v>
      </c>
      <c r="H3717" s="2">
        <f t="shared" si="116"/>
        <v>309</v>
      </c>
      <c r="I3717" t="str">
        <f t="shared" si="117"/>
        <v>Kctd7_309</v>
      </c>
      <c r="J3717" s="3">
        <v>0</v>
      </c>
      <c r="K3717" s="3">
        <v>0</v>
      </c>
      <c r="L3717" s="3">
        <v>309</v>
      </c>
      <c r="M3717" s="3">
        <v>0</v>
      </c>
      <c r="N3717" s="3">
        <v>0</v>
      </c>
    </row>
    <row r="3718" spans="1:14" x14ac:dyDescent="0.2">
      <c r="A3718" s="5" t="str">
        <f>HYPERLINK("http://www.ncbi.nlm.nih.gov/protein/12963767","Kdelc1")</f>
        <v>Kdelc1</v>
      </c>
      <c r="B3718" s="4"/>
      <c r="C3718" s="3">
        <v>0</v>
      </c>
      <c r="D3718" s="3">
        <v>0</v>
      </c>
      <c r="E3718" s="3">
        <v>247</v>
      </c>
      <c r="F3718" s="3">
        <v>0</v>
      </c>
      <c r="G3718" s="3">
        <v>321</v>
      </c>
      <c r="H3718" s="2">
        <f t="shared" si="116"/>
        <v>568</v>
      </c>
      <c r="I3718" t="str">
        <f t="shared" si="117"/>
        <v>Kdelc1_568</v>
      </c>
      <c r="J3718" s="3">
        <v>0</v>
      </c>
      <c r="K3718" s="3">
        <v>0</v>
      </c>
      <c r="L3718" s="3">
        <v>247</v>
      </c>
      <c r="M3718" s="3">
        <v>0</v>
      </c>
      <c r="N3718" s="3">
        <v>321</v>
      </c>
    </row>
    <row r="3719" spans="1:14" x14ac:dyDescent="0.2">
      <c r="A3719" s="5" t="str">
        <f>HYPERLINK("http://www.ncbi.nlm.nih.gov/protein/47078285","Kdelc2")</f>
        <v>Kdelc2</v>
      </c>
      <c r="B3719" s="4"/>
      <c r="C3719" s="3">
        <v>1886</v>
      </c>
      <c r="D3719" s="3">
        <v>1079</v>
      </c>
      <c r="E3719" s="3">
        <v>0</v>
      </c>
      <c r="F3719" s="3">
        <v>0</v>
      </c>
      <c r="G3719" s="3">
        <v>0</v>
      </c>
      <c r="H3719" s="2">
        <f t="shared" si="116"/>
        <v>2965</v>
      </c>
      <c r="I3719" t="str">
        <f t="shared" si="117"/>
        <v>Kdelc2_2965</v>
      </c>
      <c r="J3719" s="3">
        <v>1886</v>
      </c>
      <c r="K3719" s="3">
        <v>1079</v>
      </c>
      <c r="L3719" s="3">
        <v>0</v>
      </c>
      <c r="M3719" s="3">
        <v>0</v>
      </c>
      <c r="N3719" s="3">
        <v>0</v>
      </c>
    </row>
    <row r="3720" spans="1:14" x14ac:dyDescent="0.2">
      <c r="A3720" s="5" t="str">
        <f>HYPERLINK("http://www.ncbi.nlm.nih.gov/protein/19527170","Kdelr1")</f>
        <v>Kdelr1</v>
      </c>
      <c r="B3720" s="4"/>
      <c r="C3720" s="3">
        <v>21693</v>
      </c>
      <c r="D3720" s="3">
        <v>1484</v>
      </c>
      <c r="E3720" s="3">
        <v>3412</v>
      </c>
      <c r="F3720" s="3">
        <v>1105</v>
      </c>
      <c r="G3720" s="3">
        <v>0</v>
      </c>
      <c r="H3720" s="2">
        <f t="shared" si="116"/>
        <v>27694</v>
      </c>
      <c r="I3720" t="str">
        <f t="shared" si="117"/>
        <v>Kdelr1_27694</v>
      </c>
      <c r="J3720" s="3">
        <v>21693</v>
      </c>
      <c r="K3720" s="3">
        <v>1484</v>
      </c>
      <c r="L3720" s="3">
        <v>3412</v>
      </c>
      <c r="M3720" s="3">
        <v>1105</v>
      </c>
      <c r="N3720" s="3">
        <v>0</v>
      </c>
    </row>
    <row r="3721" spans="1:14" x14ac:dyDescent="0.2">
      <c r="A3721" s="5" t="str">
        <f>HYPERLINK("http://www.ncbi.nlm.nih.gov/protein/13385318","Kdelr2")</f>
        <v>Kdelr2</v>
      </c>
      <c r="B3721" s="4"/>
      <c r="C3721" s="3">
        <v>21693</v>
      </c>
      <c r="D3721" s="3">
        <v>1484</v>
      </c>
      <c r="E3721" s="3">
        <v>3412</v>
      </c>
      <c r="F3721" s="3">
        <v>1105</v>
      </c>
      <c r="G3721" s="3">
        <v>0</v>
      </c>
      <c r="H3721" s="2">
        <f t="shared" si="116"/>
        <v>27694</v>
      </c>
      <c r="I3721" t="str">
        <f t="shared" si="117"/>
        <v>Kdelr2_27694</v>
      </c>
      <c r="J3721" s="3">
        <v>21693</v>
      </c>
      <c r="K3721" s="3">
        <v>1484</v>
      </c>
      <c r="L3721" s="3">
        <v>3412</v>
      </c>
      <c r="M3721" s="3">
        <v>1105</v>
      </c>
      <c r="N3721" s="3">
        <v>0</v>
      </c>
    </row>
    <row r="3722" spans="1:14" x14ac:dyDescent="0.2">
      <c r="A3722" s="5" t="str">
        <f>HYPERLINK("http://www.ncbi.nlm.nih.gov/protein/224994233","Kdm1a")</f>
        <v>Kdm1a</v>
      </c>
      <c r="B3722" s="4"/>
      <c r="C3722" s="3">
        <v>0</v>
      </c>
      <c r="D3722" s="3">
        <v>96</v>
      </c>
      <c r="E3722" s="3">
        <v>1077</v>
      </c>
      <c r="F3722" s="3">
        <v>22838</v>
      </c>
      <c r="G3722" s="3">
        <v>1146</v>
      </c>
      <c r="H3722" s="2">
        <f t="shared" si="116"/>
        <v>25157</v>
      </c>
      <c r="I3722" t="str">
        <f t="shared" si="117"/>
        <v>Kdm1a_25157</v>
      </c>
      <c r="J3722" s="3">
        <v>0</v>
      </c>
      <c r="K3722" s="3">
        <v>96</v>
      </c>
      <c r="L3722" s="3">
        <v>1077</v>
      </c>
      <c r="M3722" s="3">
        <v>22838</v>
      </c>
      <c r="N3722" s="3">
        <v>1146</v>
      </c>
    </row>
    <row r="3723" spans="1:14" x14ac:dyDescent="0.2">
      <c r="A3723" s="5" t="str">
        <f>HYPERLINK("http://www.ncbi.nlm.nih.gov/protein/26986559","Kdm1b")</f>
        <v>Kdm1b</v>
      </c>
      <c r="B3723" s="4"/>
      <c r="C3723" s="3">
        <v>0</v>
      </c>
      <c r="D3723" s="3">
        <v>0</v>
      </c>
      <c r="E3723" s="3">
        <v>6</v>
      </c>
      <c r="F3723" s="3">
        <v>0</v>
      </c>
      <c r="G3723" s="3">
        <v>0</v>
      </c>
      <c r="H3723" s="2">
        <f t="shared" si="116"/>
        <v>6</v>
      </c>
      <c r="I3723" t="str">
        <f t="shared" si="117"/>
        <v>Kdm1b_6</v>
      </c>
      <c r="J3723" s="3">
        <v>0</v>
      </c>
      <c r="K3723" s="3">
        <v>0</v>
      </c>
      <c r="L3723" s="3">
        <v>6</v>
      </c>
      <c r="M3723" s="3">
        <v>0</v>
      </c>
      <c r="N3723" s="3">
        <v>0</v>
      </c>
    </row>
    <row r="3724" spans="1:14" x14ac:dyDescent="0.2">
      <c r="A3724" s="5" t="str">
        <f>HYPERLINK("http://www.ncbi.nlm.nih.gov/protein/124486935","Kdm3b")</f>
        <v>Kdm3b</v>
      </c>
      <c r="B3724" s="4"/>
      <c r="C3724" s="3">
        <v>0</v>
      </c>
      <c r="D3724" s="3">
        <v>50</v>
      </c>
      <c r="E3724" s="3">
        <v>1</v>
      </c>
      <c r="F3724" s="3">
        <v>0</v>
      </c>
      <c r="G3724" s="3">
        <v>1167</v>
      </c>
      <c r="H3724" s="2">
        <f t="shared" si="116"/>
        <v>1218</v>
      </c>
      <c r="I3724" t="str">
        <f t="shared" si="117"/>
        <v>Kdm3b_1218</v>
      </c>
      <c r="J3724" s="3">
        <v>0</v>
      </c>
      <c r="K3724" s="3">
        <v>50</v>
      </c>
      <c r="L3724" s="3">
        <v>1</v>
      </c>
      <c r="M3724" s="3">
        <v>0</v>
      </c>
      <c r="N3724" s="3">
        <v>1167</v>
      </c>
    </row>
    <row r="3725" spans="1:14" x14ac:dyDescent="0.2">
      <c r="A3725" s="5" t="str">
        <f>HYPERLINK("http://www.ncbi.nlm.nih.gov/protein/165905607","Kdm5c")</f>
        <v>Kdm5c</v>
      </c>
      <c r="B3725" s="4"/>
      <c r="C3725" s="3">
        <v>0</v>
      </c>
      <c r="D3725" s="3">
        <v>0</v>
      </c>
      <c r="E3725" s="3">
        <v>0</v>
      </c>
      <c r="F3725" s="3">
        <v>0</v>
      </c>
      <c r="G3725" s="3">
        <v>2763</v>
      </c>
      <c r="H3725" s="2">
        <f t="shared" si="116"/>
        <v>2763</v>
      </c>
      <c r="I3725" t="str">
        <f t="shared" si="117"/>
        <v>Kdm5c_2763</v>
      </c>
      <c r="J3725" s="3">
        <v>0</v>
      </c>
      <c r="K3725" s="3">
        <v>0</v>
      </c>
      <c r="L3725" s="3">
        <v>0</v>
      </c>
      <c r="M3725" s="3">
        <v>0</v>
      </c>
      <c r="N3725" s="3">
        <v>2763</v>
      </c>
    </row>
    <row r="3726" spans="1:14" x14ac:dyDescent="0.2">
      <c r="A3726" s="5" t="str">
        <f>HYPERLINK("http://www.ncbi.nlm.nih.gov/protein/27777648","Kdr")</f>
        <v>Kdr</v>
      </c>
      <c r="B3726" s="4"/>
      <c r="C3726" s="3">
        <v>0</v>
      </c>
      <c r="D3726" s="3">
        <v>202</v>
      </c>
      <c r="E3726" s="3">
        <v>6785</v>
      </c>
      <c r="F3726" s="3">
        <v>36254</v>
      </c>
      <c r="G3726" s="3">
        <v>73039</v>
      </c>
      <c r="H3726" s="2">
        <f t="shared" si="116"/>
        <v>116280</v>
      </c>
      <c r="I3726" t="str">
        <f t="shared" si="117"/>
        <v>Kdr_116280</v>
      </c>
      <c r="J3726" s="3">
        <v>0</v>
      </c>
      <c r="K3726" s="3">
        <v>202</v>
      </c>
      <c r="L3726" s="3">
        <v>6785</v>
      </c>
      <c r="M3726" s="3">
        <v>36254</v>
      </c>
      <c r="N3726" s="3">
        <v>73039</v>
      </c>
    </row>
    <row r="3727" spans="1:14" x14ac:dyDescent="0.2">
      <c r="A3727" s="5" t="str">
        <f>HYPERLINK("http://www.ncbi.nlm.nih.gov/protein/110625780","Kdsr")</f>
        <v>Kdsr</v>
      </c>
      <c r="B3727" s="4"/>
      <c r="C3727" s="3">
        <v>0</v>
      </c>
      <c r="D3727" s="3">
        <v>2269</v>
      </c>
      <c r="E3727" s="3">
        <v>477</v>
      </c>
      <c r="F3727" s="3">
        <v>0</v>
      </c>
      <c r="G3727" s="3">
        <v>0</v>
      </c>
      <c r="H3727" s="2">
        <f t="shared" si="116"/>
        <v>2746</v>
      </c>
      <c r="I3727" t="str">
        <f t="shared" si="117"/>
        <v>Kdsr_2746</v>
      </c>
      <c r="J3727" s="3">
        <v>0</v>
      </c>
      <c r="K3727" s="3">
        <v>2269</v>
      </c>
      <c r="L3727" s="3">
        <v>477</v>
      </c>
      <c r="M3727" s="3">
        <v>0</v>
      </c>
      <c r="N3727" s="3">
        <v>0</v>
      </c>
    </row>
    <row r="3728" spans="1:14" x14ac:dyDescent="0.2">
      <c r="A3728" s="5" t="str">
        <f>HYPERLINK("http://www.ncbi.nlm.nih.gov/protein/160333659;7710044","Keap1")</f>
        <v>Keap1</v>
      </c>
      <c r="B3728" s="4"/>
      <c r="C3728" s="3">
        <v>0</v>
      </c>
      <c r="D3728" s="3">
        <v>0</v>
      </c>
      <c r="E3728" s="3">
        <v>2789</v>
      </c>
      <c r="F3728" s="3">
        <v>0</v>
      </c>
      <c r="G3728" s="3">
        <v>0</v>
      </c>
      <c r="H3728" s="2">
        <f t="shared" si="116"/>
        <v>2789</v>
      </c>
      <c r="I3728" t="str">
        <f t="shared" si="117"/>
        <v>Keap1_2789</v>
      </c>
      <c r="J3728" s="3">
        <v>0</v>
      </c>
      <c r="K3728" s="3">
        <v>0</v>
      </c>
      <c r="L3728" s="3">
        <v>2789</v>
      </c>
      <c r="M3728" s="3">
        <v>0</v>
      </c>
      <c r="N3728" s="3">
        <v>0</v>
      </c>
    </row>
    <row r="3729" spans="1:14" x14ac:dyDescent="0.2">
      <c r="A3729" s="5" t="str">
        <f>HYPERLINK("http://www.ncbi.nlm.nih.gov/protein/7710044","Keap1")</f>
        <v>Keap1</v>
      </c>
      <c r="B3729" s="4"/>
      <c r="C3729" s="3">
        <v>0</v>
      </c>
      <c r="D3729" s="3">
        <v>651</v>
      </c>
      <c r="E3729" s="3">
        <v>0</v>
      </c>
      <c r="F3729" s="3">
        <v>3561</v>
      </c>
      <c r="G3729" s="3">
        <v>0</v>
      </c>
      <c r="H3729" s="2">
        <f t="shared" si="116"/>
        <v>4212</v>
      </c>
      <c r="I3729" t="str">
        <f t="shared" si="117"/>
        <v>Keap1_4212</v>
      </c>
      <c r="J3729" s="3">
        <v>0</v>
      </c>
      <c r="K3729" s="3">
        <v>651</v>
      </c>
      <c r="L3729" s="3">
        <v>0</v>
      </c>
      <c r="M3729" s="3">
        <v>3561</v>
      </c>
      <c r="N3729" s="3">
        <v>0</v>
      </c>
    </row>
    <row r="3730" spans="1:14" x14ac:dyDescent="0.2">
      <c r="A3730" s="5" t="str">
        <f>HYPERLINK("http://www.ncbi.nlm.nih.gov/protein/110626031","Khdrbs1")</f>
        <v>Khdrbs1</v>
      </c>
      <c r="B3730" s="4"/>
      <c r="C3730" s="3">
        <v>57280</v>
      </c>
      <c r="D3730" s="3">
        <v>1428</v>
      </c>
      <c r="E3730" s="3">
        <v>5013</v>
      </c>
      <c r="F3730" s="3">
        <v>3659</v>
      </c>
      <c r="G3730" s="3">
        <v>0</v>
      </c>
      <c r="H3730" s="2">
        <f t="shared" si="116"/>
        <v>67380</v>
      </c>
      <c r="I3730" t="str">
        <f t="shared" si="117"/>
        <v>Khdrbs1_67380</v>
      </c>
      <c r="J3730" s="3">
        <v>57280</v>
      </c>
      <c r="K3730" s="3">
        <v>1428</v>
      </c>
      <c r="L3730" s="3">
        <v>5013</v>
      </c>
      <c r="M3730" s="3">
        <v>3659</v>
      </c>
      <c r="N3730" s="3">
        <v>0</v>
      </c>
    </row>
    <row r="3731" spans="1:14" x14ac:dyDescent="0.2">
      <c r="A3731" s="5" t="str">
        <f>HYPERLINK("http://www.ncbi.nlm.nih.gov/protein/18875400","Khdrbs2")</f>
        <v>Khdrbs2</v>
      </c>
      <c r="B3731" s="4"/>
      <c r="C3731" s="3">
        <v>23651</v>
      </c>
      <c r="D3731" s="3">
        <v>0</v>
      </c>
      <c r="E3731" s="3">
        <v>2155</v>
      </c>
      <c r="F3731" s="3">
        <v>1711</v>
      </c>
      <c r="G3731" s="3">
        <v>0</v>
      </c>
      <c r="H3731" s="2">
        <f t="shared" si="116"/>
        <v>27517</v>
      </c>
      <c r="I3731" t="str">
        <f t="shared" si="117"/>
        <v>Khdrbs2_27517</v>
      </c>
      <c r="J3731" s="3">
        <v>23651</v>
      </c>
      <c r="K3731" s="3">
        <v>0</v>
      </c>
      <c r="L3731" s="3">
        <v>2155</v>
      </c>
      <c r="M3731" s="3">
        <v>1711</v>
      </c>
      <c r="N3731" s="3">
        <v>0</v>
      </c>
    </row>
    <row r="3732" spans="1:14" x14ac:dyDescent="0.2">
      <c r="A3732" s="5" t="str">
        <f>HYPERLINK("http://www.ncbi.nlm.nih.gov/protein/117647236","Khdrbs3")</f>
        <v>Khdrbs3</v>
      </c>
      <c r="B3732" s="4"/>
      <c r="C3732" s="3">
        <v>23651</v>
      </c>
      <c r="D3732" s="3">
        <v>0</v>
      </c>
      <c r="E3732" s="3">
        <v>2155</v>
      </c>
      <c r="F3732" s="3">
        <v>1711</v>
      </c>
      <c r="G3732" s="3">
        <v>0</v>
      </c>
      <c r="H3732" s="2">
        <f t="shared" si="116"/>
        <v>27517</v>
      </c>
      <c r="I3732" t="str">
        <f t="shared" si="117"/>
        <v>Khdrbs3_27517</v>
      </c>
      <c r="J3732" s="3">
        <v>23651</v>
      </c>
      <c r="K3732" s="3">
        <v>0</v>
      </c>
      <c r="L3732" s="3">
        <v>2155</v>
      </c>
      <c r="M3732" s="3">
        <v>1711</v>
      </c>
      <c r="N3732" s="3">
        <v>0</v>
      </c>
    </row>
    <row r="3733" spans="1:14" x14ac:dyDescent="0.2">
      <c r="A3733" s="5" t="str">
        <f>HYPERLINK("http://www.ncbi.nlm.nih.gov/protein/31982229","Khk")</f>
        <v>Khk</v>
      </c>
      <c r="B3733" s="4"/>
      <c r="C3733" s="3">
        <v>0</v>
      </c>
      <c r="D3733" s="3">
        <v>0</v>
      </c>
      <c r="E3733" s="3">
        <v>0</v>
      </c>
      <c r="F3733" s="3">
        <v>0</v>
      </c>
      <c r="G3733" s="3">
        <v>493</v>
      </c>
      <c r="H3733" s="2">
        <f t="shared" si="116"/>
        <v>493</v>
      </c>
      <c r="I3733" t="str">
        <f t="shared" si="117"/>
        <v>Khk_493</v>
      </c>
      <c r="J3733" s="3">
        <v>0</v>
      </c>
      <c r="K3733" s="3">
        <v>0</v>
      </c>
      <c r="L3733" s="3">
        <v>0</v>
      </c>
      <c r="M3733" s="3">
        <v>0</v>
      </c>
      <c r="N3733" s="3">
        <v>493</v>
      </c>
    </row>
    <row r="3734" spans="1:14" x14ac:dyDescent="0.2">
      <c r="A3734" s="5" t="str">
        <f>HYPERLINK("http://www.ncbi.nlm.nih.gov/protein/163954948","Khsrp")</f>
        <v>Khsrp</v>
      </c>
      <c r="B3734" s="4"/>
      <c r="C3734" s="3">
        <v>143611</v>
      </c>
      <c r="D3734" s="3">
        <v>3609</v>
      </c>
      <c r="E3734" s="3">
        <v>64408</v>
      </c>
      <c r="F3734" s="3">
        <v>31367</v>
      </c>
      <c r="G3734" s="3">
        <v>55368</v>
      </c>
      <c r="H3734" s="2">
        <f t="shared" si="116"/>
        <v>298363</v>
      </c>
      <c r="I3734" t="str">
        <f t="shared" si="117"/>
        <v>Khsrp_298363</v>
      </c>
      <c r="J3734" s="3">
        <v>143611</v>
      </c>
      <c r="K3734" s="3">
        <v>3609</v>
      </c>
      <c r="L3734" s="3">
        <v>64408</v>
      </c>
      <c r="M3734" s="3">
        <v>31367</v>
      </c>
      <c r="N3734" s="3">
        <v>55368</v>
      </c>
    </row>
    <row r="3735" spans="1:14" x14ac:dyDescent="0.2">
      <c r="A3735" s="5" t="str">
        <f>HYPERLINK("http://www.ncbi.nlm.nih.gov/protein/124487039","Kidins220")</f>
        <v>Kidins220</v>
      </c>
      <c r="B3735" s="4"/>
      <c r="C3735" s="3">
        <v>1501</v>
      </c>
      <c r="D3735" s="3">
        <v>0</v>
      </c>
      <c r="E3735" s="3">
        <v>9</v>
      </c>
      <c r="F3735" s="3">
        <v>0</v>
      </c>
      <c r="G3735" s="3">
        <v>0</v>
      </c>
      <c r="H3735" s="2">
        <f t="shared" si="116"/>
        <v>1510</v>
      </c>
      <c r="I3735" t="str">
        <f t="shared" si="117"/>
        <v>Kidins220_1510</v>
      </c>
      <c r="J3735" s="3">
        <v>1501</v>
      </c>
      <c r="K3735" s="3">
        <v>0</v>
      </c>
      <c r="L3735" s="3">
        <v>9</v>
      </c>
      <c r="M3735" s="3">
        <v>0</v>
      </c>
      <c r="N3735" s="3">
        <v>0</v>
      </c>
    </row>
    <row r="3736" spans="1:14" x14ac:dyDescent="0.2">
      <c r="A3736" s="5" t="str">
        <f>HYPERLINK("http://www.ncbi.nlm.nih.gov/protein/45476577","Kif11")</f>
        <v>Kif11</v>
      </c>
      <c r="B3736" s="4"/>
      <c r="C3736" s="3">
        <v>0</v>
      </c>
      <c r="D3736" s="3">
        <v>0</v>
      </c>
      <c r="E3736" s="3">
        <v>278</v>
      </c>
      <c r="F3736" s="3">
        <v>57</v>
      </c>
      <c r="G3736" s="3">
        <v>3234</v>
      </c>
      <c r="H3736" s="2">
        <f t="shared" si="116"/>
        <v>3569</v>
      </c>
      <c r="I3736" t="str">
        <f t="shared" si="117"/>
        <v>Kif11_3569</v>
      </c>
      <c r="J3736" s="3">
        <v>0</v>
      </c>
      <c r="K3736" s="3">
        <v>0</v>
      </c>
      <c r="L3736" s="3">
        <v>278</v>
      </c>
      <c r="M3736" s="3">
        <v>57</v>
      </c>
      <c r="N3736" s="3">
        <v>3234</v>
      </c>
    </row>
    <row r="3737" spans="1:14" x14ac:dyDescent="0.2">
      <c r="A3737" s="5" t="str">
        <f>HYPERLINK("http://www.ncbi.nlm.nih.gov/protein/120300944","Kif13a")</f>
        <v>Kif13a</v>
      </c>
      <c r="B3737" s="4"/>
      <c r="C3737" s="3">
        <v>0</v>
      </c>
      <c r="D3737" s="3">
        <v>8</v>
      </c>
      <c r="E3737" s="3">
        <v>934</v>
      </c>
      <c r="F3737" s="3">
        <v>1351</v>
      </c>
      <c r="G3737" s="3">
        <v>5141</v>
      </c>
      <c r="H3737" s="2">
        <f t="shared" si="116"/>
        <v>7434</v>
      </c>
      <c r="I3737" t="str">
        <f t="shared" si="117"/>
        <v>Kif13a_7434</v>
      </c>
      <c r="J3737" s="3">
        <v>0</v>
      </c>
      <c r="K3737" s="3">
        <v>8</v>
      </c>
      <c r="L3737" s="3">
        <v>934</v>
      </c>
      <c r="M3737" s="3">
        <v>1351</v>
      </c>
      <c r="N3737" s="3">
        <v>5141</v>
      </c>
    </row>
    <row r="3738" spans="1:14" x14ac:dyDescent="0.2">
      <c r="A3738" s="5" t="str">
        <f>HYPERLINK("http://www.ncbi.nlm.nih.gov/protein/124487163","Kif13b")</f>
        <v>Kif13b</v>
      </c>
      <c r="B3738" s="4"/>
      <c r="C3738" s="3">
        <v>2929</v>
      </c>
      <c r="D3738" s="3">
        <v>4304</v>
      </c>
      <c r="E3738" s="3">
        <v>11609</v>
      </c>
      <c r="F3738" s="3">
        <v>67023</v>
      </c>
      <c r="G3738" s="3">
        <v>134822</v>
      </c>
      <c r="H3738" s="2">
        <f t="shared" si="116"/>
        <v>220687</v>
      </c>
      <c r="I3738" t="str">
        <f t="shared" si="117"/>
        <v>Kif13b_220687</v>
      </c>
      <c r="J3738" s="3">
        <v>2929</v>
      </c>
      <c r="K3738" s="3">
        <v>4304</v>
      </c>
      <c r="L3738" s="3">
        <v>11609</v>
      </c>
      <c r="M3738" s="3">
        <v>67023</v>
      </c>
      <c r="N3738" s="3">
        <v>134822</v>
      </c>
    </row>
    <row r="3739" spans="1:14" x14ac:dyDescent="0.2">
      <c r="A3739" s="5" t="str">
        <f>HYPERLINK("http://www.ncbi.nlm.nih.gov/protein/124486927","Kif14")</f>
        <v>Kif14</v>
      </c>
      <c r="B3739" s="4"/>
      <c r="C3739" s="3">
        <v>0</v>
      </c>
      <c r="D3739" s="3">
        <v>0</v>
      </c>
      <c r="E3739" s="3">
        <v>154</v>
      </c>
      <c r="F3739" s="3">
        <v>0</v>
      </c>
      <c r="G3739" s="3">
        <v>2174</v>
      </c>
      <c r="H3739" s="2">
        <f t="shared" si="116"/>
        <v>2328</v>
      </c>
      <c r="I3739" t="str">
        <f t="shared" si="117"/>
        <v>Kif14_2328</v>
      </c>
      <c r="J3739" s="3">
        <v>0</v>
      </c>
      <c r="K3739" s="3">
        <v>0</v>
      </c>
      <c r="L3739" s="3">
        <v>154</v>
      </c>
      <c r="M3739" s="3">
        <v>0</v>
      </c>
      <c r="N3739" s="3">
        <v>2174</v>
      </c>
    </row>
    <row r="3740" spans="1:14" x14ac:dyDescent="0.2">
      <c r="A3740" s="5" t="str">
        <f>HYPERLINK("http://www.ncbi.nlm.nih.gov/protein/39930325","Kif15")</f>
        <v>Kif15</v>
      </c>
      <c r="B3740" s="4"/>
      <c r="C3740" s="3">
        <v>0</v>
      </c>
      <c r="D3740" s="3">
        <v>0</v>
      </c>
      <c r="E3740" s="3">
        <v>0</v>
      </c>
      <c r="F3740" s="3">
        <v>0</v>
      </c>
      <c r="G3740" s="3">
        <v>396</v>
      </c>
      <c r="H3740" s="2">
        <f t="shared" si="116"/>
        <v>396</v>
      </c>
      <c r="I3740" t="str">
        <f t="shared" si="117"/>
        <v>Kif15_396</v>
      </c>
      <c r="J3740" s="3">
        <v>0</v>
      </c>
      <c r="K3740" s="3">
        <v>0</v>
      </c>
      <c r="L3740" s="3">
        <v>0</v>
      </c>
      <c r="M3740" s="3">
        <v>0</v>
      </c>
      <c r="N3740" s="3">
        <v>396</v>
      </c>
    </row>
    <row r="3741" spans="1:14" x14ac:dyDescent="0.2">
      <c r="A3741" s="5" t="str">
        <f>HYPERLINK("http://www.ncbi.nlm.nih.gov/protein/124487287","Kif16b")</f>
        <v>Kif16b</v>
      </c>
      <c r="B3741" s="4"/>
      <c r="C3741" s="3">
        <v>0</v>
      </c>
      <c r="D3741" s="3">
        <v>0</v>
      </c>
      <c r="E3741" s="3">
        <v>66</v>
      </c>
      <c r="F3741" s="3">
        <v>1089</v>
      </c>
      <c r="G3741" s="3">
        <v>0</v>
      </c>
      <c r="H3741" s="2">
        <f t="shared" si="116"/>
        <v>1155</v>
      </c>
      <c r="I3741" t="str">
        <f t="shared" si="117"/>
        <v>Kif16b_1155</v>
      </c>
      <c r="J3741" s="3">
        <v>0</v>
      </c>
      <c r="K3741" s="3">
        <v>0</v>
      </c>
      <c r="L3741" s="3">
        <v>66</v>
      </c>
      <c r="M3741" s="3">
        <v>1089</v>
      </c>
      <c r="N3741" s="3">
        <v>0</v>
      </c>
    </row>
    <row r="3742" spans="1:14" x14ac:dyDescent="0.2">
      <c r="A3742" s="5" t="str">
        <f>HYPERLINK("http://www.ncbi.nlm.nih.gov/protein/13487898","Kif17")</f>
        <v>Kif17</v>
      </c>
      <c r="B3742" s="4"/>
      <c r="C3742" s="3">
        <v>0</v>
      </c>
      <c r="D3742" s="3">
        <v>0</v>
      </c>
      <c r="E3742" s="3">
        <v>154</v>
      </c>
      <c r="F3742" s="3">
        <v>0</v>
      </c>
      <c r="G3742" s="3">
        <v>2174</v>
      </c>
      <c r="H3742" s="2">
        <f t="shared" si="116"/>
        <v>2328</v>
      </c>
      <c r="I3742" t="str">
        <f t="shared" si="117"/>
        <v>Kif17_2328</v>
      </c>
      <c r="J3742" s="3">
        <v>0</v>
      </c>
      <c r="K3742" s="3">
        <v>0</v>
      </c>
      <c r="L3742" s="3">
        <v>154</v>
      </c>
      <c r="M3742" s="3">
        <v>0</v>
      </c>
      <c r="N3742" s="3">
        <v>2174</v>
      </c>
    </row>
    <row r="3743" spans="1:14" x14ac:dyDescent="0.2">
      <c r="A3743" s="5" t="str">
        <f>HYPERLINK("http://www.ncbi.nlm.nih.gov/protein/300795177","Kif17")</f>
        <v>Kif17</v>
      </c>
      <c r="B3743" s="4"/>
      <c r="C3743" s="3">
        <v>0</v>
      </c>
      <c r="D3743" s="3">
        <v>0</v>
      </c>
      <c r="E3743" s="3">
        <v>154</v>
      </c>
      <c r="F3743" s="3">
        <v>0</v>
      </c>
      <c r="G3743" s="3">
        <v>2174</v>
      </c>
      <c r="H3743" s="2">
        <f t="shared" si="116"/>
        <v>2328</v>
      </c>
      <c r="I3743" t="str">
        <f t="shared" si="117"/>
        <v>Kif17_2328</v>
      </c>
      <c r="J3743" s="3">
        <v>0</v>
      </c>
      <c r="K3743" s="3">
        <v>0</v>
      </c>
      <c r="L3743" s="3">
        <v>154</v>
      </c>
      <c r="M3743" s="3">
        <v>0</v>
      </c>
      <c r="N3743" s="3">
        <v>2174</v>
      </c>
    </row>
    <row r="3744" spans="1:14" x14ac:dyDescent="0.2">
      <c r="A3744" s="5" t="str">
        <f>HYPERLINK("http://www.ncbi.nlm.nih.gov/protein/160333877","Kif1a")</f>
        <v>Kif1a</v>
      </c>
      <c r="B3744" s="4"/>
      <c r="C3744" s="3">
        <v>0</v>
      </c>
      <c r="D3744" s="3">
        <v>764</v>
      </c>
      <c r="E3744" s="3">
        <v>2139</v>
      </c>
      <c r="F3744" s="3">
        <v>2177</v>
      </c>
      <c r="G3744" s="3">
        <v>9746</v>
      </c>
      <c r="H3744" s="2">
        <f t="shared" si="116"/>
        <v>14826</v>
      </c>
      <c r="I3744" t="str">
        <f t="shared" si="117"/>
        <v>Kif1a_14826</v>
      </c>
      <c r="J3744" s="3">
        <v>0</v>
      </c>
      <c r="K3744" s="3">
        <v>764</v>
      </c>
      <c r="L3744" s="3">
        <v>2139</v>
      </c>
      <c r="M3744" s="3">
        <v>2177</v>
      </c>
      <c r="N3744" s="3">
        <v>9746</v>
      </c>
    </row>
    <row r="3745" spans="1:14" x14ac:dyDescent="0.2">
      <c r="A3745" s="5" t="str">
        <f>HYPERLINK("http://www.ncbi.nlm.nih.gov/protein/160708010","Kif1a")</f>
        <v>Kif1a</v>
      </c>
      <c r="B3745" s="4"/>
      <c r="C3745" s="3">
        <v>0</v>
      </c>
      <c r="D3745" s="3">
        <v>764</v>
      </c>
      <c r="E3745" s="3">
        <v>2139</v>
      </c>
      <c r="F3745" s="3">
        <v>2177</v>
      </c>
      <c r="G3745" s="3">
        <v>9746</v>
      </c>
      <c r="H3745" s="2">
        <f t="shared" si="116"/>
        <v>14826</v>
      </c>
      <c r="I3745" t="str">
        <f t="shared" si="117"/>
        <v>Kif1a_14826</v>
      </c>
      <c r="J3745" s="3">
        <v>0</v>
      </c>
      <c r="K3745" s="3">
        <v>764</v>
      </c>
      <c r="L3745" s="3">
        <v>2139</v>
      </c>
      <c r="M3745" s="3">
        <v>2177</v>
      </c>
      <c r="N3745" s="3">
        <v>9746</v>
      </c>
    </row>
    <row r="3746" spans="1:14" x14ac:dyDescent="0.2">
      <c r="A3746" s="5" t="str">
        <f>HYPERLINK("http://www.ncbi.nlm.nih.gov/protein/86990458","Kif1b")</f>
        <v>Kif1b</v>
      </c>
      <c r="B3746" s="4"/>
      <c r="C3746" s="3">
        <v>0</v>
      </c>
      <c r="D3746" s="3">
        <v>764</v>
      </c>
      <c r="E3746" s="3">
        <v>2139</v>
      </c>
      <c r="F3746" s="3">
        <v>2177</v>
      </c>
      <c r="G3746" s="3">
        <v>9746</v>
      </c>
      <c r="H3746" s="2">
        <f t="shared" si="116"/>
        <v>14826</v>
      </c>
      <c r="I3746" t="str">
        <f t="shared" si="117"/>
        <v>Kif1b_14826</v>
      </c>
      <c r="J3746" s="3">
        <v>0</v>
      </c>
      <c r="K3746" s="3">
        <v>764</v>
      </c>
      <c r="L3746" s="3">
        <v>2139</v>
      </c>
      <c r="M3746" s="3">
        <v>2177</v>
      </c>
      <c r="N3746" s="3">
        <v>9746</v>
      </c>
    </row>
    <row r="3747" spans="1:14" x14ac:dyDescent="0.2">
      <c r="A3747" s="5" t="str">
        <f>HYPERLINK("http://www.ncbi.nlm.nih.gov/protein/86990460","Kif1b")</f>
        <v>Kif1b</v>
      </c>
      <c r="B3747" s="4"/>
      <c r="C3747" s="3">
        <v>0</v>
      </c>
      <c r="D3747" s="3">
        <v>764</v>
      </c>
      <c r="E3747" s="3">
        <v>2524</v>
      </c>
      <c r="F3747" s="3">
        <v>2177</v>
      </c>
      <c r="G3747" s="3">
        <v>9746</v>
      </c>
      <c r="H3747" s="2">
        <f t="shared" si="116"/>
        <v>15211</v>
      </c>
      <c r="I3747" t="str">
        <f t="shared" si="117"/>
        <v>Kif1b_15211</v>
      </c>
      <c r="J3747" s="3">
        <v>0</v>
      </c>
      <c r="K3747" s="3">
        <v>764</v>
      </c>
      <c r="L3747" s="3">
        <v>2524</v>
      </c>
      <c r="M3747" s="3">
        <v>2177</v>
      </c>
      <c r="N3747" s="3">
        <v>9746</v>
      </c>
    </row>
    <row r="3748" spans="1:14" x14ac:dyDescent="0.2">
      <c r="A3748" s="5" t="str">
        <f>HYPERLINK("http://www.ncbi.nlm.nih.gov/protein/145966744","Kif1c")</f>
        <v>Kif1c</v>
      </c>
      <c r="B3748" s="4"/>
      <c r="C3748" s="3">
        <v>0</v>
      </c>
      <c r="D3748" s="3">
        <v>797</v>
      </c>
      <c r="E3748" s="3">
        <v>2979</v>
      </c>
      <c r="F3748" s="3">
        <v>3266</v>
      </c>
      <c r="G3748" s="3">
        <v>9746</v>
      </c>
      <c r="H3748" s="2">
        <f t="shared" si="116"/>
        <v>16788</v>
      </c>
      <c r="I3748" t="str">
        <f t="shared" si="117"/>
        <v>Kif1c_16788</v>
      </c>
      <c r="J3748" s="3">
        <v>0</v>
      </c>
      <c r="K3748" s="3">
        <v>797</v>
      </c>
      <c r="L3748" s="3">
        <v>2979</v>
      </c>
      <c r="M3748" s="3">
        <v>3266</v>
      </c>
      <c r="N3748" s="3">
        <v>9746</v>
      </c>
    </row>
    <row r="3749" spans="1:14" x14ac:dyDescent="0.2">
      <c r="A3749" s="5" t="str">
        <f>HYPERLINK("http://www.ncbi.nlm.nih.gov/protein/157823695","Kif21a")</f>
        <v>Kif21a</v>
      </c>
      <c r="B3749" s="4"/>
      <c r="C3749" s="3">
        <v>0</v>
      </c>
      <c r="D3749" s="3">
        <v>0</v>
      </c>
      <c r="E3749" s="3">
        <v>0</v>
      </c>
      <c r="F3749" s="3">
        <v>33</v>
      </c>
      <c r="G3749" s="3">
        <v>311</v>
      </c>
      <c r="H3749" s="2">
        <f t="shared" si="116"/>
        <v>344</v>
      </c>
      <c r="I3749" t="str">
        <f t="shared" si="117"/>
        <v>Kif21a_344</v>
      </c>
      <c r="J3749" s="3">
        <v>0</v>
      </c>
      <c r="K3749" s="3">
        <v>0</v>
      </c>
      <c r="L3749" s="3">
        <v>0</v>
      </c>
      <c r="M3749" s="3">
        <v>33</v>
      </c>
      <c r="N3749" s="3">
        <v>311</v>
      </c>
    </row>
    <row r="3750" spans="1:14" x14ac:dyDescent="0.2">
      <c r="A3750" s="5" t="str">
        <f>HYPERLINK("http://www.ncbi.nlm.nih.gov/protein/157823731","Kif21a")</f>
        <v>Kif21a</v>
      </c>
      <c r="B3750" s="4"/>
      <c r="C3750" s="3">
        <v>0</v>
      </c>
      <c r="D3750" s="3">
        <v>0</v>
      </c>
      <c r="E3750" s="3">
        <v>0</v>
      </c>
      <c r="F3750" s="3">
        <v>33</v>
      </c>
      <c r="G3750" s="3">
        <v>311</v>
      </c>
      <c r="H3750" s="2">
        <f t="shared" si="116"/>
        <v>344</v>
      </c>
      <c r="I3750" t="str">
        <f t="shared" si="117"/>
        <v>Kif21a_344</v>
      </c>
      <c r="J3750" s="3">
        <v>0</v>
      </c>
      <c r="K3750" s="3">
        <v>0</v>
      </c>
      <c r="L3750" s="3">
        <v>0</v>
      </c>
      <c r="M3750" s="3">
        <v>33</v>
      </c>
      <c r="N3750" s="3">
        <v>311</v>
      </c>
    </row>
    <row r="3751" spans="1:14" x14ac:dyDescent="0.2">
      <c r="A3751" s="5" t="str">
        <f>HYPERLINK("http://www.ncbi.nlm.nih.gov/protein/157823761","Kif21a")</f>
        <v>Kif21a</v>
      </c>
      <c r="B3751" s="4"/>
      <c r="C3751" s="3">
        <v>0</v>
      </c>
      <c r="D3751" s="3">
        <v>0</v>
      </c>
      <c r="E3751" s="3">
        <v>0</v>
      </c>
      <c r="F3751" s="3">
        <v>33</v>
      </c>
      <c r="G3751" s="3">
        <v>311</v>
      </c>
      <c r="H3751" s="2">
        <f t="shared" si="116"/>
        <v>344</v>
      </c>
      <c r="I3751" t="str">
        <f t="shared" si="117"/>
        <v>Kif21a_344</v>
      </c>
      <c r="J3751" s="3">
        <v>0</v>
      </c>
      <c r="K3751" s="3">
        <v>0</v>
      </c>
      <c r="L3751" s="3">
        <v>0</v>
      </c>
      <c r="M3751" s="3">
        <v>33</v>
      </c>
      <c r="N3751" s="3">
        <v>311</v>
      </c>
    </row>
    <row r="3752" spans="1:14" x14ac:dyDescent="0.2">
      <c r="A3752" s="5" t="str">
        <f>HYPERLINK("http://www.ncbi.nlm.nih.gov/protein/157823795","Kif21a")</f>
        <v>Kif21a</v>
      </c>
      <c r="B3752" s="4"/>
      <c r="C3752" s="3">
        <v>0</v>
      </c>
      <c r="D3752" s="3">
        <v>0</v>
      </c>
      <c r="E3752" s="3">
        <v>0</v>
      </c>
      <c r="F3752" s="3">
        <v>33</v>
      </c>
      <c r="G3752" s="3">
        <v>311</v>
      </c>
      <c r="H3752" s="2">
        <f t="shared" si="116"/>
        <v>344</v>
      </c>
      <c r="I3752" t="str">
        <f t="shared" si="117"/>
        <v>Kif21a_344</v>
      </c>
      <c r="J3752" s="3">
        <v>0</v>
      </c>
      <c r="K3752" s="3">
        <v>0</v>
      </c>
      <c r="L3752" s="3">
        <v>0</v>
      </c>
      <c r="M3752" s="3">
        <v>33</v>
      </c>
      <c r="N3752" s="3">
        <v>311</v>
      </c>
    </row>
    <row r="3753" spans="1:14" x14ac:dyDescent="0.2">
      <c r="A3753" s="5" t="str">
        <f>HYPERLINK("http://www.ncbi.nlm.nih.gov/protein/21704182","Kif22")</f>
        <v>Kif22</v>
      </c>
      <c r="B3753" s="4"/>
      <c r="C3753" s="3">
        <v>0</v>
      </c>
      <c r="D3753" s="3">
        <v>1528</v>
      </c>
      <c r="E3753" s="3">
        <v>15</v>
      </c>
      <c r="F3753" s="3">
        <v>426</v>
      </c>
      <c r="G3753" s="3">
        <v>0</v>
      </c>
      <c r="H3753" s="2">
        <f t="shared" si="116"/>
        <v>1969</v>
      </c>
      <c r="I3753" t="str">
        <f t="shared" si="117"/>
        <v>Kif22_1969</v>
      </c>
      <c r="J3753" s="3">
        <v>0</v>
      </c>
      <c r="K3753" s="3">
        <v>1528</v>
      </c>
      <c r="L3753" s="3">
        <v>15</v>
      </c>
      <c r="M3753" s="3">
        <v>426</v>
      </c>
      <c r="N3753" s="3">
        <v>0</v>
      </c>
    </row>
    <row r="3754" spans="1:14" x14ac:dyDescent="0.2">
      <c r="A3754" s="5" t="str">
        <f>HYPERLINK("http://www.ncbi.nlm.nih.gov/protein/32401469","Kif27")</f>
        <v>Kif27</v>
      </c>
      <c r="B3754" s="4"/>
      <c r="C3754" s="3">
        <v>0</v>
      </c>
      <c r="D3754" s="3">
        <v>0</v>
      </c>
      <c r="E3754" s="3">
        <v>356</v>
      </c>
      <c r="F3754" s="3">
        <v>0</v>
      </c>
      <c r="G3754" s="3">
        <v>0</v>
      </c>
      <c r="H3754" s="2">
        <f t="shared" si="116"/>
        <v>356</v>
      </c>
      <c r="I3754" t="str">
        <f t="shared" si="117"/>
        <v>Kif27_356</v>
      </c>
      <c r="J3754" s="3">
        <v>0</v>
      </c>
      <c r="K3754" s="3">
        <v>0</v>
      </c>
      <c r="L3754" s="3">
        <v>356</v>
      </c>
      <c r="M3754" s="3">
        <v>0</v>
      </c>
      <c r="N3754" s="3">
        <v>0</v>
      </c>
    </row>
    <row r="3755" spans="1:14" x14ac:dyDescent="0.2">
      <c r="A3755" s="5" t="str">
        <f>HYPERLINK("http://www.ncbi.nlm.nih.gov/protein/224809371","Kif2a")</f>
        <v>Kif2a</v>
      </c>
      <c r="B3755" s="4"/>
      <c r="C3755" s="3">
        <v>0</v>
      </c>
      <c r="D3755" s="3">
        <v>0</v>
      </c>
      <c r="E3755" s="3">
        <v>3939</v>
      </c>
      <c r="F3755" s="3">
        <v>1523</v>
      </c>
      <c r="G3755" s="3">
        <v>0</v>
      </c>
      <c r="H3755" s="2">
        <f t="shared" si="116"/>
        <v>5462</v>
      </c>
      <c r="I3755" t="str">
        <f t="shared" si="117"/>
        <v>Kif2a_5462</v>
      </c>
      <c r="J3755" s="3">
        <v>0</v>
      </c>
      <c r="K3755" s="3">
        <v>0</v>
      </c>
      <c r="L3755" s="3">
        <v>3939</v>
      </c>
      <c r="M3755" s="3">
        <v>1523</v>
      </c>
      <c r="N3755" s="3">
        <v>0</v>
      </c>
    </row>
    <row r="3756" spans="1:14" x14ac:dyDescent="0.2">
      <c r="A3756" s="5" t="str">
        <f>HYPERLINK("http://www.ncbi.nlm.nih.gov/protein/224809373","Kif2a")</f>
        <v>Kif2a</v>
      </c>
      <c r="B3756" s="4"/>
      <c r="C3756" s="3">
        <v>0</v>
      </c>
      <c r="D3756" s="3">
        <v>0</v>
      </c>
      <c r="E3756" s="3">
        <v>3939</v>
      </c>
      <c r="F3756" s="3">
        <v>1523</v>
      </c>
      <c r="G3756" s="3">
        <v>0</v>
      </c>
      <c r="H3756" s="2">
        <f t="shared" si="116"/>
        <v>5462</v>
      </c>
      <c r="I3756" t="str">
        <f t="shared" si="117"/>
        <v>Kif2a_5462</v>
      </c>
      <c r="J3756" s="3">
        <v>0</v>
      </c>
      <c r="K3756" s="3">
        <v>0</v>
      </c>
      <c r="L3756" s="3">
        <v>3939</v>
      </c>
      <c r="M3756" s="3">
        <v>1523</v>
      </c>
      <c r="N3756" s="3">
        <v>0</v>
      </c>
    </row>
    <row r="3757" spans="1:14" x14ac:dyDescent="0.2">
      <c r="A3757" s="5" t="str">
        <f>HYPERLINK("http://www.ncbi.nlm.nih.gov/protein/110625946","Kif2b")</f>
        <v>Kif2b</v>
      </c>
      <c r="B3757" s="4"/>
      <c r="C3757" s="3">
        <v>0</v>
      </c>
      <c r="D3757" s="3">
        <v>0</v>
      </c>
      <c r="E3757" s="3">
        <v>0</v>
      </c>
      <c r="F3757" s="3">
        <v>1040</v>
      </c>
      <c r="G3757" s="3">
        <v>0</v>
      </c>
      <c r="H3757" s="2">
        <f t="shared" si="116"/>
        <v>1040</v>
      </c>
      <c r="I3757" t="str">
        <f t="shared" si="117"/>
        <v>Kif2b_1040</v>
      </c>
      <c r="J3757" s="3">
        <v>0</v>
      </c>
      <c r="K3757" s="3">
        <v>0</v>
      </c>
      <c r="L3757" s="3">
        <v>0</v>
      </c>
      <c r="M3757" s="3">
        <v>1040</v>
      </c>
      <c r="N3757" s="3">
        <v>0</v>
      </c>
    </row>
    <row r="3758" spans="1:14" x14ac:dyDescent="0.2">
      <c r="A3758" s="5" t="str">
        <f>HYPERLINK("http://www.ncbi.nlm.nih.gov/protein/34328138","Kif3a")</f>
        <v>Kif3a</v>
      </c>
      <c r="B3758" s="4"/>
      <c r="C3758" s="3">
        <v>0</v>
      </c>
      <c r="D3758" s="3">
        <v>0</v>
      </c>
      <c r="E3758" s="3">
        <v>212</v>
      </c>
      <c r="F3758" s="3">
        <v>0</v>
      </c>
      <c r="G3758" s="3">
        <v>2677</v>
      </c>
      <c r="H3758" s="2">
        <f t="shared" si="116"/>
        <v>2889</v>
      </c>
      <c r="I3758" t="str">
        <f t="shared" si="117"/>
        <v>Kif3a_2889</v>
      </c>
      <c r="J3758" s="3">
        <v>0</v>
      </c>
      <c r="K3758" s="3">
        <v>0</v>
      </c>
      <c r="L3758" s="3">
        <v>212</v>
      </c>
      <c r="M3758" s="3">
        <v>0</v>
      </c>
      <c r="N3758" s="3">
        <v>2677</v>
      </c>
    </row>
    <row r="3759" spans="1:14" x14ac:dyDescent="0.2">
      <c r="A3759" s="5" t="str">
        <f>HYPERLINK("http://www.ncbi.nlm.nih.gov/protein/227908861","Kif3b")</f>
        <v>Kif3b</v>
      </c>
      <c r="B3759" s="4"/>
      <c r="C3759" s="3">
        <v>0</v>
      </c>
      <c r="D3759" s="3">
        <v>0</v>
      </c>
      <c r="E3759" s="3">
        <v>154</v>
      </c>
      <c r="F3759" s="3">
        <v>0</v>
      </c>
      <c r="G3759" s="3">
        <v>2784</v>
      </c>
      <c r="H3759" s="2">
        <f t="shared" si="116"/>
        <v>2938</v>
      </c>
      <c r="I3759" t="str">
        <f t="shared" si="117"/>
        <v>Kif3b_2938</v>
      </c>
      <c r="J3759" s="3">
        <v>0</v>
      </c>
      <c r="K3759" s="3">
        <v>0</v>
      </c>
      <c r="L3759" s="3">
        <v>154</v>
      </c>
      <c r="M3759" s="3">
        <v>0</v>
      </c>
      <c r="N3759" s="3">
        <v>2784</v>
      </c>
    </row>
    <row r="3760" spans="1:14" x14ac:dyDescent="0.2">
      <c r="A3760" s="5" t="str">
        <f>HYPERLINK("http://www.ncbi.nlm.nih.gov/protein/84781817","Kif3c")</f>
        <v>Kif3c</v>
      </c>
      <c r="B3760" s="4"/>
      <c r="C3760" s="3">
        <v>0</v>
      </c>
      <c r="D3760" s="3">
        <v>0</v>
      </c>
      <c r="E3760" s="3">
        <v>158</v>
      </c>
      <c r="F3760" s="3">
        <v>33</v>
      </c>
      <c r="G3760" s="3">
        <v>2174</v>
      </c>
      <c r="H3760" s="2">
        <f t="shared" si="116"/>
        <v>2365</v>
      </c>
      <c r="I3760" t="str">
        <f t="shared" si="117"/>
        <v>Kif3c_2365</v>
      </c>
      <c r="J3760" s="3">
        <v>0</v>
      </c>
      <c r="K3760" s="3">
        <v>0</v>
      </c>
      <c r="L3760" s="3">
        <v>158</v>
      </c>
      <c r="M3760" s="3">
        <v>33</v>
      </c>
      <c r="N3760" s="3">
        <v>2174</v>
      </c>
    </row>
    <row r="3761" spans="1:14" x14ac:dyDescent="0.2">
      <c r="A3761" s="5" t="str">
        <f>HYPERLINK("http://www.ncbi.nlm.nih.gov/protein/84781727;40254635","Kif5a")</f>
        <v>Kif5a</v>
      </c>
      <c r="B3761" s="4"/>
      <c r="C3761" s="3">
        <v>0</v>
      </c>
      <c r="D3761" s="3">
        <v>0</v>
      </c>
      <c r="E3761" s="3">
        <v>5373</v>
      </c>
      <c r="F3761" s="3">
        <v>0</v>
      </c>
      <c r="G3761" s="3">
        <v>0</v>
      </c>
      <c r="H3761" s="2">
        <f t="shared" si="116"/>
        <v>5373</v>
      </c>
      <c r="I3761" t="str">
        <f t="shared" si="117"/>
        <v>Kif5a_5373</v>
      </c>
      <c r="J3761" s="3">
        <v>0</v>
      </c>
      <c r="K3761" s="3">
        <v>0</v>
      </c>
      <c r="L3761" s="3">
        <v>5373</v>
      </c>
      <c r="M3761" s="3">
        <v>0</v>
      </c>
      <c r="N3761" s="3">
        <v>0</v>
      </c>
    </row>
    <row r="3762" spans="1:14" x14ac:dyDescent="0.2">
      <c r="A3762" s="5" t="str">
        <f>HYPERLINK("http://www.ncbi.nlm.nih.gov/protein/40254635;84781727","Kif5a")</f>
        <v>Kif5a</v>
      </c>
      <c r="B3762" s="4"/>
      <c r="C3762" s="3">
        <v>13949</v>
      </c>
      <c r="D3762" s="3">
        <v>0</v>
      </c>
      <c r="E3762" s="3">
        <v>0</v>
      </c>
      <c r="F3762" s="3">
        <v>42360</v>
      </c>
      <c r="G3762" s="3">
        <v>59191</v>
      </c>
      <c r="H3762" s="2">
        <f t="shared" si="116"/>
        <v>115500</v>
      </c>
      <c r="I3762" t="str">
        <f t="shared" si="117"/>
        <v>Kif5a_115500</v>
      </c>
      <c r="J3762" s="3">
        <v>13949</v>
      </c>
      <c r="K3762" s="3">
        <v>0</v>
      </c>
      <c r="L3762" s="3">
        <v>0</v>
      </c>
      <c r="M3762" s="3">
        <v>42360</v>
      </c>
      <c r="N3762" s="3">
        <v>59191</v>
      </c>
    </row>
    <row r="3763" spans="1:14" x14ac:dyDescent="0.2">
      <c r="A3763" s="5" t="str">
        <f>HYPERLINK("http://www.ncbi.nlm.nih.gov/protein/61657921","Kif5b")</f>
        <v>Kif5b</v>
      </c>
      <c r="B3763" s="4"/>
      <c r="C3763" s="3">
        <v>18196</v>
      </c>
      <c r="D3763" s="3">
        <v>44</v>
      </c>
      <c r="E3763" s="3">
        <v>12889</v>
      </c>
      <c r="F3763" s="3">
        <v>108876</v>
      </c>
      <c r="G3763" s="3">
        <v>206319</v>
      </c>
      <c r="H3763" s="2">
        <f t="shared" si="116"/>
        <v>346324</v>
      </c>
      <c r="I3763" t="str">
        <f t="shared" si="117"/>
        <v>Kif5b_346324</v>
      </c>
      <c r="J3763" s="3">
        <v>18196</v>
      </c>
      <c r="K3763" s="3">
        <v>44</v>
      </c>
      <c r="L3763" s="3">
        <v>12889</v>
      </c>
      <c r="M3763" s="3">
        <v>108876</v>
      </c>
      <c r="N3763" s="3">
        <v>206319</v>
      </c>
    </row>
    <row r="3764" spans="1:14" x14ac:dyDescent="0.2">
      <c r="A3764" s="5" t="str">
        <f>HYPERLINK("http://www.ncbi.nlm.nih.gov/protein/45433560","Kif5c")</f>
        <v>Kif5c</v>
      </c>
      <c r="B3764" s="4"/>
      <c r="C3764" s="3">
        <v>13949</v>
      </c>
      <c r="D3764" s="3">
        <v>0</v>
      </c>
      <c r="E3764" s="3">
        <v>5373</v>
      </c>
      <c r="F3764" s="3">
        <v>44325</v>
      </c>
      <c r="G3764" s="3">
        <v>59191</v>
      </c>
      <c r="H3764" s="2">
        <f t="shared" si="116"/>
        <v>122838</v>
      </c>
      <c r="I3764" t="str">
        <f t="shared" si="117"/>
        <v>Kif5c_122838</v>
      </c>
      <c r="J3764" s="3">
        <v>13949</v>
      </c>
      <c r="K3764" s="3">
        <v>0</v>
      </c>
      <c r="L3764" s="3">
        <v>5373</v>
      </c>
      <c r="M3764" s="3">
        <v>44325</v>
      </c>
      <c r="N3764" s="3">
        <v>59191</v>
      </c>
    </row>
    <row r="3765" spans="1:14" x14ac:dyDescent="0.2">
      <c r="A3765" s="5" t="str">
        <f>HYPERLINK("http://www.ncbi.nlm.nih.gov/protein/254675236","Kif9")</f>
        <v>Kif9</v>
      </c>
      <c r="B3765" s="4"/>
      <c r="C3765" s="3">
        <v>0</v>
      </c>
      <c r="D3765" s="3">
        <v>0</v>
      </c>
      <c r="E3765" s="3">
        <v>154</v>
      </c>
      <c r="F3765" s="3">
        <v>0</v>
      </c>
      <c r="G3765" s="3">
        <v>2174</v>
      </c>
      <c r="H3765" s="2">
        <f t="shared" si="116"/>
        <v>2328</v>
      </c>
      <c r="I3765" t="str">
        <f t="shared" si="117"/>
        <v>Kif9_2328</v>
      </c>
      <c r="J3765" s="3">
        <v>0</v>
      </c>
      <c r="K3765" s="3">
        <v>0</v>
      </c>
      <c r="L3765" s="3">
        <v>154</v>
      </c>
      <c r="M3765" s="3">
        <v>0</v>
      </c>
      <c r="N3765" s="3">
        <v>2174</v>
      </c>
    </row>
    <row r="3766" spans="1:14" x14ac:dyDescent="0.2">
      <c r="A3766" s="5" t="str">
        <f>HYPERLINK("http://www.ncbi.nlm.nih.gov/protein/254675238","Kif9")</f>
        <v>Kif9</v>
      </c>
      <c r="B3766" s="4"/>
      <c r="C3766" s="3">
        <v>0</v>
      </c>
      <c r="D3766" s="3">
        <v>0</v>
      </c>
      <c r="E3766" s="3">
        <v>154</v>
      </c>
      <c r="F3766" s="3">
        <v>0</v>
      </c>
      <c r="G3766" s="3">
        <v>2174</v>
      </c>
      <c r="H3766" s="2">
        <f t="shared" si="116"/>
        <v>2328</v>
      </c>
      <c r="I3766" t="str">
        <f t="shared" si="117"/>
        <v>Kif9_2328</v>
      </c>
      <c r="J3766" s="3">
        <v>0</v>
      </c>
      <c r="K3766" s="3">
        <v>0</v>
      </c>
      <c r="L3766" s="3">
        <v>154</v>
      </c>
      <c r="M3766" s="3">
        <v>0</v>
      </c>
      <c r="N3766" s="3">
        <v>2174</v>
      </c>
    </row>
    <row r="3767" spans="1:14" x14ac:dyDescent="0.2">
      <c r="A3767" s="5" t="str">
        <f>HYPERLINK("http://www.ncbi.nlm.nih.gov/protein/224967071","Kifc3")</f>
        <v>Kifc3</v>
      </c>
      <c r="B3767" s="4"/>
      <c r="C3767" s="3">
        <v>0</v>
      </c>
      <c r="D3767" s="3">
        <v>177</v>
      </c>
      <c r="E3767" s="3">
        <v>239</v>
      </c>
      <c r="F3767" s="3">
        <v>0</v>
      </c>
      <c r="G3767" s="3">
        <v>2174</v>
      </c>
      <c r="H3767" s="2">
        <f t="shared" si="116"/>
        <v>2590</v>
      </c>
      <c r="I3767" t="str">
        <f t="shared" si="117"/>
        <v>Kifc3_2590</v>
      </c>
      <c r="J3767" s="3">
        <v>0</v>
      </c>
      <c r="K3767" s="3">
        <v>177</v>
      </c>
      <c r="L3767" s="3">
        <v>239</v>
      </c>
      <c r="M3767" s="3">
        <v>0</v>
      </c>
      <c r="N3767" s="3">
        <v>2174</v>
      </c>
    </row>
    <row r="3768" spans="1:14" x14ac:dyDescent="0.2">
      <c r="A3768" s="5" t="str">
        <f>HYPERLINK("http://www.ncbi.nlm.nih.gov/protein/224967073","Kifc3")</f>
        <v>Kifc3</v>
      </c>
      <c r="B3768" s="4"/>
      <c r="C3768" s="3">
        <v>0</v>
      </c>
      <c r="D3768" s="3">
        <v>177</v>
      </c>
      <c r="E3768" s="3">
        <v>239</v>
      </c>
      <c r="F3768" s="3">
        <v>0</v>
      </c>
      <c r="G3768" s="3">
        <v>2174</v>
      </c>
      <c r="H3768" s="2">
        <f t="shared" si="116"/>
        <v>2590</v>
      </c>
      <c r="I3768" t="str">
        <f t="shared" si="117"/>
        <v>Kifc3_2590</v>
      </c>
      <c r="J3768" s="3">
        <v>0</v>
      </c>
      <c r="K3768" s="3">
        <v>177</v>
      </c>
      <c r="L3768" s="3">
        <v>239</v>
      </c>
      <c r="M3768" s="3">
        <v>0</v>
      </c>
      <c r="N3768" s="3">
        <v>2174</v>
      </c>
    </row>
    <row r="3769" spans="1:14" x14ac:dyDescent="0.2">
      <c r="A3769" s="5" t="str">
        <f>HYPERLINK("http://www.ncbi.nlm.nih.gov/protein/224967075","Kifc3")</f>
        <v>Kifc3</v>
      </c>
      <c r="B3769" s="4"/>
      <c r="C3769" s="3">
        <v>0</v>
      </c>
      <c r="D3769" s="3">
        <v>177</v>
      </c>
      <c r="E3769" s="3">
        <v>168</v>
      </c>
      <c r="F3769" s="3">
        <v>0</v>
      </c>
      <c r="G3769" s="3">
        <v>2174</v>
      </c>
      <c r="H3769" s="2">
        <f t="shared" si="116"/>
        <v>2519</v>
      </c>
      <c r="I3769" t="str">
        <f t="shared" si="117"/>
        <v>Kifc3_2519</v>
      </c>
      <c r="J3769" s="3">
        <v>0</v>
      </c>
      <c r="K3769" s="3">
        <v>177</v>
      </c>
      <c r="L3769" s="3">
        <v>168</v>
      </c>
      <c r="M3769" s="3">
        <v>0</v>
      </c>
      <c r="N3769" s="3">
        <v>2174</v>
      </c>
    </row>
    <row r="3770" spans="1:14" x14ac:dyDescent="0.2">
      <c r="A3770" s="5" t="str">
        <f>HYPERLINK("http://www.ncbi.nlm.nih.gov/protein/33859684","Kin")</f>
        <v>Kin</v>
      </c>
      <c r="B3770" s="4"/>
      <c r="C3770" s="3">
        <v>0</v>
      </c>
      <c r="D3770" s="3">
        <v>0</v>
      </c>
      <c r="E3770" s="3">
        <v>335</v>
      </c>
      <c r="F3770" s="3">
        <v>0</v>
      </c>
      <c r="G3770" s="3">
        <v>0</v>
      </c>
      <c r="H3770" s="2">
        <f t="shared" si="116"/>
        <v>335</v>
      </c>
      <c r="I3770" t="str">
        <f t="shared" si="117"/>
        <v>Kin_335</v>
      </c>
      <c r="J3770" s="3">
        <v>0</v>
      </c>
      <c r="K3770" s="3">
        <v>0</v>
      </c>
      <c r="L3770" s="3">
        <v>335</v>
      </c>
      <c r="M3770" s="3">
        <v>0</v>
      </c>
      <c r="N3770" s="3">
        <v>0</v>
      </c>
    </row>
    <row r="3771" spans="1:14" x14ac:dyDescent="0.2">
      <c r="A3771" s="5" t="str">
        <f>HYPERLINK("http://www.ncbi.nlm.nih.gov/protein/70608146","Kirrel")</f>
        <v>Kirrel</v>
      </c>
      <c r="B3771" s="4"/>
      <c r="C3771" s="3">
        <v>0</v>
      </c>
      <c r="D3771" s="3">
        <v>0</v>
      </c>
      <c r="E3771" s="3">
        <v>126</v>
      </c>
      <c r="F3771" s="3">
        <v>0</v>
      </c>
      <c r="G3771" s="3">
        <v>0</v>
      </c>
      <c r="H3771" s="2">
        <f t="shared" si="116"/>
        <v>126</v>
      </c>
      <c r="I3771" t="str">
        <f t="shared" si="117"/>
        <v>Kirrel_126</v>
      </c>
      <c r="J3771" s="3">
        <v>0</v>
      </c>
      <c r="K3771" s="3">
        <v>0</v>
      </c>
      <c r="L3771" s="3">
        <v>126</v>
      </c>
      <c r="M3771" s="3">
        <v>0</v>
      </c>
      <c r="N3771" s="3">
        <v>0</v>
      </c>
    </row>
    <row r="3772" spans="1:14" x14ac:dyDescent="0.2">
      <c r="A3772" s="5" t="str">
        <f>HYPERLINK("http://www.ncbi.nlm.nih.gov/protein/170650719","Kit")</f>
        <v>Kit</v>
      </c>
      <c r="B3772" s="4"/>
      <c r="C3772" s="3">
        <v>0</v>
      </c>
      <c r="D3772" s="3">
        <v>202</v>
      </c>
      <c r="E3772" s="3">
        <v>6785</v>
      </c>
      <c r="F3772" s="3">
        <v>36254</v>
      </c>
      <c r="G3772" s="3">
        <v>73039</v>
      </c>
      <c r="H3772" s="2">
        <f t="shared" si="116"/>
        <v>116280</v>
      </c>
      <c r="I3772" t="str">
        <f t="shared" si="117"/>
        <v>Kit_116280</v>
      </c>
      <c r="J3772" s="3">
        <v>0</v>
      </c>
      <c r="K3772" s="3">
        <v>202</v>
      </c>
      <c r="L3772" s="3">
        <v>6785</v>
      </c>
      <c r="M3772" s="3">
        <v>36254</v>
      </c>
      <c r="N3772" s="3">
        <v>73039</v>
      </c>
    </row>
    <row r="3773" spans="1:14" x14ac:dyDescent="0.2">
      <c r="A3773" s="5" t="str">
        <f>HYPERLINK("http://www.ncbi.nlm.nih.gov/protein/170650721","Kit")</f>
        <v>Kit</v>
      </c>
      <c r="B3773" s="4"/>
      <c r="C3773" s="3">
        <v>0</v>
      </c>
      <c r="D3773" s="3">
        <v>202</v>
      </c>
      <c r="E3773" s="3">
        <v>6785</v>
      </c>
      <c r="F3773" s="3">
        <v>36254</v>
      </c>
      <c r="G3773" s="3">
        <v>73039</v>
      </c>
      <c r="H3773" s="2">
        <f t="shared" si="116"/>
        <v>116280</v>
      </c>
      <c r="I3773" t="str">
        <f t="shared" si="117"/>
        <v>Kit_116280</v>
      </c>
      <c r="J3773" s="3">
        <v>0</v>
      </c>
      <c r="K3773" s="3">
        <v>202</v>
      </c>
      <c r="L3773" s="3">
        <v>6785</v>
      </c>
      <c r="M3773" s="3">
        <v>36254</v>
      </c>
      <c r="N3773" s="3">
        <v>73039</v>
      </c>
    </row>
    <row r="3774" spans="1:14" x14ac:dyDescent="0.2">
      <c r="A3774" s="5" t="str">
        <f>HYPERLINK("http://www.ncbi.nlm.nih.gov/protein/227330584","Kl")</f>
        <v>Kl</v>
      </c>
      <c r="B3774" s="4"/>
      <c r="C3774" s="3">
        <v>29894</v>
      </c>
      <c r="D3774" s="3">
        <v>4296</v>
      </c>
      <c r="E3774" s="3">
        <v>18251</v>
      </c>
      <c r="F3774" s="3">
        <v>4355</v>
      </c>
      <c r="G3774" s="3">
        <v>82046</v>
      </c>
      <c r="H3774" s="2">
        <f t="shared" si="116"/>
        <v>138842</v>
      </c>
      <c r="I3774" t="str">
        <f t="shared" si="117"/>
        <v>Kl_138842</v>
      </c>
      <c r="J3774" s="3">
        <v>29894</v>
      </c>
      <c r="K3774" s="3">
        <v>4296</v>
      </c>
      <c r="L3774" s="3">
        <v>18251</v>
      </c>
      <c r="M3774" s="3">
        <v>4355</v>
      </c>
      <c r="N3774" s="3">
        <v>82046</v>
      </c>
    </row>
    <row r="3775" spans="1:14" x14ac:dyDescent="0.2">
      <c r="A3775" s="5" t="str">
        <f>HYPERLINK("http://www.ncbi.nlm.nih.gov/protein/131412178","Klc1")</f>
        <v>Klc1</v>
      </c>
      <c r="B3775" s="4"/>
      <c r="C3775" s="3">
        <v>0</v>
      </c>
      <c r="D3775" s="3">
        <v>0</v>
      </c>
      <c r="E3775" s="3">
        <v>56</v>
      </c>
      <c r="F3775" s="3">
        <v>892</v>
      </c>
      <c r="G3775" s="3">
        <v>3780</v>
      </c>
      <c r="H3775" s="2">
        <f t="shared" si="116"/>
        <v>4728</v>
      </c>
      <c r="I3775" t="str">
        <f t="shared" si="117"/>
        <v>Klc1_4728</v>
      </c>
      <c r="J3775" s="3">
        <v>0</v>
      </c>
      <c r="K3775" s="3">
        <v>0</v>
      </c>
      <c r="L3775" s="3">
        <v>56</v>
      </c>
      <c r="M3775" s="3">
        <v>892</v>
      </c>
      <c r="N3775" s="3">
        <v>3780</v>
      </c>
    </row>
    <row r="3776" spans="1:14" x14ac:dyDescent="0.2">
      <c r="A3776" s="5" t="str">
        <f>HYPERLINK("http://www.ncbi.nlm.nih.gov/protein/131412198","Klc1")</f>
        <v>Klc1</v>
      </c>
      <c r="B3776" s="4"/>
      <c r="C3776" s="3">
        <v>0</v>
      </c>
      <c r="D3776" s="3">
        <v>0</v>
      </c>
      <c r="E3776" s="3">
        <v>56</v>
      </c>
      <c r="F3776" s="3">
        <v>892</v>
      </c>
      <c r="G3776" s="3">
        <v>3780</v>
      </c>
      <c r="H3776" s="2">
        <f t="shared" si="116"/>
        <v>4728</v>
      </c>
      <c r="I3776" t="str">
        <f t="shared" si="117"/>
        <v>Klc1_4728</v>
      </c>
      <c r="J3776" s="3">
        <v>0</v>
      </c>
      <c r="K3776" s="3">
        <v>0</v>
      </c>
      <c r="L3776" s="3">
        <v>56</v>
      </c>
      <c r="M3776" s="3">
        <v>892</v>
      </c>
      <c r="N3776" s="3">
        <v>3780</v>
      </c>
    </row>
    <row r="3777" spans="1:14" x14ac:dyDescent="0.2">
      <c r="A3777" s="5" t="str">
        <f>HYPERLINK("http://www.ncbi.nlm.nih.gov/protein/131412207","Klc1")</f>
        <v>Klc1</v>
      </c>
      <c r="B3777" s="4"/>
      <c r="C3777" s="3">
        <v>0</v>
      </c>
      <c r="D3777" s="3">
        <v>0</v>
      </c>
      <c r="E3777" s="3">
        <v>56</v>
      </c>
      <c r="F3777" s="3">
        <v>892</v>
      </c>
      <c r="G3777" s="3">
        <v>3780</v>
      </c>
      <c r="H3777" s="2">
        <f t="shared" si="116"/>
        <v>4728</v>
      </c>
      <c r="I3777" t="str">
        <f t="shared" si="117"/>
        <v>Klc1_4728</v>
      </c>
      <c r="J3777" s="3">
        <v>0</v>
      </c>
      <c r="K3777" s="3">
        <v>0</v>
      </c>
      <c r="L3777" s="3">
        <v>56</v>
      </c>
      <c r="M3777" s="3">
        <v>892</v>
      </c>
      <c r="N3777" s="3">
        <v>3780</v>
      </c>
    </row>
    <row r="3778" spans="1:14" x14ac:dyDescent="0.2">
      <c r="A3778" s="5" t="str">
        <f>HYPERLINK("http://www.ncbi.nlm.nih.gov/protein/133778983","Klc2")</f>
        <v>Klc2</v>
      </c>
      <c r="B3778" s="4"/>
      <c r="C3778" s="3">
        <v>0</v>
      </c>
      <c r="D3778" s="3">
        <v>486</v>
      </c>
      <c r="E3778" s="3">
        <v>468</v>
      </c>
      <c r="F3778" s="3">
        <v>2521</v>
      </c>
      <c r="G3778" s="3">
        <v>13944</v>
      </c>
      <c r="H3778" s="2">
        <f t="shared" ref="H3778:H3841" si="118">SUM(C3778:G3778)</f>
        <v>17419</v>
      </c>
      <c r="I3778" t="str">
        <f t="shared" ref="I3778:I3841" si="119">A3778&amp;"_"&amp;H3778</f>
        <v>Klc2_17419</v>
      </c>
      <c r="J3778" s="3">
        <v>0</v>
      </c>
      <c r="K3778" s="3">
        <v>486</v>
      </c>
      <c r="L3778" s="3">
        <v>468</v>
      </c>
      <c r="M3778" s="3">
        <v>2521</v>
      </c>
      <c r="N3778" s="3">
        <v>13944</v>
      </c>
    </row>
    <row r="3779" spans="1:14" x14ac:dyDescent="0.2">
      <c r="A3779" s="5" t="str">
        <f>HYPERLINK("http://www.ncbi.nlm.nih.gov/protein/22122725","Klc3")</f>
        <v>Klc3</v>
      </c>
      <c r="B3779" s="4"/>
      <c r="C3779" s="3">
        <v>0</v>
      </c>
      <c r="D3779" s="3">
        <v>0</v>
      </c>
      <c r="E3779" s="3">
        <v>56</v>
      </c>
      <c r="F3779" s="3">
        <v>237</v>
      </c>
      <c r="G3779" s="3">
        <v>4830</v>
      </c>
      <c r="H3779" s="2">
        <f t="shared" si="118"/>
        <v>5123</v>
      </c>
      <c r="I3779" t="str">
        <f t="shared" si="119"/>
        <v>Klc3_5123</v>
      </c>
      <c r="J3779" s="3">
        <v>0</v>
      </c>
      <c r="K3779" s="3">
        <v>0</v>
      </c>
      <c r="L3779" s="3">
        <v>56</v>
      </c>
      <c r="M3779" s="3">
        <v>237</v>
      </c>
      <c r="N3779" s="3">
        <v>4830</v>
      </c>
    </row>
    <row r="3780" spans="1:14" x14ac:dyDescent="0.2">
      <c r="A3780" s="5" t="str">
        <f>HYPERLINK("http://www.ncbi.nlm.nih.gov/protein/13386370","Klc4")</f>
        <v>Klc4</v>
      </c>
      <c r="B3780" s="4"/>
      <c r="C3780" s="3">
        <v>0</v>
      </c>
      <c r="D3780" s="3">
        <v>140</v>
      </c>
      <c r="E3780" s="3">
        <v>56</v>
      </c>
      <c r="F3780" s="3">
        <v>1899</v>
      </c>
      <c r="G3780" s="3">
        <v>14222</v>
      </c>
      <c r="H3780" s="2">
        <f t="shared" si="118"/>
        <v>16317</v>
      </c>
      <c r="I3780" t="str">
        <f t="shared" si="119"/>
        <v>Klc4_16317</v>
      </c>
      <c r="J3780" s="3">
        <v>0</v>
      </c>
      <c r="K3780" s="3">
        <v>140</v>
      </c>
      <c r="L3780" s="3">
        <v>56</v>
      </c>
      <c r="M3780" s="3">
        <v>1899</v>
      </c>
      <c r="N3780" s="3">
        <v>14222</v>
      </c>
    </row>
    <row r="3781" spans="1:14" x14ac:dyDescent="0.2">
      <c r="A3781" s="5" t="str">
        <f>HYPERLINK("http://www.ncbi.nlm.nih.gov/protein/58037463","Klhdc10")</f>
        <v>Klhdc10</v>
      </c>
      <c r="B3781" s="4"/>
      <c r="C3781" s="3">
        <v>0</v>
      </c>
      <c r="D3781" s="3">
        <v>0</v>
      </c>
      <c r="E3781" s="3">
        <v>0</v>
      </c>
      <c r="F3781" s="3">
        <v>123</v>
      </c>
      <c r="G3781" s="3">
        <v>1210</v>
      </c>
      <c r="H3781" s="2">
        <f t="shared" si="118"/>
        <v>1333</v>
      </c>
      <c r="I3781" t="str">
        <f t="shared" si="119"/>
        <v>Klhdc10_1333</v>
      </c>
      <c r="J3781" s="3">
        <v>0</v>
      </c>
      <c r="K3781" s="3">
        <v>0</v>
      </c>
      <c r="L3781" s="3">
        <v>0</v>
      </c>
      <c r="M3781" s="3">
        <v>123</v>
      </c>
      <c r="N3781" s="3">
        <v>1210</v>
      </c>
    </row>
    <row r="3782" spans="1:14" x14ac:dyDescent="0.2">
      <c r="A3782" s="5" t="str">
        <f>HYPERLINK("http://www.ncbi.nlm.nih.gov/protein/226246638","Klhdc2")</f>
        <v>Klhdc2</v>
      </c>
      <c r="B3782" s="4"/>
      <c r="C3782" s="3">
        <v>0</v>
      </c>
      <c r="D3782" s="3">
        <v>0</v>
      </c>
      <c r="E3782" s="3">
        <v>0</v>
      </c>
      <c r="F3782" s="3">
        <v>0</v>
      </c>
      <c r="G3782" s="3">
        <v>364</v>
      </c>
      <c r="H3782" s="2">
        <f t="shared" si="118"/>
        <v>364</v>
      </c>
      <c r="I3782" t="str">
        <f t="shared" si="119"/>
        <v>Klhdc2_364</v>
      </c>
      <c r="J3782" s="3">
        <v>0</v>
      </c>
      <c r="K3782" s="3">
        <v>0</v>
      </c>
      <c r="L3782" s="3">
        <v>0</v>
      </c>
      <c r="M3782" s="3">
        <v>0</v>
      </c>
      <c r="N3782" s="3">
        <v>364</v>
      </c>
    </row>
    <row r="3783" spans="1:14" x14ac:dyDescent="0.2">
      <c r="A3783" s="5" t="str">
        <f>HYPERLINK("http://www.ncbi.nlm.nih.gov/protein/255683384","Klhdc4")</f>
        <v>Klhdc4</v>
      </c>
      <c r="B3783" s="4"/>
      <c r="C3783" s="3">
        <v>0</v>
      </c>
      <c r="D3783" s="3">
        <v>340</v>
      </c>
      <c r="E3783" s="3">
        <v>127</v>
      </c>
      <c r="F3783" s="3">
        <v>205</v>
      </c>
      <c r="G3783" s="3">
        <v>0</v>
      </c>
      <c r="H3783" s="2">
        <f t="shared" si="118"/>
        <v>672</v>
      </c>
      <c r="I3783" t="str">
        <f t="shared" si="119"/>
        <v>Klhdc4_672</v>
      </c>
      <c r="J3783" s="3">
        <v>0</v>
      </c>
      <c r="K3783" s="3">
        <v>340</v>
      </c>
      <c r="L3783" s="3">
        <v>127</v>
      </c>
      <c r="M3783" s="3">
        <v>205</v>
      </c>
      <c r="N3783" s="3">
        <v>0</v>
      </c>
    </row>
    <row r="3784" spans="1:14" x14ac:dyDescent="0.2">
      <c r="A3784" s="5" t="str">
        <f>HYPERLINK("http://www.ncbi.nlm.nih.gov/protein/237513007","Klhdc7b")</f>
        <v>Klhdc7b</v>
      </c>
      <c r="B3784" s="4"/>
      <c r="C3784" s="3">
        <v>0</v>
      </c>
      <c r="D3784" s="3">
        <v>215</v>
      </c>
      <c r="E3784" s="3">
        <v>0</v>
      </c>
      <c r="F3784" s="3">
        <v>3070</v>
      </c>
      <c r="G3784" s="3">
        <v>0</v>
      </c>
      <c r="H3784" s="2">
        <f t="shared" si="118"/>
        <v>3285</v>
      </c>
      <c r="I3784" t="str">
        <f t="shared" si="119"/>
        <v>Klhdc7b_3285</v>
      </c>
      <c r="J3784" s="3">
        <v>0</v>
      </c>
      <c r="K3784" s="3">
        <v>215</v>
      </c>
      <c r="L3784" s="3">
        <v>0</v>
      </c>
      <c r="M3784" s="3">
        <v>3070</v>
      </c>
      <c r="N3784" s="3">
        <v>0</v>
      </c>
    </row>
    <row r="3785" spans="1:14" x14ac:dyDescent="0.2">
      <c r="A3785" s="5" t="str">
        <f>HYPERLINK("http://www.ncbi.nlm.nih.gov/protein/84794655","Klhl15")</f>
        <v>Klhl15</v>
      </c>
      <c r="B3785" s="4"/>
      <c r="C3785" s="3">
        <v>0</v>
      </c>
      <c r="D3785" s="3">
        <v>0</v>
      </c>
      <c r="E3785" s="3">
        <v>31</v>
      </c>
      <c r="F3785" s="3">
        <v>0</v>
      </c>
      <c r="G3785" s="3">
        <v>0</v>
      </c>
      <c r="H3785" s="2">
        <f t="shared" si="118"/>
        <v>31</v>
      </c>
      <c r="I3785" t="str">
        <f t="shared" si="119"/>
        <v>Klhl15_31</v>
      </c>
      <c r="J3785" s="3">
        <v>0</v>
      </c>
      <c r="K3785" s="3">
        <v>0</v>
      </c>
      <c r="L3785" s="3">
        <v>31</v>
      </c>
      <c r="M3785" s="3">
        <v>0</v>
      </c>
      <c r="N3785" s="3">
        <v>0</v>
      </c>
    </row>
    <row r="3786" spans="1:14" x14ac:dyDescent="0.2">
      <c r="A3786" s="5" t="str">
        <f>HYPERLINK("http://www.ncbi.nlm.nih.gov/protein/159032012","Klhl22")</f>
        <v>Klhl22</v>
      </c>
      <c r="B3786" s="4"/>
      <c r="C3786" s="3">
        <v>0</v>
      </c>
      <c r="D3786" s="3">
        <v>17</v>
      </c>
      <c r="E3786" s="3">
        <v>79</v>
      </c>
      <c r="F3786" s="3">
        <v>0</v>
      </c>
      <c r="G3786" s="3">
        <v>1157</v>
      </c>
      <c r="H3786" s="2">
        <f t="shared" si="118"/>
        <v>1253</v>
      </c>
      <c r="I3786" t="str">
        <f t="shared" si="119"/>
        <v>Klhl22_1253</v>
      </c>
      <c r="J3786" s="3">
        <v>0</v>
      </c>
      <c r="K3786" s="3">
        <v>17</v>
      </c>
      <c r="L3786" s="3">
        <v>79</v>
      </c>
      <c r="M3786" s="3">
        <v>0</v>
      </c>
      <c r="N3786" s="3">
        <v>1157</v>
      </c>
    </row>
    <row r="3787" spans="1:14" x14ac:dyDescent="0.2">
      <c r="A3787" s="5" t="str">
        <f>HYPERLINK("http://www.ncbi.nlm.nih.gov/protein/109288014","Kntc1")</f>
        <v>Kntc1</v>
      </c>
      <c r="B3787" s="4"/>
      <c r="C3787" s="3">
        <v>0</v>
      </c>
      <c r="D3787" s="3">
        <v>29</v>
      </c>
      <c r="E3787" s="3">
        <v>32</v>
      </c>
      <c r="F3787" s="3">
        <v>2521</v>
      </c>
      <c r="G3787" s="3">
        <v>568</v>
      </c>
      <c r="H3787" s="2">
        <f t="shared" si="118"/>
        <v>3150</v>
      </c>
      <c r="I3787" t="str">
        <f t="shared" si="119"/>
        <v>Kntc1_3150</v>
      </c>
      <c r="J3787" s="3">
        <v>0</v>
      </c>
      <c r="K3787" s="3">
        <v>29</v>
      </c>
      <c r="L3787" s="3">
        <v>32</v>
      </c>
      <c r="M3787" s="3">
        <v>2521</v>
      </c>
      <c r="N3787" s="3">
        <v>568</v>
      </c>
    </row>
    <row r="3788" spans="1:14" x14ac:dyDescent="0.2">
      <c r="A3788" s="5" t="str">
        <f>HYPERLINK("http://www.ncbi.nlm.nih.gov/protein/31543047","Kpna1")</f>
        <v>Kpna1</v>
      </c>
      <c r="B3788" s="4"/>
      <c r="C3788" s="3">
        <v>0</v>
      </c>
      <c r="D3788" s="3">
        <v>79</v>
      </c>
      <c r="E3788" s="3">
        <v>145</v>
      </c>
      <c r="F3788" s="3">
        <v>0</v>
      </c>
      <c r="G3788" s="3">
        <v>0</v>
      </c>
      <c r="H3788" s="2">
        <f t="shared" si="118"/>
        <v>224</v>
      </c>
      <c r="I3788" t="str">
        <f t="shared" si="119"/>
        <v>Kpna1_224</v>
      </c>
      <c r="J3788" s="3">
        <v>0</v>
      </c>
      <c r="K3788" s="3">
        <v>79</v>
      </c>
      <c r="L3788" s="3">
        <v>145</v>
      </c>
      <c r="M3788" s="3">
        <v>0</v>
      </c>
      <c r="N3788" s="3">
        <v>0</v>
      </c>
    </row>
    <row r="3789" spans="1:14" x14ac:dyDescent="0.2">
      <c r="A3789" s="5" t="str">
        <f>HYPERLINK("http://www.ncbi.nlm.nih.gov/protein/6754474","Kpna2")</f>
        <v>Kpna2</v>
      </c>
      <c r="B3789" s="4"/>
      <c r="C3789" s="3">
        <v>10142</v>
      </c>
      <c r="D3789" s="3">
        <v>1937</v>
      </c>
      <c r="E3789" s="3">
        <v>3698</v>
      </c>
      <c r="F3789" s="3">
        <v>16821</v>
      </c>
      <c r="G3789" s="3">
        <v>26078</v>
      </c>
      <c r="H3789" s="2">
        <f t="shared" si="118"/>
        <v>58676</v>
      </c>
      <c r="I3789" t="str">
        <f t="shared" si="119"/>
        <v>Kpna2_58676</v>
      </c>
      <c r="J3789" s="3">
        <v>10142</v>
      </c>
      <c r="K3789" s="3">
        <v>1937</v>
      </c>
      <c r="L3789" s="3">
        <v>3698</v>
      </c>
      <c r="M3789" s="3">
        <v>16821</v>
      </c>
      <c r="N3789" s="3">
        <v>26078</v>
      </c>
    </row>
    <row r="3790" spans="1:14" x14ac:dyDescent="0.2">
      <c r="A3790" s="5" t="str">
        <f>HYPERLINK("http://www.ncbi.nlm.nih.gov/protein/6680596","Kpna3")</f>
        <v>Kpna3</v>
      </c>
      <c r="B3790" s="4"/>
      <c r="C3790" s="3">
        <v>18</v>
      </c>
      <c r="D3790" s="3">
        <v>1035</v>
      </c>
      <c r="E3790" s="3">
        <v>780</v>
      </c>
      <c r="F3790" s="3">
        <v>12827</v>
      </c>
      <c r="G3790" s="3">
        <v>5066</v>
      </c>
      <c r="H3790" s="2">
        <f t="shared" si="118"/>
        <v>19726</v>
      </c>
      <c r="I3790" t="str">
        <f t="shared" si="119"/>
        <v>Kpna3_19726</v>
      </c>
      <c r="J3790" s="3">
        <v>18</v>
      </c>
      <c r="K3790" s="3">
        <v>1035</v>
      </c>
      <c r="L3790" s="3">
        <v>780</v>
      </c>
      <c r="M3790" s="3">
        <v>12827</v>
      </c>
      <c r="N3790" s="3">
        <v>5066</v>
      </c>
    </row>
    <row r="3791" spans="1:14" x14ac:dyDescent="0.2">
      <c r="A3791" s="5" t="str">
        <f>HYPERLINK("http://www.ncbi.nlm.nih.gov/protein/6680598","Kpna4")</f>
        <v>Kpna4</v>
      </c>
      <c r="B3791" s="4"/>
      <c r="C3791" s="3">
        <v>183</v>
      </c>
      <c r="D3791" s="3">
        <v>695</v>
      </c>
      <c r="E3791" s="3">
        <v>35</v>
      </c>
      <c r="F3791" s="3">
        <v>19113</v>
      </c>
      <c r="G3791" s="3">
        <v>5248</v>
      </c>
      <c r="H3791" s="2">
        <f t="shared" si="118"/>
        <v>25274</v>
      </c>
      <c r="I3791" t="str">
        <f t="shared" si="119"/>
        <v>Kpna4_25274</v>
      </c>
      <c r="J3791" s="3">
        <v>183</v>
      </c>
      <c r="K3791" s="3">
        <v>695</v>
      </c>
      <c r="L3791" s="3">
        <v>35</v>
      </c>
      <c r="M3791" s="3">
        <v>19113</v>
      </c>
      <c r="N3791" s="3">
        <v>5248</v>
      </c>
    </row>
    <row r="3792" spans="1:14" x14ac:dyDescent="0.2">
      <c r="A3792" s="5" t="str">
        <f>HYPERLINK("http://www.ncbi.nlm.nih.gov/protein/227116300","Kpna6")</f>
        <v>Kpna6</v>
      </c>
      <c r="B3792" s="4"/>
      <c r="C3792" s="3">
        <v>0</v>
      </c>
      <c r="D3792" s="3">
        <v>79</v>
      </c>
      <c r="E3792" s="3">
        <v>72</v>
      </c>
      <c r="F3792" s="3">
        <v>0</v>
      </c>
      <c r="G3792" s="3">
        <v>525</v>
      </c>
      <c r="H3792" s="2">
        <f t="shared" si="118"/>
        <v>676</v>
      </c>
      <c r="I3792" t="str">
        <f t="shared" si="119"/>
        <v>Kpna6_676</v>
      </c>
      <c r="J3792" s="3">
        <v>0</v>
      </c>
      <c r="K3792" s="3">
        <v>79</v>
      </c>
      <c r="L3792" s="3">
        <v>72</v>
      </c>
      <c r="M3792" s="3">
        <v>0</v>
      </c>
      <c r="N3792" s="3">
        <v>525</v>
      </c>
    </row>
    <row r="3793" spans="1:14" x14ac:dyDescent="0.2">
      <c r="A3793" s="5" t="str">
        <f>HYPERLINK("http://www.ncbi.nlm.nih.gov/protein/88014720","Kpnb1")</f>
        <v>Kpnb1</v>
      </c>
      <c r="B3793" s="4"/>
      <c r="C3793" s="3">
        <v>201037</v>
      </c>
      <c r="D3793" s="3">
        <v>5582</v>
      </c>
      <c r="E3793" s="3">
        <v>30759</v>
      </c>
      <c r="F3793" s="3">
        <v>202200</v>
      </c>
      <c r="G3793" s="3">
        <v>136332</v>
      </c>
      <c r="H3793" s="2">
        <f t="shared" si="118"/>
        <v>575910</v>
      </c>
      <c r="I3793" t="str">
        <f t="shared" si="119"/>
        <v>Kpnb1_575910</v>
      </c>
      <c r="J3793" s="3">
        <v>201037</v>
      </c>
      <c r="K3793" s="3">
        <v>5582</v>
      </c>
      <c r="L3793" s="3">
        <v>30759</v>
      </c>
      <c r="M3793" s="3">
        <v>202200</v>
      </c>
      <c r="N3793" s="3">
        <v>136332</v>
      </c>
    </row>
    <row r="3794" spans="1:14" x14ac:dyDescent="0.2">
      <c r="A3794" s="5" t="str">
        <f>HYPERLINK("http://www.ncbi.nlm.nih.gov/protein/228480267","Kptn")</f>
        <v>Kptn</v>
      </c>
      <c r="B3794" s="4"/>
      <c r="C3794" s="3">
        <v>0</v>
      </c>
      <c r="D3794" s="3">
        <v>0</v>
      </c>
      <c r="E3794" s="3">
        <v>0</v>
      </c>
      <c r="F3794" s="3">
        <v>0</v>
      </c>
      <c r="G3794" s="3">
        <v>5130</v>
      </c>
      <c r="H3794" s="2">
        <f t="shared" si="118"/>
        <v>5130</v>
      </c>
      <c r="I3794" t="str">
        <f t="shared" si="119"/>
        <v>Kptn_5130</v>
      </c>
      <c r="J3794" s="3">
        <v>0</v>
      </c>
      <c r="K3794" s="3">
        <v>0</v>
      </c>
      <c r="L3794" s="3">
        <v>0</v>
      </c>
      <c r="M3794" s="3">
        <v>0</v>
      </c>
      <c r="N3794" s="3">
        <v>5130</v>
      </c>
    </row>
    <row r="3795" spans="1:14" x14ac:dyDescent="0.2">
      <c r="A3795" s="5" t="str">
        <f>HYPERLINK("http://www.ncbi.nlm.nih.gov/protein/266458391","Kras")</f>
        <v>Kras</v>
      </c>
      <c r="B3795" s="4"/>
      <c r="C3795" s="3">
        <v>9483</v>
      </c>
      <c r="D3795" s="3">
        <v>17070</v>
      </c>
      <c r="E3795" s="3">
        <v>27225</v>
      </c>
      <c r="F3795" s="3">
        <v>12819</v>
      </c>
      <c r="G3795" s="3">
        <v>3427</v>
      </c>
      <c r="H3795" s="2">
        <f t="shared" si="118"/>
        <v>70024</v>
      </c>
      <c r="I3795" t="str">
        <f t="shared" si="119"/>
        <v>Kras_70024</v>
      </c>
      <c r="J3795" s="3">
        <v>9483</v>
      </c>
      <c r="K3795" s="3">
        <v>17070</v>
      </c>
      <c r="L3795" s="3">
        <v>27225</v>
      </c>
      <c r="M3795" s="3">
        <v>12819</v>
      </c>
      <c r="N3795" s="3">
        <v>3427</v>
      </c>
    </row>
    <row r="3796" spans="1:14" x14ac:dyDescent="0.2">
      <c r="A3796" s="5" t="str">
        <f>HYPERLINK("http://www.ncbi.nlm.nih.gov/protein/282847448","Krit1")</f>
        <v>Krit1</v>
      </c>
      <c r="B3796" s="4"/>
      <c r="C3796" s="3">
        <v>0</v>
      </c>
      <c r="D3796" s="3">
        <v>0</v>
      </c>
      <c r="E3796" s="3">
        <v>23</v>
      </c>
      <c r="F3796" s="3">
        <v>344</v>
      </c>
      <c r="G3796" s="3">
        <v>0</v>
      </c>
      <c r="H3796" s="2">
        <f t="shared" si="118"/>
        <v>367</v>
      </c>
      <c r="I3796" t="str">
        <f t="shared" si="119"/>
        <v>Krit1_367</v>
      </c>
      <c r="J3796" s="3">
        <v>0</v>
      </c>
      <c r="K3796" s="3">
        <v>0</v>
      </c>
      <c r="L3796" s="3">
        <v>23</v>
      </c>
      <c r="M3796" s="3">
        <v>344</v>
      </c>
      <c r="N3796" s="3">
        <v>0</v>
      </c>
    </row>
    <row r="3797" spans="1:14" x14ac:dyDescent="0.2">
      <c r="A3797" s="5" t="str">
        <f>HYPERLINK("http://www.ncbi.nlm.nih.gov/protein/282847450","Krit1")</f>
        <v>Krit1</v>
      </c>
      <c r="B3797" s="4"/>
      <c r="C3797" s="3">
        <v>0</v>
      </c>
      <c r="D3797" s="3">
        <v>0</v>
      </c>
      <c r="E3797" s="3">
        <v>23</v>
      </c>
      <c r="F3797" s="3">
        <v>344</v>
      </c>
      <c r="G3797" s="3">
        <v>0</v>
      </c>
      <c r="H3797" s="2">
        <f t="shared" si="118"/>
        <v>367</v>
      </c>
      <c r="I3797" t="str">
        <f t="shared" si="119"/>
        <v>Krit1_367</v>
      </c>
      <c r="J3797" s="3">
        <v>0</v>
      </c>
      <c r="K3797" s="3">
        <v>0</v>
      </c>
      <c r="L3797" s="3">
        <v>23</v>
      </c>
      <c r="M3797" s="3">
        <v>344</v>
      </c>
      <c r="N3797" s="3">
        <v>0</v>
      </c>
    </row>
    <row r="3798" spans="1:14" x14ac:dyDescent="0.2">
      <c r="A3798" s="5" t="str">
        <f>HYPERLINK("http://www.ncbi.nlm.nih.gov/protein/226442952","Krr1")</f>
        <v>Krr1</v>
      </c>
      <c r="B3798" s="4"/>
      <c r="C3798" s="3">
        <v>2471</v>
      </c>
      <c r="D3798" s="3">
        <v>0</v>
      </c>
      <c r="E3798" s="3">
        <v>1011</v>
      </c>
      <c r="F3798" s="3">
        <v>0</v>
      </c>
      <c r="G3798" s="3">
        <v>0</v>
      </c>
      <c r="H3798" s="2">
        <f t="shared" si="118"/>
        <v>3482</v>
      </c>
      <c r="I3798" t="str">
        <f t="shared" si="119"/>
        <v>Krr1_3482</v>
      </c>
      <c r="J3798" s="3">
        <v>2471</v>
      </c>
      <c r="K3798" s="3">
        <v>0</v>
      </c>
      <c r="L3798" s="3">
        <v>1011</v>
      </c>
      <c r="M3798" s="3">
        <v>0</v>
      </c>
      <c r="N3798" s="3">
        <v>0</v>
      </c>
    </row>
    <row r="3799" spans="1:14" x14ac:dyDescent="0.2">
      <c r="A3799" s="5" t="str">
        <f>HYPERLINK("http://www.ncbi.nlm.nih.gov/protein/20270210","Kti12")</f>
        <v>Kti12</v>
      </c>
      <c r="B3799" s="4"/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2">
        <f t="shared" si="118"/>
        <v>0</v>
      </c>
      <c r="I3799" t="str">
        <f t="shared" si="119"/>
        <v>Kti12_0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</row>
    <row r="3800" spans="1:14" x14ac:dyDescent="0.2">
      <c r="A3800" s="5" t="str">
        <f>HYPERLINK("http://www.ncbi.nlm.nih.gov/protein/144922638","Ktn1")</f>
        <v>Ktn1</v>
      </c>
      <c r="B3800" s="4"/>
      <c r="C3800" s="3">
        <v>40731</v>
      </c>
      <c r="D3800" s="3">
        <v>1772</v>
      </c>
      <c r="E3800" s="3">
        <v>4380</v>
      </c>
      <c r="F3800" s="3">
        <v>0</v>
      </c>
      <c r="G3800" s="3">
        <v>0</v>
      </c>
      <c r="H3800" s="2">
        <f t="shared" si="118"/>
        <v>46883</v>
      </c>
      <c r="I3800" t="str">
        <f t="shared" si="119"/>
        <v>Ktn1_46883</v>
      </c>
      <c r="J3800" s="3">
        <v>40731</v>
      </c>
      <c r="K3800" s="3">
        <v>1772</v>
      </c>
      <c r="L3800" s="3">
        <v>4380</v>
      </c>
      <c r="M3800" s="3">
        <v>0</v>
      </c>
      <c r="N3800" s="3">
        <v>0</v>
      </c>
    </row>
    <row r="3801" spans="1:14" x14ac:dyDescent="0.2">
      <c r="A3801" s="5" t="str">
        <f>HYPERLINK("http://www.ncbi.nlm.nih.gov/protein/112293279","L1cam")</f>
        <v>L1cam</v>
      </c>
      <c r="B3801" s="4"/>
      <c r="C3801" s="3">
        <v>0</v>
      </c>
      <c r="D3801" s="3">
        <v>0</v>
      </c>
      <c r="E3801" s="3">
        <v>85</v>
      </c>
      <c r="F3801" s="3">
        <v>0</v>
      </c>
      <c r="G3801" s="3">
        <v>2677</v>
      </c>
      <c r="H3801" s="2">
        <f t="shared" si="118"/>
        <v>2762</v>
      </c>
      <c r="I3801" t="str">
        <f t="shared" si="119"/>
        <v>L1cam_2762</v>
      </c>
      <c r="J3801" s="3">
        <v>0</v>
      </c>
      <c r="K3801" s="3">
        <v>0</v>
      </c>
      <c r="L3801" s="3">
        <v>85</v>
      </c>
      <c r="M3801" s="3">
        <v>0</v>
      </c>
      <c r="N3801" s="3">
        <v>2677</v>
      </c>
    </row>
    <row r="3802" spans="1:14" x14ac:dyDescent="0.2">
      <c r="A3802" s="5" t="str">
        <f>HYPERLINK("http://www.ncbi.nlm.nih.gov/protein/21703884","L2hgdh")</f>
        <v>L2hgdh</v>
      </c>
      <c r="B3802" s="4"/>
      <c r="C3802" s="3">
        <v>0</v>
      </c>
      <c r="D3802" s="3">
        <v>3591</v>
      </c>
      <c r="E3802" s="3">
        <v>0</v>
      </c>
      <c r="F3802" s="3">
        <v>0</v>
      </c>
      <c r="G3802" s="3">
        <v>0</v>
      </c>
      <c r="H3802" s="2">
        <f t="shared" si="118"/>
        <v>3591</v>
      </c>
      <c r="I3802" t="str">
        <f t="shared" si="119"/>
        <v>L2hgdh_3591</v>
      </c>
      <c r="J3802" s="3">
        <v>0</v>
      </c>
      <c r="K3802" s="3">
        <v>3591</v>
      </c>
      <c r="L3802" s="3">
        <v>0</v>
      </c>
      <c r="M3802" s="3">
        <v>0</v>
      </c>
      <c r="N3802" s="3">
        <v>0</v>
      </c>
    </row>
    <row r="3803" spans="1:14" x14ac:dyDescent="0.2">
      <c r="A3803" s="5" t="str">
        <f>HYPERLINK("http://www.ncbi.nlm.nih.gov/protein/13399318","l7Rn6")</f>
        <v>l7Rn6</v>
      </c>
      <c r="B3803" s="4"/>
      <c r="C3803" s="3">
        <v>0</v>
      </c>
      <c r="D3803" s="3">
        <v>73</v>
      </c>
      <c r="E3803" s="3">
        <v>483</v>
      </c>
      <c r="F3803" s="3">
        <v>0</v>
      </c>
      <c r="G3803" s="3">
        <v>653</v>
      </c>
      <c r="H3803" s="2">
        <f t="shared" si="118"/>
        <v>1209</v>
      </c>
      <c r="I3803" t="str">
        <f t="shared" si="119"/>
        <v>l7Rn6_1209</v>
      </c>
      <c r="J3803" s="3">
        <v>0</v>
      </c>
      <c r="K3803" s="3">
        <v>73</v>
      </c>
      <c r="L3803" s="3">
        <v>483</v>
      </c>
      <c r="M3803" s="3">
        <v>0</v>
      </c>
      <c r="N3803" s="3">
        <v>653</v>
      </c>
    </row>
    <row r="3804" spans="1:14" x14ac:dyDescent="0.2">
      <c r="A3804" s="5" t="str">
        <f>HYPERLINK("http://www.ncbi.nlm.nih.gov/protein/144922663","Lace1")</f>
        <v>Lace1</v>
      </c>
      <c r="B3804" s="4"/>
      <c r="C3804" s="3">
        <v>0</v>
      </c>
      <c r="D3804" s="3">
        <v>113</v>
      </c>
      <c r="E3804" s="3">
        <v>0</v>
      </c>
      <c r="F3804" s="3">
        <v>0</v>
      </c>
      <c r="G3804" s="3">
        <v>0</v>
      </c>
      <c r="H3804" s="2">
        <f t="shared" si="118"/>
        <v>113</v>
      </c>
      <c r="I3804" t="str">
        <f t="shared" si="119"/>
        <v>Lace1_113</v>
      </c>
      <c r="J3804" s="3">
        <v>0</v>
      </c>
      <c r="K3804" s="3">
        <v>113</v>
      </c>
      <c r="L3804" s="3">
        <v>0</v>
      </c>
      <c r="M3804" s="3">
        <v>0</v>
      </c>
      <c r="N3804" s="3">
        <v>0</v>
      </c>
    </row>
    <row r="3805" spans="1:14" x14ac:dyDescent="0.2">
      <c r="A3805" s="5" t="str">
        <f>HYPERLINK("http://www.ncbi.nlm.nih.gov/protein/13507666","Lactb")</f>
        <v>Lactb</v>
      </c>
      <c r="B3805" s="4"/>
      <c r="C3805" s="3">
        <v>439</v>
      </c>
      <c r="D3805" s="3">
        <v>2987</v>
      </c>
      <c r="E3805" s="3">
        <v>0</v>
      </c>
      <c r="F3805" s="3">
        <v>0</v>
      </c>
      <c r="G3805" s="3">
        <v>0</v>
      </c>
      <c r="H3805" s="2">
        <f t="shared" si="118"/>
        <v>3426</v>
      </c>
      <c r="I3805" t="str">
        <f t="shared" si="119"/>
        <v>Lactb_3426</v>
      </c>
      <c r="J3805" s="3">
        <v>439</v>
      </c>
      <c r="K3805" s="3">
        <v>2987</v>
      </c>
      <c r="L3805" s="3">
        <v>0</v>
      </c>
      <c r="M3805" s="3">
        <v>0</v>
      </c>
      <c r="N3805" s="3">
        <v>0</v>
      </c>
    </row>
    <row r="3806" spans="1:14" x14ac:dyDescent="0.2">
      <c r="A3806" s="5" t="str">
        <f>HYPERLINK("http://www.ncbi.nlm.nih.gov/protein/21703764","Lactb2")</f>
        <v>Lactb2</v>
      </c>
      <c r="B3806" s="4"/>
      <c r="C3806" s="3">
        <v>0</v>
      </c>
      <c r="D3806" s="3">
        <v>0</v>
      </c>
      <c r="E3806" s="3">
        <v>0</v>
      </c>
      <c r="F3806" s="3">
        <v>0</v>
      </c>
      <c r="G3806" s="3">
        <v>3930</v>
      </c>
      <c r="H3806" s="2">
        <f t="shared" si="118"/>
        <v>3930</v>
      </c>
      <c r="I3806" t="str">
        <f t="shared" si="119"/>
        <v>Lactb2_3930</v>
      </c>
      <c r="J3806" s="3">
        <v>0</v>
      </c>
      <c r="K3806" s="3">
        <v>0</v>
      </c>
      <c r="L3806" s="3">
        <v>0</v>
      </c>
      <c r="M3806" s="3">
        <v>0</v>
      </c>
      <c r="N3806" s="3">
        <v>3930</v>
      </c>
    </row>
    <row r="3807" spans="1:14" x14ac:dyDescent="0.2">
      <c r="A3807" s="5" t="str">
        <f>HYPERLINK("http://www.ncbi.nlm.nih.gov/protein/31981555","Lad1")</f>
        <v>Lad1</v>
      </c>
      <c r="B3807" s="4"/>
      <c r="C3807" s="3">
        <v>63943</v>
      </c>
      <c r="D3807" s="3">
        <v>1184</v>
      </c>
      <c r="E3807" s="3">
        <v>2681</v>
      </c>
      <c r="F3807" s="3">
        <v>8521</v>
      </c>
      <c r="G3807" s="3">
        <v>18206</v>
      </c>
      <c r="H3807" s="2">
        <f t="shared" si="118"/>
        <v>94535</v>
      </c>
      <c r="I3807" t="str">
        <f t="shared" si="119"/>
        <v>Lad1_94535</v>
      </c>
      <c r="J3807" s="3">
        <v>63943</v>
      </c>
      <c r="K3807" s="3">
        <v>1184</v>
      </c>
      <c r="L3807" s="3">
        <v>2681</v>
      </c>
      <c r="M3807" s="3">
        <v>8521</v>
      </c>
      <c r="N3807" s="3">
        <v>18206</v>
      </c>
    </row>
    <row r="3808" spans="1:14" x14ac:dyDescent="0.2">
      <c r="A3808" s="5" t="str">
        <f>HYPERLINK("http://www.ncbi.nlm.nih.gov/protein/13384798","Lage3")</f>
        <v>Lage3</v>
      </c>
      <c r="B3808" s="4"/>
      <c r="C3808" s="3">
        <v>0</v>
      </c>
      <c r="D3808" s="3">
        <v>0</v>
      </c>
      <c r="E3808" s="3">
        <v>7</v>
      </c>
      <c r="F3808" s="3">
        <v>0</v>
      </c>
      <c r="G3808" s="3">
        <v>932</v>
      </c>
      <c r="H3808" s="2">
        <f t="shared" si="118"/>
        <v>939</v>
      </c>
      <c r="I3808" t="str">
        <f t="shared" si="119"/>
        <v>Lage3_939</v>
      </c>
      <c r="J3808" s="3">
        <v>0</v>
      </c>
      <c r="K3808" s="3">
        <v>0</v>
      </c>
      <c r="L3808" s="3">
        <v>7</v>
      </c>
      <c r="M3808" s="3">
        <v>0</v>
      </c>
      <c r="N3808" s="3">
        <v>932</v>
      </c>
    </row>
    <row r="3809" spans="1:14" x14ac:dyDescent="0.2">
      <c r="A3809" s="5" t="str">
        <f>HYPERLINK("http://www.ncbi.nlm.nih.gov/protein/124487155","Lama5")</f>
        <v>Lama5</v>
      </c>
      <c r="B3809" s="4"/>
      <c r="C3809" s="3">
        <v>55</v>
      </c>
      <c r="D3809" s="3">
        <v>125</v>
      </c>
      <c r="E3809" s="3">
        <v>102</v>
      </c>
      <c r="F3809" s="3">
        <v>213</v>
      </c>
      <c r="G3809" s="3">
        <v>86</v>
      </c>
      <c r="H3809" s="2">
        <f t="shared" si="118"/>
        <v>581</v>
      </c>
      <c r="I3809" t="str">
        <f t="shared" si="119"/>
        <v>Lama5_581</v>
      </c>
      <c r="J3809" s="3">
        <v>55</v>
      </c>
      <c r="K3809" s="3">
        <v>125</v>
      </c>
      <c r="L3809" s="3">
        <v>102</v>
      </c>
      <c r="M3809" s="3">
        <v>213</v>
      </c>
      <c r="N3809" s="3">
        <v>86</v>
      </c>
    </row>
    <row r="3810" spans="1:14" x14ac:dyDescent="0.2">
      <c r="A3810" s="5" t="str">
        <f>HYPERLINK("http://www.ncbi.nlm.nih.gov/protein/114326497","Lamb1")</f>
        <v>Lamb1</v>
      </c>
      <c r="B3810" s="4"/>
      <c r="C3810" s="3">
        <v>3222</v>
      </c>
      <c r="D3810" s="3">
        <v>9033</v>
      </c>
      <c r="E3810" s="3">
        <v>2840</v>
      </c>
      <c r="F3810" s="3">
        <v>0</v>
      </c>
      <c r="G3810" s="3">
        <v>0</v>
      </c>
      <c r="H3810" s="2">
        <f t="shared" si="118"/>
        <v>15095</v>
      </c>
      <c r="I3810" t="str">
        <f t="shared" si="119"/>
        <v>Lamb1_15095</v>
      </c>
      <c r="J3810" s="3">
        <v>3222</v>
      </c>
      <c r="K3810" s="3">
        <v>9033</v>
      </c>
      <c r="L3810" s="3">
        <v>2840</v>
      </c>
      <c r="M3810" s="3">
        <v>0</v>
      </c>
      <c r="N3810" s="3">
        <v>0</v>
      </c>
    </row>
    <row r="3811" spans="1:14" x14ac:dyDescent="0.2">
      <c r="A3811" s="5" t="str">
        <f>HYPERLINK("http://www.ncbi.nlm.nih.gov/protein/31982223","Lamb2")</f>
        <v>Lamb2</v>
      </c>
      <c r="B3811" s="4"/>
      <c r="C3811" s="3">
        <v>0</v>
      </c>
      <c r="D3811" s="3">
        <v>0</v>
      </c>
      <c r="E3811" s="3">
        <v>773</v>
      </c>
      <c r="F3811" s="3">
        <v>0</v>
      </c>
      <c r="G3811" s="3">
        <v>0</v>
      </c>
      <c r="H3811" s="2">
        <f t="shared" si="118"/>
        <v>773</v>
      </c>
      <c r="I3811" t="str">
        <f t="shared" si="119"/>
        <v>Lamb2_773</v>
      </c>
      <c r="J3811" s="3">
        <v>0</v>
      </c>
      <c r="K3811" s="3">
        <v>0</v>
      </c>
      <c r="L3811" s="3">
        <v>773</v>
      </c>
      <c r="M3811" s="3">
        <v>0</v>
      </c>
      <c r="N3811" s="3">
        <v>0</v>
      </c>
    </row>
    <row r="3812" spans="1:14" x14ac:dyDescent="0.2">
      <c r="A3812" s="5" t="str">
        <f>HYPERLINK("http://www.ncbi.nlm.nih.gov/protein/153791270","Lamc1")</f>
        <v>Lamc1</v>
      </c>
      <c r="B3812" s="4"/>
      <c r="C3812" s="3">
        <v>0</v>
      </c>
      <c r="D3812" s="3">
        <v>77</v>
      </c>
      <c r="E3812" s="3">
        <v>26</v>
      </c>
      <c r="F3812" s="3">
        <v>0</v>
      </c>
      <c r="G3812" s="3">
        <v>0</v>
      </c>
      <c r="H3812" s="2">
        <f t="shared" si="118"/>
        <v>103</v>
      </c>
      <c r="I3812" t="str">
        <f t="shared" si="119"/>
        <v>Lamc1_103</v>
      </c>
      <c r="J3812" s="3">
        <v>0</v>
      </c>
      <c r="K3812" s="3">
        <v>77</v>
      </c>
      <c r="L3812" s="3">
        <v>26</v>
      </c>
      <c r="M3812" s="3">
        <v>0</v>
      </c>
      <c r="N3812" s="3">
        <v>0</v>
      </c>
    </row>
    <row r="3813" spans="1:14" x14ac:dyDescent="0.2">
      <c r="A3813" s="5" t="str">
        <f>HYPERLINK("http://www.ncbi.nlm.nih.gov/protein/110624798","Lamc2")</f>
        <v>Lamc2</v>
      </c>
      <c r="B3813" s="4"/>
      <c r="C3813" s="3">
        <v>0</v>
      </c>
      <c r="D3813" s="3">
        <v>261</v>
      </c>
      <c r="E3813" s="3">
        <v>40</v>
      </c>
      <c r="F3813" s="3">
        <v>0</v>
      </c>
      <c r="G3813" s="3">
        <v>0</v>
      </c>
      <c r="H3813" s="2">
        <f t="shared" si="118"/>
        <v>301</v>
      </c>
      <c r="I3813" t="str">
        <f t="shared" si="119"/>
        <v>Lamc2_301</v>
      </c>
      <c r="J3813" s="3">
        <v>0</v>
      </c>
      <c r="K3813" s="3">
        <v>261</v>
      </c>
      <c r="L3813" s="3">
        <v>40</v>
      </c>
      <c r="M3813" s="3">
        <v>0</v>
      </c>
      <c r="N3813" s="3">
        <v>0</v>
      </c>
    </row>
    <row r="3814" spans="1:14" x14ac:dyDescent="0.2">
      <c r="A3814" s="5" t="str">
        <f>HYPERLINK("http://www.ncbi.nlm.nih.gov/protein/113195678","Lamp1")</f>
        <v>Lamp1</v>
      </c>
      <c r="B3814" s="4"/>
      <c r="C3814" s="3">
        <v>11258</v>
      </c>
      <c r="D3814" s="3">
        <v>44727</v>
      </c>
      <c r="E3814" s="3">
        <v>136147</v>
      </c>
      <c r="F3814" s="3">
        <v>32587</v>
      </c>
      <c r="G3814" s="3">
        <v>20519</v>
      </c>
      <c r="H3814" s="2">
        <f t="shared" si="118"/>
        <v>245238</v>
      </c>
      <c r="I3814" t="str">
        <f t="shared" si="119"/>
        <v>Lamp1_245238</v>
      </c>
      <c r="J3814" s="3">
        <v>11258</v>
      </c>
      <c r="K3814" s="3">
        <v>44727</v>
      </c>
      <c r="L3814" s="3">
        <v>136147</v>
      </c>
      <c r="M3814" s="3">
        <v>32587</v>
      </c>
      <c r="N3814" s="3">
        <v>20519</v>
      </c>
    </row>
    <row r="3815" spans="1:14" x14ac:dyDescent="0.2">
      <c r="A3815" s="5" t="str">
        <f>HYPERLINK("http://www.ncbi.nlm.nih.gov/protein/31543108","Lamp2")</f>
        <v>Lamp2</v>
      </c>
      <c r="B3815" s="4"/>
      <c r="C3815" s="3">
        <v>31047</v>
      </c>
      <c r="D3815" s="3">
        <v>33509</v>
      </c>
      <c r="E3815" s="3">
        <v>45572</v>
      </c>
      <c r="F3815" s="3">
        <v>4576</v>
      </c>
      <c r="G3815" s="3">
        <v>4819</v>
      </c>
      <c r="H3815" s="2">
        <f t="shared" si="118"/>
        <v>119523</v>
      </c>
      <c r="I3815" t="str">
        <f t="shared" si="119"/>
        <v>Lamp2_119523</v>
      </c>
      <c r="J3815" s="3">
        <v>31047</v>
      </c>
      <c r="K3815" s="3">
        <v>33509</v>
      </c>
      <c r="L3815" s="3">
        <v>45572</v>
      </c>
      <c r="M3815" s="3">
        <v>4576</v>
      </c>
      <c r="N3815" s="3">
        <v>4819</v>
      </c>
    </row>
    <row r="3816" spans="1:14" x14ac:dyDescent="0.2">
      <c r="A3816" s="5" t="str">
        <f>HYPERLINK("http://www.ncbi.nlm.nih.gov/protein/63054837","Lamp2")</f>
        <v>Lamp2</v>
      </c>
      <c r="B3816" s="4"/>
      <c r="C3816" s="3">
        <v>31047</v>
      </c>
      <c r="D3816" s="3">
        <v>33509</v>
      </c>
      <c r="E3816" s="3">
        <v>45572</v>
      </c>
      <c r="F3816" s="3">
        <v>4576</v>
      </c>
      <c r="G3816" s="3">
        <v>4819</v>
      </c>
      <c r="H3816" s="2">
        <f t="shared" si="118"/>
        <v>119523</v>
      </c>
      <c r="I3816" t="str">
        <f t="shared" si="119"/>
        <v>Lamp2_119523</v>
      </c>
      <c r="J3816" s="3">
        <v>31047</v>
      </c>
      <c r="K3816" s="3">
        <v>33509</v>
      </c>
      <c r="L3816" s="3">
        <v>45572</v>
      </c>
      <c r="M3816" s="3">
        <v>4576</v>
      </c>
      <c r="N3816" s="3">
        <v>4819</v>
      </c>
    </row>
    <row r="3817" spans="1:14" x14ac:dyDescent="0.2">
      <c r="A3817" s="5" t="str">
        <f>HYPERLINK("http://www.ncbi.nlm.nih.gov/protein/242332593","Lamtor1")</f>
        <v>Lamtor1</v>
      </c>
      <c r="B3817" s="4"/>
      <c r="C3817" s="3">
        <v>14810</v>
      </c>
      <c r="D3817" s="3">
        <v>7191</v>
      </c>
      <c r="E3817" s="3">
        <v>5269</v>
      </c>
      <c r="F3817" s="3">
        <v>1883</v>
      </c>
      <c r="G3817" s="3">
        <v>0</v>
      </c>
      <c r="H3817" s="2">
        <f t="shared" si="118"/>
        <v>29153</v>
      </c>
      <c r="I3817" t="str">
        <f t="shared" si="119"/>
        <v>Lamtor1_29153</v>
      </c>
      <c r="J3817" s="3">
        <v>14810</v>
      </c>
      <c r="K3817" s="3">
        <v>7191</v>
      </c>
      <c r="L3817" s="3">
        <v>5269</v>
      </c>
      <c r="M3817" s="3">
        <v>1883</v>
      </c>
      <c r="N3817" s="3">
        <v>0</v>
      </c>
    </row>
    <row r="3818" spans="1:14" x14ac:dyDescent="0.2">
      <c r="A3818" s="5" t="str">
        <f>HYPERLINK("http://www.ncbi.nlm.nih.gov/protein/13752573","Lamtor2")</f>
        <v>Lamtor2</v>
      </c>
      <c r="B3818" s="4"/>
      <c r="C3818" s="3">
        <v>220</v>
      </c>
      <c r="D3818" s="3">
        <v>3920</v>
      </c>
      <c r="E3818" s="3">
        <v>6074</v>
      </c>
      <c r="F3818" s="3">
        <v>671</v>
      </c>
      <c r="G3818" s="3">
        <v>3191</v>
      </c>
      <c r="H3818" s="2">
        <f t="shared" si="118"/>
        <v>14076</v>
      </c>
      <c r="I3818" t="str">
        <f t="shared" si="119"/>
        <v>Lamtor2_14076</v>
      </c>
      <c r="J3818" s="3">
        <v>220</v>
      </c>
      <c r="K3818" s="3">
        <v>3920</v>
      </c>
      <c r="L3818" s="3">
        <v>6074</v>
      </c>
      <c r="M3818" s="3">
        <v>671</v>
      </c>
      <c r="N3818" s="3">
        <v>3191</v>
      </c>
    </row>
    <row r="3819" spans="1:14" x14ac:dyDescent="0.2">
      <c r="A3819" s="5" t="str">
        <f>HYPERLINK("http://www.ncbi.nlm.nih.gov/protein/9910452","Lamtor3")</f>
        <v>Lamtor3</v>
      </c>
      <c r="B3819" s="4"/>
      <c r="C3819" s="3">
        <v>146</v>
      </c>
      <c r="D3819" s="3">
        <v>526</v>
      </c>
      <c r="E3819" s="3">
        <v>111</v>
      </c>
      <c r="F3819" s="3">
        <v>0</v>
      </c>
      <c r="G3819" s="3">
        <v>1135</v>
      </c>
      <c r="H3819" s="2">
        <f t="shared" si="118"/>
        <v>1918</v>
      </c>
      <c r="I3819" t="str">
        <f t="shared" si="119"/>
        <v>Lamtor3_1918</v>
      </c>
      <c r="J3819" s="3">
        <v>146</v>
      </c>
      <c r="K3819" s="3">
        <v>526</v>
      </c>
      <c r="L3819" s="3">
        <v>111</v>
      </c>
      <c r="M3819" s="3">
        <v>0</v>
      </c>
      <c r="N3819" s="3">
        <v>1135</v>
      </c>
    </row>
    <row r="3820" spans="1:14" x14ac:dyDescent="0.2">
      <c r="A3820" s="5" t="str">
        <f>HYPERLINK("http://www.ncbi.nlm.nih.gov/protein/237820655","Lamtor5")</f>
        <v>Lamtor5</v>
      </c>
      <c r="B3820" s="4"/>
      <c r="C3820" s="3">
        <v>0</v>
      </c>
      <c r="D3820" s="3">
        <v>33</v>
      </c>
      <c r="E3820" s="3">
        <v>836</v>
      </c>
      <c r="F3820" s="3">
        <v>0</v>
      </c>
      <c r="G3820" s="3">
        <v>0</v>
      </c>
      <c r="H3820" s="2">
        <f t="shared" si="118"/>
        <v>869</v>
      </c>
      <c r="I3820" t="str">
        <f t="shared" si="119"/>
        <v>Lamtor5_869</v>
      </c>
      <c r="J3820" s="3">
        <v>0</v>
      </c>
      <c r="K3820" s="3">
        <v>33</v>
      </c>
      <c r="L3820" s="3">
        <v>836</v>
      </c>
      <c r="M3820" s="3">
        <v>0</v>
      </c>
      <c r="N3820" s="3">
        <v>0</v>
      </c>
    </row>
    <row r="3821" spans="1:14" x14ac:dyDescent="0.2">
      <c r="A3821" s="5" t="str">
        <f>HYPERLINK("http://www.ncbi.nlm.nih.gov/protein/300795817","Lancl1")</f>
        <v>Lancl1</v>
      </c>
      <c r="B3821" s="4"/>
      <c r="C3821" s="3">
        <v>0</v>
      </c>
      <c r="D3821" s="3">
        <v>48</v>
      </c>
      <c r="E3821" s="3">
        <v>1333</v>
      </c>
      <c r="F3821" s="3">
        <v>2906</v>
      </c>
      <c r="G3821" s="3">
        <v>17157</v>
      </c>
      <c r="H3821" s="2">
        <f t="shared" si="118"/>
        <v>21444</v>
      </c>
      <c r="I3821" t="str">
        <f t="shared" si="119"/>
        <v>Lancl1_21444</v>
      </c>
      <c r="J3821" s="3">
        <v>0</v>
      </c>
      <c r="K3821" s="3">
        <v>48</v>
      </c>
      <c r="L3821" s="3">
        <v>1333</v>
      </c>
      <c r="M3821" s="3">
        <v>2906</v>
      </c>
      <c r="N3821" s="3">
        <v>17157</v>
      </c>
    </row>
    <row r="3822" spans="1:14" x14ac:dyDescent="0.2">
      <c r="A3822" s="5" t="str">
        <f>HYPERLINK("http://www.ncbi.nlm.nih.gov/protein/19526936","Lancl2")</f>
        <v>Lancl2</v>
      </c>
      <c r="B3822" s="4"/>
      <c r="C3822" s="3">
        <v>0</v>
      </c>
      <c r="D3822" s="3">
        <v>353</v>
      </c>
      <c r="E3822" s="3">
        <v>967</v>
      </c>
      <c r="F3822" s="3">
        <v>0</v>
      </c>
      <c r="G3822" s="3">
        <v>18463</v>
      </c>
      <c r="H3822" s="2">
        <f t="shared" si="118"/>
        <v>19783</v>
      </c>
      <c r="I3822" t="str">
        <f t="shared" si="119"/>
        <v>Lancl2_19783</v>
      </c>
      <c r="J3822" s="3">
        <v>0</v>
      </c>
      <c r="K3822" s="3">
        <v>353</v>
      </c>
      <c r="L3822" s="3">
        <v>967</v>
      </c>
      <c r="M3822" s="3">
        <v>0</v>
      </c>
      <c r="N3822" s="3">
        <v>18463</v>
      </c>
    </row>
    <row r="3823" spans="1:14" x14ac:dyDescent="0.2">
      <c r="A3823" s="5" t="str">
        <f>HYPERLINK("http://www.ncbi.nlm.nih.gov/protein/255069715","Lap3")</f>
        <v>Lap3</v>
      </c>
      <c r="B3823" s="4"/>
      <c r="C3823" s="3">
        <v>13601</v>
      </c>
      <c r="D3823" s="3">
        <v>20284</v>
      </c>
      <c r="E3823" s="3">
        <v>792</v>
      </c>
      <c r="F3823" s="3">
        <v>32390</v>
      </c>
      <c r="G3823" s="3">
        <v>22672</v>
      </c>
      <c r="H3823" s="2">
        <f t="shared" si="118"/>
        <v>89739</v>
      </c>
      <c r="I3823" t="str">
        <f t="shared" si="119"/>
        <v>Lap3_89739</v>
      </c>
      <c r="J3823" s="3">
        <v>13601</v>
      </c>
      <c r="K3823" s="3">
        <v>20284</v>
      </c>
      <c r="L3823" s="3">
        <v>792</v>
      </c>
      <c r="M3823" s="3">
        <v>32390</v>
      </c>
      <c r="N3823" s="3">
        <v>22672</v>
      </c>
    </row>
    <row r="3824" spans="1:14" x14ac:dyDescent="0.2">
      <c r="A3824" s="5" t="str">
        <f>HYPERLINK("http://www.ncbi.nlm.nih.gov/protein/109689716","Laptm4a")</f>
        <v>Laptm4a</v>
      </c>
      <c r="B3824" s="4"/>
      <c r="C3824" s="3">
        <v>0</v>
      </c>
      <c r="D3824" s="3">
        <v>1445</v>
      </c>
      <c r="E3824" s="3">
        <v>0</v>
      </c>
      <c r="F3824" s="3">
        <v>0</v>
      </c>
      <c r="G3824" s="3">
        <v>0</v>
      </c>
      <c r="H3824" s="2">
        <f t="shared" si="118"/>
        <v>1445</v>
      </c>
      <c r="I3824" t="str">
        <f t="shared" si="119"/>
        <v>Laptm4a_1445</v>
      </c>
      <c r="J3824" s="3">
        <v>0</v>
      </c>
      <c r="K3824" s="3">
        <v>1445</v>
      </c>
      <c r="L3824" s="3">
        <v>0</v>
      </c>
      <c r="M3824" s="3">
        <v>0</v>
      </c>
      <c r="N3824" s="3">
        <v>0</v>
      </c>
    </row>
    <row r="3825" spans="1:14" x14ac:dyDescent="0.2">
      <c r="A3825" s="5" t="str">
        <f>HYPERLINK("http://www.ncbi.nlm.nih.gov/protein/226442901","Larp1")</f>
        <v>Larp1</v>
      </c>
      <c r="B3825" s="4"/>
      <c r="C3825" s="3">
        <v>0</v>
      </c>
      <c r="D3825" s="3">
        <v>188</v>
      </c>
      <c r="E3825" s="3">
        <v>5316</v>
      </c>
      <c r="F3825" s="3">
        <v>10224</v>
      </c>
      <c r="G3825" s="3">
        <v>0</v>
      </c>
      <c r="H3825" s="2">
        <f t="shared" si="118"/>
        <v>15728</v>
      </c>
      <c r="I3825" t="str">
        <f t="shared" si="119"/>
        <v>Larp1_15728</v>
      </c>
      <c r="J3825" s="3">
        <v>0</v>
      </c>
      <c r="K3825" s="3">
        <v>188</v>
      </c>
      <c r="L3825" s="3">
        <v>5316</v>
      </c>
      <c r="M3825" s="3">
        <v>10224</v>
      </c>
      <c r="N3825" s="3">
        <v>0</v>
      </c>
    </row>
    <row r="3826" spans="1:14" x14ac:dyDescent="0.2">
      <c r="A3826" s="5" t="str">
        <f>HYPERLINK("http://www.ncbi.nlm.nih.gov/protein/124358932","Larp4")</f>
        <v>Larp4</v>
      </c>
      <c r="B3826" s="4"/>
      <c r="C3826" s="3">
        <v>0</v>
      </c>
      <c r="D3826" s="3">
        <v>0</v>
      </c>
      <c r="E3826" s="3">
        <v>8303</v>
      </c>
      <c r="F3826" s="3">
        <v>3184</v>
      </c>
      <c r="G3826" s="3">
        <v>0</v>
      </c>
      <c r="H3826" s="2">
        <f t="shared" si="118"/>
        <v>11487</v>
      </c>
      <c r="I3826" t="str">
        <f t="shared" si="119"/>
        <v>Larp4_11487</v>
      </c>
      <c r="J3826" s="3">
        <v>0</v>
      </c>
      <c r="K3826" s="3">
        <v>0</v>
      </c>
      <c r="L3826" s="3">
        <v>8303</v>
      </c>
      <c r="M3826" s="3">
        <v>3184</v>
      </c>
      <c r="N3826" s="3">
        <v>0</v>
      </c>
    </row>
    <row r="3827" spans="1:14" x14ac:dyDescent="0.2">
      <c r="A3827" s="5" t="str">
        <f>HYPERLINK("http://www.ncbi.nlm.nih.gov/protein/124358934","Larp4")</f>
        <v>Larp4</v>
      </c>
      <c r="B3827" s="4"/>
      <c r="C3827" s="3">
        <v>0</v>
      </c>
      <c r="D3827" s="3">
        <v>0</v>
      </c>
      <c r="E3827" s="3">
        <v>8303</v>
      </c>
      <c r="F3827" s="3">
        <v>3184</v>
      </c>
      <c r="G3827" s="3">
        <v>0</v>
      </c>
      <c r="H3827" s="2">
        <f t="shared" si="118"/>
        <v>11487</v>
      </c>
      <c r="I3827" t="str">
        <f t="shared" si="119"/>
        <v>Larp4_11487</v>
      </c>
      <c r="J3827" s="3">
        <v>0</v>
      </c>
      <c r="K3827" s="3">
        <v>0</v>
      </c>
      <c r="L3827" s="3">
        <v>8303</v>
      </c>
      <c r="M3827" s="3">
        <v>3184</v>
      </c>
      <c r="N3827" s="3">
        <v>0</v>
      </c>
    </row>
    <row r="3828" spans="1:14" x14ac:dyDescent="0.2">
      <c r="A3828" s="5" t="str">
        <f>HYPERLINK("http://www.ncbi.nlm.nih.gov/protein/27369836","Larp4b")</f>
        <v>Larp4b</v>
      </c>
      <c r="B3828" s="4"/>
      <c r="C3828" s="3">
        <v>989</v>
      </c>
      <c r="D3828" s="3">
        <v>528</v>
      </c>
      <c r="E3828" s="3">
        <v>13823</v>
      </c>
      <c r="F3828" s="3">
        <v>12639</v>
      </c>
      <c r="G3828" s="3">
        <v>0</v>
      </c>
      <c r="H3828" s="2">
        <f t="shared" si="118"/>
        <v>27979</v>
      </c>
      <c r="I3828" t="str">
        <f t="shared" si="119"/>
        <v>Larp4b_27979</v>
      </c>
      <c r="J3828" s="3">
        <v>989</v>
      </c>
      <c r="K3828" s="3">
        <v>528</v>
      </c>
      <c r="L3828" s="3">
        <v>13823</v>
      </c>
      <c r="M3828" s="3">
        <v>12639</v>
      </c>
      <c r="N3828" s="3">
        <v>0</v>
      </c>
    </row>
    <row r="3829" spans="1:14" x14ac:dyDescent="0.2">
      <c r="A3829" s="5" t="str">
        <f>HYPERLINK("http://www.ncbi.nlm.nih.gov/protein/110665742","Larp7")</f>
        <v>Larp7</v>
      </c>
      <c r="B3829" s="4"/>
      <c r="C3829" s="3">
        <v>1940</v>
      </c>
      <c r="D3829" s="3">
        <v>633</v>
      </c>
      <c r="E3829" s="3">
        <v>4681</v>
      </c>
      <c r="F3829" s="3">
        <v>54205</v>
      </c>
      <c r="G3829" s="3">
        <v>30618</v>
      </c>
      <c r="H3829" s="2">
        <f t="shared" si="118"/>
        <v>92077</v>
      </c>
      <c r="I3829" t="str">
        <f t="shared" si="119"/>
        <v>Larp7_92077</v>
      </c>
      <c r="J3829" s="3">
        <v>1940</v>
      </c>
      <c r="K3829" s="3">
        <v>633</v>
      </c>
      <c r="L3829" s="3">
        <v>4681</v>
      </c>
      <c r="M3829" s="3">
        <v>54205</v>
      </c>
      <c r="N3829" s="3">
        <v>30618</v>
      </c>
    </row>
    <row r="3830" spans="1:14" x14ac:dyDescent="0.2">
      <c r="A3830" s="5" t="str">
        <f>HYPERLINK("http://www.ncbi.nlm.nih.gov/protein/120537241","Lars")</f>
        <v>Lars</v>
      </c>
      <c r="B3830" s="4"/>
      <c r="C3830" s="3">
        <v>0</v>
      </c>
      <c r="D3830" s="3">
        <v>7404</v>
      </c>
      <c r="E3830" s="3">
        <v>9307</v>
      </c>
      <c r="F3830" s="3">
        <v>296219</v>
      </c>
      <c r="G3830" s="3">
        <v>13419</v>
      </c>
      <c r="H3830" s="2">
        <f t="shared" si="118"/>
        <v>326349</v>
      </c>
      <c r="I3830" t="str">
        <f t="shared" si="119"/>
        <v>Lars_326349</v>
      </c>
      <c r="J3830" s="3">
        <v>0</v>
      </c>
      <c r="K3830" s="3">
        <v>7404</v>
      </c>
      <c r="L3830" s="3">
        <v>9307</v>
      </c>
      <c r="M3830" s="3">
        <v>296219</v>
      </c>
      <c r="N3830" s="3">
        <v>13419</v>
      </c>
    </row>
    <row r="3831" spans="1:14" x14ac:dyDescent="0.2">
      <c r="A3831" s="5" t="str">
        <f>HYPERLINK("http://www.ncbi.nlm.nih.gov/protein/23346617","Lars2")</f>
        <v>Lars2</v>
      </c>
      <c r="B3831" s="4"/>
      <c r="C3831" s="3">
        <v>0</v>
      </c>
      <c r="D3831" s="3">
        <v>148</v>
      </c>
      <c r="E3831" s="3">
        <v>0</v>
      </c>
      <c r="F3831" s="3">
        <v>0</v>
      </c>
      <c r="G3831" s="3">
        <v>0</v>
      </c>
      <c r="H3831" s="2">
        <f t="shared" si="118"/>
        <v>148</v>
      </c>
      <c r="I3831" t="str">
        <f t="shared" si="119"/>
        <v>Lars2_148</v>
      </c>
      <c r="J3831" s="3">
        <v>0</v>
      </c>
      <c r="K3831" s="3">
        <v>148</v>
      </c>
      <c r="L3831" s="3">
        <v>0</v>
      </c>
      <c r="M3831" s="3">
        <v>0</v>
      </c>
      <c r="N3831" s="3">
        <v>0</v>
      </c>
    </row>
    <row r="3832" spans="1:14" x14ac:dyDescent="0.2">
      <c r="A3832" s="5" t="str">
        <f>HYPERLINK("http://www.ncbi.nlm.nih.gov/protein/407262453","Las1l")</f>
        <v>Las1l</v>
      </c>
      <c r="B3832" s="4"/>
      <c r="C3832" s="3">
        <v>0</v>
      </c>
      <c r="D3832" s="3">
        <v>0</v>
      </c>
      <c r="E3832" s="3">
        <v>279</v>
      </c>
      <c r="F3832" s="3">
        <v>0</v>
      </c>
      <c r="G3832" s="3">
        <v>0</v>
      </c>
      <c r="H3832" s="2">
        <f t="shared" si="118"/>
        <v>279</v>
      </c>
      <c r="I3832" t="str">
        <f t="shared" si="119"/>
        <v>Las1l_279</v>
      </c>
      <c r="J3832" s="3">
        <v>0</v>
      </c>
      <c r="K3832" s="3">
        <v>0</v>
      </c>
      <c r="L3832" s="3">
        <v>279</v>
      </c>
      <c r="M3832" s="3">
        <v>0</v>
      </c>
      <c r="N3832" s="3">
        <v>0</v>
      </c>
    </row>
    <row r="3833" spans="1:14" x14ac:dyDescent="0.2">
      <c r="A3833" s="5" t="str">
        <f>HYPERLINK("http://www.ncbi.nlm.nih.gov/protein/71979675","Las1l")</f>
        <v>Las1l</v>
      </c>
      <c r="B3833" s="4"/>
      <c r="C3833" s="3">
        <v>0</v>
      </c>
      <c r="D3833" s="3">
        <v>0</v>
      </c>
      <c r="E3833" s="3">
        <v>279</v>
      </c>
      <c r="F3833" s="3">
        <v>0</v>
      </c>
      <c r="G3833" s="3">
        <v>0</v>
      </c>
      <c r="H3833" s="2">
        <f t="shared" si="118"/>
        <v>279</v>
      </c>
      <c r="I3833" t="str">
        <f t="shared" si="119"/>
        <v>Las1l_279</v>
      </c>
      <c r="J3833" s="3">
        <v>0</v>
      </c>
      <c r="K3833" s="3">
        <v>0</v>
      </c>
      <c r="L3833" s="3">
        <v>279</v>
      </c>
      <c r="M3833" s="3">
        <v>0</v>
      </c>
      <c r="N3833" s="3">
        <v>0</v>
      </c>
    </row>
    <row r="3834" spans="1:14" x14ac:dyDescent="0.2">
      <c r="A3834" s="5" t="str">
        <f>HYPERLINK("http://www.ncbi.nlm.nih.gov/protein/6754508","Lasp1")</f>
        <v>Lasp1</v>
      </c>
      <c r="B3834" s="4"/>
      <c r="C3834" s="3">
        <v>9464</v>
      </c>
      <c r="D3834" s="3">
        <v>4012</v>
      </c>
      <c r="E3834" s="3">
        <v>9315</v>
      </c>
      <c r="F3834" s="3">
        <v>1850</v>
      </c>
      <c r="G3834" s="3">
        <v>218174</v>
      </c>
      <c r="H3834" s="2">
        <f t="shared" si="118"/>
        <v>242815</v>
      </c>
      <c r="I3834" t="str">
        <f t="shared" si="119"/>
        <v>Lasp1_242815</v>
      </c>
      <c r="J3834" s="3">
        <v>9464</v>
      </c>
      <c r="K3834" s="3">
        <v>4012</v>
      </c>
      <c r="L3834" s="3">
        <v>9315</v>
      </c>
      <c r="M3834" s="3">
        <v>1850</v>
      </c>
      <c r="N3834" s="3">
        <v>218174</v>
      </c>
    </row>
    <row r="3835" spans="1:14" x14ac:dyDescent="0.2">
      <c r="A3835" s="5" t="str">
        <f>HYPERLINK("http://www.ncbi.nlm.nih.gov/protein/229608895","Lbr")</f>
        <v>Lbr</v>
      </c>
      <c r="B3835" s="4"/>
      <c r="C3835" s="3">
        <v>49060</v>
      </c>
      <c r="D3835" s="3">
        <v>516</v>
      </c>
      <c r="E3835" s="3">
        <v>110</v>
      </c>
      <c r="F3835" s="3">
        <v>0</v>
      </c>
      <c r="G3835" s="3">
        <v>0</v>
      </c>
      <c r="H3835" s="2">
        <f t="shared" si="118"/>
        <v>49686</v>
      </c>
      <c r="I3835" t="str">
        <f t="shared" si="119"/>
        <v>Lbr_49686</v>
      </c>
      <c r="J3835" s="3">
        <v>49060</v>
      </c>
      <c r="K3835" s="3">
        <v>516</v>
      </c>
      <c r="L3835" s="3">
        <v>110</v>
      </c>
      <c r="M3835" s="3">
        <v>0</v>
      </c>
      <c r="N3835" s="3">
        <v>0</v>
      </c>
    </row>
    <row r="3836" spans="1:14" x14ac:dyDescent="0.2">
      <c r="A3836" s="5" t="str">
        <f>HYPERLINK("http://www.ncbi.nlm.nih.gov/protein/244791455","Lck")</f>
        <v>Lck</v>
      </c>
      <c r="B3836" s="4"/>
      <c r="C3836" s="3">
        <v>0</v>
      </c>
      <c r="D3836" s="3">
        <v>2733</v>
      </c>
      <c r="E3836" s="3">
        <v>8629</v>
      </c>
      <c r="F3836" s="3">
        <v>9250</v>
      </c>
      <c r="G3836" s="3">
        <v>44016</v>
      </c>
      <c r="H3836" s="2">
        <f t="shared" si="118"/>
        <v>64628</v>
      </c>
      <c r="I3836" t="str">
        <f t="shared" si="119"/>
        <v>Lck_64628</v>
      </c>
      <c r="J3836" s="3">
        <v>0</v>
      </c>
      <c r="K3836" s="3">
        <v>2733</v>
      </c>
      <c r="L3836" s="3">
        <v>8629</v>
      </c>
      <c r="M3836" s="3">
        <v>9250</v>
      </c>
      <c r="N3836" s="3">
        <v>44016</v>
      </c>
    </row>
    <row r="3837" spans="1:14" x14ac:dyDescent="0.2">
      <c r="A3837" s="5" t="str">
        <f>HYPERLINK("http://www.ncbi.nlm.nih.gov/protein/33859570","Lck")</f>
        <v>Lck</v>
      </c>
      <c r="B3837" s="4"/>
      <c r="C3837" s="3">
        <v>0</v>
      </c>
      <c r="D3837" s="3">
        <v>2733</v>
      </c>
      <c r="E3837" s="3">
        <v>8629</v>
      </c>
      <c r="F3837" s="3">
        <v>9250</v>
      </c>
      <c r="G3837" s="3">
        <v>44016</v>
      </c>
      <c r="H3837" s="2">
        <f t="shared" si="118"/>
        <v>64628</v>
      </c>
      <c r="I3837" t="str">
        <f t="shared" si="119"/>
        <v>Lck_64628</v>
      </c>
      <c r="J3837" s="3">
        <v>0</v>
      </c>
      <c r="K3837" s="3">
        <v>2733</v>
      </c>
      <c r="L3837" s="3">
        <v>8629</v>
      </c>
      <c r="M3837" s="3">
        <v>9250</v>
      </c>
      <c r="N3837" s="3">
        <v>44016</v>
      </c>
    </row>
    <row r="3838" spans="1:14" x14ac:dyDescent="0.2">
      <c r="A3838" s="5" t="str">
        <f>HYPERLINK("http://www.ncbi.nlm.nih.gov/protein/295789100;295789098","Lclat1")</f>
        <v>Lclat1</v>
      </c>
      <c r="B3838" s="4"/>
      <c r="C3838" s="3">
        <v>0</v>
      </c>
      <c r="D3838" s="3">
        <v>294</v>
      </c>
      <c r="E3838" s="3">
        <v>0</v>
      </c>
      <c r="F3838" s="3">
        <v>0</v>
      </c>
      <c r="G3838" s="3">
        <v>0</v>
      </c>
      <c r="H3838" s="2">
        <f t="shared" si="118"/>
        <v>294</v>
      </c>
      <c r="I3838" t="str">
        <f t="shared" si="119"/>
        <v>Lclat1_294</v>
      </c>
      <c r="J3838" s="3">
        <v>0</v>
      </c>
      <c r="K3838" s="3">
        <v>294</v>
      </c>
      <c r="L3838" s="3">
        <v>0</v>
      </c>
      <c r="M3838" s="3">
        <v>0</v>
      </c>
      <c r="N3838" s="3">
        <v>0</v>
      </c>
    </row>
    <row r="3839" spans="1:14" x14ac:dyDescent="0.2">
      <c r="A3839" s="5" t="str">
        <f>HYPERLINK("http://www.ncbi.nlm.nih.gov/protein/42794773","Lcmt1")</f>
        <v>Lcmt1</v>
      </c>
      <c r="B3839" s="4"/>
      <c r="C3839" s="3">
        <v>0</v>
      </c>
      <c r="D3839" s="3">
        <v>0</v>
      </c>
      <c r="E3839" s="3">
        <v>1835</v>
      </c>
      <c r="F3839" s="3">
        <v>794</v>
      </c>
      <c r="G3839" s="3">
        <v>87186</v>
      </c>
      <c r="H3839" s="2">
        <f t="shared" si="118"/>
        <v>89815</v>
      </c>
      <c r="I3839" t="str">
        <f t="shared" si="119"/>
        <v>Lcmt1_89815</v>
      </c>
      <c r="J3839" s="3">
        <v>0</v>
      </c>
      <c r="K3839" s="3">
        <v>0</v>
      </c>
      <c r="L3839" s="3">
        <v>1835</v>
      </c>
      <c r="M3839" s="3">
        <v>794</v>
      </c>
      <c r="N3839" s="3">
        <v>87186</v>
      </c>
    </row>
    <row r="3840" spans="1:14" x14ac:dyDescent="0.2">
      <c r="A3840" s="5" t="str">
        <f>HYPERLINK("http://www.ncbi.nlm.nih.gov/protein/34328049","Lcn2")</f>
        <v>Lcn2</v>
      </c>
      <c r="B3840" s="4"/>
      <c r="C3840" s="3">
        <v>0</v>
      </c>
      <c r="D3840" s="3">
        <v>923</v>
      </c>
      <c r="E3840" s="3">
        <v>382</v>
      </c>
      <c r="F3840" s="3">
        <v>0</v>
      </c>
      <c r="G3840" s="3">
        <v>0</v>
      </c>
      <c r="H3840" s="2">
        <f t="shared" si="118"/>
        <v>1305</v>
      </c>
      <c r="I3840" t="str">
        <f t="shared" si="119"/>
        <v>Lcn2_1305</v>
      </c>
      <c r="J3840" s="3">
        <v>0</v>
      </c>
      <c r="K3840" s="3">
        <v>923</v>
      </c>
      <c r="L3840" s="3">
        <v>382</v>
      </c>
      <c r="M3840" s="3">
        <v>0</v>
      </c>
      <c r="N3840" s="3">
        <v>0</v>
      </c>
    </row>
    <row r="3841" spans="1:14" x14ac:dyDescent="0.2">
      <c r="A3841" s="5" t="str">
        <f>HYPERLINK("http://www.ncbi.nlm.nih.gov/protein/31543113;350606354","Lcp1")</f>
        <v>Lcp1</v>
      </c>
      <c r="B3841" s="4"/>
      <c r="C3841" s="3">
        <v>0</v>
      </c>
      <c r="D3841" s="3">
        <v>18963</v>
      </c>
      <c r="E3841" s="3">
        <v>20061</v>
      </c>
      <c r="F3841" s="3">
        <v>13858</v>
      </c>
      <c r="G3841" s="3">
        <v>7315</v>
      </c>
      <c r="H3841" s="2">
        <f t="shared" si="118"/>
        <v>60197</v>
      </c>
      <c r="I3841" t="str">
        <f t="shared" si="119"/>
        <v>Lcp1_60197</v>
      </c>
      <c r="J3841" s="3">
        <v>0</v>
      </c>
      <c r="K3841" s="3">
        <v>18963</v>
      </c>
      <c r="L3841" s="3">
        <v>20061</v>
      </c>
      <c r="M3841" s="3">
        <v>13858</v>
      </c>
      <c r="N3841" s="3">
        <v>7315</v>
      </c>
    </row>
    <row r="3842" spans="1:14" x14ac:dyDescent="0.2">
      <c r="A3842" s="5" t="str">
        <f>HYPERLINK("http://www.ncbi.nlm.nih.gov/protein/257743039","Ldha")</f>
        <v>Ldha</v>
      </c>
      <c r="B3842" s="4"/>
      <c r="C3842" s="3">
        <v>784742</v>
      </c>
      <c r="D3842" s="3">
        <v>144928</v>
      </c>
      <c r="E3842" s="3">
        <v>249610</v>
      </c>
      <c r="F3842" s="3">
        <v>373000</v>
      </c>
      <c r="G3842" s="3">
        <v>1539952</v>
      </c>
      <c r="H3842" s="2">
        <f t="shared" ref="H3842:H3905" si="120">SUM(C3842:G3842)</f>
        <v>3092232</v>
      </c>
      <c r="I3842" t="str">
        <f t="shared" ref="I3842:I3905" si="121">A3842&amp;"_"&amp;H3842</f>
        <v>Ldha_3092232</v>
      </c>
      <c r="J3842" s="3">
        <v>784742</v>
      </c>
      <c r="K3842" s="3">
        <v>144928</v>
      </c>
      <c r="L3842" s="3">
        <v>249610</v>
      </c>
      <c r="M3842" s="3">
        <v>373000</v>
      </c>
      <c r="N3842" s="3">
        <v>1539952</v>
      </c>
    </row>
    <row r="3843" spans="1:14" x14ac:dyDescent="0.2">
      <c r="A3843" s="5" t="str">
        <f>HYPERLINK("http://www.ncbi.nlm.nih.gov/protein/6754524","Ldha")</f>
        <v>Ldha</v>
      </c>
      <c r="B3843" s="4"/>
      <c r="C3843" s="3">
        <v>784742</v>
      </c>
      <c r="D3843" s="3">
        <v>144928</v>
      </c>
      <c r="E3843" s="3">
        <v>249610</v>
      </c>
      <c r="F3843" s="3">
        <v>374195</v>
      </c>
      <c r="G3843" s="3">
        <v>1535036</v>
      </c>
      <c r="H3843" s="2">
        <f t="shared" si="120"/>
        <v>3088511</v>
      </c>
      <c r="I3843" t="str">
        <f t="shared" si="121"/>
        <v>Ldha_3088511</v>
      </c>
      <c r="J3843" s="3">
        <v>784742</v>
      </c>
      <c r="K3843" s="3">
        <v>144928</v>
      </c>
      <c r="L3843" s="3">
        <v>249610</v>
      </c>
      <c r="M3843" s="3">
        <v>374195</v>
      </c>
      <c r="N3843" s="3">
        <v>1535036</v>
      </c>
    </row>
    <row r="3844" spans="1:14" x14ac:dyDescent="0.2">
      <c r="A3844" s="5" t="str">
        <f>HYPERLINK("http://www.ncbi.nlm.nih.gov/protein/30425048","Ldhal6b")</f>
        <v>Ldhal6b</v>
      </c>
      <c r="B3844" s="4"/>
      <c r="C3844" s="3">
        <v>0</v>
      </c>
      <c r="D3844" s="3">
        <v>13343</v>
      </c>
      <c r="E3844" s="3">
        <v>33526</v>
      </c>
      <c r="F3844" s="3">
        <v>6794</v>
      </c>
      <c r="G3844" s="3">
        <v>53055</v>
      </c>
      <c r="H3844" s="2">
        <f t="shared" si="120"/>
        <v>106718</v>
      </c>
      <c r="I3844" t="str">
        <f t="shared" si="121"/>
        <v>Ldhal6b_106718</v>
      </c>
      <c r="J3844" s="3">
        <v>0</v>
      </c>
      <c r="K3844" s="3">
        <v>13343</v>
      </c>
      <c r="L3844" s="3">
        <v>33526</v>
      </c>
      <c r="M3844" s="3">
        <v>6794</v>
      </c>
      <c r="N3844" s="3">
        <v>53055</v>
      </c>
    </row>
    <row r="3845" spans="1:14" x14ac:dyDescent="0.2">
      <c r="A3845" s="5" t="str">
        <f>HYPERLINK("http://www.ncbi.nlm.nih.gov/protein/6678674","Ldhb")</f>
        <v>Ldhb</v>
      </c>
      <c r="B3845" s="4"/>
      <c r="C3845" s="3">
        <v>330918</v>
      </c>
      <c r="D3845" s="3">
        <v>15646</v>
      </c>
      <c r="E3845" s="3">
        <v>91923</v>
      </c>
      <c r="F3845" s="3">
        <v>101787</v>
      </c>
      <c r="G3845" s="3">
        <v>231293</v>
      </c>
      <c r="H3845" s="2">
        <f t="shared" si="120"/>
        <v>771567</v>
      </c>
      <c r="I3845" t="str">
        <f t="shared" si="121"/>
        <v>Ldhb_771567</v>
      </c>
      <c r="J3845" s="3">
        <v>330918</v>
      </c>
      <c r="K3845" s="3">
        <v>15646</v>
      </c>
      <c r="L3845" s="3">
        <v>91923</v>
      </c>
      <c r="M3845" s="3">
        <v>101787</v>
      </c>
      <c r="N3845" s="3">
        <v>231293</v>
      </c>
    </row>
    <row r="3846" spans="1:14" x14ac:dyDescent="0.2">
      <c r="A3846" s="5" t="str">
        <f>HYPERLINK("http://www.ncbi.nlm.nih.gov/protein/7305229","Ldhc")</f>
        <v>Ldhc</v>
      </c>
      <c r="B3846" s="4"/>
      <c r="C3846" s="3">
        <v>406229</v>
      </c>
      <c r="D3846" s="3">
        <v>3835</v>
      </c>
      <c r="E3846" s="3">
        <v>97590</v>
      </c>
      <c r="F3846" s="3">
        <v>133940</v>
      </c>
      <c r="G3846" s="3">
        <v>290099</v>
      </c>
      <c r="H3846" s="2">
        <f t="shared" si="120"/>
        <v>931693</v>
      </c>
      <c r="I3846" t="str">
        <f t="shared" si="121"/>
        <v>Ldhc_931693</v>
      </c>
      <c r="J3846" s="3">
        <v>406229</v>
      </c>
      <c r="K3846" s="3">
        <v>3835</v>
      </c>
      <c r="L3846" s="3">
        <v>97590</v>
      </c>
      <c r="M3846" s="3">
        <v>133940</v>
      </c>
      <c r="N3846" s="3">
        <v>290099</v>
      </c>
    </row>
    <row r="3847" spans="1:14" x14ac:dyDescent="0.2">
      <c r="A3847" s="5" t="str">
        <f>HYPERLINK("http://www.ncbi.nlm.nih.gov/protein/34328379","Ldhd")</f>
        <v>Ldhd</v>
      </c>
      <c r="B3847" s="4"/>
      <c r="C3847" s="3">
        <v>0</v>
      </c>
      <c r="D3847" s="3">
        <v>7171</v>
      </c>
      <c r="E3847" s="3">
        <v>0</v>
      </c>
      <c r="F3847" s="3">
        <v>0</v>
      </c>
      <c r="G3847" s="3">
        <v>0</v>
      </c>
      <c r="H3847" s="2">
        <f t="shared" si="120"/>
        <v>7171</v>
      </c>
      <c r="I3847" t="str">
        <f t="shared" si="121"/>
        <v>Ldhd_7171</v>
      </c>
      <c r="J3847" s="3">
        <v>0</v>
      </c>
      <c r="K3847" s="3">
        <v>7171</v>
      </c>
      <c r="L3847" s="3">
        <v>0</v>
      </c>
      <c r="M3847" s="3">
        <v>0</v>
      </c>
      <c r="N3847" s="3">
        <v>0</v>
      </c>
    </row>
    <row r="3848" spans="1:14" x14ac:dyDescent="0.2">
      <c r="A3848" s="5" t="str">
        <f>HYPERLINK("http://www.ncbi.nlm.nih.gov/protein/113195700","Ldlr")</f>
        <v>Ldlr</v>
      </c>
      <c r="B3848" s="4"/>
      <c r="C3848" s="3">
        <v>0</v>
      </c>
      <c r="D3848" s="3">
        <v>0</v>
      </c>
      <c r="E3848" s="3">
        <v>66</v>
      </c>
      <c r="F3848" s="3">
        <v>0</v>
      </c>
      <c r="G3848" s="3">
        <v>0</v>
      </c>
      <c r="H3848" s="2">
        <f t="shared" si="120"/>
        <v>66</v>
      </c>
      <c r="I3848" t="str">
        <f t="shared" si="121"/>
        <v>Ldlr_66</v>
      </c>
      <c r="J3848" s="3">
        <v>0</v>
      </c>
      <c r="K3848" s="3">
        <v>0</v>
      </c>
      <c r="L3848" s="3">
        <v>66</v>
      </c>
      <c r="M3848" s="3">
        <v>0</v>
      </c>
      <c r="N3848" s="3">
        <v>0</v>
      </c>
    </row>
    <row r="3849" spans="1:14" x14ac:dyDescent="0.2">
      <c r="A3849" s="5" t="str">
        <f>HYPERLINK("http://www.ncbi.nlm.nih.gov/protein/358030301","Ldlr")</f>
        <v>Ldlr</v>
      </c>
      <c r="B3849" s="4"/>
      <c r="C3849" s="3">
        <v>0</v>
      </c>
      <c r="D3849" s="3">
        <v>0</v>
      </c>
      <c r="E3849" s="3">
        <v>66</v>
      </c>
      <c r="F3849" s="3">
        <v>0</v>
      </c>
      <c r="G3849" s="3">
        <v>0</v>
      </c>
      <c r="H3849" s="2">
        <f t="shared" si="120"/>
        <v>66</v>
      </c>
      <c r="I3849" t="str">
        <f t="shared" si="121"/>
        <v>Ldlr_66</v>
      </c>
      <c r="J3849" s="3">
        <v>0</v>
      </c>
      <c r="K3849" s="3">
        <v>0</v>
      </c>
      <c r="L3849" s="3">
        <v>66</v>
      </c>
      <c r="M3849" s="3">
        <v>0</v>
      </c>
      <c r="N3849" s="3">
        <v>0</v>
      </c>
    </row>
    <row r="3850" spans="1:14" x14ac:dyDescent="0.2">
      <c r="A3850" s="5" t="str">
        <f>HYPERLINK("http://www.ncbi.nlm.nih.gov/protein/358030304","Ldlr")</f>
        <v>Ldlr</v>
      </c>
      <c r="B3850" s="4"/>
      <c r="C3850" s="3">
        <v>0</v>
      </c>
      <c r="D3850" s="3">
        <v>0</v>
      </c>
      <c r="E3850" s="3">
        <v>66</v>
      </c>
      <c r="F3850" s="3">
        <v>0</v>
      </c>
      <c r="G3850" s="3">
        <v>0</v>
      </c>
      <c r="H3850" s="2">
        <f t="shared" si="120"/>
        <v>66</v>
      </c>
      <c r="I3850" t="str">
        <f t="shared" si="121"/>
        <v>Ldlr_66</v>
      </c>
      <c r="J3850" s="3">
        <v>0</v>
      </c>
      <c r="K3850" s="3">
        <v>0</v>
      </c>
      <c r="L3850" s="3">
        <v>66</v>
      </c>
      <c r="M3850" s="3">
        <v>0</v>
      </c>
      <c r="N3850" s="3">
        <v>0</v>
      </c>
    </row>
    <row r="3851" spans="1:14" x14ac:dyDescent="0.2">
      <c r="A3851" s="5" t="str">
        <f>HYPERLINK("http://www.ncbi.nlm.nih.gov/protein/160333775","Ldlrap1")</f>
        <v>Ldlrap1</v>
      </c>
      <c r="B3851" s="4"/>
      <c r="C3851" s="3">
        <v>0</v>
      </c>
      <c r="D3851" s="3">
        <v>159</v>
      </c>
      <c r="E3851" s="3">
        <v>20</v>
      </c>
      <c r="F3851" s="3">
        <v>229</v>
      </c>
      <c r="G3851" s="3">
        <v>0</v>
      </c>
      <c r="H3851" s="2">
        <f t="shared" si="120"/>
        <v>408</v>
      </c>
      <c r="I3851" t="str">
        <f t="shared" si="121"/>
        <v>Ldlrap1_408</v>
      </c>
      <c r="J3851" s="3">
        <v>0</v>
      </c>
      <c r="K3851" s="3">
        <v>159</v>
      </c>
      <c r="L3851" s="3">
        <v>20</v>
      </c>
      <c r="M3851" s="3">
        <v>229</v>
      </c>
      <c r="N3851" s="3">
        <v>0</v>
      </c>
    </row>
    <row r="3852" spans="1:14" x14ac:dyDescent="0.2">
      <c r="A3852" s="5" t="str">
        <f>HYPERLINK("http://www.ncbi.nlm.nih.gov/protein/170932462","Lect1")</f>
        <v>Lect1</v>
      </c>
      <c r="B3852" s="4"/>
      <c r="C3852" s="3">
        <v>0</v>
      </c>
      <c r="D3852" s="3">
        <v>0</v>
      </c>
      <c r="E3852" s="3">
        <v>0</v>
      </c>
      <c r="F3852" s="3">
        <v>1465</v>
      </c>
      <c r="G3852" s="3">
        <v>1050</v>
      </c>
      <c r="H3852" s="2">
        <f t="shared" si="120"/>
        <v>2515</v>
      </c>
      <c r="I3852" t="str">
        <f t="shared" si="121"/>
        <v>Lect1_2515</v>
      </c>
      <c r="J3852" s="3">
        <v>0</v>
      </c>
      <c r="K3852" s="3">
        <v>0</v>
      </c>
      <c r="L3852" s="3">
        <v>0</v>
      </c>
      <c r="M3852" s="3">
        <v>1465</v>
      </c>
      <c r="N3852" s="3">
        <v>1050</v>
      </c>
    </row>
    <row r="3853" spans="1:14" x14ac:dyDescent="0.2">
      <c r="A3853" s="5" t="str">
        <f>HYPERLINK("http://www.ncbi.nlm.nih.gov/protein/145864461","Lemd3")</f>
        <v>Lemd3</v>
      </c>
      <c r="B3853" s="4"/>
      <c r="C3853" s="3">
        <v>531</v>
      </c>
      <c r="D3853" s="3">
        <v>0</v>
      </c>
      <c r="E3853" s="3">
        <v>0</v>
      </c>
      <c r="F3853" s="3">
        <v>0</v>
      </c>
      <c r="G3853" s="3">
        <v>0</v>
      </c>
      <c r="H3853" s="2">
        <f t="shared" si="120"/>
        <v>531</v>
      </c>
      <c r="I3853" t="str">
        <f t="shared" si="121"/>
        <v>Lemd3_531</v>
      </c>
      <c r="J3853" s="3">
        <v>531</v>
      </c>
      <c r="K3853" s="3">
        <v>0</v>
      </c>
      <c r="L3853" s="3">
        <v>0</v>
      </c>
      <c r="M3853" s="3">
        <v>0</v>
      </c>
      <c r="N3853" s="3">
        <v>0</v>
      </c>
    </row>
    <row r="3854" spans="1:14" x14ac:dyDescent="0.2">
      <c r="A3854" s="5" t="str">
        <f>HYPERLINK("http://www.ncbi.nlm.nih.gov/protein/87299619","Leo1")</f>
        <v>Leo1</v>
      </c>
      <c r="B3854" s="4"/>
      <c r="C3854" s="3">
        <v>0</v>
      </c>
      <c r="D3854" s="3">
        <v>0</v>
      </c>
      <c r="E3854" s="3">
        <v>0</v>
      </c>
      <c r="F3854" s="3">
        <v>1776</v>
      </c>
      <c r="G3854" s="3">
        <v>1242</v>
      </c>
      <c r="H3854" s="2">
        <f t="shared" si="120"/>
        <v>3018</v>
      </c>
      <c r="I3854" t="str">
        <f t="shared" si="121"/>
        <v>Leo1_3018</v>
      </c>
      <c r="J3854" s="3">
        <v>0</v>
      </c>
      <c r="K3854" s="3">
        <v>0</v>
      </c>
      <c r="L3854" s="3">
        <v>0</v>
      </c>
      <c r="M3854" s="3">
        <v>1776</v>
      </c>
      <c r="N3854" s="3">
        <v>1242</v>
      </c>
    </row>
    <row r="3855" spans="1:14" x14ac:dyDescent="0.2">
      <c r="A3855" s="5" t="str">
        <f>HYPERLINK("http://www.ncbi.nlm.nih.gov/protein/28077089","Leprot")</f>
        <v>Leprot</v>
      </c>
      <c r="B3855" s="4"/>
      <c r="C3855" s="3">
        <v>0</v>
      </c>
      <c r="D3855" s="3">
        <v>171</v>
      </c>
      <c r="E3855" s="3">
        <v>454</v>
      </c>
      <c r="F3855" s="3">
        <v>16</v>
      </c>
      <c r="G3855" s="3">
        <v>0</v>
      </c>
      <c r="H3855" s="2">
        <f t="shared" si="120"/>
        <v>641</v>
      </c>
      <c r="I3855" t="str">
        <f t="shared" si="121"/>
        <v>Leprot_641</v>
      </c>
      <c r="J3855" s="3">
        <v>0</v>
      </c>
      <c r="K3855" s="3">
        <v>171</v>
      </c>
      <c r="L3855" s="3">
        <v>454</v>
      </c>
      <c r="M3855" s="3">
        <v>16</v>
      </c>
      <c r="N3855" s="3">
        <v>0</v>
      </c>
    </row>
    <row r="3856" spans="1:14" x14ac:dyDescent="0.2">
      <c r="A3856" s="5" t="str">
        <f>HYPERLINK("http://www.ncbi.nlm.nih.gov/protein/13386094","Leprotl1")</f>
        <v>Leprotl1</v>
      </c>
      <c r="B3856" s="4"/>
      <c r="C3856" s="3">
        <v>0</v>
      </c>
      <c r="D3856" s="3">
        <v>0</v>
      </c>
      <c r="E3856" s="3">
        <v>360</v>
      </c>
      <c r="F3856" s="3">
        <v>0</v>
      </c>
      <c r="G3856" s="3">
        <v>0</v>
      </c>
      <c r="H3856" s="2">
        <f t="shared" si="120"/>
        <v>360</v>
      </c>
      <c r="I3856" t="str">
        <f t="shared" si="121"/>
        <v>Leprotl1_360</v>
      </c>
      <c r="J3856" s="3">
        <v>0</v>
      </c>
      <c r="K3856" s="3">
        <v>0</v>
      </c>
      <c r="L3856" s="3">
        <v>360</v>
      </c>
      <c r="M3856" s="3">
        <v>0</v>
      </c>
      <c r="N3856" s="3">
        <v>0</v>
      </c>
    </row>
    <row r="3857" spans="1:14" x14ac:dyDescent="0.2">
      <c r="A3857" s="5" t="str">
        <f>HYPERLINK("http://www.ncbi.nlm.nih.gov/protein/9789997","Letm1")</f>
        <v>Letm1</v>
      </c>
      <c r="B3857" s="4"/>
      <c r="C3857" s="3">
        <v>1849</v>
      </c>
      <c r="D3857" s="3">
        <v>14972</v>
      </c>
      <c r="E3857" s="3">
        <v>304</v>
      </c>
      <c r="F3857" s="3">
        <v>0</v>
      </c>
      <c r="G3857" s="3">
        <v>0</v>
      </c>
      <c r="H3857" s="2">
        <f t="shared" si="120"/>
        <v>17125</v>
      </c>
      <c r="I3857" t="str">
        <f t="shared" si="121"/>
        <v>Letm1_17125</v>
      </c>
      <c r="J3857" s="3">
        <v>1849</v>
      </c>
      <c r="K3857" s="3">
        <v>14972</v>
      </c>
      <c r="L3857" s="3">
        <v>304</v>
      </c>
      <c r="M3857" s="3">
        <v>0</v>
      </c>
      <c r="N3857" s="3">
        <v>0</v>
      </c>
    </row>
    <row r="3858" spans="1:14" x14ac:dyDescent="0.2">
      <c r="A3858" s="5" t="str">
        <f>HYPERLINK("http://www.ncbi.nlm.nih.gov/protein/6678682","Lgals1")</f>
        <v>Lgals1</v>
      </c>
      <c r="B3858" s="4"/>
      <c r="C3858" s="3">
        <v>17427</v>
      </c>
      <c r="D3858" s="3">
        <v>7895</v>
      </c>
      <c r="E3858" s="3">
        <v>73489</v>
      </c>
      <c r="F3858" s="3">
        <v>1997</v>
      </c>
      <c r="G3858" s="3">
        <v>245205</v>
      </c>
      <c r="H3858" s="2">
        <f t="shared" si="120"/>
        <v>346013</v>
      </c>
      <c r="I3858" t="str">
        <f t="shared" si="121"/>
        <v>Lgals1_346013</v>
      </c>
      <c r="J3858" s="3">
        <v>17427</v>
      </c>
      <c r="K3858" s="3">
        <v>7895</v>
      </c>
      <c r="L3858" s="3">
        <v>73489</v>
      </c>
      <c r="M3858" s="3">
        <v>1997</v>
      </c>
      <c r="N3858" s="3">
        <v>245205</v>
      </c>
    </row>
    <row r="3859" spans="1:14" x14ac:dyDescent="0.2">
      <c r="A3859" s="5" t="str">
        <f>HYPERLINK("http://www.ncbi.nlm.nih.gov/protein/9506757","Lgals12")</f>
        <v>Lgals12</v>
      </c>
      <c r="B3859" s="4"/>
      <c r="C3859" s="3">
        <v>0</v>
      </c>
      <c r="D3859" s="3">
        <v>17</v>
      </c>
      <c r="E3859" s="3">
        <v>0</v>
      </c>
      <c r="F3859" s="3">
        <v>0</v>
      </c>
      <c r="G3859" s="3">
        <v>0</v>
      </c>
      <c r="H3859" s="2">
        <f t="shared" si="120"/>
        <v>17</v>
      </c>
      <c r="I3859" t="str">
        <f t="shared" si="121"/>
        <v>Lgals12_17</v>
      </c>
      <c r="J3859" s="3">
        <v>0</v>
      </c>
      <c r="K3859" s="3">
        <v>17</v>
      </c>
      <c r="L3859" s="3">
        <v>0</v>
      </c>
      <c r="M3859" s="3">
        <v>0</v>
      </c>
      <c r="N3859" s="3">
        <v>0</v>
      </c>
    </row>
    <row r="3860" spans="1:14" x14ac:dyDescent="0.2">
      <c r="A3860" s="5" t="str">
        <f>HYPERLINK("http://www.ncbi.nlm.nih.gov/protein/33859580;225543163","Lgals3")</f>
        <v>Lgals3</v>
      </c>
      <c r="B3860" s="4"/>
      <c r="C3860" s="3">
        <v>10563</v>
      </c>
      <c r="D3860" s="3">
        <v>0</v>
      </c>
      <c r="E3860" s="3">
        <v>55057</v>
      </c>
      <c r="F3860" s="3">
        <v>0</v>
      </c>
      <c r="G3860" s="3">
        <v>0</v>
      </c>
      <c r="H3860" s="2">
        <f t="shared" si="120"/>
        <v>65620</v>
      </c>
      <c r="I3860" t="str">
        <f t="shared" si="121"/>
        <v>Lgals3_65620</v>
      </c>
      <c r="J3860" s="3">
        <v>10563</v>
      </c>
      <c r="K3860" s="3">
        <v>0</v>
      </c>
      <c r="L3860" s="3">
        <v>55057</v>
      </c>
      <c r="M3860" s="3">
        <v>0</v>
      </c>
      <c r="N3860" s="3">
        <v>0</v>
      </c>
    </row>
    <row r="3861" spans="1:14" x14ac:dyDescent="0.2">
      <c r="A3861" s="5" t="str">
        <f>HYPERLINK("http://www.ncbi.nlm.nih.gov/protein/225543163","Lgals3")</f>
        <v>Lgals3</v>
      </c>
      <c r="B3861" s="4"/>
      <c r="C3861" s="3">
        <v>0</v>
      </c>
      <c r="D3861" s="3">
        <v>30536</v>
      </c>
      <c r="E3861" s="3">
        <v>0</v>
      </c>
      <c r="F3861" s="3">
        <v>24966</v>
      </c>
      <c r="G3861" s="3">
        <v>32696</v>
      </c>
      <c r="H3861" s="2">
        <f t="shared" si="120"/>
        <v>88198</v>
      </c>
      <c r="I3861" t="str">
        <f t="shared" si="121"/>
        <v>Lgals3_88198</v>
      </c>
      <c r="J3861" s="3">
        <v>0</v>
      </c>
      <c r="K3861" s="3">
        <v>30536</v>
      </c>
      <c r="L3861" s="3">
        <v>0</v>
      </c>
      <c r="M3861" s="3">
        <v>24966</v>
      </c>
      <c r="N3861" s="3">
        <v>32696</v>
      </c>
    </row>
    <row r="3862" spans="1:14" x14ac:dyDescent="0.2">
      <c r="A3862" s="5" t="str">
        <f>HYPERLINK("http://www.ncbi.nlm.nih.gov/protein/9256551","Lgals8")</f>
        <v>Lgals8</v>
      </c>
      <c r="B3862" s="4"/>
      <c r="C3862" s="3">
        <v>0</v>
      </c>
      <c r="D3862" s="3">
        <v>1703</v>
      </c>
      <c r="E3862" s="3">
        <v>0</v>
      </c>
      <c r="F3862" s="3">
        <v>0</v>
      </c>
      <c r="G3862" s="3">
        <v>0</v>
      </c>
      <c r="H3862" s="2">
        <f t="shared" si="120"/>
        <v>1703</v>
      </c>
      <c r="I3862" t="str">
        <f t="shared" si="121"/>
        <v>Lgals8_1703</v>
      </c>
      <c r="J3862" s="3">
        <v>0</v>
      </c>
      <c r="K3862" s="3">
        <v>1703</v>
      </c>
      <c r="L3862" s="3">
        <v>0</v>
      </c>
      <c r="M3862" s="3">
        <v>0</v>
      </c>
      <c r="N3862" s="3">
        <v>0</v>
      </c>
    </row>
    <row r="3863" spans="1:14" x14ac:dyDescent="0.2">
      <c r="A3863" s="5" t="str">
        <f>HYPERLINK("http://www.ncbi.nlm.nih.gov/protein/312261230;9256551","Lgals8")</f>
        <v>Lgals8</v>
      </c>
      <c r="B3863" s="4"/>
      <c r="C3863" s="3">
        <v>0</v>
      </c>
      <c r="D3863" s="3">
        <v>0</v>
      </c>
      <c r="E3863" s="3">
        <v>3115</v>
      </c>
      <c r="F3863" s="3">
        <v>0</v>
      </c>
      <c r="G3863" s="3">
        <v>0</v>
      </c>
      <c r="H3863" s="2">
        <f t="shared" si="120"/>
        <v>3115</v>
      </c>
      <c r="I3863" t="str">
        <f t="shared" si="121"/>
        <v>Lgals8_3115</v>
      </c>
      <c r="J3863" s="3">
        <v>0</v>
      </c>
      <c r="K3863" s="3">
        <v>0</v>
      </c>
      <c r="L3863" s="3">
        <v>3115</v>
      </c>
      <c r="M3863" s="3">
        <v>0</v>
      </c>
      <c r="N3863" s="3">
        <v>0</v>
      </c>
    </row>
    <row r="3864" spans="1:14" x14ac:dyDescent="0.2">
      <c r="A3864" s="5" t="str">
        <f>HYPERLINK("http://www.ncbi.nlm.nih.gov/protein/226531119","Lgals9")</f>
        <v>Lgals9</v>
      </c>
      <c r="B3864" s="4"/>
      <c r="C3864" s="3">
        <v>0</v>
      </c>
      <c r="D3864" s="3">
        <v>6427</v>
      </c>
      <c r="E3864" s="3">
        <v>8735</v>
      </c>
      <c r="F3864" s="3">
        <v>1653</v>
      </c>
      <c r="G3864" s="3">
        <v>4305</v>
      </c>
      <c r="H3864" s="2">
        <f t="shared" si="120"/>
        <v>21120</v>
      </c>
      <c r="I3864" t="str">
        <f t="shared" si="121"/>
        <v>Lgals9_21120</v>
      </c>
      <c r="J3864" s="3">
        <v>0</v>
      </c>
      <c r="K3864" s="3">
        <v>6427</v>
      </c>
      <c r="L3864" s="3">
        <v>8735</v>
      </c>
      <c r="M3864" s="3">
        <v>1653</v>
      </c>
      <c r="N3864" s="3">
        <v>4305</v>
      </c>
    </row>
    <row r="3865" spans="1:14" x14ac:dyDescent="0.2">
      <c r="A3865" s="5" t="str">
        <f>HYPERLINK("http://www.ncbi.nlm.nih.gov/protein/226531139","Lgals9")</f>
        <v>Lgals9</v>
      </c>
      <c r="B3865" s="4"/>
      <c r="C3865" s="3">
        <v>0</v>
      </c>
      <c r="D3865" s="3">
        <v>6427</v>
      </c>
      <c r="E3865" s="3">
        <v>8735</v>
      </c>
      <c r="F3865" s="3">
        <v>1653</v>
      </c>
      <c r="G3865" s="3">
        <v>4305</v>
      </c>
      <c r="H3865" s="2">
        <f t="shared" si="120"/>
        <v>21120</v>
      </c>
      <c r="I3865" t="str">
        <f t="shared" si="121"/>
        <v>Lgals9_21120</v>
      </c>
      <c r="J3865" s="3">
        <v>0</v>
      </c>
      <c r="K3865" s="3">
        <v>6427</v>
      </c>
      <c r="L3865" s="3">
        <v>8735</v>
      </c>
      <c r="M3865" s="3">
        <v>1653</v>
      </c>
      <c r="N3865" s="3">
        <v>4305</v>
      </c>
    </row>
    <row r="3866" spans="1:14" x14ac:dyDescent="0.2">
      <c r="A3866" s="5" t="str">
        <f>HYPERLINK("http://www.ncbi.nlm.nih.gov/protein/29611654","Lgalsl")</f>
        <v>Lgalsl</v>
      </c>
      <c r="B3866" s="4"/>
      <c r="C3866" s="3">
        <v>0</v>
      </c>
      <c r="D3866" s="3">
        <v>0</v>
      </c>
      <c r="E3866" s="3">
        <v>0</v>
      </c>
      <c r="F3866" s="3">
        <v>0</v>
      </c>
      <c r="G3866" s="3">
        <v>2217</v>
      </c>
      <c r="H3866" s="2">
        <f t="shared" si="120"/>
        <v>2217</v>
      </c>
      <c r="I3866" t="str">
        <f t="shared" si="121"/>
        <v>Lgalsl_2217</v>
      </c>
      <c r="J3866" s="3">
        <v>0</v>
      </c>
      <c r="K3866" s="3">
        <v>0</v>
      </c>
      <c r="L3866" s="3">
        <v>0</v>
      </c>
      <c r="M3866" s="3">
        <v>0</v>
      </c>
      <c r="N3866" s="3">
        <v>2217</v>
      </c>
    </row>
    <row r="3867" spans="1:14" x14ac:dyDescent="0.2">
      <c r="A3867" s="5" t="str">
        <f>HYPERLINK("http://www.ncbi.nlm.nih.gov/protein/7242187","Lgmn")</f>
        <v>Lgmn</v>
      </c>
      <c r="B3867" s="4"/>
      <c r="C3867" s="3">
        <v>66597</v>
      </c>
      <c r="D3867" s="3">
        <v>7611</v>
      </c>
      <c r="E3867" s="3">
        <v>2829</v>
      </c>
      <c r="F3867" s="3">
        <v>1924</v>
      </c>
      <c r="G3867" s="3">
        <v>5933</v>
      </c>
      <c r="H3867" s="2">
        <f t="shared" si="120"/>
        <v>84894</v>
      </c>
      <c r="I3867" t="str">
        <f t="shared" si="121"/>
        <v>Lgmn_84894</v>
      </c>
      <c r="J3867" s="3">
        <v>66597</v>
      </c>
      <c r="K3867" s="3">
        <v>7611</v>
      </c>
      <c r="L3867" s="3">
        <v>2829</v>
      </c>
      <c r="M3867" s="3">
        <v>1924</v>
      </c>
      <c r="N3867" s="3">
        <v>5933</v>
      </c>
    </row>
    <row r="3868" spans="1:14" x14ac:dyDescent="0.2">
      <c r="A3868" s="5" t="str">
        <f>HYPERLINK("http://www.ncbi.nlm.nih.gov/protein/13277380","Lias")</f>
        <v>Lias</v>
      </c>
      <c r="B3868" s="4"/>
      <c r="C3868" s="3">
        <v>0</v>
      </c>
      <c r="D3868" s="3">
        <v>13</v>
      </c>
      <c r="E3868" s="3">
        <v>0</v>
      </c>
      <c r="F3868" s="3">
        <v>0</v>
      </c>
      <c r="G3868" s="3">
        <v>0</v>
      </c>
      <c r="H3868" s="2">
        <f t="shared" si="120"/>
        <v>13</v>
      </c>
      <c r="I3868" t="str">
        <f t="shared" si="121"/>
        <v>Lias_13</v>
      </c>
      <c r="J3868" s="3">
        <v>0</v>
      </c>
      <c r="K3868" s="3">
        <v>13</v>
      </c>
      <c r="L3868" s="3">
        <v>0</v>
      </c>
      <c r="M3868" s="3">
        <v>0</v>
      </c>
      <c r="N3868" s="3">
        <v>0</v>
      </c>
    </row>
    <row r="3869" spans="1:14" x14ac:dyDescent="0.2">
      <c r="A3869" s="5" t="str">
        <f>HYPERLINK("http://www.ncbi.nlm.nih.gov/protein/313151236;133892266","Lig1")</f>
        <v>Lig1</v>
      </c>
      <c r="B3869" s="4"/>
      <c r="C3869" s="3">
        <v>0</v>
      </c>
      <c r="D3869" s="3">
        <v>0</v>
      </c>
      <c r="E3869" s="3">
        <v>4153</v>
      </c>
      <c r="F3869" s="3">
        <v>0</v>
      </c>
      <c r="G3869" s="3">
        <v>0</v>
      </c>
      <c r="H3869" s="2">
        <f t="shared" si="120"/>
        <v>4153</v>
      </c>
      <c r="I3869" t="str">
        <f t="shared" si="121"/>
        <v>Lig1_4153</v>
      </c>
      <c r="J3869" s="3">
        <v>0</v>
      </c>
      <c r="K3869" s="3">
        <v>0</v>
      </c>
      <c r="L3869" s="3">
        <v>4153</v>
      </c>
      <c r="M3869" s="3">
        <v>0</v>
      </c>
      <c r="N3869" s="3">
        <v>0</v>
      </c>
    </row>
    <row r="3870" spans="1:14" x14ac:dyDescent="0.2">
      <c r="A3870" s="5" t="str">
        <f>HYPERLINK("http://www.ncbi.nlm.nih.gov/protein/133892266","Lig1")</f>
        <v>Lig1</v>
      </c>
      <c r="B3870" s="4"/>
      <c r="C3870" s="3">
        <v>0</v>
      </c>
      <c r="D3870" s="3">
        <v>3269</v>
      </c>
      <c r="E3870" s="3">
        <v>0</v>
      </c>
      <c r="F3870" s="3">
        <v>35525</v>
      </c>
      <c r="G3870" s="3">
        <v>63165</v>
      </c>
      <c r="H3870" s="2">
        <f t="shared" si="120"/>
        <v>101959</v>
      </c>
      <c r="I3870" t="str">
        <f t="shared" si="121"/>
        <v>Lig1_101959</v>
      </c>
      <c r="J3870" s="3">
        <v>0</v>
      </c>
      <c r="K3870" s="3">
        <v>3269</v>
      </c>
      <c r="L3870" s="3">
        <v>0</v>
      </c>
      <c r="M3870" s="3">
        <v>35525</v>
      </c>
      <c r="N3870" s="3">
        <v>63165</v>
      </c>
    </row>
    <row r="3871" spans="1:14" x14ac:dyDescent="0.2">
      <c r="A3871" s="5" t="str">
        <f>HYPERLINK("http://www.ncbi.nlm.nih.gov/protein/158518433","Lima1")</f>
        <v>Lima1</v>
      </c>
      <c r="B3871" s="4"/>
      <c r="C3871" s="3">
        <v>18947</v>
      </c>
      <c r="D3871" s="3">
        <v>1263</v>
      </c>
      <c r="E3871" s="3">
        <v>3431</v>
      </c>
      <c r="F3871" s="3">
        <v>0</v>
      </c>
      <c r="G3871" s="3">
        <v>4423</v>
      </c>
      <c r="H3871" s="2">
        <f t="shared" si="120"/>
        <v>28064</v>
      </c>
      <c r="I3871" t="str">
        <f t="shared" si="121"/>
        <v>Lima1_28064</v>
      </c>
      <c r="J3871" s="3">
        <v>18947</v>
      </c>
      <c r="K3871" s="3">
        <v>1263</v>
      </c>
      <c r="L3871" s="3">
        <v>3431</v>
      </c>
      <c r="M3871" s="3">
        <v>0</v>
      </c>
      <c r="N3871" s="3">
        <v>4423</v>
      </c>
    </row>
    <row r="3872" spans="1:14" x14ac:dyDescent="0.2">
      <c r="A3872" s="5" t="str">
        <f>HYPERLINK("http://www.ncbi.nlm.nih.gov/protein/165905585","Lima1")</f>
        <v>Lima1</v>
      </c>
      <c r="B3872" s="4"/>
      <c r="C3872" s="3">
        <v>19770</v>
      </c>
      <c r="D3872" s="3">
        <v>1597</v>
      </c>
      <c r="E3872" s="3">
        <v>3705</v>
      </c>
      <c r="F3872" s="3">
        <v>426</v>
      </c>
      <c r="G3872" s="3">
        <v>4423</v>
      </c>
      <c r="H3872" s="2">
        <f t="shared" si="120"/>
        <v>29921</v>
      </c>
      <c r="I3872" t="str">
        <f t="shared" si="121"/>
        <v>Lima1_29921</v>
      </c>
      <c r="J3872" s="3">
        <v>19770</v>
      </c>
      <c r="K3872" s="3">
        <v>1597</v>
      </c>
      <c r="L3872" s="3">
        <v>3705</v>
      </c>
      <c r="M3872" s="3">
        <v>426</v>
      </c>
      <c r="N3872" s="3">
        <v>4423</v>
      </c>
    </row>
    <row r="3873" spans="1:14" x14ac:dyDescent="0.2">
      <c r="A3873" s="5" t="str">
        <f>HYPERLINK("http://www.ncbi.nlm.nih.gov/protein/224994267","Limd1")</f>
        <v>Limd1</v>
      </c>
      <c r="B3873" s="4"/>
      <c r="C3873" s="3">
        <v>0</v>
      </c>
      <c r="D3873" s="3">
        <v>0</v>
      </c>
      <c r="E3873" s="3">
        <v>0</v>
      </c>
      <c r="F3873" s="3">
        <v>0</v>
      </c>
      <c r="G3873" s="3">
        <v>311</v>
      </c>
      <c r="H3873" s="2">
        <f t="shared" si="120"/>
        <v>311</v>
      </c>
      <c r="I3873" t="str">
        <f t="shared" si="121"/>
        <v>Limd1_311</v>
      </c>
      <c r="J3873" s="3">
        <v>0</v>
      </c>
      <c r="K3873" s="3">
        <v>0</v>
      </c>
      <c r="L3873" s="3">
        <v>0</v>
      </c>
      <c r="M3873" s="3">
        <v>0</v>
      </c>
      <c r="N3873" s="3">
        <v>311</v>
      </c>
    </row>
    <row r="3874" spans="1:14" x14ac:dyDescent="0.2">
      <c r="A3874" s="5" t="str">
        <f>HYPERLINK("http://www.ncbi.nlm.nih.gov/protein/6754550","Limk2")</f>
        <v>Limk2</v>
      </c>
      <c r="B3874" s="4"/>
      <c r="C3874" s="3">
        <v>0</v>
      </c>
      <c r="D3874" s="3">
        <v>113</v>
      </c>
      <c r="E3874" s="3">
        <v>0</v>
      </c>
      <c r="F3874" s="3">
        <v>221</v>
      </c>
      <c r="G3874" s="3">
        <v>0</v>
      </c>
      <c r="H3874" s="2">
        <f t="shared" si="120"/>
        <v>334</v>
      </c>
      <c r="I3874" t="str">
        <f t="shared" si="121"/>
        <v>Limk2_334</v>
      </c>
      <c r="J3874" s="3">
        <v>0</v>
      </c>
      <c r="K3874" s="3">
        <v>113</v>
      </c>
      <c r="L3874" s="3">
        <v>0</v>
      </c>
      <c r="M3874" s="3">
        <v>221</v>
      </c>
      <c r="N3874" s="3">
        <v>0</v>
      </c>
    </row>
    <row r="3875" spans="1:14" x14ac:dyDescent="0.2">
      <c r="A3875" s="5" t="str">
        <f>HYPERLINK("http://www.ncbi.nlm.nih.gov/protein/76443701","Limk2")</f>
        <v>Limk2</v>
      </c>
      <c r="B3875" s="4"/>
      <c r="C3875" s="3">
        <v>0</v>
      </c>
      <c r="D3875" s="3">
        <v>113</v>
      </c>
      <c r="E3875" s="3">
        <v>0</v>
      </c>
      <c r="F3875" s="3">
        <v>221</v>
      </c>
      <c r="G3875" s="3">
        <v>0</v>
      </c>
      <c r="H3875" s="2">
        <f t="shared" si="120"/>
        <v>334</v>
      </c>
      <c r="I3875" t="str">
        <f t="shared" si="121"/>
        <v>Limk2_334</v>
      </c>
      <c r="J3875" s="3">
        <v>0</v>
      </c>
      <c r="K3875" s="3">
        <v>113</v>
      </c>
      <c r="L3875" s="3">
        <v>0</v>
      </c>
      <c r="M3875" s="3">
        <v>221</v>
      </c>
      <c r="N3875" s="3">
        <v>0</v>
      </c>
    </row>
    <row r="3876" spans="1:14" x14ac:dyDescent="0.2">
      <c r="A3876" s="5" t="str">
        <f>HYPERLINK("http://www.ncbi.nlm.nih.gov/protein/77404365","Limk2")</f>
        <v>Limk2</v>
      </c>
      <c r="B3876" s="4"/>
      <c r="C3876" s="3">
        <v>0</v>
      </c>
      <c r="D3876" s="3">
        <v>113</v>
      </c>
      <c r="E3876" s="3">
        <v>0</v>
      </c>
      <c r="F3876" s="3">
        <v>221</v>
      </c>
      <c r="G3876" s="3">
        <v>0</v>
      </c>
      <c r="H3876" s="2">
        <f t="shared" si="120"/>
        <v>334</v>
      </c>
      <c r="I3876" t="str">
        <f t="shared" si="121"/>
        <v>Limk2_334</v>
      </c>
      <c r="J3876" s="3">
        <v>0</v>
      </c>
      <c r="K3876" s="3">
        <v>113</v>
      </c>
      <c r="L3876" s="3">
        <v>0</v>
      </c>
      <c r="M3876" s="3">
        <v>221</v>
      </c>
      <c r="N3876" s="3">
        <v>0</v>
      </c>
    </row>
    <row r="3877" spans="1:14" x14ac:dyDescent="0.2">
      <c r="A3877" s="5" t="str">
        <f>HYPERLINK("http://www.ncbi.nlm.nih.gov/protein/300863087","Lims1")</f>
        <v>Lims1</v>
      </c>
      <c r="B3877" s="4"/>
      <c r="C3877" s="3">
        <v>0</v>
      </c>
      <c r="D3877" s="3">
        <v>1263</v>
      </c>
      <c r="E3877" s="3">
        <v>6705</v>
      </c>
      <c r="F3877" s="3">
        <v>5583</v>
      </c>
      <c r="G3877" s="3">
        <v>21173</v>
      </c>
      <c r="H3877" s="2">
        <f t="shared" si="120"/>
        <v>34724</v>
      </c>
      <c r="I3877" t="str">
        <f t="shared" si="121"/>
        <v>Lims1_34724</v>
      </c>
      <c r="J3877" s="3">
        <v>0</v>
      </c>
      <c r="K3877" s="3">
        <v>1263</v>
      </c>
      <c r="L3877" s="3">
        <v>6705</v>
      </c>
      <c r="M3877" s="3">
        <v>5583</v>
      </c>
      <c r="N3877" s="3">
        <v>21173</v>
      </c>
    </row>
    <row r="3878" spans="1:14" x14ac:dyDescent="0.2">
      <c r="A3878" s="5" t="str">
        <f>HYPERLINK("http://www.ncbi.nlm.nih.gov/protein/300863089","Lims1")</f>
        <v>Lims1</v>
      </c>
      <c r="B3878" s="4"/>
      <c r="C3878" s="3">
        <v>0</v>
      </c>
      <c r="D3878" s="3">
        <v>1263</v>
      </c>
      <c r="E3878" s="3">
        <v>6057</v>
      </c>
      <c r="F3878" s="3">
        <v>5583</v>
      </c>
      <c r="G3878" s="3">
        <v>21173</v>
      </c>
      <c r="H3878" s="2">
        <f t="shared" si="120"/>
        <v>34076</v>
      </c>
      <c r="I3878" t="str">
        <f t="shared" si="121"/>
        <v>Lims1_34076</v>
      </c>
      <c r="J3878" s="3">
        <v>0</v>
      </c>
      <c r="K3878" s="3">
        <v>1263</v>
      </c>
      <c r="L3878" s="3">
        <v>6057</v>
      </c>
      <c r="M3878" s="3">
        <v>5583</v>
      </c>
      <c r="N3878" s="3">
        <v>21173</v>
      </c>
    </row>
    <row r="3879" spans="1:14" x14ac:dyDescent="0.2">
      <c r="A3879" s="5" t="str">
        <f>HYPERLINK("http://www.ncbi.nlm.nih.gov/protein/84794647","Lims1")</f>
        <v>Lims1</v>
      </c>
      <c r="B3879" s="4"/>
      <c r="C3879" s="3">
        <v>0</v>
      </c>
      <c r="D3879" s="3">
        <v>1263</v>
      </c>
      <c r="E3879" s="3">
        <v>6705</v>
      </c>
      <c r="F3879" s="3">
        <v>5583</v>
      </c>
      <c r="G3879" s="3">
        <v>21173</v>
      </c>
      <c r="H3879" s="2">
        <f t="shared" si="120"/>
        <v>34724</v>
      </c>
      <c r="I3879" t="str">
        <f t="shared" si="121"/>
        <v>Lims1_34724</v>
      </c>
      <c r="J3879" s="3">
        <v>0</v>
      </c>
      <c r="K3879" s="3">
        <v>1263</v>
      </c>
      <c r="L3879" s="3">
        <v>6705</v>
      </c>
      <c r="M3879" s="3">
        <v>5583</v>
      </c>
      <c r="N3879" s="3">
        <v>21173</v>
      </c>
    </row>
    <row r="3880" spans="1:14" x14ac:dyDescent="0.2">
      <c r="A3880" s="5" t="str">
        <f>HYPERLINK("http://www.ncbi.nlm.nih.gov/protein/21450085","Lims2")</f>
        <v>Lims2</v>
      </c>
      <c r="B3880" s="4"/>
      <c r="C3880" s="3">
        <v>0</v>
      </c>
      <c r="D3880" s="3">
        <v>0</v>
      </c>
      <c r="E3880" s="3">
        <v>648</v>
      </c>
      <c r="F3880" s="3">
        <v>254</v>
      </c>
      <c r="G3880" s="3">
        <v>0</v>
      </c>
      <c r="H3880" s="2">
        <f t="shared" si="120"/>
        <v>902</v>
      </c>
      <c r="I3880" t="str">
        <f t="shared" si="121"/>
        <v>Lims2_902</v>
      </c>
      <c r="J3880" s="3">
        <v>0</v>
      </c>
      <c r="K3880" s="3">
        <v>0</v>
      </c>
      <c r="L3880" s="3">
        <v>648</v>
      </c>
      <c r="M3880" s="3">
        <v>254</v>
      </c>
      <c r="N3880" s="3">
        <v>0</v>
      </c>
    </row>
    <row r="3881" spans="1:14" x14ac:dyDescent="0.2">
      <c r="A3881" s="5" t="str">
        <f>HYPERLINK("http://www.ncbi.nlm.nih.gov/protein/85701728","Lin7a")</f>
        <v>Lin7a</v>
      </c>
      <c r="B3881" s="4"/>
      <c r="C3881" s="3">
        <v>165</v>
      </c>
      <c r="D3881" s="3">
        <v>73</v>
      </c>
      <c r="E3881" s="3">
        <v>1858</v>
      </c>
      <c r="F3881" s="3">
        <v>0</v>
      </c>
      <c r="G3881" s="3">
        <v>0</v>
      </c>
      <c r="H3881" s="2">
        <f t="shared" si="120"/>
        <v>2096</v>
      </c>
      <c r="I3881" t="str">
        <f t="shared" si="121"/>
        <v>Lin7a_2096</v>
      </c>
      <c r="J3881" s="3">
        <v>165</v>
      </c>
      <c r="K3881" s="3">
        <v>73</v>
      </c>
      <c r="L3881" s="3">
        <v>1858</v>
      </c>
      <c r="M3881" s="3">
        <v>0</v>
      </c>
      <c r="N3881" s="3">
        <v>0</v>
      </c>
    </row>
    <row r="3882" spans="1:14" x14ac:dyDescent="0.2">
      <c r="A3882" s="5" t="str">
        <f>HYPERLINK("http://www.ncbi.nlm.nih.gov/protein/86991442","Lin7a")</f>
        <v>Lin7a</v>
      </c>
      <c r="B3882" s="4"/>
      <c r="C3882" s="3">
        <v>165</v>
      </c>
      <c r="D3882" s="3">
        <v>1125</v>
      </c>
      <c r="E3882" s="3">
        <v>3351</v>
      </c>
      <c r="F3882" s="3">
        <v>0</v>
      </c>
      <c r="G3882" s="3">
        <v>0</v>
      </c>
      <c r="H3882" s="2">
        <f t="shared" si="120"/>
        <v>4641</v>
      </c>
      <c r="I3882" t="str">
        <f t="shared" si="121"/>
        <v>Lin7a_4641</v>
      </c>
      <c r="J3882" s="3">
        <v>165</v>
      </c>
      <c r="K3882" s="3">
        <v>1125</v>
      </c>
      <c r="L3882" s="3">
        <v>3351</v>
      </c>
      <c r="M3882" s="3">
        <v>0</v>
      </c>
      <c r="N3882" s="3">
        <v>0</v>
      </c>
    </row>
    <row r="3883" spans="1:14" x14ac:dyDescent="0.2">
      <c r="A3883" s="5" t="str">
        <f>HYPERLINK("http://www.ncbi.nlm.nih.gov/protein/6755971","Lin7b")</f>
        <v>Lin7b</v>
      </c>
      <c r="B3883" s="4"/>
      <c r="C3883" s="3">
        <v>165</v>
      </c>
      <c r="D3883" s="3">
        <v>73</v>
      </c>
      <c r="E3883" s="3">
        <v>2243</v>
      </c>
      <c r="F3883" s="3">
        <v>0</v>
      </c>
      <c r="G3883" s="3">
        <v>0</v>
      </c>
      <c r="H3883" s="2">
        <f t="shared" si="120"/>
        <v>2481</v>
      </c>
      <c r="I3883" t="str">
        <f t="shared" si="121"/>
        <v>Lin7b_2481</v>
      </c>
      <c r="J3883" s="3">
        <v>165</v>
      </c>
      <c r="K3883" s="3">
        <v>73</v>
      </c>
      <c r="L3883" s="3">
        <v>2243</v>
      </c>
      <c r="M3883" s="3">
        <v>0</v>
      </c>
      <c r="N3883" s="3">
        <v>0</v>
      </c>
    </row>
    <row r="3884" spans="1:14" x14ac:dyDescent="0.2">
      <c r="A3884" s="5" t="str">
        <f>HYPERLINK("http://www.ncbi.nlm.nih.gov/protein/6755973","Lin7c")</f>
        <v>Lin7c</v>
      </c>
      <c r="B3884" s="4"/>
      <c r="C3884" s="3">
        <v>8494</v>
      </c>
      <c r="D3884" s="3">
        <v>4590</v>
      </c>
      <c r="E3884" s="3">
        <v>17103</v>
      </c>
      <c r="F3884" s="3">
        <v>0</v>
      </c>
      <c r="G3884" s="3">
        <v>3009</v>
      </c>
      <c r="H3884" s="2">
        <f t="shared" si="120"/>
        <v>33196</v>
      </c>
      <c r="I3884" t="str">
        <f t="shared" si="121"/>
        <v>Lin7c_33196</v>
      </c>
      <c r="J3884" s="3">
        <v>8494</v>
      </c>
      <c r="K3884" s="3">
        <v>4590</v>
      </c>
      <c r="L3884" s="3">
        <v>17103</v>
      </c>
      <c r="M3884" s="3">
        <v>0</v>
      </c>
      <c r="N3884" s="3">
        <v>3009</v>
      </c>
    </row>
    <row r="3885" spans="1:14" x14ac:dyDescent="0.2">
      <c r="A3885" s="5" t="str">
        <f>HYPERLINK("http://www.ncbi.nlm.nih.gov/protein/161760651","Lipa")</f>
        <v>Lipa</v>
      </c>
      <c r="B3885" s="4"/>
      <c r="C3885" s="3">
        <v>0</v>
      </c>
      <c r="D3885" s="3">
        <v>1424</v>
      </c>
      <c r="E3885" s="3">
        <v>111</v>
      </c>
      <c r="F3885" s="3">
        <v>0</v>
      </c>
      <c r="G3885" s="3">
        <v>0</v>
      </c>
      <c r="H3885" s="2">
        <f t="shared" si="120"/>
        <v>1535</v>
      </c>
      <c r="I3885" t="str">
        <f t="shared" si="121"/>
        <v>Lipa_1535</v>
      </c>
      <c r="J3885" s="3">
        <v>0</v>
      </c>
      <c r="K3885" s="3">
        <v>1424</v>
      </c>
      <c r="L3885" s="3">
        <v>111</v>
      </c>
      <c r="M3885" s="3">
        <v>0</v>
      </c>
      <c r="N3885" s="3">
        <v>0</v>
      </c>
    </row>
    <row r="3886" spans="1:14" x14ac:dyDescent="0.2">
      <c r="A3886" s="5" t="str">
        <f>HYPERLINK("http://www.ncbi.nlm.nih.gov/protein/87239970","Lipe")</f>
        <v>Lipe</v>
      </c>
      <c r="B3886" s="4"/>
      <c r="C3886" s="3">
        <v>0</v>
      </c>
      <c r="D3886" s="3">
        <v>2</v>
      </c>
      <c r="E3886" s="3">
        <v>502</v>
      </c>
      <c r="F3886" s="3">
        <v>1817</v>
      </c>
      <c r="G3886" s="3">
        <v>0</v>
      </c>
      <c r="H3886" s="2">
        <f t="shared" si="120"/>
        <v>2321</v>
      </c>
      <c r="I3886" t="str">
        <f t="shared" si="121"/>
        <v>Lipe_2321</v>
      </c>
      <c r="J3886" s="3">
        <v>0</v>
      </c>
      <c r="K3886" s="3">
        <v>2</v>
      </c>
      <c r="L3886" s="3">
        <v>502</v>
      </c>
      <c r="M3886" s="3">
        <v>1817</v>
      </c>
      <c r="N3886" s="3">
        <v>0</v>
      </c>
    </row>
    <row r="3887" spans="1:14" x14ac:dyDescent="0.2">
      <c r="A3887" s="5" t="str">
        <f>HYPERLINK("http://www.ncbi.nlm.nih.gov/protein/87239972","Lipe")</f>
        <v>Lipe</v>
      </c>
      <c r="B3887" s="4"/>
      <c r="C3887" s="3">
        <v>0</v>
      </c>
      <c r="D3887" s="3">
        <v>2</v>
      </c>
      <c r="E3887" s="3">
        <v>502</v>
      </c>
      <c r="F3887" s="3">
        <v>1817</v>
      </c>
      <c r="G3887" s="3">
        <v>0</v>
      </c>
      <c r="H3887" s="2">
        <f t="shared" si="120"/>
        <v>2321</v>
      </c>
      <c r="I3887" t="str">
        <f t="shared" si="121"/>
        <v>Lipe_2321</v>
      </c>
      <c r="J3887" s="3">
        <v>0</v>
      </c>
      <c r="K3887" s="3">
        <v>2</v>
      </c>
      <c r="L3887" s="3">
        <v>502</v>
      </c>
      <c r="M3887" s="3">
        <v>1817</v>
      </c>
      <c r="N3887" s="3">
        <v>0</v>
      </c>
    </row>
    <row r="3888" spans="1:14" x14ac:dyDescent="0.2">
      <c r="A3888" s="5" t="str">
        <f>HYPERLINK("http://www.ncbi.nlm.nih.gov/protein/226874865","Llgl1")</f>
        <v>Llgl1</v>
      </c>
      <c r="B3888" s="4"/>
      <c r="C3888" s="3">
        <v>0</v>
      </c>
      <c r="D3888" s="3">
        <v>0</v>
      </c>
      <c r="E3888" s="3">
        <v>1905</v>
      </c>
      <c r="F3888" s="3">
        <v>3127</v>
      </c>
      <c r="G3888" s="3">
        <v>803</v>
      </c>
      <c r="H3888" s="2">
        <f t="shared" si="120"/>
        <v>5835</v>
      </c>
      <c r="I3888" t="str">
        <f t="shared" si="121"/>
        <v>Llgl1_5835</v>
      </c>
      <c r="J3888" s="3">
        <v>0</v>
      </c>
      <c r="K3888" s="3">
        <v>0</v>
      </c>
      <c r="L3888" s="3">
        <v>1905</v>
      </c>
      <c r="M3888" s="3">
        <v>3127</v>
      </c>
      <c r="N3888" s="3">
        <v>803</v>
      </c>
    </row>
    <row r="3889" spans="1:14" x14ac:dyDescent="0.2">
      <c r="A3889" s="5" t="str">
        <f>HYPERLINK("http://www.ncbi.nlm.nih.gov/protein/226874867","Llgl1")</f>
        <v>Llgl1</v>
      </c>
      <c r="B3889" s="4"/>
      <c r="C3889" s="3">
        <v>0</v>
      </c>
      <c r="D3889" s="3">
        <v>0</v>
      </c>
      <c r="E3889" s="3">
        <v>1905</v>
      </c>
      <c r="F3889" s="3">
        <v>3127</v>
      </c>
      <c r="G3889" s="3">
        <v>803</v>
      </c>
      <c r="H3889" s="2">
        <f t="shared" si="120"/>
        <v>5835</v>
      </c>
      <c r="I3889" t="str">
        <f t="shared" si="121"/>
        <v>Llgl1_5835</v>
      </c>
      <c r="J3889" s="3">
        <v>0</v>
      </c>
      <c r="K3889" s="3">
        <v>0</v>
      </c>
      <c r="L3889" s="3">
        <v>1905</v>
      </c>
      <c r="M3889" s="3">
        <v>3127</v>
      </c>
      <c r="N3889" s="3">
        <v>803</v>
      </c>
    </row>
    <row r="3890" spans="1:14" x14ac:dyDescent="0.2">
      <c r="A3890" s="5" t="str">
        <f>HYPERLINK("http://www.ncbi.nlm.nih.gov/protein/6678696","Llgl1")</f>
        <v>Llgl1</v>
      </c>
      <c r="B3890" s="4"/>
      <c r="C3890" s="3">
        <v>0</v>
      </c>
      <c r="D3890" s="3">
        <v>0</v>
      </c>
      <c r="E3890" s="3">
        <v>1905</v>
      </c>
      <c r="F3890" s="3">
        <v>3127</v>
      </c>
      <c r="G3890" s="3">
        <v>803</v>
      </c>
      <c r="H3890" s="2">
        <f t="shared" si="120"/>
        <v>5835</v>
      </c>
      <c r="I3890" t="str">
        <f t="shared" si="121"/>
        <v>Llgl1_5835</v>
      </c>
      <c r="J3890" s="3">
        <v>0</v>
      </c>
      <c r="K3890" s="3">
        <v>0</v>
      </c>
      <c r="L3890" s="3">
        <v>1905</v>
      </c>
      <c r="M3890" s="3">
        <v>3127</v>
      </c>
      <c r="N3890" s="3">
        <v>803</v>
      </c>
    </row>
    <row r="3891" spans="1:14" x14ac:dyDescent="0.2">
      <c r="A3891" s="5" t="str">
        <f>HYPERLINK("http://www.ncbi.nlm.nih.gov/protein/144922656","Llgl2")</f>
        <v>Llgl2</v>
      </c>
      <c r="B3891" s="4"/>
      <c r="C3891" s="3">
        <v>6462</v>
      </c>
      <c r="D3891" s="3">
        <v>4108</v>
      </c>
      <c r="E3891" s="3">
        <v>20371</v>
      </c>
      <c r="F3891" s="3">
        <v>49343</v>
      </c>
      <c r="G3891" s="3">
        <v>96</v>
      </c>
      <c r="H3891" s="2">
        <f t="shared" si="120"/>
        <v>80380</v>
      </c>
      <c r="I3891" t="str">
        <f t="shared" si="121"/>
        <v>Llgl2_80380</v>
      </c>
      <c r="J3891" s="3">
        <v>6462</v>
      </c>
      <c r="K3891" s="3">
        <v>4108</v>
      </c>
      <c r="L3891" s="3">
        <v>20371</v>
      </c>
      <c r="M3891" s="3">
        <v>49343</v>
      </c>
      <c r="N3891" s="3">
        <v>96</v>
      </c>
    </row>
    <row r="3892" spans="1:14" x14ac:dyDescent="0.2">
      <c r="A3892" s="5" t="str">
        <f>HYPERLINK("http://www.ncbi.nlm.nih.gov/protein/357527422","Llgl2")</f>
        <v>Llgl2</v>
      </c>
      <c r="B3892" s="4"/>
      <c r="C3892" s="3">
        <v>6462</v>
      </c>
      <c r="D3892" s="3">
        <v>3947</v>
      </c>
      <c r="E3892" s="3">
        <v>18043</v>
      </c>
      <c r="F3892" s="3">
        <v>32939</v>
      </c>
      <c r="G3892" s="3">
        <v>96</v>
      </c>
      <c r="H3892" s="2">
        <f t="shared" si="120"/>
        <v>61487</v>
      </c>
      <c r="I3892" t="str">
        <f t="shared" si="121"/>
        <v>Llgl2_61487</v>
      </c>
      <c r="J3892" s="3">
        <v>6462</v>
      </c>
      <c r="K3892" s="3">
        <v>3947</v>
      </c>
      <c r="L3892" s="3">
        <v>18043</v>
      </c>
      <c r="M3892" s="3">
        <v>32939</v>
      </c>
      <c r="N3892" s="3">
        <v>96</v>
      </c>
    </row>
    <row r="3893" spans="1:14" x14ac:dyDescent="0.2">
      <c r="A3893" s="5" t="str">
        <f>HYPERLINK("http://www.ncbi.nlm.nih.gov/protein/21313566","Llph")</f>
        <v>Llph</v>
      </c>
      <c r="B3893" s="4"/>
      <c r="C3893" s="3">
        <v>0</v>
      </c>
      <c r="D3893" s="3">
        <v>0</v>
      </c>
      <c r="E3893" s="3">
        <v>0</v>
      </c>
      <c r="F3893" s="3">
        <v>1416</v>
      </c>
      <c r="G3893" s="3">
        <v>0</v>
      </c>
      <c r="H3893" s="2">
        <f t="shared" si="120"/>
        <v>1416</v>
      </c>
      <c r="I3893" t="str">
        <f t="shared" si="121"/>
        <v>Llph_1416</v>
      </c>
      <c r="J3893" s="3">
        <v>0</v>
      </c>
      <c r="K3893" s="3">
        <v>0</v>
      </c>
      <c r="L3893" s="3">
        <v>0</v>
      </c>
      <c r="M3893" s="3">
        <v>1416</v>
      </c>
      <c r="N3893" s="3">
        <v>0</v>
      </c>
    </row>
    <row r="3894" spans="1:14" x14ac:dyDescent="0.2">
      <c r="A3894" s="5" t="str">
        <f>HYPERLINK("http://www.ncbi.nlm.nih.gov/protein/149270995","Llph-ps2")</f>
        <v>Llph-ps2</v>
      </c>
      <c r="B3894" s="4"/>
      <c r="C3894" s="3">
        <v>0</v>
      </c>
      <c r="D3894" s="3">
        <v>0</v>
      </c>
      <c r="E3894" s="3">
        <v>0</v>
      </c>
      <c r="F3894" s="3">
        <v>1416</v>
      </c>
      <c r="G3894" s="3">
        <v>0</v>
      </c>
      <c r="H3894" s="2">
        <f t="shared" si="120"/>
        <v>1416</v>
      </c>
      <c r="I3894" t="str">
        <f t="shared" si="121"/>
        <v>Llph-ps2_1416</v>
      </c>
      <c r="J3894" s="3">
        <v>0</v>
      </c>
      <c r="K3894" s="3">
        <v>0</v>
      </c>
      <c r="L3894" s="3">
        <v>0</v>
      </c>
      <c r="M3894" s="3">
        <v>1416</v>
      </c>
      <c r="N3894" s="3">
        <v>0</v>
      </c>
    </row>
    <row r="3895" spans="1:14" x14ac:dyDescent="0.2">
      <c r="A3895" s="5" t="str">
        <f>HYPERLINK("http://www.ncbi.nlm.nih.gov/protein/21312570","Lman1")</f>
        <v>Lman1</v>
      </c>
      <c r="B3895" s="4"/>
      <c r="C3895" s="3">
        <v>0</v>
      </c>
      <c r="D3895" s="3">
        <v>7933</v>
      </c>
      <c r="E3895" s="3">
        <v>2817</v>
      </c>
      <c r="F3895" s="3">
        <v>2055</v>
      </c>
      <c r="G3895" s="3">
        <v>0</v>
      </c>
      <c r="H3895" s="2">
        <f t="shared" si="120"/>
        <v>12805</v>
      </c>
      <c r="I3895" t="str">
        <f t="shared" si="121"/>
        <v>Lman1_12805</v>
      </c>
      <c r="J3895" s="3">
        <v>0</v>
      </c>
      <c r="K3895" s="3">
        <v>7933</v>
      </c>
      <c r="L3895" s="3">
        <v>2817</v>
      </c>
      <c r="M3895" s="3">
        <v>2055</v>
      </c>
      <c r="N3895" s="3">
        <v>0</v>
      </c>
    </row>
    <row r="3896" spans="1:14" x14ac:dyDescent="0.2">
      <c r="A3896" s="5" t="str">
        <f>HYPERLINK("http://www.ncbi.nlm.nih.gov/protein/34328278","Lman2")</f>
        <v>Lman2</v>
      </c>
      <c r="B3896" s="4"/>
      <c r="C3896" s="3">
        <v>13199</v>
      </c>
      <c r="D3896" s="3">
        <v>9502</v>
      </c>
      <c r="E3896" s="3">
        <v>16825</v>
      </c>
      <c r="F3896" s="3">
        <v>16780</v>
      </c>
      <c r="G3896" s="3">
        <v>0</v>
      </c>
      <c r="H3896" s="2">
        <f t="shared" si="120"/>
        <v>56306</v>
      </c>
      <c r="I3896" t="str">
        <f t="shared" si="121"/>
        <v>Lman2_56306</v>
      </c>
      <c r="J3896" s="3">
        <v>13199</v>
      </c>
      <c r="K3896" s="3">
        <v>9502</v>
      </c>
      <c r="L3896" s="3">
        <v>16825</v>
      </c>
      <c r="M3896" s="3">
        <v>16780</v>
      </c>
      <c r="N3896" s="3">
        <v>0</v>
      </c>
    </row>
    <row r="3897" spans="1:14" x14ac:dyDescent="0.2">
      <c r="A3897" s="5" t="str">
        <f>HYPERLINK("http://www.ncbi.nlm.nih.gov/protein/61656186","Lman2l")</f>
        <v>Lman2l</v>
      </c>
      <c r="B3897" s="4"/>
      <c r="C3897" s="3">
        <v>0</v>
      </c>
      <c r="D3897" s="3">
        <v>1104</v>
      </c>
      <c r="E3897" s="3">
        <v>698</v>
      </c>
      <c r="F3897" s="3">
        <v>0</v>
      </c>
      <c r="G3897" s="3">
        <v>0</v>
      </c>
      <c r="H3897" s="2">
        <f t="shared" si="120"/>
        <v>1802</v>
      </c>
      <c r="I3897" t="str">
        <f t="shared" si="121"/>
        <v>Lman2l_1802</v>
      </c>
      <c r="J3897" s="3">
        <v>0</v>
      </c>
      <c r="K3897" s="3">
        <v>1104</v>
      </c>
      <c r="L3897" s="3">
        <v>698</v>
      </c>
      <c r="M3897" s="3">
        <v>0</v>
      </c>
      <c r="N3897" s="3">
        <v>0</v>
      </c>
    </row>
    <row r="3898" spans="1:14" x14ac:dyDescent="0.2">
      <c r="A3898" s="5" t="str">
        <f>HYPERLINK("http://www.ncbi.nlm.nih.gov/protein/123701962","Lmbrd1")</f>
        <v>Lmbrd1</v>
      </c>
      <c r="B3898" s="4"/>
      <c r="C3898" s="3">
        <v>0</v>
      </c>
      <c r="D3898" s="3">
        <v>119</v>
      </c>
      <c r="E3898" s="3">
        <v>0</v>
      </c>
      <c r="F3898" s="3">
        <v>0</v>
      </c>
      <c r="G3898" s="3">
        <v>0</v>
      </c>
      <c r="H3898" s="2">
        <f t="shared" si="120"/>
        <v>119</v>
      </c>
      <c r="I3898" t="str">
        <f t="shared" si="121"/>
        <v>Lmbrd1_119</v>
      </c>
      <c r="J3898" s="3">
        <v>0</v>
      </c>
      <c r="K3898" s="3">
        <v>119</v>
      </c>
      <c r="L3898" s="3">
        <v>0</v>
      </c>
      <c r="M3898" s="3">
        <v>0</v>
      </c>
      <c r="N3898" s="3">
        <v>0</v>
      </c>
    </row>
    <row r="3899" spans="1:14" x14ac:dyDescent="0.2">
      <c r="A3899" s="5" t="str">
        <f>HYPERLINK("http://www.ncbi.nlm.nih.gov/protein/254939582","Lmf1")</f>
        <v>Lmf1</v>
      </c>
      <c r="B3899" s="4"/>
      <c r="C3899" s="3">
        <v>29894</v>
      </c>
      <c r="D3899" s="3">
        <v>4296</v>
      </c>
      <c r="E3899" s="3">
        <v>18251</v>
      </c>
      <c r="F3899" s="3">
        <v>4355</v>
      </c>
      <c r="G3899" s="3">
        <v>82046</v>
      </c>
      <c r="H3899" s="2">
        <f t="shared" si="120"/>
        <v>138842</v>
      </c>
      <c r="I3899" t="str">
        <f t="shared" si="121"/>
        <v>Lmf1_138842</v>
      </c>
      <c r="J3899" s="3">
        <v>29894</v>
      </c>
      <c r="K3899" s="3">
        <v>4296</v>
      </c>
      <c r="L3899" s="3">
        <v>18251</v>
      </c>
      <c r="M3899" s="3">
        <v>4355</v>
      </c>
      <c r="N3899" s="3">
        <v>82046</v>
      </c>
    </row>
    <row r="3900" spans="1:14" x14ac:dyDescent="0.2">
      <c r="A3900" s="5" t="str">
        <f>HYPERLINK("http://www.ncbi.nlm.nih.gov/protein/30725786","Lmf2")</f>
        <v>Lmf2</v>
      </c>
      <c r="B3900" s="4"/>
      <c r="C3900" s="3">
        <v>3460</v>
      </c>
      <c r="D3900" s="3">
        <v>453</v>
      </c>
      <c r="E3900" s="3">
        <v>176</v>
      </c>
      <c r="F3900" s="3">
        <v>0</v>
      </c>
      <c r="G3900" s="3">
        <v>0</v>
      </c>
      <c r="H3900" s="2">
        <f t="shared" si="120"/>
        <v>4089</v>
      </c>
      <c r="I3900" t="str">
        <f t="shared" si="121"/>
        <v>Lmf2_4089</v>
      </c>
      <c r="J3900" s="3">
        <v>3460</v>
      </c>
      <c r="K3900" s="3">
        <v>453</v>
      </c>
      <c r="L3900" s="3">
        <v>176</v>
      </c>
      <c r="M3900" s="3">
        <v>0</v>
      </c>
      <c r="N3900" s="3">
        <v>0</v>
      </c>
    </row>
    <row r="3901" spans="1:14" x14ac:dyDescent="0.2">
      <c r="A3901" s="5" t="str">
        <f>HYPERLINK("http://www.ncbi.nlm.nih.gov/protein/9506843","Lmna")</f>
        <v>Lmna</v>
      </c>
      <c r="B3901" s="4"/>
      <c r="C3901" s="3">
        <v>1479584</v>
      </c>
      <c r="D3901" s="3">
        <v>4250</v>
      </c>
      <c r="E3901" s="3">
        <v>635</v>
      </c>
      <c r="F3901" s="3">
        <v>0</v>
      </c>
      <c r="G3901" s="3">
        <v>2784</v>
      </c>
      <c r="H3901" s="2">
        <f t="shared" si="120"/>
        <v>1487253</v>
      </c>
      <c r="I3901" t="str">
        <f t="shared" si="121"/>
        <v>Lmna_1487253</v>
      </c>
      <c r="J3901" s="3">
        <v>1479584</v>
      </c>
      <c r="K3901" s="3">
        <v>4250</v>
      </c>
      <c r="L3901" s="3">
        <v>635</v>
      </c>
      <c r="M3901" s="3">
        <v>0</v>
      </c>
      <c r="N3901" s="3">
        <v>2784</v>
      </c>
    </row>
    <row r="3902" spans="1:14" x14ac:dyDescent="0.2">
      <c r="A3902" s="5" t="str">
        <f>HYPERLINK("http://www.ncbi.nlm.nih.gov/protein/161760667","Lmna")</f>
        <v>Lmna</v>
      </c>
      <c r="B3902" s="4"/>
      <c r="C3902" s="3">
        <v>2071289</v>
      </c>
      <c r="D3902" s="3">
        <v>4899</v>
      </c>
      <c r="E3902" s="3">
        <v>1179</v>
      </c>
      <c r="F3902" s="3">
        <v>270</v>
      </c>
      <c r="G3902" s="3">
        <v>11395</v>
      </c>
      <c r="H3902" s="2">
        <f t="shared" si="120"/>
        <v>2089032</v>
      </c>
      <c r="I3902" t="str">
        <f t="shared" si="121"/>
        <v>Lmna_2089032</v>
      </c>
      <c r="J3902" s="3">
        <v>2071289</v>
      </c>
      <c r="K3902" s="3">
        <v>4899</v>
      </c>
      <c r="L3902" s="3">
        <v>1179</v>
      </c>
      <c r="M3902" s="3">
        <v>270</v>
      </c>
      <c r="N3902" s="3">
        <v>11395</v>
      </c>
    </row>
    <row r="3903" spans="1:14" x14ac:dyDescent="0.2">
      <c r="A3903" s="5" t="str">
        <f>HYPERLINK("http://www.ncbi.nlm.nih.gov/protein/162287370","Lmna")</f>
        <v>Lmna</v>
      </c>
      <c r="B3903" s="4"/>
      <c r="C3903" s="3">
        <v>2225847</v>
      </c>
      <c r="D3903" s="3">
        <v>4943</v>
      </c>
      <c r="E3903" s="3">
        <v>1179</v>
      </c>
      <c r="F3903" s="3">
        <v>270</v>
      </c>
      <c r="G3903" s="3">
        <v>11791</v>
      </c>
      <c r="H3903" s="2">
        <f t="shared" si="120"/>
        <v>2244030</v>
      </c>
      <c r="I3903" t="str">
        <f t="shared" si="121"/>
        <v>Lmna_2244030</v>
      </c>
      <c r="J3903" s="3">
        <v>2225847</v>
      </c>
      <c r="K3903" s="3">
        <v>4943</v>
      </c>
      <c r="L3903" s="3">
        <v>1179</v>
      </c>
      <c r="M3903" s="3">
        <v>270</v>
      </c>
      <c r="N3903" s="3">
        <v>11791</v>
      </c>
    </row>
    <row r="3904" spans="1:14" x14ac:dyDescent="0.2">
      <c r="A3904" s="5" t="str">
        <f>HYPERLINK("http://www.ncbi.nlm.nih.gov/protein/188219589","Lmnb1")</f>
        <v>Lmnb1</v>
      </c>
      <c r="B3904" s="4"/>
      <c r="C3904" s="3">
        <v>646880</v>
      </c>
      <c r="D3904" s="3">
        <v>12195</v>
      </c>
      <c r="E3904" s="3">
        <v>1340</v>
      </c>
      <c r="F3904" s="3">
        <v>0</v>
      </c>
      <c r="G3904" s="3">
        <v>396</v>
      </c>
      <c r="H3904" s="2">
        <f t="shared" si="120"/>
        <v>660811</v>
      </c>
      <c r="I3904" t="str">
        <f t="shared" si="121"/>
        <v>Lmnb1_660811</v>
      </c>
      <c r="J3904" s="3">
        <v>646880</v>
      </c>
      <c r="K3904" s="3">
        <v>12195</v>
      </c>
      <c r="L3904" s="3">
        <v>1340</v>
      </c>
      <c r="M3904" s="3">
        <v>0</v>
      </c>
      <c r="N3904" s="3">
        <v>396</v>
      </c>
    </row>
    <row r="3905" spans="1:14" x14ac:dyDescent="0.2">
      <c r="A3905" s="5" t="str">
        <f>HYPERLINK("http://www.ncbi.nlm.nih.gov/protein/113195686","Lmnb2")</f>
        <v>Lmnb2</v>
      </c>
      <c r="B3905" s="4"/>
      <c r="C3905" s="3">
        <v>234610</v>
      </c>
      <c r="D3905" s="3">
        <v>0</v>
      </c>
      <c r="E3905" s="3">
        <v>0</v>
      </c>
      <c r="F3905" s="3">
        <v>0</v>
      </c>
      <c r="G3905" s="3">
        <v>0</v>
      </c>
      <c r="H3905" s="2">
        <f t="shared" si="120"/>
        <v>234610</v>
      </c>
      <c r="I3905" t="str">
        <f t="shared" si="121"/>
        <v>Lmnb2_234610</v>
      </c>
      <c r="J3905" s="3">
        <v>234610</v>
      </c>
      <c r="K3905" s="3">
        <v>0</v>
      </c>
      <c r="L3905" s="3">
        <v>0</v>
      </c>
      <c r="M3905" s="3">
        <v>0</v>
      </c>
      <c r="N3905" s="3">
        <v>0</v>
      </c>
    </row>
    <row r="3906" spans="1:14" x14ac:dyDescent="0.2">
      <c r="A3906" s="5" t="str">
        <f>HYPERLINK("http://www.ncbi.nlm.nih.gov/protein/157311641","Lmo7")</f>
        <v>Lmo7</v>
      </c>
      <c r="B3906" s="4"/>
      <c r="C3906" s="3">
        <v>0</v>
      </c>
      <c r="D3906" s="3">
        <v>0</v>
      </c>
      <c r="E3906" s="3">
        <v>155</v>
      </c>
      <c r="F3906" s="3">
        <v>0</v>
      </c>
      <c r="G3906" s="3">
        <v>2270</v>
      </c>
      <c r="H3906" s="2">
        <f t="shared" ref="H3906:H3969" si="122">SUM(C3906:G3906)</f>
        <v>2425</v>
      </c>
      <c r="I3906" t="str">
        <f t="shared" ref="I3906:I3969" si="123">A3906&amp;"_"&amp;H3906</f>
        <v>Lmo7_2425</v>
      </c>
      <c r="J3906" s="3">
        <v>0</v>
      </c>
      <c r="K3906" s="3">
        <v>0</v>
      </c>
      <c r="L3906" s="3">
        <v>155</v>
      </c>
      <c r="M3906" s="3">
        <v>0</v>
      </c>
      <c r="N3906" s="3">
        <v>2270</v>
      </c>
    </row>
    <row r="3907" spans="1:14" x14ac:dyDescent="0.2">
      <c r="A3907" s="5" t="str">
        <f>HYPERLINK("http://www.ncbi.nlm.nih.gov/protein/124487401","Lmtk2")</f>
        <v>Lmtk2</v>
      </c>
      <c r="B3907" s="4"/>
      <c r="C3907" s="3">
        <v>0</v>
      </c>
      <c r="D3907" s="3">
        <v>0</v>
      </c>
      <c r="E3907" s="3">
        <v>351</v>
      </c>
      <c r="F3907" s="3">
        <v>0</v>
      </c>
      <c r="G3907" s="3">
        <v>0</v>
      </c>
      <c r="H3907" s="2">
        <f t="shared" si="122"/>
        <v>351</v>
      </c>
      <c r="I3907" t="str">
        <f t="shared" si="123"/>
        <v>Lmtk2_351</v>
      </c>
      <c r="J3907" s="3">
        <v>0</v>
      </c>
      <c r="K3907" s="3">
        <v>0</v>
      </c>
      <c r="L3907" s="3">
        <v>351</v>
      </c>
      <c r="M3907" s="3">
        <v>0</v>
      </c>
      <c r="N3907" s="3">
        <v>0</v>
      </c>
    </row>
    <row r="3908" spans="1:14" x14ac:dyDescent="0.2">
      <c r="A3908" s="5" t="str">
        <f>HYPERLINK("http://www.ncbi.nlm.nih.gov/protein/27370240","Lnpep")</f>
        <v>Lnpep</v>
      </c>
      <c r="B3908" s="4"/>
      <c r="C3908" s="3">
        <v>11661</v>
      </c>
      <c r="D3908" s="3">
        <v>6363</v>
      </c>
      <c r="E3908" s="3">
        <v>35244</v>
      </c>
      <c r="F3908" s="3">
        <v>15593</v>
      </c>
      <c r="G3908" s="3">
        <v>0</v>
      </c>
      <c r="H3908" s="2">
        <f t="shared" si="122"/>
        <v>68861</v>
      </c>
      <c r="I3908" t="str">
        <f t="shared" si="123"/>
        <v>Lnpep_68861</v>
      </c>
      <c r="J3908" s="3">
        <v>11661</v>
      </c>
      <c r="K3908" s="3">
        <v>6363</v>
      </c>
      <c r="L3908" s="3">
        <v>35244</v>
      </c>
      <c r="M3908" s="3">
        <v>15593</v>
      </c>
      <c r="N3908" s="3">
        <v>0</v>
      </c>
    </row>
    <row r="3909" spans="1:14" x14ac:dyDescent="0.2">
      <c r="A3909" s="5" t="str">
        <f>HYPERLINK("http://www.ncbi.nlm.nih.gov/protein/407260881","LOC100044322")</f>
        <v>LOC100044322</v>
      </c>
      <c r="B3909" s="4"/>
      <c r="C3909" s="3">
        <v>5931</v>
      </c>
      <c r="D3909" s="3">
        <v>0</v>
      </c>
      <c r="E3909" s="3">
        <v>102</v>
      </c>
      <c r="F3909" s="3">
        <v>0</v>
      </c>
      <c r="G3909" s="3">
        <v>0</v>
      </c>
      <c r="H3909" s="2">
        <f t="shared" si="122"/>
        <v>6033</v>
      </c>
      <c r="I3909" t="str">
        <f t="shared" si="123"/>
        <v>LOC100044322_6033</v>
      </c>
      <c r="J3909" s="3">
        <v>5931</v>
      </c>
      <c r="K3909" s="3">
        <v>0</v>
      </c>
      <c r="L3909" s="3">
        <v>102</v>
      </c>
      <c r="M3909" s="3">
        <v>0</v>
      </c>
      <c r="N3909" s="3">
        <v>0</v>
      </c>
    </row>
    <row r="3910" spans="1:14" x14ac:dyDescent="0.2">
      <c r="A3910" s="5" t="str">
        <f>HYPERLINK("http://www.ncbi.nlm.nih.gov/protein/149257848","LOC100044391")</f>
        <v>LOC100044391</v>
      </c>
      <c r="B3910" s="4"/>
      <c r="C3910" s="3">
        <v>0</v>
      </c>
      <c r="D3910" s="3">
        <v>409</v>
      </c>
      <c r="E3910" s="3">
        <v>0</v>
      </c>
      <c r="F3910" s="3">
        <v>3422</v>
      </c>
      <c r="G3910" s="3">
        <v>1253</v>
      </c>
      <c r="H3910" s="2">
        <f t="shared" si="122"/>
        <v>5084</v>
      </c>
      <c r="I3910" t="str">
        <f t="shared" si="123"/>
        <v>LOC100044391_5084</v>
      </c>
      <c r="J3910" s="3">
        <v>0</v>
      </c>
      <c r="K3910" s="3">
        <v>409</v>
      </c>
      <c r="L3910" s="3">
        <v>0</v>
      </c>
      <c r="M3910" s="3">
        <v>3422</v>
      </c>
      <c r="N3910" s="3">
        <v>1253</v>
      </c>
    </row>
    <row r="3911" spans="1:14" x14ac:dyDescent="0.2">
      <c r="A3911" s="5" t="str">
        <f>HYPERLINK("http://www.ncbi.nlm.nih.gov/protein/377837128","LOC100044627")</f>
        <v>LOC100044627</v>
      </c>
      <c r="B3911" s="4"/>
      <c r="C3911" s="3">
        <v>87228</v>
      </c>
      <c r="D3911" s="3">
        <v>13191</v>
      </c>
      <c r="E3911" s="3">
        <v>67873</v>
      </c>
      <c r="F3911" s="3">
        <v>98939</v>
      </c>
      <c r="G3911" s="3">
        <v>1649</v>
      </c>
      <c r="H3911" s="2">
        <f t="shared" si="122"/>
        <v>268880</v>
      </c>
      <c r="I3911" t="str">
        <f t="shared" si="123"/>
        <v>LOC100044627_268880</v>
      </c>
      <c r="J3911" s="3">
        <v>87228</v>
      </c>
      <c r="K3911" s="3">
        <v>13191</v>
      </c>
      <c r="L3911" s="3">
        <v>67873</v>
      </c>
      <c r="M3911" s="3">
        <v>98939</v>
      </c>
      <c r="N3911" s="3">
        <v>1649</v>
      </c>
    </row>
    <row r="3912" spans="1:14" x14ac:dyDescent="0.2">
      <c r="A3912" s="5" t="str">
        <f>HYPERLINK("http://www.ncbi.nlm.nih.gov/protein/149255928","LOC100044742")</f>
        <v>LOC100044742</v>
      </c>
      <c r="B3912" s="4"/>
      <c r="C3912" s="3">
        <v>0</v>
      </c>
      <c r="D3912" s="3">
        <v>1624</v>
      </c>
      <c r="E3912" s="3">
        <v>2242</v>
      </c>
      <c r="F3912" s="3">
        <v>1653</v>
      </c>
      <c r="G3912" s="3">
        <v>2635</v>
      </c>
      <c r="H3912" s="2">
        <f t="shared" si="122"/>
        <v>8154</v>
      </c>
      <c r="I3912" t="str">
        <f t="shared" si="123"/>
        <v>LOC100044742_8154</v>
      </c>
      <c r="J3912" s="3">
        <v>0</v>
      </c>
      <c r="K3912" s="3">
        <v>1624</v>
      </c>
      <c r="L3912" s="3">
        <v>2242</v>
      </c>
      <c r="M3912" s="3">
        <v>1653</v>
      </c>
      <c r="N3912" s="3">
        <v>2635</v>
      </c>
    </row>
    <row r="3913" spans="1:14" x14ac:dyDescent="0.2">
      <c r="A3913" s="5" t="str">
        <f>HYPERLINK("http://www.ncbi.nlm.nih.gov/protein/309263678","LOC100044811")</f>
        <v>LOC100044811</v>
      </c>
      <c r="B3913" s="4"/>
      <c r="C3913" s="3">
        <v>0</v>
      </c>
      <c r="D3913" s="3">
        <v>0</v>
      </c>
      <c r="E3913" s="3">
        <v>0</v>
      </c>
      <c r="F3913" s="3">
        <v>802</v>
      </c>
      <c r="G3913" s="3">
        <v>0</v>
      </c>
      <c r="H3913" s="2">
        <f t="shared" si="122"/>
        <v>802</v>
      </c>
      <c r="I3913" t="str">
        <f t="shared" si="123"/>
        <v>LOC100044811_802</v>
      </c>
      <c r="J3913" s="3">
        <v>0</v>
      </c>
      <c r="K3913" s="3">
        <v>0</v>
      </c>
      <c r="L3913" s="3">
        <v>0</v>
      </c>
      <c r="M3913" s="3">
        <v>802</v>
      </c>
      <c r="N3913" s="3">
        <v>0</v>
      </c>
    </row>
    <row r="3914" spans="1:14" x14ac:dyDescent="0.2">
      <c r="A3914" s="5" t="str">
        <f>HYPERLINK("http://www.ncbi.nlm.nih.gov/protein/149251501","LOC100044829")</f>
        <v>LOC100044829</v>
      </c>
      <c r="B3914" s="4"/>
      <c r="C3914" s="3">
        <v>170740</v>
      </c>
      <c r="D3914" s="3">
        <v>7841</v>
      </c>
      <c r="E3914" s="3">
        <v>1673</v>
      </c>
      <c r="F3914" s="3">
        <v>17075</v>
      </c>
      <c r="G3914" s="3">
        <v>0</v>
      </c>
      <c r="H3914" s="2">
        <f t="shared" si="122"/>
        <v>197329</v>
      </c>
      <c r="I3914" t="str">
        <f t="shared" si="123"/>
        <v>LOC100044829_197329</v>
      </c>
      <c r="J3914" s="3">
        <v>170740</v>
      </c>
      <c r="K3914" s="3">
        <v>7841</v>
      </c>
      <c r="L3914" s="3">
        <v>1673</v>
      </c>
      <c r="M3914" s="3">
        <v>17075</v>
      </c>
      <c r="N3914" s="3">
        <v>0</v>
      </c>
    </row>
    <row r="3915" spans="1:14" x14ac:dyDescent="0.2">
      <c r="A3915" s="5" t="str">
        <f>HYPERLINK("http://www.ncbi.nlm.nih.gov/protein/407262350","LOC100044900")</f>
        <v>LOC100044900</v>
      </c>
      <c r="B3915" s="4"/>
      <c r="C3915" s="3">
        <v>751</v>
      </c>
      <c r="D3915" s="3">
        <v>0</v>
      </c>
      <c r="E3915" s="3">
        <v>0</v>
      </c>
      <c r="F3915" s="3">
        <v>0</v>
      </c>
      <c r="G3915" s="3">
        <v>0</v>
      </c>
      <c r="H3915" s="2">
        <f t="shared" si="122"/>
        <v>751</v>
      </c>
      <c r="I3915" t="str">
        <f t="shared" si="123"/>
        <v>LOC100044900_751</v>
      </c>
      <c r="J3915" s="3">
        <v>751</v>
      </c>
      <c r="K3915" s="3">
        <v>0</v>
      </c>
      <c r="L3915" s="3">
        <v>0</v>
      </c>
      <c r="M3915" s="3">
        <v>0</v>
      </c>
      <c r="N3915" s="3">
        <v>0</v>
      </c>
    </row>
    <row r="3916" spans="1:14" x14ac:dyDescent="0.2">
      <c r="A3916" s="5" t="str">
        <f>HYPERLINK("http://www.ncbi.nlm.nih.gov/protein/407262350;35493987","LOC100044900")</f>
        <v>LOC100044900</v>
      </c>
      <c r="B3916" s="4"/>
      <c r="C3916" s="3">
        <v>0</v>
      </c>
      <c r="D3916" s="3">
        <v>0</v>
      </c>
      <c r="E3916" s="3">
        <v>2455</v>
      </c>
      <c r="F3916" s="3">
        <v>0</v>
      </c>
      <c r="G3916" s="3">
        <v>0</v>
      </c>
      <c r="H3916" s="2">
        <f t="shared" si="122"/>
        <v>2455</v>
      </c>
      <c r="I3916" t="str">
        <f t="shared" si="123"/>
        <v>LOC100044900_2455</v>
      </c>
      <c r="J3916" s="3">
        <v>0</v>
      </c>
      <c r="K3916" s="3">
        <v>0</v>
      </c>
      <c r="L3916" s="3">
        <v>2455</v>
      </c>
      <c r="M3916" s="3">
        <v>0</v>
      </c>
      <c r="N3916" s="3">
        <v>0</v>
      </c>
    </row>
    <row r="3917" spans="1:14" x14ac:dyDescent="0.2">
      <c r="A3917" s="5" t="str">
        <f>HYPERLINK("http://www.ncbi.nlm.nih.gov/protein/407262157","LOC100045148")</f>
        <v>LOC100045148</v>
      </c>
      <c r="B3917" s="4"/>
      <c r="C3917" s="3">
        <v>0</v>
      </c>
      <c r="D3917" s="3">
        <v>0</v>
      </c>
      <c r="E3917" s="3">
        <v>9</v>
      </c>
      <c r="F3917" s="3">
        <v>0</v>
      </c>
      <c r="G3917" s="3">
        <v>0</v>
      </c>
      <c r="H3917" s="2">
        <f t="shared" si="122"/>
        <v>9</v>
      </c>
      <c r="I3917" t="str">
        <f t="shared" si="123"/>
        <v>LOC100045148_9</v>
      </c>
      <c r="J3917" s="3">
        <v>0</v>
      </c>
      <c r="K3917" s="3">
        <v>0</v>
      </c>
      <c r="L3917" s="3">
        <v>9</v>
      </c>
      <c r="M3917" s="3">
        <v>0</v>
      </c>
      <c r="N3917" s="3">
        <v>0</v>
      </c>
    </row>
    <row r="3918" spans="1:14" x14ac:dyDescent="0.2">
      <c r="A3918" s="5" t="str">
        <f>HYPERLINK("http://www.ncbi.nlm.nih.gov/protein/309267107","LOC100045191")</f>
        <v>LOC100045191</v>
      </c>
      <c r="B3918" s="4"/>
      <c r="C3918" s="3">
        <v>2375993</v>
      </c>
      <c r="D3918" s="3">
        <v>0</v>
      </c>
      <c r="E3918" s="3">
        <v>0</v>
      </c>
      <c r="F3918" s="3">
        <v>0</v>
      </c>
      <c r="G3918" s="3">
        <v>0</v>
      </c>
      <c r="H3918" s="2">
        <f t="shared" si="122"/>
        <v>2375993</v>
      </c>
      <c r="I3918" t="str">
        <f t="shared" si="123"/>
        <v>LOC100045191_2375993</v>
      </c>
      <c r="J3918" s="3">
        <v>2375993</v>
      </c>
      <c r="K3918" s="3">
        <v>0</v>
      </c>
      <c r="L3918" s="3">
        <v>0</v>
      </c>
      <c r="M3918" s="3">
        <v>0</v>
      </c>
      <c r="N3918" s="3">
        <v>0</v>
      </c>
    </row>
    <row r="3919" spans="1:14" x14ac:dyDescent="0.2">
      <c r="A3919" s="5" t="str">
        <f>HYPERLINK("http://www.ncbi.nlm.nih.gov/protein/309267107;109134362","LOC100045191")</f>
        <v>LOC100045191</v>
      </c>
      <c r="B3919" s="4"/>
      <c r="C3919" s="3">
        <v>0</v>
      </c>
      <c r="D3919" s="3">
        <v>0</v>
      </c>
      <c r="E3919" s="3">
        <v>46681</v>
      </c>
      <c r="F3919" s="3">
        <v>0</v>
      </c>
      <c r="G3919" s="3">
        <v>0</v>
      </c>
      <c r="H3919" s="2">
        <f t="shared" si="122"/>
        <v>46681</v>
      </c>
      <c r="I3919" t="str">
        <f t="shared" si="123"/>
        <v>LOC100045191_46681</v>
      </c>
      <c r="J3919" s="3">
        <v>0</v>
      </c>
      <c r="K3919" s="3">
        <v>0</v>
      </c>
      <c r="L3919" s="3">
        <v>46681</v>
      </c>
      <c r="M3919" s="3">
        <v>0</v>
      </c>
      <c r="N3919" s="3">
        <v>0</v>
      </c>
    </row>
    <row r="3920" spans="1:14" x14ac:dyDescent="0.2">
      <c r="A3920" s="5" t="str">
        <f>HYPERLINK("http://www.ncbi.nlm.nih.gov/protein/309266688","LOC100045367")</f>
        <v>LOC100045367</v>
      </c>
      <c r="B3920" s="4"/>
      <c r="C3920" s="3">
        <v>172406</v>
      </c>
      <c r="D3920" s="3">
        <v>50</v>
      </c>
      <c r="E3920" s="3">
        <v>42910</v>
      </c>
      <c r="F3920" s="3">
        <v>1056</v>
      </c>
      <c r="G3920" s="3">
        <v>0</v>
      </c>
      <c r="H3920" s="2">
        <f t="shared" si="122"/>
        <v>216422</v>
      </c>
      <c r="I3920" t="str">
        <f t="shared" si="123"/>
        <v>LOC100045367_216422</v>
      </c>
      <c r="J3920" s="3">
        <v>172406</v>
      </c>
      <c r="K3920" s="3">
        <v>50</v>
      </c>
      <c r="L3920" s="3">
        <v>42910</v>
      </c>
      <c r="M3920" s="3">
        <v>1056</v>
      </c>
      <c r="N3920" s="3">
        <v>0</v>
      </c>
    </row>
    <row r="3921" spans="1:14" x14ac:dyDescent="0.2">
      <c r="A3921" s="5" t="str">
        <f>HYPERLINK("http://www.ncbi.nlm.nih.gov/protein/149274502","LOC100045688")</f>
        <v>LOC100045688</v>
      </c>
      <c r="B3921" s="4"/>
      <c r="C3921" s="3">
        <v>256</v>
      </c>
      <c r="D3921" s="3">
        <v>3092</v>
      </c>
      <c r="E3921" s="3">
        <v>0</v>
      </c>
      <c r="F3921" s="3">
        <v>0</v>
      </c>
      <c r="G3921" s="3">
        <v>2752</v>
      </c>
      <c r="H3921" s="2">
        <f t="shared" si="122"/>
        <v>6100</v>
      </c>
      <c r="I3921" t="str">
        <f t="shared" si="123"/>
        <v>LOC100045688_6100</v>
      </c>
      <c r="J3921" s="3">
        <v>256</v>
      </c>
      <c r="K3921" s="3">
        <v>3092</v>
      </c>
      <c r="L3921" s="3">
        <v>0</v>
      </c>
      <c r="M3921" s="3">
        <v>0</v>
      </c>
      <c r="N3921" s="3">
        <v>2752</v>
      </c>
    </row>
    <row r="3922" spans="1:14" x14ac:dyDescent="0.2">
      <c r="A3922" s="5" t="str">
        <f>HYPERLINK("http://www.ncbi.nlm.nih.gov/protein/149271901","LOC100045848")</f>
        <v>LOC100045848</v>
      </c>
      <c r="B3922" s="4"/>
      <c r="C3922" s="3">
        <v>9135</v>
      </c>
      <c r="D3922" s="3">
        <v>695</v>
      </c>
      <c r="E3922" s="3">
        <v>822</v>
      </c>
      <c r="F3922" s="3">
        <v>3446</v>
      </c>
      <c r="G3922" s="3">
        <v>2592</v>
      </c>
      <c r="H3922" s="2">
        <f t="shared" si="122"/>
        <v>16690</v>
      </c>
      <c r="I3922" t="str">
        <f t="shared" si="123"/>
        <v>LOC100045848_16690</v>
      </c>
      <c r="J3922" s="3">
        <v>9135</v>
      </c>
      <c r="K3922" s="3">
        <v>695</v>
      </c>
      <c r="L3922" s="3">
        <v>822</v>
      </c>
      <c r="M3922" s="3">
        <v>3446</v>
      </c>
      <c r="N3922" s="3">
        <v>2592</v>
      </c>
    </row>
    <row r="3923" spans="1:14" x14ac:dyDescent="0.2">
      <c r="A3923" s="5" t="str">
        <f>HYPERLINK("http://www.ncbi.nlm.nih.gov/protein/149251548","LOC100045901")</f>
        <v>LOC100045901</v>
      </c>
      <c r="B3923" s="4"/>
      <c r="C3923" s="3">
        <v>348</v>
      </c>
      <c r="D3923" s="3">
        <v>3810</v>
      </c>
      <c r="E3923" s="3">
        <v>5856</v>
      </c>
      <c r="F3923" s="3">
        <v>7318</v>
      </c>
      <c r="G3923" s="3">
        <v>35063</v>
      </c>
      <c r="H3923" s="2">
        <f t="shared" si="122"/>
        <v>52395</v>
      </c>
      <c r="I3923" t="str">
        <f t="shared" si="123"/>
        <v>LOC100045901_52395</v>
      </c>
      <c r="J3923" s="3">
        <v>348</v>
      </c>
      <c r="K3923" s="3">
        <v>3810</v>
      </c>
      <c r="L3923" s="3">
        <v>5856</v>
      </c>
      <c r="M3923" s="3">
        <v>7318</v>
      </c>
      <c r="N3923" s="3">
        <v>35063</v>
      </c>
    </row>
    <row r="3924" spans="1:14" x14ac:dyDescent="0.2">
      <c r="A3924" s="5" t="str">
        <f>HYPERLINK("http://www.ncbi.nlm.nih.gov/protein/149262068","LOC100045924")</f>
        <v>LOC100045924</v>
      </c>
      <c r="B3924" s="4"/>
      <c r="C3924" s="3">
        <v>348</v>
      </c>
      <c r="D3924" s="3">
        <v>572</v>
      </c>
      <c r="E3924" s="3">
        <v>199</v>
      </c>
      <c r="F3924" s="3">
        <v>0</v>
      </c>
      <c r="G3924" s="3">
        <v>1210</v>
      </c>
      <c r="H3924" s="2">
        <f t="shared" si="122"/>
        <v>2329</v>
      </c>
      <c r="I3924" t="str">
        <f t="shared" si="123"/>
        <v>LOC100045924_2329</v>
      </c>
      <c r="J3924" s="3">
        <v>348</v>
      </c>
      <c r="K3924" s="3">
        <v>572</v>
      </c>
      <c r="L3924" s="3">
        <v>199</v>
      </c>
      <c r="M3924" s="3">
        <v>0</v>
      </c>
      <c r="N3924" s="3">
        <v>1210</v>
      </c>
    </row>
    <row r="3925" spans="1:14" x14ac:dyDescent="0.2">
      <c r="A3925" s="5" t="str">
        <f>HYPERLINK("http://www.ncbi.nlm.nih.gov/protein/309267183","LOC100045968")</f>
        <v>LOC100045968</v>
      </c>
      <c r="B3925" s="4"/>
      <c r="C3925" s="3">
        <v>47193</v>
      </c>
      <c r="D3925" s="3">
        <v>1774</v>
      </c>
      <c r="E3925" s="3">
        <v>2802</v>
      </c>
      <c r="F3925" s="3">
        <v>7563</v>
      </c>
      <c r="G3925" s="3">
        <v>3277</v>
      </c>
      <c r="H3925" s="2">
        <f t="shared" si="122"/>
        <v>62609</v>
      </c>
      <c r="I3925" t="str">
        <f t="shared" si="123"/>
        <v>LOC100045968_62609</v>
      </c>
      <c r="J3925" s="3">
        <v>47193</v>
      </c>
      <c r="K3925" s="3">
        <v>1774</v>
      </c>
      <c r="L3925" s="3">
        <v>2802</v>
      </c>
      <c r="M3925" s="3">
        <v>7563</v>
      </c>
      <c r="N3925" s="3">
        <v>3277</v>
      </c>
    </row>
    <row r="3926" spans="1:14" x14ac:dyDescent="0.2">
      <c r="A3926" s="5" t="str">
        <f>HYPERLINK("http://www.ncbi.nlm.nih.gov/protein/149260287","LOC100045999")</f>
        <v>LOC100045999</v>
      </c>
      <c r="B3926" s="4"/>
      <c r="C3926" s="3">
        <v>391383</v>
      </c>
      <c r="D3926" s="3">
        <v>56557</v>
      </c>
      <c r="E3926" s="3">
        <v>67174</v>
      </c>
      <c r="F3926" s="3">
        <v>115498</v>
      </c>
      <c r="G3926" s="3">
        <v>1182297</v>
      </c>
      <c r="H3926" s="2">
        <f t="shared" si="122"/>
        <v>1812909</v>
      </c>
      <c r="I3926" t="str">
        <f t="shared" si="123"/>
        <v>LOC100045999_1812909</v>
      </c>
      <c r="J3926" s="3">
        <v>391383</v>
      </c>
      <c r="K3926" s="3">
        <v>56557</v>
      </c>
      <c r="L3926" s="3">
        <v>67174</v>
      </c>
      <c r="M3926" s="3">
        <v>115498</v>
      </c>
      <c r="N3926" s="3">
        <v>1182297</v>
      </c>
    </row>
    <row r="3927" spans="1:14" x14ac:dyDescent="0.2">
      <c r="A3927" s="5" t="str">
        <f>HYPERLINK("http://www.ncbi.nlm.nih.gov/protein/407262677","LOC100046048")</f>
        <v>LOC100046048</v>
      </c>
      <c r="B3927" s="4"/>
      <c r="C3927" s="3">
        <v>0</v>
      </c>
      <c r="D3927" s="3">
        <v>0</v>
      </c>
      <c r="E3927" s="3">
        <v>0</v>
      </c>
      <c r="F3927" s="3">
        <v>278</v>
      </c>
      <c r="G3927" s="3">
        <v>0</v>
      </c>
      <c r="H3927" s="2">
        <f t="shared" si="122"/>
        <v>278</v>
      </c>
      <c r="I3927" t="str">
        <f t="shared" si="123"/>
        <v>LOC100046048_278</v>
      </c>
      <c r="J3927" s="3">
        <v>0</v>
      </c>
      <c r="K3927" s="3">
        <v>0</v>
      </c>
      <c r="L3927" s="3">
        <v>0</v>
      </c>
      <c r="M3927" s="3">
        <v>278</v>
      </c>
      <c r="N3927" s="3">
        <v>0</v>
      </c>
    </row>
    <row r="3928" spans="1:14" x14ac:dyDescent="0.2">
      <c r="A3928" s="5" t="str">
        <f>HYPERLINK("http://www.ncbi.nlm.nih.gov/protein/149263037","LOC100046079")</f>
        <v>LOC100046079</v>
      </c>
      <c r="B3928" s="4"/>
      <c r="C3928" s="3">
        <v>46497</v>
      </c>
      <c r="D3928" s="3">
        <v>19111</v>
      </c>
      <c r="E3928" s="3">
        <v>1636</v>
      </c>
      <c r="F3928" s="3">
        <v>0</v>
      </c>
      <c r="G3928" s="3">
        <v>0</v>
      </c>
      <c r="H3928" s="2">
        <f t="shared" si="122"/>
        <v>67244</v>
      </c>
      <c r="I3928" t="str">
        <f t="shared" si="123"/>
        <v>LOC100046079_67244</v>
      </c>
      <c r="J3928" s="3">
        <v>46497</v>
      </c>
      <c r="K3928" s="3">
        <v>19111</v>
      </c>
      <c r="L3928" s="3">
        <v>1636</v>
      </c>
      <c r="M3928" s="3">
        <v>0</v>
      </c>
      <c r="N3928" s="3">
        <v>0</v>
      </c>
    </row>
    <row r="3929" spans="1:14" x14ac:dyDescent="0.2">
      <c r="A3929" s="5" t="str">
        <f>HYPERLINK("http://www.ncbi.nlm.nih.gov/protein/149258501","LOC100046151")</f>
        <v>LOC100046151</v>
      </c>
      <c r="B3929" s="4"/>
      <c r="C3929" s="3">
        <v>2506789</v>
      </c>
      <c r="D3929" s="3">
        <v>256530</v>
      </c>
      <c r="E3929" s="3">
        <v>67557</v>
      </c>
      <c r="F3929" s="3">
        <v>6999</v>
      </c>
      <c r="G3929" s="3">
        <v>0</v>
      </c>
      <c r="H3929" s="2">
        <f t="shared" si="122"/>
        <v>2837875</v>
      </c>
      <c r="I3929" t="str">
        <f t="shared" si="123"/>
        <v>LOC100046151_2837875</v>
      </c>
      <c r="J3929" s="3">
        <v>2506789</v>
      </c>
      <c r="K3929" s="3">
        <v>256530</v>
      </c>
      <c r="L3929" s="3">
        <v>67557</v>
      </c>
      <c r="M3929" s="3">
        <v>6999</v>
      </c>
      <c r="N3929" s="3">
        <v>0</v>
      </c>
    </row>
    <row r="3930" spans="1:14" x14ac:dyDescent="0.2">
      <c r="A3930" s="5" t="str">
        <f>HYPERLINK("http://www.ncbi.nlm.nih.gov/protein/407261592","LOC100046151")</f>
        <v>LOC100046151</v>
      </c>
      <c r="B3930" s="4"/>
      <c r="C3930" s="3">
        <v>2506789</v>
      </c>
      <c r="D3930" s="3">
        <v>256530</v>
      </c>
      <c r="E3930" s="3">
        <v>67452</v>
      </c>
      <c r="F3930" s="3">
        <v>6999</v>
      </c>
      <c r="G3930" s="3">
        <v>0</v>
      </c>
      <c r="H3930" s="2">
        <f t="shared" si="122"/>
        <v>2837770</v>
      </c>
      <c r="I3930" t="str">
        <f t="shared" si="123"/>
        <v>LOC100046151_2837770</v>
      </c>
      <c r="J3930" s="3">
        <v>2506789</v>
      </c>
      <c r="K3930" s="3">
        <v>256530</v>
      </c>
      <c r="L3930" s="3">
        <v>67452</v>
      </c>
      <c r="M3930" s="3">
        <v>6999</v>
      </c>
      <c r="N3930" s="3">
        <v>0</v>
      </c>
    </row>
    <row r="3931" spans="1:14" x14ac:dyDescent="0.2">
      <c r="A3931" s="5" t="str">
        <f>HYPERLINK("http://www.ncbi.nlm.nih.gov/protein/407261594","LOC100046151")</f>
        <v>LOC100046151</v>
      </c>
      <c r="B3931" s="4"/>
      <c r="C3931" s="3">
        <v>276531</v>
      </c>
      <c r="D3931" s="3">
        <v>55071</v>
      </c>
      <c r="E3931" s="3">
        <v>6051</v>
      </c>
      <c r="F3931" s="3">
        <v>49</v>
      </c>
      <c r="G3931" s="3">
        <v>0</v>
      </c>
      <c r="H3931" s="2">
        <f t="shared" si="122"/>
        <v>337702</v>
      </c>
      <c r="I3931" t="str">
        <f t="shared" si="123"/>
        <v>LOC100046151_337702</v>
      </c>
      <c r="J3931" s="3">
        <v>276531</v>
      </c>
      <c r="K3931" s="3">
        <v>55071</v>
      </c>
      <c r="L3931" s="3">
        <v>6051</v>
      </c>
      <c r="M3931" s="3">
        <v>49</v>
      </c>
      <c r="N3931" s="3">
        <v>0</v>
      </c>
    </row>
    <row r="3932" spans="1:14" x14ac:dyDescent="0.2">
      <c r="A3932" s="5" t="str">
        <f>HYPERLINK("http://www.ncbi.nlm.nih.gov/protein/149254294","LOC100046223")</f>
        <v>LOC100046223</v>
      </c>
      <c r="B3932" s="4"/>
      <c r="C3932" s="3">
        <v>604</v>
      </c>
      <c r="D3932" s="3">
        <v>2042</v>
      </c>
      <c r="E3932" s="3">
        <v>10066</v>
      </c>
      <c r="F3932" s="3">
        <v>54082</v>
      </c>
      <c r="G3932" s="3">
        <v>0</v>
      </c>
      <c r="H3932" s="2">
        <f t="shared" si="122"/>
        <v>66794</v>
      </c>
      <c r="I3932" t="str">
        <f t="shared" si="123"/>
        <v>LOC100046223_66794</v>
      </c>
      <c r="J3932" s="3">
        <v>604</v>
      </c>
      <c r="K3932" s="3">
        <v>2042</v>
      </c>
      <c r="L3932" s="3">
        <v>10066</v>
      </c>
      <c r="M3932" s="3">
        <v>54082</v>
      </c>
      <c r="N3932" s="3">
        <v>0</v>
      </c>
    </row>
    <row r="3933" spans="1:14" x14ac:dyDescent="0.2">
      <c r="A3933" s="5" t="str">
        <f>HYPERLINK("http://www.ncbi.nlm.nih.gov/protein/407261929","LOC100046289")</f>
        <v>LOC100046289</v>
      </c>
      <c r="B3933" s="4"/>
      <c r="C3933" s="3">
        <v>1043</v>
      </c>
      <c r="D3933" s="3">
        <v>159</v>
      </c>
      <c r="E3933" s="3">
        <v>657</v>
      </c>
      <c r="F3933" s="3">
        <v>753</v>
      </c>
      <c r="G3933" s="3">
        <v>450</v>
      </c>
      <c r="H3933" s="2">
        <f t="shared" si="122"/>
        <v>3062</v>
      </c>
      <c r="I3933" t="str">
        <f t="shared" si="123"/>
        <v>LOC100046289_3062</v>
      </c>
      <c r="J3933" s="3">
        <v>1043</v>
      </c>
      <c r="K3933" s="3">
        <v>159</v>
      </c>
      <c r="L3933" s="3">
        <v>657</v>
      </c>
      <c r="M3933" s="3">
        <v>753</v>
      </c>
      <c r="N3933" s="3">
        <v>450</v>
      </c>
    </row>
    <row r="3934" spans="1:14" x14ac:dyDescent="0.2">
      <c r="A3934" s="5" t="str">
        <f>HYPERLINK("http://www.ncbi.nlm.nih.gov/protein/149267077","LOC100046297")</f>
        <v>LOC100046297</v>
      </c>
      <c r="B3934" s="4"/>
      <c r="C3934" s="3">
        <v>96198</v>
      </c>
      <c r="D3934" s="3">
        <v>6899</v>
      </c>
      <c r="E3934" s="3">
        <v>138393</v>
      </c>
      <c r="F3934" s="3">
        <v>142494</v>
      </c>
      <c r="G3934" s="3">
        <v>214</v>
      </c>
      <c r="H3934" s="2">
        <f t="shared" si="122"/>
        <v>384198</v>
      </c>
      <c r="I3934" t="str">
        <f t="shared" si="123"/>
        <v>LOC100046297_384198</v>
      </c>
      <c r="J3934" s="3">
        <v>96198</v>
      </c>
      <c r="K3934" s="3">
        <v>6899</v>
      </c>
      <c r="L3934" s="3">
        <v>138393</v>
      </c>
      <c r="M3934" s="3">
        <v>142494</v>
      </c>
      <c r="N3934" s="3">
        <v>214</v>
      </c>
    </row>
    <row r="3935" spans="1:14" x14ac:dyDescent="0.2">
      <c r="A3935" s="5" t="str">
        <f>HYPERLINK("http://www.ncbi.nlm.nih.gov/protein/149251776","LOC100046628")</f>
        <v>LOC100046628</v>
      </c>
      <c r="B3935" s="4"/>
      <c r="C3935" s="3">
        <v>298113</v>
      </c>
      <c r="D3935" s="3">
        <v>2662</v>
      </c>
      <c r="E3935" s="3">
        <v>63071</v>
      </c>
      <c r="F3935" s="3">
        <v>169097</v>
      </c>
      <c r="G3935" s="3">
        <v>49639</v>
      </c>
      <c r="H3935" s="2">
        <f t="shared" si="122"/>
        <v>582582</v>
      </c>
      <c r="I3935" t="str">
        <f t="shared" si="123"/>
        <v>LOC100046628_582582</v>
      </c>
      <c r="J3935" s="3">
        <v>298113</v>
      </c>
      <c r="K3935" s="3">
        <v>2662</v>
      </c>
      <c r="L3935" s="3">
        <v>63071</v>
      </c>
      <c r="M3935" s="3">
        <v>169097</v>
      </c>
      <c r="N3935" s="3">
        <v>49639</v>
      </c>
    </row>
    <row r="3936" spans="1:14" x14ac:dyDescent="0.2">
      <c r="A3936" s="5" t="str">
        <f>HYPERLINK("http://www.ncbi.nlm.nih.gov/protein/149274885","LOC100046684")</f>
        <v>LOC100046684</v>
      </c>
      <c r="B3936" s="4"/>
      <c r="C3936" s="3">
        <v>50561</v>
      </c>
      <c r="D3936" s="3">
        <v>10031</v>
      </c>
      <c r="E3936" s="3">
        <v>0</v>
      </c>
      <c r="F3936" s="3">
        <v>0</v>
      </c>
      <c r="G3936" s="3">
        <v>203</v>
      </c>
      <c r="H3936" s="2">
        <f t="shared" si="122"/>
        <v>60795</v>
      </c>
      <c r="I3936" t="str">
        <f t="shared" si="123"/>
        <v>LOC100046684_60795</v>
      </c>
      <c r="J3936" s="3">
        <v>50561</v>
      </c>
      <c r="K3936" s="3">
        <v>10031</v>
      </c>
      <c r="L3936" s="3">
        <v>0</v>
      </c>
      <c r="M3936" s="3">
        <v>0</v>
      </c>
      <c r="N3936" s="3">
        <v>203</v>
      </c>
    </row>
    <row r="3937" spans="1:14" x14ac:dyDescent="0.2">
      <c r="A3937" s="5" t="str">
        <f>HYPERLINK("http://www.ncbi.nlm.nih.gov/protein/149274887","LOC100046684")</f>
        <v>LOC100046684</v>
      </c>
      <c r="B3937" s="4"/>
      <c r="C3937" s="3">
        <v>39541</v>
      </c>
      <c r="D3937" s="3">
        <v>4071</v>
      </c>
      <c r="E3937" s="3">
        <v>0</v>
      </c>
      <c r="F3937" s="3">
        <v>0</v>
      </c>
      <c r="G3937" s="3">
        <v>203</v>
      </c>
      <c r="H3937" s="2">
        <f t="shared" si="122"/>
        <v>43815</v>
      </c>
      <c r="I3937" t="str">
        <f t="shared" si="123"/>
        <v>LOC100046684_43815</v>
      </c>
      <c r="J3937" s="3">
        <v>39541</v>
      </c>
      <c r="K3937" s="3">
        <v>4071</v>
      </c>
      <c r="L3937" s="3">
        <v>0</v>
      </c>
      <c r="M3937" s="3">
        <v>0</v>
      </c>
      <c r="N3937" s="3">
        <v>203</v>
      </c>
    </row>
    <row r="3938" spans="1:14" x14ac:dyDescent="0.2">
      <c r="A3938" s="5" t="str">
        <f>HYPERLINK("http://www.ncbi.nlm.nih.gov/protein/309266230","LOC100047252")</f>
        <v>LOC100047252</v>
      </c>
      <c r="B3938" s="4"/>
      <c r="C3938" s="3">
        <v>34489</v>
      </c>
      <c r="D3938" s="3">
        <v>8112</v>
      </c>
      <c r="E3938" s="3">
        <v>66872</v>
      </c>
      <c r="F3938" s="3">
        <v>81127</v>
      </c>
      <c r="G3938" s="3">
        <v>633424</v>
      </c>
      <c r="H3938" s="2">
        <f t="shared" si="122"/>
        <v>824024</v>
      </c>
      <c r="I3938" t="str">
        <f t="shared" si="123"/>
        <v>LOC100047252_824024</v>
      </c>
      <c r="J3938" s="3">
        <v>34489</v>
      </c>
      <c r="K3938" s="3">
        <v>8112</v>
      </c>
      <c r="L3938" s="3">
        <v>66872</v>
      </c>
      <c r="M3938" s="3">
        <v>81127</v>
      </c>
      <c r="N3938" s="3">
        <v>633424</v>
      </c>
    </row>
    <row r="3939" spans="1:14" x14ac:dyDescent="0.2">
      <c r="A3939" s="5" t="str">
        <f>HYPERLINK("http://www.ncbi.nlm.nih.gov/protein/149251053","LOC100047429")</f>
        <v>LOC100047429</v>
      </c>
      <c r="B3939" s="4"/>
      <c r="C3939" s="3">
        <v>202391</v>
      </c>
      <c r="D3939" s="3">
        <v>0</v>
      </c>
      <c r="E3939" s="3">
        <v>0</v>
      </c>
      <c r="F3939" s="3">
        <v>0</v>
      </c>
      <c r="G3939" s="3">
        <v>0</v>
      </c>
      <c r="H3939" s="2">
        <f t="shared" si="122"/>
        <v>202391</v>
      </c>
      <c r="I3939" t="str">
        <f t="shared" si="123"/>
        <v>LOC100047429_202391</v>
      </c>
      <c r="J3939" s="3">
        <v>202391</v>
      </c>
      <c r="K3939" s="3">
        <v>0</v>
      </c>
      <c r="L3939" s="3">
        <v>0</v>
      </c>
      <c r="M3939" s="3">
        <v>0</v>
      </c>
      <c r="N3939" s="3">
        <v>0</v>
      </c>
    </row>
    <row r="3940" spans="1:14" x14ac:dyDescent="0.2">
      <c r="A3940" s="5" t="str">
        <f>HYPERLINK("http://www.ncbi.nlm.nih.gov/protein/149251053;20070412","LOC100047429")</f>
        <v>LOC100047429</v>
      </c>
      <c r="B3940" s="4"/>
      <c r="C3940" s="3">
        <v>0</v>
      </c>
      <c r="D3940" s="3">
        <v>0</v>
      </c>
      <c r="E3940" s="3">
        <v>15246</v>
      </c>
      <c r="F3940" s="3">
        <v>0</v>
      </c>
      <c r="G3940" s="3">
        <v>0</v>
      </c>
      <c r="H3940" s="2">
        <f t="shared" si="122"/>
        <v>15246</v>
      </c>
      <c r="I3940" t="str">
        <f t="shared" si="123"/>
        <v>LOC100047429_15246</v>
      </c>
      <c r="J3940" s="3">
        <v>0</v>
      </c>
      <c r="K3940" s="3">
        <v>0</v>
      </c>
      <c r="L3940" s="3">
        <v>15246</v>
      </c>
      <c r="M3940" s="3">
        <v>0</v>
      </c>
      <c r="N3940" s="3">
        <v>0</v>
      </c>
    </row>
    <row r="3941" spans="1:14" x14ac:dyDescent="0.2">
      <c r="A3941" s="5" t="str">
        <f>HYPERLINK("http://www.ncbi.nlm.nih.gov/protein/309264668","LOC100047518")</f>
        <v>LOC100047518</v>
      </c>
      <c r="B3941" s="4"/>
      <c r="C3941" s="3">
        <v>9336</v>
      </c>
      <c r="D3941" s="3">
        <v>726</v>
      </c>
      <c r="E3941" s="3">
        <v>1831</v>
      </c>
      <c r="F3941" s="3">
        <v>966</v>
      </c>
      <c r="G3941" s="3">
        <v>1039</v>
      </c>
      <c r="H3941" s="2">
        <f t="shared" si="122"/>
        <v>13898</v>
      </c>
      <c r="I3941" t="str">
        <f t="shared" si="123"/>
        <v>LOC100047518_13898</v>
      </c>
      <c r="J3941" s="3">
        <v>9336</v>
      </c>
      <c r="K3941" s="3">
        <v>726</v>
      </c>
      <c r="L3941" s="3">
        <v>1831</v>
      </c>
      <c r="M3941" s="3">
        <v>966</v>
      </c>
      <c r="N3941" s="3">
        <v>1039</v>
      </c>
    </row>
    <row r="3942" spans="1:14" x14ac:dyDescent="0.2">
      <c r="A3942" s="5" t="str">
        <f>HYPERLINK("http://www.ncbi.nlm.nih.gov/protein/407262733","LOC100047577")</f>
        <v>LOC100047577</v>
      </c>
      <c r="B3942" s="4"/>
      <c r="C3942" s="3">
        <v>127520</v>
      </c>
      <c r="D3942" s="3">
        <v>1994</v>
      </c>
      <c r="E3942" s="3">
        <v>7296</v>
      </c>
      <c r="F3942" s="3">
        <v>9160</v>
      </c>
      <c r="G3942" s="3">
        <v>396</v>
      </c>
      <c r="H3942" s="2">
        <f t="shared" si="122"/>
        <v>146366</v>
      </c>
      <c r="I3942" t="str">
        <f t="shared" si="123"/>
        <v>LOC100047577_146366</v>
      </c>
      <c r="J3942" s="3">
        <v>127520</v>
      </c>
      <c r="K3942" s="3">
        <v>1994</v>
      </c>
      <c r="L3942" s="3">
        <v>7296</v>
      </c>
      <c r="M3942" s="3">
        <v>9160</v>
      </c>
      <c r="N3942" s="3">
        <v>396</v>
      </c>
    </row>
    <row r="3943" spans="1:14" x14ac:dyDescent="0.2">
      <c r="A3943" s="5" t="str">
        <f>HYPERLINK("http://www.ncbi.nlm.nih.gov/protein/149261435","LOC100047658")</f>
        <v>LOC100047658</v>
      </c>
      <c r="B3943" s="4"/>
      <c r="C3943" s="3">
        <v>824</v>
      </c>
      <c r="D3943" s="3">
        <v>4709</v>
      </c>
      <c r="E3943" s="3">
        <v>15744</v>
      </c>
      <c r="F3943" s="3">
        <v>21594</v>
      </c>
      <c r="G3943" s="3">
        <v>11631</v>
      </c>
      <c r="H3943" s="2">
        <f t="shared" si="122"/>
        <v>54502</v>
      </c>
      <c r="I3943" t="str">
        <f t="shared" si="123"/>
        <v>LOC100047658_54502</v>
      </c>
      <c r="J3943" s="3">
        <v>824</v>
      </c>
      <c r="K3943" s="3">
        <v>4709</v>
      </c>
      <c r="L3943" s="3">
        <v>15744</v>
      </c>
      <c r="M3943" s="3">
        <v>21594</v>
      </c>
      <c r="N3943" s="3">
        <v>11631</v>
      </c>
    </row>
    <row r="3944" spans="1:14" x14ac:dyDescent="0.2">
      <c r="A3944" s="5" t="str">
        <f>HYPERLINK("http://www.ncbi.nlm.nih.gov/protein/407262563","LOC100047753")</f>
        <v>LOC100047753</v>
      </c>
      <c r="B3944" s="4"/>
      <c r="C3944" s="3">
        <v>2325</v>
      </c>
      <c r="D3944" s="3">
        <v>39707</v>
      </c>
      <c r="E3944" s="3">
        <v>48114</v>
      </c>
      <c r="F3944" s="3">
        <v>113657</v>
      </c>
      <c r="G3944" s="3">
        <v>233928</v>
      </c>
      <c r="H3944" s="2">
        <f t="shared" si="122"/>
        <v>437731</v>
      </c>
      <c r="I3944" t="str">
        <f t="shared" si="123"/>
        <v>LOC100047753_437731</v>
      </c>
      <c r="J3944" s="3">
        <v>2325</v>
      </c>
      <c r="K3944" s="3">
        <v>39707</v>
      </c>
      <c r="L3944" s="3">
        <v>48114</v>
      </c>
      <c r="M3944" s="3">
        <v>113657</v>
      </c>
      <c r="N3944" s="3">
        <v>233928</v>
      </c>
    </row>
    <row r="3945" spans="1:14" x14ac:dyDescent="0.2">
      <c r="A3945" s="5" t="str">
        <f>HYPERLINK("http://www.ncbi.nlm.nih.gov/protein/149240955","LOC100047957")</f>
        <v>LOC100047957</v>
      </c>
      <c r="B3945" s="4"/>
      <c r="C3945" s="3">
        <v>1373</v>
      </c>
      <c r="D3945" s="3">
        <v>2156</v>
      </c>
      <c r="E3945" s="3">
        <v>4412</v>
      </c>
      <c r="F3945" s="3">
        <v>76944</v>
      </c>
      <c r="G3945" s="3">
        <v>29826</v>
      </c>
      <c r="H3945" s="2">
        <f t="shared" si="122"/>
        <v>114711</v>
      </c>
      <c r="I3945" t="str">
        <f t="shared" si="123"/>
        <v>LOC100047957_114711</v>
      </c>
      <c r="J3945" s="3">
        <v>1373</v>
      </c>
      <c r="K3945" s="3">
        <v>2156</v>
      </c>
      <c r="L3945" s="3">
        <v>4412</v>
      </c>
      <c r="M3945" s="3">
        <v>76944</v>
      </c>
      <c r="N3945" s="3">
        <v>29826</v>
      </c>
    </row>
    <row r="3946" spans="1:14" x14ac:dyDescent="0.2">
      <c r="A3946" s="5" t="str">
        <f>HYPERLINK("http://www.ncbi.nlm.nih.gov/protein/407261725","LOC100048117")</f>
        <v>LOC100048117</v>
      </c>
      <c r="B3946" s="4"/>
      <c r="C3946" s="3">
        <v>2241974</v>
      </c>
      <c r="D3946" s="3">
        <v>202040</v>
      </c>
      <c r="E3946" s="3">
        <v>497027</v>
      </c>
      <c r="F3946" s="3">
        <v>1366760</v>
      </c>
      <c r="G3946" s="3">
        <v>2739930</v>
      </c>
      <c r="H3946" s="2">
        <f t="shared" si="122"/>
        <v>7047731</v>
      </c>
      <c r="I3946" t="str">
        <f t="shared" si="123"/>
        <v>LOC100048117_7047731</v>
      </c>
      <c r="J3946" s="3">
        <v>2241974</v>
      </c>
      <c r="K3946" s="3">
        <v>202040</v>
      </c>
      <c r="L3946" s="3">
        <v>497027</v>
      </c>
      <c r="M3946" s="3">
        <v>1366760</v>
      </c>
      <c r="N3946" s="3">
        <v>2739930</v>
      </c>
    </row>
    <row r="3947" spans="1:14" x14ac:dyDescent="0.2">
      <c r="A3947" s="5" t="str">
        <f>HYPERLINK("http://www.ncbi.nlm.nih.gov/protein/407261373","LOC100048119")</f>
        <v>LOC100048119</v>
      </c>
      <c r="B3947" s="4"/>
      <c r="C3947" s="3">
        <v>55742</v>
      </c>
      <c r="D3947" s="3">
        <v>8177</v>
      </c>
      <c r="E3947" s="3">
        <v>24266</v>
      </c>
      <c r="F3947" s="3">
        <v>52183</v>
      </c>
      <c r="G3947" s="3">
        <v>163513</v>
      </c>
      <c r="H3947" s="2">
        <f t="shared" si="122"/>
        <v>303881</v>
      </c>
      <c r="I3947" t="str">
        <f t="shared" si="123"/>
        <v>LOC100048119_303881</v>
      </c>
      <c r="J3947" s="3">
        <v>55742</v>
      </c>
      <c r="K3947" s="3">
        <v>8177</v>
      </c>
      <c r="L3947" s="3">
        <v>24266</v>
      </c>
      <c r="M3947" s="3">
        <v>52183</v>
      </c>
      <c r="N3947" s="3">
        <v>163513</v>
      </c>
    </row>
    <row r="3948" spans="1:14" x14ac:dyDescent="0.2">
      <c r="A3948" s="5" t="str">
        <f>HYPERLINK("http://www.ncbi.nlm.nih.gov/protein/377834168","LOC100048410")</f>
        <v>LOC100048410</v>
      </c>
      <c r="B3948" s="4"/>
      <c r="C3948" s="3">
        <v>8512</v>
      </c>
      <c r="D3948" s="3">
        <v>2</v>
      </c>
      <c r="E3948" s="3">
        <v>5100</v>
      </c>
      <c r="F3948" s="3">
        <v>0</v>
      </c>
      <c r="G3948" s="3">
        <v>0</v>
      </c>
      <c r="H3948" s="2">
        <f t="shared" si="122"/>
        <v>13614</v>
      </c>
      <c r="I3948" t="str">
        <f t="shared" si="123"/>
        <v>LOC100048410_13614</v>
      </c>
      <c r="J3948" s="3">
        <v>8512</v>
      </c>
      <c r="K3948" s="3">
        <v>2</v>
      </c>
      <c r="L3948" s="3">
        <v>5100</v>
      </c>
      <c r="M3948" s="3">
        <v>0</v>
      </c>
      <c r="N3948" s="3">
        <v>0</v>
      </c>
    </row>
    <row r="3949" spans="1:14" x14ac:dyDescent="0.2">
      <c r="A3949" s="5" t="str">
        <f>HYPERLINK("http://www.ncbi.nlm.nih.gov/protein/149255796","LOC100048447")</f>
        <v>LOC100048447</v>
      </c>
      <c r="B3949" s="4"/>
      <c r="C3949" s="3">
        <v>0</v>
      </c>
      <c r="D3949" s="3">
        <v>0</v>
      </c>
      <c r="E3949" s="3">
        <v>0</v>
      </c>
      <c r="F3949" s="3">
        <v>0</v>
      </c>
      <c r="G3949" s="3">
        <v>2945</v>
      </c>
      <c r="H3949" s="2">
        <f t="shared" si="122"/>
        <v>2945</v>
      </c>
      <c r="I3949" t="str">
        <f t="shared" si="123"/>
        <v>LOC100048447_2945</v>
      </c>
      <c r="J3949" s="3">
        <v>0</v>
      </c>
      <c r="K3949" s="3">
        <v>0</v>
      </c>
      <c r="L3949" s="3">
        <v>0</v>
      </c>
      <c r="M3949" s="3">
        <v>0</v>
      </c>
      <c r="N3949" s="3">
        <v>2945</v>
      </c>
    </row>
    <row r="3950" spans="1:14" x14ac:dyDescent="0.2">
      <c r="A3950" s="5" t="str">
        <f>HYPERLINK("http://www.ncbi.nlm.nih.gov/protein/407261032","LOC100048613")</f>
        <v>LOC100048613</v>
      </c>
      <c r="B3950" s="4"/>
      <c r="C3950" s="3">
        <v>0</v>
      </c>
      <c r="D3950" s="3">
        <v>14617</v>
      </c>
      <c r="E3950" s="3">
        <v>237</v>
      </c>
      <c r="F3950" s="3">
        <v>0</v>
      </c>
      <c r="G3950" s="3">
        <v>0</v>
      </c>
      <c r="H3950" s="2">
        <f t="shared" si="122"/>
        <v>14854</v>
      </c>
      <c r="I3950" t="str">
        <f t="shared" si="123"/>
        <v>LOC100048613_14854</v>
      </c>
      <c r="J3950" s="3">
        <v>0</v>
      </c>
      <c r="K3950" s="3">
        <v>14617</v>
      </c>
      <c r="L3950" s="3">
        <v>237</v>
      </c>
      <c r="M3950" s="3">
        <v>0</v>
      </c>
      <c r="N3950" s="3">
        <v>0</v>
      </c>
    </row>
    <row r="3951" spans="1:14" x14ac:dyDescent="0.2">
      <c r="A3951" s="5" t="str">
        <f>HYPERLINK("http://www.ncbi.nlm.nih.gov/protein/309267068","LOC100048629")</f>
        <v>LOC100048629</v>
      </c>
      <c r="B3951" s="4"/>
      <c r="C3951" s="3">
        <v>0</v>
      </c>
      <c r="D3951" s="3">
        <v>0</v>
      </c>
      <c r="E3951" s="3">
        <v>31</v>
      </c>
      <c r="F3951" s="3">
        <v>0</v>
      </c>
      <c r="G3951" s="3">
        <v>0</v>
      </c>
      <c r="H3951" s="2">
        <f t="shared" si="122"/>
        <v>31</v>
      </c>
      <c r="I3951" t="str">
        <f t="shared" si="123"/>
        <v>LOC100048629_31</v>
      </c>
      <c r="J3951" s="3">
        <v>0</v>
      </c>
      <c r="K3951" s="3">
        <v>0</v>
      </c>
      <c r="L3951" s="3">
        <v>31</v>
      </c>
      <c r="M3951" s="3">
        <v>0</v>
      </c>
      <c r="N3951" s="3">
        <v>0</v>
      </c>
    </row>
    <row r="3952" spans="1:14" x14ac:dyDescent="0.2">
      <c r="A3952" s="5" t="str">
        <f>HYPERLINK("http://www.ncbi.nlm.nih.gov/protein/407262004","LOC100503047")</f>
        <v>LOC100503047</v>
      </c>
      <c r="B3952" s="4"/>
      <c r="C3952" s="3">
        <v>494</v>
      </c>
      <c r="D3952" s="3">
        <v>253</v>
      </c>
      <c r="E3952" s="3">
        <v>5242</v>
      </c>
      <c r="F3952" s="3">
        <v>6090</v>
      </c>
      <c r="G3952" s="3">
        <v>750</v>
      </c>
      <c r="H3952" s="2">
        <f t="shared" si="122"/>
        <v>12829</v>
      </c>
      <c r="I3952" t="str">
        <f t="shared" si="123"/>
        <v>LOC100503047_12829</v>
      </c>
      <c r="J3952" s="3">
        <v>494</v>
      </c>
      <c r="K3952" s="3">
        <v>253</v>
      </c>
      <c r="L3952" s="3">
        <v>5242</v>
      </c>
      <c r="M3952" s="3">
        <v>6090</v>
      </c>
      <c r="N3952" s="3">
        <v>750</v>
      </c>
    </row>
    <row r="3953" spans="1:14" x14ac:dyDescent="0.2">
      <c r="A3953" s="5" t="str">
        <f>HYPERLINK("http://www.ncbi.nlm.nih.gov/protein/309264158","LOC100503055")</f>
        <v>LOC100503055</v>
      </c>
      <c r="B3953" s="4"/>
      <c r="C3953" s="3">
        <v>28997</v>
      </c>
      <c r="D3953" s="3">
        <v>3282</v>
      </c>
      <c r="E3953" s="3">
        <v>16454</v>
      </c>
      <c r="F3953" s="3">
        <v>77296</v>
      </c>
      <c r="G3953" s="3">
        <v>0</v>
      </c>
      <c r="H3953" s="2">
        <f t="shared" si="122"/>
        <v>126029</v>
      </c>
      <c r="I3953" t="str">
        <f t="shared" si="123"/>
        <v>LOC100503055_126029</v>
      </c>
      <c r="J3953" s="3">
        <v>28997</v>
      </c>
      <c r="K3953" s="3">
        <v>3282</v>
      </c>
      <c r="L3953" s="3">
        <v>16454</v>
      </c>
      <c r="M3953" s="3">
        <v>77296</v>
      </c>
      <c r="N3953" s="3">
        <v>0</v>
      </c>
    </row>
    <row r="3954" spans="1:14" x14ac:dyDescent="0.2">
      <c r="A3954" s="5" t="str">
        <f>HYPERLINK("http://www.ncbi.nlm.nih.gov/protein/309267076","LOC100503180")</f>
        <v>LOC100503180</v>
      </c>
      <c r="B3954" s="4"/>
      <c r="C3954" s="3">
        <v>0</v>
      </c>
      <c r="D3954" s="3">
        <v>420</v>
      </c>
      <c r="E3954" s="3">
        <v>757</v>
      </c>
      <c r="F3954" s="3">
        <v>5525</v>
      </c>
      <c r="G3954" s="3">
        <v>6169</v>
      </c>
      <c r="H3954" s="2">
        <f t="shared" si="122"/>
        <v>12871</v>
      </c>
      <c r="I3954" t="str">
        <f t="shared" si="123"/>
        <v>LOC100503180_12871</v>
      </c>
      <c r="J3954" s="3">
        <v>0</v>
      </c>
      <c r="K3954" s="3">
        <v>420</v>
      </c>
      <c r="L3954" s="3">
        <v>757</v>
      </c>
      <c r="M3954" s="3">
        <v>5525</v>
      </c>
      <c r="N3954" s="3">
        <v>6169</v>
      </c>
    </row>
    <row r="3955" spans="1:14" x14ac:dyDescent="0.2">
      <c r="A3955" s="5" t="str">
        <f>HYPERLINK("http://www.ncbi.nlm.nih.gov/protein/309264728","LOC100503217")</f>
        <v>LOC100503217</v>
      </c>
      <c r="B3955" s="4"/>
      <c r="C3955" s="3">
        <v>0</v>
      </c>
      <c r="D3955" s="3">
        <v>144</v>
      </c>
      <c r="E3955" s="3">
        <v>1348</v>
      </c>
      <c r="F3955" s="3">
        <v>6663</v>
      </c>
      <c r="G3955" s="3">
        <v>0</v>
      </c>
      <c r="H3955" s="2">
        <f t="shared" si="122"/>
        <v>8155</v>
      </c>
      <c r="I3955" t="str">
        <f t="shared" si="123"/>
        <v>LOC100503217_8155</v>
      </c>
      <c r="J3955" s="3">
        <v>0</v>
      </c>
      <c r="K3955" s="3">
        <v>144</v>
      </c>
      <c r="L3955" s="3">
        <v>1348</v>
      </c>
      <c r="M3955" s="3">
        <v>6663</v>
      </c>
      <c r="N3955" s="3">
        <v>0</v>
      </c>
    </row>
    <row r="3956" spans="1:14" x14ac:dyDescent="0.2">
      <c r="A3956" s="5" t="str">
        <f>HYPERLINK("http://www.ncbi.nlm.nih.gov/protein/309265521","LOC100503235")</f>
        <v>LOC100503235</v>
      </c>
      <c r="B3956" s="4"/>
      <c r="C3956" s="3">
        <v>0</v>
      </c>
      <c r="D3956" s="3">
        <v>278</v>
      </c>
      <c r="E3956" s="3">
        <v>76</v>
      </c>
      <c r="F3956" s="3">
        <v>0</v>
      </c>
      <c r="G3956" s="3">
        <v>2003</v>
      </c>
      <c r="H3956" s="2">
        <f t="shared" si="122"/>
        <v>2357</v>
      </c>
      <c r="I3956" t="str">
        <f t="shared" si="123"/>
        <v>LOC100503235_2357</v>
      </c>
      <c r="J3956" s="3">
        <v>0</v>
      </c>
      <c r="K3956" s="3">
        <v>278</v>
      </c>
      <c r="L3956" s="3">
        <v>76</v>
      </c>
      <c r="M3956" s="3">
        <v>0</v>
      </c>
      <c r="N3956" s="3">
        <v>2003</v>
      </c>
    </row>
    <row r="3957" spans="1:14" x14ac:dyDescent="0.2">
      <c r="A3957" s="5" t="str">
        <f>HYPERLINK("http://www.ncbi.nlm.nih.gov/protein/377833219","LOC100503822")</f>
        <v>LOC100503822</v>
      </c>
      <c r="B3957" s="4"/>
      <c r="C3957" s="3">
        <v>0</v>
      </c>
      <c r="D3957" s="3">
        <v>3933</v>
      </c>
      <c r="E3957" s="3">
        <v>464</v>
      </c>
      <c r="F3957" s="3">
        <v>851</v>
      </c>
      <c r="G3957" s="3">
        <v>0</v>
      </c>
      <c r="H3957" s="2">
        <f t="shared" si="122"/>
        <v>5248</v>
      </c>
      <c r="I3957" t="str">
        <f t="shared" si="123"/>
        <v>LOC100503822_5248</v>
      </c>
      <c r="J3957" s="3">
        <v>0</v>
      </c>
      <c r="K3957" s="3">
        <v>3933</v>
      </c>
      <c r="L3957" s="3">
        <v>464</v>
      </c>
      <c r="M3957" s="3">
        <v>851</v>
      </c>
      <c r="N3957" s="3">
        <v>0</v>
      </c>
    </row>
    <row r="3958" spans="1:14" x14ac:dyDescent="0.2">
      <c r="A3958" s="5" t="str">
        <f>HYPERLINK("http://www.ncbi.nlm.nih.gov/protein/309265677","LOC100504817")</f>
        <v>LOC100504817</v>
      </c>
      <c r="B3958" s="4"/>
      <c r="C3958" s="3">
        <v>157889</v>
      </c>
      <c r="D3958" s="3">
        <v>34381</v>
      </c>
      <c r="E3958" s="3">
        <v>58325</v>
      </c>
      <c r="F3958" s="3">
        <v>58404</v>
      </c>
      <c r="G3958" s="3">
        <v>47475</v>
      </c>
      <c r="H3958" s="2">
        <f t="shared" si="122"/>
        <v>356474</v>
      </c>
      <c r="I3958" t="str">
        <f t="shared" si="123"/>
        <v>LOC100504817_356474</v>
      </c>
      <c r="J3958" s="3">
        <v>157889</v>
      </c>
      <c r="K3958" s="3">
        <v>34381</v>
      </c>
      <c r="L3958" s="3">
        <v>58325</v>
      </c>
      <c r="M3958" s="3">
        <v>58404</v>
      </c>
      <c r="N3958" s="3">
        <v>47475</v>
      </c>
    </row>
    <row r="3959" spans="1:14" x14ac:dyDescent="0.2">
      <c r="A3959" s="5" t="str">
        <f>HYPERLINK("http://www.ncbi.nlm.nih.gov/protein/309265792","LOC100504863")</f>
        <v>LOC100504863</v>
      </c>
      <c r="B3959" s="4"/>
      <c r="C3959" s="3">
        <v>87246</v>
      </c>
      <c r="D3959" s="3">
        <v>5897</v>
      </c>
      <c r="E3959" s="3">
        <v>29764</v>
      </c>
      <c r="F3959" s="3">
        <v>20284</v>
      </c>
      <c r="G3959" s="3">
        <v>4691</v>
      </c>
      <c r="H3959" s="2">
        <f t="shared" si="122"/>
        <v>147882</v>
      </c>
      <c r="I3959" t="str">
        <f t="shared" si="123"/>
        <v>LOC100504863_147882</v>
      </c>
      <c r="J3959" s="3">
        <v>87246</v>
      </c>
      <c r="K3959" s="3">
        <v>5897</v>
      </c>
      <c r="L3959" s="3">
        <v>29764</v>
      </c>
      <c r="M3959" s="3">
        <v>20284</v>
      </c>
      <c r="N3959" s="3">
        <v>4691</v>
      </c>
    </row>
    <row r="3960" spans="1:14" x14ac:dyDescent="0.2">
      <c r="A3960" s="5" t="str">
        <f>HYPERLINK("http://www.ncbi.nlm.nih.gov/protein/309263511","LOC100504872")</f>
        <v>LOC100504872</v>
      </c>
      <c r="B3960" s="4"/>
      <c r="C3960" s="3">
        <v>112234</v>
      </c>
      <c r="D3960" s="3">
        <v>8705</v>
      </c>
      <c r="E3960" s="3">
        <v>69910</v>
      </c>
      <c r="F3960" s="3">
        <v>112437</v>
      </c>
      <c r="G3960" s="3">
        <v>0</v>
      </c>
      <c r="H3960" s="2">
        <f t="shared" si="122"/>
        <v>303286</v>
      </c>
      <c r="I3960" t="str">
        <f t="shared" si="123"/>
        <v>LOC100504872_303286</v>
      </c>
      <c r="J3960" s="3">
        <v>112234</v>
      </c>
      <c r="K3960" s="3">
        <v>8705</v>
      </c>
      <c r="L3960" s="3">
        <v>69910</v>
      </c>
      <c r="M3960" s="3">
        <v>112437</v>
      </c>
      <c r="N3960" s="3">
        <v>0</v>
      </c>
    </row>
    <row r="3961" spans="1:14" x14ac:dyDescent="0.2">
      <c r="A3961" s="5" t="str">
        <f>HYPERLINK("http://www.ncbi.nlm.nih.gov/protein/309265053","LOC100504912")</f>
        <v>LOC100504912</v>
      </c>
      <c r="B3961" s="4"/>
      <c r="C3961" s="3">
        <v>45985</v>
      </c>
      <c r="D3961" s="3">
        <v>9782</v>
      </c>
      <c r="E3961" s="3">
        <v>3107</v>
      </c>
      <c r="F3961" s="3">
        <v>393</v>
      </c>
      <c r="G3961" s="3">
        <v>0</v>
      </c>
      <c r="H3961" s="2">
        <f t="shared" si="122"/>
        <v>59267</v>
      </c>
      <c r="I3961" t="str">
        <f t="shared" si="123"/>
        <v>LOC100504912_59267</v>
      </c>
      <c r="J3961" s="3">
        <v>45985</v>
      </c>
      <c r="K3961" s="3">
        <v>9782</v>
      </c>
      <c r="L3961" s="3">
        <v>3107</v>
      </c>
      <c r="M3961" s="3">
        <v>393</v>
      </c>
      <c r="N3961" s="3">
        <v>0</v>
      </c>
    </row>
    <row r="3962" spans="1:14" x14ac:dyDescent="0.2">
      <c r="A3962" s="5" t="str">
        <f>HYPERLINK("http://www.ncbi.nlm.nih.gov/protein/309266753","LOC100504959")</f>
        <v>LOC100504959</v>
      </c>
      <c r="B3962" s="4"/>
      <c r="C3962" s="3">
        <v>0</v>
      </c>
      <c r="D3962" s="3">
        <v>0</v>
      </c>
      <c r="E3962" s="3">
        <v>183</v>
      </c>
      <c r="F3962" s="3">
        <v>360</v>
      </c>
      <c r="G3962" s="3">
        <v>0</v>
      </c>
      <c r="H3962" s="2">
        <f t="shared" si="122"/>
        <v>543</v>
      </c>
      <c r="I3962" t="str">
        <f t="shared" si="123"/>
        <v>LOC100504959_543</v>
      </c>
      <c r="J3962" s="3">
        <v>0</v>
      </c>
      <c r="K3962" s="3">
        <v>0</v>
      </c>
      <c r="L3962" s="3">
        <v>183</v>
      </c>
      <c r="M3962" s="3">
        <v>360</v>
      </c>
      <c r="N3962" s="3">
        <v>0</v>
      </c>
    </row>
    <row r="3963" spans="1:14" x14ac:dyDescent="0.2">
      <c r="A3963" s="5" t="str">
        <f>HYPERLINK("http://www.ncbi.nlm.nih.gov/protein/309265938","LOC100504968")</f>
        <v>LOC100504968</v>
      </c>
      <c r="B3963" s="4"/>
      <c r="C3963" s="3">
        <v>6114</v>
      </c>
      <c r="D3963" s="3">
        <v>2923</v>
      </c>
      <c r="E3963" s="3">
        <v>31</v>
      </c>
      <c r="F3963" s="3">
        <v>0</v>
      </c>
      <c r="G3963" s="3">
        <v>0</v>
      </c>
      <c r="H3963" s="2">
        <f t="shared" si="122"/>
        <v>9068</v>
      </c>
      <c r="I3963" t="str">
        <f t="shared" si="123"/>
        <v>LOC100504968_9068</v>
      </c>
      <c r="J3963" s="3">
        <v>6114</v>
      </c>
      <c r="K3963" s="3">
        <v>2923</v>
      </c>
      <c r="L3963" s="3">
        <v>31</v>
      </c>
      <c r="M3963" s="3">
        <v>0</v>
      </c>
      <c r="N3963" s="3">
        <v>0</v>
      </c>
    </row>
    <row r="3964" spans="1:14" x14ac:dyDescent="0.2">
      <c r="A3964" s="5" t="str">
        <f>HYPERLINK("http://www.ncbi.nlm.nih.gov/protein/309264544","LOC100504988")</f>
        <v>LOC100504988</v>
      </c>
      <c r="B3964" s="4"/>
      <c r="C3964" s="3">
        <v>934</v>
      </c>
      <c r="D3964" s="3">
        <v>528</v>
      </c>
      <c r="E3964" s="3">
        <v>1826</v>
      </c>
      <c r="F3964" s="3">
        <v>5247</v>
      </c>
      <c r="G3964" s="3">
        <v>1017</v>
      </c>
      <c r="H3964" s="2">
        <f t="shared" si="122"/>
        <v>9552</v>
      </c>
      <c r="I3964" t="str">
        <f t="shared" si="123"/>
        <v>LOC100504988_9552</v>
      </c>
      <c r="J3964" s="3">
        <v>934</v>
      </c>
      <c r="K3964" s="3">
        <v>528</v>
      </c>
      <c r="L3964" s="3">
        <v>1826</v>
      </c>
      <c r="M3964" s="3">
        <v>5247</v>
      </c>
      <c r="N3964" s="3">
        <v>1017</v>
      </c>
    </row>
    <row r="3965" spans="1:14" x14ac:dyDescent="0.2">
      <c r="A3965" s="5" t="str">
        <f>HYPERLINK("http://www.ncbi.nlm.nih.gov/protein/309266758","LOC100505014")</f>
        <v>LOC100505014</v>
      </c>
      <c r="B3965" s="4"/>
      <c r="C3965" s="3">
        <v>54881</v>
      </c>
      <c r="D3965" s="3">
        <v>424</v>
      </c>
      <c r="E3965" s="3">
        <v>16844</v>
      </c>
      <c r="F3965" s="3">
        <v>9675</v>
      </c>
      <c r="G3965" s="3">
        <v>0</v>
      </c>
      <c r="H3965" s="2">
        <f t="shared" si="122"/>
        <v>81824</v>
      </c>
      <c r="I3965" t="str">
        <f t="shared" si="123"/>
        <v>LOC100505014_81824</v>
      </c>
      <c r="J3965" s="3">
        <v>54881</v>
      </c>
      <c r="K3965" s="3">
        <v>424</v>
      </c>
      <c r="L3965" s="3">
        <v>16844</v>
      </c>
      <c r="M3965" s="3">
        <v>9675</v>
      </c>
      <c r="N3965" s="3">
        <v>0</v>
      </c>
    </row>
    <row r="3966" spans="1:14" x14ac:dyDescent="0.2">
      <c r="A3966" s="5" t="str">
        <f>HYPERLINK("http://www.ncbi.nlm.nih.gov/protein/309264022","LOC100505031")</f>
        <v>LOC100505031</v>
      </c>
      <c r="B3966" s="4"/>
      <c r="C3966" s="3">
        <v>455088</v>
      </c>
      <c r="D3966" s="3">
        <v>67475</v>
      </c>
      <c r="E3966" s="3">
        <v>457722</v>
      </c>
      <c r="F3966" s="3">
        <v>774371</v>
      </c>
      <c r="G3966" s="3">
        <v>31539</v>
      </c>
      <c r="H3966" s="2">
        <f t="shared" si="122"/>
        <v>1786195</v>
      </c>
      <c r="I3966" t="str">
        <f t="shared" si="123"/>
        <v>LOC100505031_1786195</v>
      </c>
      <c r="J3966" s="3">
        <v>455088</v>
      </c>
      <c r="K3966" s="3">
        <v>67475</v>
      </c>
      <c r="L3966" s="3">
        <v>457722</v>
      </c>
      <c r="M3966" s="3">
        <v>774371</v>
      </c>
      <c r="N3966" s="3">
        <v>31539</v>
      </c>
    </row>
    <row r="3967" spans="1:14" x14ac:dyDescent="0.2">
      <c r="A3967" s="5" t="str">
        <f>HYPERLINK("http://www.ncbi.nlm.nih.gov/protein/309265361","LOC100505283")</f>
        <v>LOC100505283</v>
      </c>
      <c r="B3967" s="4"/>
      <c r="C3967" s="3">
        <v>73096</v>
      </c>
      <c r="D3967" s="3">
        <v>26511</v>
      </c>
      <c r="E3967" s="3">
        <v>75005</v>
      </c>
      <c r="F3967" s="3">
        <v>93561</v>
      </c>
      <c r="G3967" s="3">
        <v>0</v>
      </c>
      <c r="H3967" s="2">
        <f t="shared" si="122"/>
        <v>268173</v>
      </c>
      <c r="I3967" t="str">
        <f t="shared" si="123"/>
        <v>LOC100505283_268173</v>
      </c>
      <c r="J3967" s="3">
        <v>73096</v>
      </c>
      <c r="K3967" s="3">
        <v>26511</v>
      </c>
      <c r="L3967" s="3">
        <v>75005</v>
      </c>
      <c r="M3967" s="3">
        <v>93561</v>
      </c>
      <c r="N3967" s="3">
        <v>0</v>
      </c>
    </row>
    <row r="3968" spans="1:14" x14ac:dyDescent="0.2">
      <c r="A3968" s="5" t="str">
        <f>HYPERLINK("http://www.ncbi.nlm.nih.gov/protein/377835354","LOC100861685")</f>
        <v>LOC100861685</v>
      </c>
      <c r="B3968" s="4"/>
      <c r="C3968" s="3">
        <v>5455</v>
      </c>
      <c r="D3968" s="3">
        <v>29517</v>
      </c>
      <c r="E3968" s="3">
        <v>79646</v>
      </c>
      <c r="F3968" s="3">
        <v>329493</v>
      </c>
      <c r="G3968" s="3">
        <v>0</v>
      </c>
      <c r="H3968" s="2">
        <f t="shared" si="122"/>
        <v>444111</v>
      </c>
      <c r="I3968" t="str">
        <f t="shared" si="123"/>
        <v>LOC100861685_444111</v>
      </c>
      <c r="J3968" s="3">
        <v>5455</v>
      </c>
      <c r="K3968" s="3">
        <v>29517</v>
      </c>
      <c r="L3968" s="3">
        <v>79646</v>
      </c>
      <c r="M3968" s="3">
        <v>329493</v>
      </c>
      <c r="N3968" s="3">
        <v>0</v>
      </c>
    </row>
    <row r="3969" spans="1:14" x14ac:dyDescent="0.2">
      <c r="A3969" s="5" t="str">
        <f>HYPERLINK("http://www.ncbi.nlm.nih.gov/protein/377834995","LOC100861784")</f>
        <v>LOC100861784</v>
      </c>
      <c r="B3969" s="4"/>
      <c r="C3969" s="3">
        <v>0</v>
      </c>
      <c r="D3969" s="3">
        <v>1632</v>
      </c>
      <c r="E3969" s="3">
        <v>5142</v>
      </c>
      <c r="F3969" s="3">
        <v>2546</v>
      </c>
      <c r="G3969" s="3">
        <v>20841</v>
      </c>
      <c r="H3969" s="2">
        <f t="shared" si="122"/>
        <v>30161</v>
      </c>
      <c r="I3969" t="str">
        <f t="shared" si="123"/>
        <v>LOC100861784_30161</v>
      </c>
      <c r="J3969" s="3">
        <v>0</v>
      </c>
      <c r="K3969" s="3">
        <v>1632</v>
      </c>
      <c r="L3969" s="3">
        <v>5142</v>
      </c>
      <c r="M3969" s="3">
        <v>2546</v>
      </c>
      <c r="N3969" s="3">
        <v>20841</v>
      </c>
    </row>
    <row r="3970" spans="1:14" x14ac:dyDescent="0.2">
      <c r="A3970" s="5" t="str">
        <f>HYPERLINK("http://www.ncbi.nlm.nih.gov/protein/407263800","LOC100861898")</f>
        <v>LOC100861898</v>
      </c>
      <c r="B3970" s="4"/>
      <c r="C3970" s="3">
        <v>494</v>
      </c>
      <c r="D3970" s="3">
        <v>2202</v>
      </c>
      <c r="E3970" s="3">
        <v>15977</v>
      </c>
      <c r="F3970" s="3">
        <v>12778</v>
      </c>
      <c r="G3970" s="3">
        <v>1971</v>
      </c>
      <c r="H3970" s="2">
        <f t="shared" ref="H3970:H4033" si="124">SUM(C3970:G3970)</f>
        <v>33422</v>
      </c>
      <c r="I3970" t="str">
        <f t="shared" ref="I3970:I4033" si="125">A3970&amp;"_"&amp;H3970</f>
        <v>LOC100861898_33422</v>
      </c>
      <c r="J3970" s="3">
        <v>494</v>
      </c>
      <c r="K3970" s="3">
        <v>2202</v>
      </c>
      <c r="L3970" s="3">
        <v>15977</v>
      </c>
      <c r="M3970" s="3">
        <v>12778</v>
      </c>
      <c r="N3970" s="3">
        <v>1971</v>
      </c>
    </row>
    <row r="3971" spans="1:14" x14ac:dyDescent="0.2">
      <c r="A3971" s="5" t="str">
        <f>HYPERLINK("http://www.ncbi.nlm.nih.gov/protein/377833741","LOC100861945")</f>
        <v>LOC100861945</v>
      </c>
      <c r="B3971" s="4"/>
      <c r="C3971" s="3">
        <v>0</v>
      </c>
      <c r="D3971" s="3">
        <v>0</v>
      </c>
      <c r="E3971" s="3">
        <v>1210</v>
      </c>
      <c r="F3971" s="3">
        <v>0</v>
      </c>
      <c r="G3971" s="3">
        <v>0</v>
      </c>
      <c r="H3971" s="2">
        <f t="shared" si="124"/>
        <v>1210</v>
      </c>
      <c r="I3971" t="str">
        <f t="shared" si="125"/>
        <v>LOC100861945_1210</v>
      </c>
      <c r="J3971" s="3">
        <v>0</v>
      </c>
      <c r="K3971" s="3">
        <v>0</v>
      </c>
      <c r="L3971" s="3">
        <v>1210</v>
      </c>
      <c r="M3971" s="3">
        <v>0</v>
      </c>
      <c r="N3971" s="3">
        <v>0</v>
      </c>
    </row>
    <row r="3972" spans="1:14" x14ac:dyDescent="0.2">
      <c r="A3972" s="5" t="str">
        <f>HYPERLINK("http://www.ncbi.nlm.nih.gov/protein/377835119","LOC100861947")</f>
        <v>LOC100861947</v>
      </c>
      <c r="B3972" s="4"/>
      <c r="C3972" s="3">
        <v>0</v>
      </c>
      <c r="D3972" s="3">
        <v>2325</v>
      </c>
      <c r="E3972" s="3">
        <v>6446</v>
      </c>
      <c r="F3972" s="3">
        <v>18696</v>
      </c>
      <c r="G3972" s="3">
        <v>4937</v>
      </c>
      <c r="H3972" s="2">
        <f t="shared" si="124"/>
        <v>32404</v>
      </c>
      <c r="I3972" t="str">
        <f t="shared" si="125"/>
        <v>LOC100861947_32404</v>
      </c>
      <c r="J3972" s="3">
        <v>0</v>
      </c>
      <c r="K3972" s="3">
        <v>2325</v>
      </c>
      <c r="L3972" s="3">
        <v>6446</v>
      </c>
      <c r="M3972" s="3">
        <v>18696</v>
      </c>
      <c r="N3972" s="3">
        <v>4937</v>
      </c>
    </row>
    <row r="3973" spans="1:14" x14ac:dyDescent="0.2">
      <c r="A3973" s="5" t="str">
        <f>HYPERLINK("http://www.ncbi.nlm.nih.gov/protein/377834422","LOC100862012")</f>
        <v>LOC100862012</v>
      </c>
      <c r="B3973" s="4"/>
      <c r="C3973" s="3">
        <v>113278</v>
      </c>
      <c r="D3973" s="3">
        <v>97339</v>
      </c>
      <c r="E3973" s="3">
        <v>81978</v>
      </c>
      <c r="F3973" s="3">
        <v>502070</v>
      </c>
      <c r="G3973" s="3">
        <v>353703</v>
      </c>
      <c r="H3973" s="2">
        <f t="shared" si="124"/>
        <v>1148368</v>
      </c>
      <c r="I3973" t="str">
        <f t="shared" si="125"/>
        <v>LOC100862012_1148368</v>
      </c>
      <c r="J3973" s="3">
        <v>113278</v>
      </c>
      <c r="K3973" s="3">
        <v>97339</v>
      </c>
      <c r="L3973" s="3">
        <v>81978</v>
      </c>
      <c r="M3973" s="3">
        <v>502070</v>
      </c>
      <c r="N3973" s="3">
        <v>353703</v>
      </c>
    </row>
    <row r="3974" spans="1:14" x14ac:dyDescent="0.2">
      <c r="A3974" s="5" t="str">
        <f>HYPERLINK("http://www.ncbi.nlm.nih.gov/protein/377834028","LOC100862066")</f>
        <v>LOC100862066</v>
      </c>
      <c r="B3974" s="4"/>
      <c r="C3974" s="3">
        <v>0</v>
      </c>
      <c r="D3974" s="3">
        <v>0</v>
      </c>
      <c r="E3974" s="3">
        <v>645</v>
      </c>
      <c r="F3974" s="3">
        <v>5615</v>
      </c>
      <c r="G3974" s="3">
        <v>0</v>
      </c>
      <c r="H3974" s="2">
        <f t="shared" si="124"/>
        <v>6260</v>
      </c>
      <c r="I3974" t="str">
        <f t="shared" si="125"/>
        <v>LOC100862066_6260</v>
      </c>
      <c r="J3974" s="3">
        <v>0</v>
      </c>
      <c r="K3974" s="3">
        <v>0</v>
      </c>
      <c r="L3974" s="3">
        <v>645</v>
      </c>
      <c r="M3974" s="3">
        <v>5615</v>
      </c>
      <c r="N3974" s="3">
        <v>0</v>
      </c>
    </row>
    <row r="3975" spans="1:14" x14ac:dyDescent="0.2">
      <c r="A3975" s="5" t="str">
        <f>HYPERLINK("http://www.ncbi.nlm.nih.gov/protein/377837112","LOC100862431")</f>
        <v>LOC100862431</v>
      </c>
      <c r="B3975" s="4"/>
      <c r="C3975" s="3">
        <v>0</v>
      </c>
      <c r="D3975" s="3">
        <v>0</v>
      </c>
      <c r="E3975" s="3">
        <v>234</v>
      </c>
      <c r="F3975" s="3">
        <v>0</v>
      </c>
      <c r="G3975" s="3">
        <v>0</v>
      </c>
      <c r="H3975" s="2">
        <f t="shared" si="124"/>
        <v>234</v>
      </c>
      <c r="I3975" t="str">
        <f t="shared" si="125"/>
        <v>LOC100862431_234</v>
      </c>
      <c r="J3975" s="3">
        <v>0</v>
      </c>
      <c r="K3975" s="3">
        <v>0</v>
      </c>
      <c r="L3975" s="3">
        <v>234</v>
      </c>
      <c r="M3975" s="3">
        <v>0</v>
      </c>
      <c r="N3975" s="3">
        <v>0</v>
      </c>
    </row>
    <row r="3976" spans="1:14" x14ac:dyDescent="0.2">
      <c r="A3976" s="5" t="str">
        <f>HYPERLINK("http://www.ncbi.nlm.nih.gov/protein/377837104","LOC100862433")</f>
        <v>LOC100862433</v>
      </c>
      <c r="B3976" s="4"/>
      <c r="C3976" s="3">
        <v>270178</v>
      </c>
      <c r="D3976" s="3">
        <v>93529</v>
      </c>
      <c r="E3976" s="3">
        <v>200324</v>
      </c>
      <c r="F3976" s="3">
        <v>629396</v>
      </c>
      <c r="G3976" s="3">
        <v>0</v>
      </c>
      <c r="H3976" s="2">
        <f t="shared" si="124"/>
        <v>1193427</v>
      </c>
      <c r="I3976" t="str">
        <f t="shared" si="125"/>
        <v>LOC100862433_1193427</v>
      </c>
      <c r="J3976" s="3">
        <v>270178</v>
      </c>
      <c r="K3976" s="3">
        <v>93529</v>
      </c>
      <c r="L3976" s="3">
        <v>200324</v>
      </c>
      <c r="M3976" s="3">
        <v>629396</v>
      </c>
      <c r="N3976" s="3">
        <v>0</v>
      </c>
    </row>
    <row r="3977" spans="1:14" x14ac:dyDescent="0.2">
      <c r="A3977" s="5" t="str">
        <f>HYPERLINK("http://www.ncbi.nlm.nih.gov/protein/377837120","LOC100862435")</f>
        <v>LOC100862435</v>
      </c>
      <c r="B3977" s="4"/>
      <c r="C3977" s="3">
        <v>0</v>
      </c>
      <c r="D3977" s="3">
        <v>0</v>
      </c>
      <c r="E3977" s="3">
        <v>234</v>
      </c>
      <c r="F3977" s="3">
        <v>0</v>
      </c>
      <c r="G3977" s="3">
        <v>0</v>
      </c>
      <c r="H3977" s="2">
        <f t="shared" si="124"/>
        <v>234</v>
      </c>
      <c r="I3977" t="str">
        <f t="shared" si="125"/>
        <v>LOC100862435_234</v>
      </c>
      <c r="J3977" s="3">
        <v>0</v>
      </c>
      <c r="K3977" s="3">
        <v>0</v>
      </c>
      <c r="L3977" s="3">
        <v>234</v>
      </c>
      <c r="M3977" s="3">
        <v>0</v>
      </c>
      <c r="N3977" s="3">
        <v>0</v>
      </c>
    </row>
    <row r="3978" spans="1:14" x14ac:dyDescent="0.2">
      <c r="A3978" s="5" t="str">
        <f>HYPERLINK("http://www.ncbi.nlm.nih.gov/protein/377837231","LOC100862445")</f>
        <v>LOC100862445</v>
      </c>
      <c r="B3978" s="4"/>
      <c r="C3978" s="3">
        <v>677</v>
      </c>
      <c r="D3978" s="3">
        <v>507</v>
      </c>
      <c r="E3978" s="3">
        <v>18394</v>
      </c>
      <c r="F3978" s="3">
        <v>2890</v>
      </c>
      <c r="G3978" s="3">
        <v>2892</v>
      </c>
      <c r="H3978" s="2">
        <f t="shared" si="124"/>
        <v>25360</v>
      </c>
      <c r="I3978" t="str">
        <f t="shared" si="125"/>
        <v>LOC100862445_25360</v>
      </c>
      <c r="J3978" s="3">
        <v>677</v>
      </c>
      <c r="K3978" s="3">
        <v>507</v>
      </c>
      <c r="L3978" s="3">
        <v>18394</v>
      </c>
      <c r="M3978" s="3">
        <v>2890</v>
      </c>
      <c r="N3978" s="3">
        <v>2892</v>
      </c>
    </row>
    <row r="3979" spans="1:14" x14ac:dyDescent="0.2">
      <c r="A3979" s="5" t="str">
        <f>HYPERLINK("http://www.ncbi.nlm.nih.gov/protein/407262755","LOC100862445")</f>
        <v>LOC100862445</v>
      </c>
      <c r="B3979" s="4"/>
      <c r="C3979" s="3">
        <v>677</v>
      </c>
      <c r="D3979" s="3">
        <v>507</v>
      </c>
      <c r="E3979" s="3">
        <v>18394</v>
      </c>
      <c r="F3979" s="3">
        <v>2890</v>
      </c>
      <c r="G3979" s="3">
        <v>2892</v>
      </c>
      <c r="H3979" s="2">
        <f t="shared" si="124"/>
        <v>25360</v>
      </c>
      <c r="I3979" t="str">
        <f t="shared" si="125"/>
        <v>LOC100862445_25360</v>
      </c>
      <c r="J3979" s="3">
        <v>677</v>
      </c>
      <c r="K3979" s="3">
        <v>507</v>
      </c>
      <c r="L3979" s="3">
        <v>18394</v>
      </c>
      <c r="M3979" s="3">
        <v>2890</v>
      </c>
      <c r="N3979" s="3">
        <v>2892</v>
      </c>
    </row>
    <row r="3980" spans="1:14" x14ac:dyDescent="0.2">
      <c r="A3980" s="5" t="str">
        <f>HYPERLINK("http://www.ncbi.nlm.nih.gov/protein/407264599","LOC100862446")</f>
        <v>LOC100862446</v>
      </c>
      <c r="B3980" s="4"/>
      <c r="C3980" s="3">
        <v>681386</v>
      </c>
      <c r="D3980" s="3">
        <v>104436</v>
      </c>
      <c r="E3980" s="3">
        <v>103466</v>
      </c>
      <c r="F3980" s="3">
        <v>583745</v>
      </c>
      <c r="G3980" s="3">
        <v>106988</v>
      </c>
      <c r="H3980" s="2">
        <f t="shared" si="124"/>
        <v>1580021</v>
      </c>
      <c r="I3980" t="str">
        <f t="shared" si="125"/>
        <v>LOC100862446_1580021</v>
      </c>
      <c r="J3980" s="3">
        <v>681386</v>
      </c>
      <c r="K3980" s="3">
        <v>104436</v>
      </c>
      <c r="L3980" s="3">
        <v>103466</v>
      </c>
      <c r="M3980" s="3">
        <v>583745</v>
      </c>
      <c r="N3980" s="3">
        <v>106988</v>
      </c>
    </row>
    <row r="3981" spans="1:14" x14ac:dyDescent="0.2">
      <c r="A3981" s="5" t="str">
        <f>HYPERLINK("http://www.ncbi.nlm.nih.gov/protein/377834725","LOC100862447")</f>
        <v>LOC100862447</v>
      </c>
      <c r="B3981" s="4"/>
      <c r="C3981" s="3">
        <v>0</v>
      </c>
      <c r="D3981" s="3">
        <v>0</v>
      </c>
      <c r="E3981" s="3">
        <v>234</v>
      </c>
      <c r="F3981" s="3">
        <v>0</v>
      </c>
      <c r="G3981" s="3">
        <v>0</v>
      </c>
      <c r="H3981" s="2">
        <f t="shared" si="124"/>
        <v>234</v>
      </c>
      <c r="I3981" t="str">
        <f t="shared" si="125"/>
        <v>LOC100862447_234</v>
      </c>
      <c r="J3981" s="3">
        <v>0</v>
      </c>
      <c r="K3981" s="3">
        <v>0</v>
      </c>
      <c r="L3981" s="3">
        <v>234</v>
      </c>
      <c r="M3981" s="3">
        <v>0</v>
      </c>
      <c r="N3981" s="3">
        <v>0</v>
      </c>
    </row>
    <row r="3982" spans="1:14" x14ac:dyDescent="0.2">
      <c r="A3982" s="5" t="str">
        <f>HYPERLINK("http://www.ncbi.nlm.nih.gov/protein/407262287","LOC100862455")</f>
        <v>LOC100862455</v>
      </c>
      <c r="B3982" s="4"/>
      <c r="C3982" s="3">
        <v>54039</v>
      </c>
      <c r="D3982" s="3">
        <v>12181</v>
      </c>
      <c r="E3982" s="3">
        <v>41274</v>
      </c>
      <c r="F3982" s="3">
        <v>75487</v>
      </c>
      <c r="G3982" s="3">
        <v>1649</v>
      </c>
      <c r="H3982" s="2">
        <f t="shared" si="124"/>
        <v>184630</v>
      </c>
      <c r="I3982" t="str">
        <f t="shared" si="125"/>
        <v>LOC100862455_184630</v>
      </c>
      <c r="J3982" s="3">
        <v>54039</v>
      </c>
      <c r="K3982" s="3">
        <v>12181</v>
      </c>
      <c r="L3982" s="3">
        <v>41274</v>
      </c>
      <c r="M3982" s="3">
        <v>75487</v>
      </c>
      <c r="N3982" s="3">
        <v>1649</v>
      </c>
    </row>
    <row r="3983" spans="1:14" x14ac:dyDescent="0.2">
      <c r="A3983" s="5" t="str">
        <f>HYPERLINK("http://www.ncbi.nlm.nih.gov/protein/377837185","LOC100862468")</f>
        <v>LOC100862468</v>
      </c>
      <c r="B3983" s="4"/>
      <c r="C3983" s="3">
        <v>106724</v>
      </c>
      <c r="D3983" s="3">
        <v>1833</v>
      </c>
      <c r="E3983" s="3">
        <v>5559</v>
      </c>
      <c r="F3983" s="3">
        <v>16150</v>
      </c>
      <c r="G3983" s="3">
        <v>5365</v>
      </c>
      <c r="H3983" s="2">
        <f t="shared" si="124"/>
        <v>135631</v>
      </c>
      <c r="I3983" t="str">
        <f t="shared" si="125"/>
        <v>LOC100862468_135631</v>
      </c>
      <c r="J3983" s="3">
        <v>106724</v>
      </c>
      <c r="K3983" s="3">
        <v>1833</v>
      </c>
      <c r="L3983" s="3">
        <v>5559</v>
      </c>
      <c r="M3983" s="3">
        <v>16150</v>
      </c>
      <c r="N3983" s="3">
        <v>5365</v>
      </c>
    </row>
    <row r="3984" spans="1:14" x14ac:dyDescent="0.2">
      <c r="A3984" s="5" t="str">
        <f>HYPERLINK("http://www.ncbi.nlm.nih.gov/protein/407261291","LOC100862515")</f>
        <v>LOC100862515</v>
      </c>
      <c r="B3984" s="4"/>
      <c r="C3984" s="3">
        <v>0</v>
      </c>
      <c r="D3984" s="3">
        <v>365</v>
      </c>
      <c r="E3984" s="3">
        <v>481</v>
      </c>
      <c r="F3984" s="3">
        <v>12622</v>
      </c>
      <c r="G3984" s="3">
        <v>9564</v>
      </c>
      <c r="H3984" s="2">
        <f t="shared" si="124"/>
        <v>23032</v>
      </c>
      <c r="I3984" t="str">
        <f t="shared" si="125"/>
        <v>LOC100862515_23032</v>
      </c>
      <c r="J3984" s="3">
        <v>0</v>
      </c>
      <c r="K3984" s="3">
        <v>365</v>
      </c>
      <c r="L3984" s="3">
        <v>481</v>
      </c>
      <c r="M3984" s="3">
        <v>12622</v>
      </c>
      <c r="N3984" s="3">
        <v>9564</v>
      </c>
    </row>
    <row r="3985" spans="1:14" x14ac:dyDescent="0.2">
      <c r="A3985" s="5" t="str">
        <f>HYPERLINK("http://www.ncbi.nlm.nih.gov/protein/377834690","LOC100862531")</f>
        <v>LOC100862531</v>
      </c>
      <c r="B3985" s="4"/>
      <c r="C3985" s="3">
        <v>0</v>
      </c>
      <c r="D3985" s="3">
        <v>138</v>
      </c>
      <c r="E3985" s="3">
        <v>0</v>
      </c>
      <c r="F3985" s="3">
        <v>0</v>
      </c>
      <c r="G3985" s="3">
        <v>0</v>
      </c>
      <c r="H3985" s="2">
        <f t="shared" si="124"/>
        <v>138</v>
      </c>
      <c r="I3985" t="str">
        <f t="shared" si="125"/>
        <v>LOC100862531_138</v>
      </c>
      <c r="J3985" s="3">
        <v>0</v>
      </c>
      <c r="K3985" s="3">
        <v>138</v>
      </c>
      <c r="L3985" s="3">
        <v>0</v>
      </c>
      <c r="M3985" s="3">
        <v>0</v>
      </c>
      <c r="N3985" s="3">
        <v>0</v>
      </c>
    </row>
    <row r="3986" spans="1:14" x14ac:dyDescent="0.2">
      <c r="A3986" s="5" t="str">
        <f>HYPERLINK("http://www.ncbi.nlm.nih.gov/protein/377833375","LOC100862557")</f>
        <v>LOC100862557</v>
      </c>
      <c r="B3986" s="4"/>
      <c r="C3986" s="3">
        <v>1538</v>
      </c>
      <c r="D3986" s="3">
        <v>2092</v>
      </c>
      <c r="E3986" s="3">
        <v>1544</v>
      </c>
      <c r="F3986" s="3">
        <v>87545</v>
      </c>
      <c r="G3986" s="3">
        <v>21740</v>
      </c>
      <c r="H3986" s="2">
        <f t="shared" si="124"/>
        <v>114459</v>
      </c>
      <c r="I3986" t="str">
        <f t="shared" si="125"/>
        <v>LOC100862557_114459</v>
      </c>
      <c r="J3986" s="3">
        <v>1538</v>
      </c>
      <c r="K3986" s="3">
        <v>2092</v>
      </c>
      <c r="L3986" s="3">
        <v>1544</v>
      </c>
      <c r="M3986" s="3">
        <v>87545</v>
      </c>
      <c r="N3986" s="3">
        <v>21740</v>
      </c>
    </row>
    <row r="3987" spans="1:14" x14ac:dyDescent="0.2">
      <c r="A3987" s="5" t="str">
        <f>HYPERLINK("http://www.ncbi.nlm.nih.gov/protein/377833339","LOC100862587")</f>
        <v>LOC100862587</v>
      </c>
      <c r="B3987" s="4"/>
      <c r="C3987" s="3">
        <v>28997</v>
      </c>
      <c r="D3987" s="3">
        <v>3282</v>
      </c>
      <c r="E3987" s="3">
        <v>16493</v>
      </c>
      <c r="F3987" s="3">
        <v>77296</v>
      </c>
      <c r="G3987" s="3">
        <v>0</v>
      </c>
      <c r="H3987" s="2">
        <f t="shared" si="124"/>
        <v>126068</v>
      </c>
      <c r="I3987" t="str">
        <f t="shared" si="125"/>
        <v>LOC100862587_126068</v>
      </c>
      <c r="J3987" s="3">
        <v>28997</v>
      </c>
      <c r="K3987" s="3">
        <v>3282</v>
      </c>
      <c r="L3987" s="3">
        <v>16493</v>
      </c>
      <c r="M3987" s="3">
        <v>77296</v>
      </c>
      <c r="N3987" s="3">
        <v>0</v>
      </c>
    </row>
    <row r="3988" spans="1:14" x14ac:dyDescent="0.2">
      <c r="A3988" s="5" t="str">
        <f>HYPERLINK("http://www.ncbi.nlm.nih.gov/protein/377834331","LOC100862604")</f>
        <v>LOC100862604</v>
      </c>
      <c r="B3988" s="4"/>
      <c r="C3988" s="3">
        <v>149908</v>
      </c>
      <c r="D3988" s="3">
        <v>5235</v>
      </c>
      <c r="E3988" s="3">
        <v>2038</v>
      </c>
      <c r="F3988" s="3">
        <v>6769</v>
      </c>
      <c r="G3988" s="3">
        <v>36209</v>
      </c>
      <c r="H3988" s="2">
        <f t="shared" si="124"/>
        <v>200159</v>
      </c>
      <c r="I3988" t="str">
        <f t="shared" si="125"/>
        <v>LOC100862604_200159</v>
      </c>
      <c r="J3988" s="3">
        <v>149908</v>
      </c>
      <c r="K3988" s="3">
        <v>5235</v>
      </c>
      <c r="L3988" s="3">
        <v>2038</v>
      </c>
      <c r="M3988" s="3">
        <v>6769</v>
      </c>
      <c r="N3988" s="3">
        <v>36209</v>
      </c>
    </row>
    <row r="3989" spans="1:14" x14ac:dyDescent="0.2">
      <c r="A3989" s="5" t="str">
        <f>HYPERLINK("http://www.ncbi.nlm.nih.gov/protein/407262330","LOC101055631")</f>
        <v>LOC101055631</v>
      </c>
      <c r="B3989" s="4"/>
      <c r="C3989" s="3">
        <v>0</v>
      </c>
      <c r="D3989" s="3">
        <v>33</v>
      </c>
      <c r="E3989" s="3">
        <v>0</v>
      </c>
      <c r="F3989" s="3">
        <v>0</v>
      </c>
      <c r="G3989" s="3">
        <v>0</v>
      </c>
      <c r="H3989" s="2">
        <f t="shared" si="124"/>
        <v>33</v>
      </c>
      <c r="I3989" t="str">
        <f t="shared" si="125"/>
        <v>LOC101055631_33</v>
      </c>
      <c r="J3989" s="3">
        <v>0</v>
      </c>
      <c r="K3989" s="3">
        <v>33</v>
      </c>
      <c r="L3989" s="3">
        <v>0</v>
      </c>
      <c r="M3989" s="3">
        <v>0</v>
      </c>
      <c r="N3989" s="3">
        <v>0</v>
      </c>
    </row>
    <row r="3990" spans="1:14" x14ac:dyDescent="0.2">
      <c r="A3990" s="5" t="str">
        <f>HYPERLINK("http://www.ncbi.nlm.nih.gov/protein/407262230","LOC101055659")</f>
        <v>LOC101055659</v>
      </c>
      <c r="B3990" s="4"/>
      <c r="C3990" s="3">
        <v>6682</v>
      </c>
      <c r="D3990" s="3">
        <v>253</v>
      </c>
      <c r="E3990" s="3">
        <v>1330</v>
      </c>
      <c r="F3990" s="3">
        <v>909</v>
      </c>
      <c r="G3990" s="3">
        <v>0</v>
      </c>
      <c r="H3990" s="2">
        <f t="shared" si="124"/>
        <v>9174</v>
      </c>
      <c r="I3990" t="str">
        <f t="shared" si="125"/>
        <v>LOC101055659_9174</v>
      </c>
      <c r="J3990" s="3">
        <v>6682</v>
      </c>
      <c r="K3990" s="3">
        <v>253</v>
      </c>
      <c r="L3990" s="3">
        <v>1330</v>
      </c>
      <c r="M3990" s="3">
        <v>909</v>
      </c>
      <c r="N3990" s="3">
        <v>0</v>
      </c>
    </row>
    <row r="3991" spans="1:14" x14ac:dyDescent="0.2">
      <c r="A3991" s="5" t="str">
        <f>HYPERLINK("http://www.ncbi.nlm.nih.gov/protein/407261331","LOC101055675")</f>
        <v>LOC101055675</v>
      </c>
      <c r="B3991" s="4"/>
      <c r="C3991" s="3">
        <v>0</v>
      </c>
      <c r="D3991" s="3">
        <v>23</v>
      </c>
      <c r="E3991" s="3">
        <v>518</v>
      </c>
      <c r="F3991" s="3">
        <v>0</v>
      </c>
      <c r="G3991" s="3">
        <v>0</v>
      </c>
      <c r="H3991" s="2">
        <f t="shared" si="124"/>
        <v>541</v>
      </c>
      <c r="I3991" t="str">
        <f t="shared" si="125"/>
        <v>LOC101055675_541</v>
      </c>
      <c r="J3991" s="3">
        <v>0</v>
      </c>
      <c r="K3991" s="3">
        <v>23</v>
      </c>
      <c r="L3991" s="3">
        <v>518</v>
      </c>
      <c r="M3991" s="3">
        <v>0</v>
      </c>
      <c r="N3991" s="3">
        <v>0</v>
      </c>
    </row>
    <row r="3992" spans="1:14" x14ac:dyDescent="0.2">
      <c r="A3992" s="5" t="str">
        <f>HYPERLINK("http://www.ncbi.nlm.nih.gov/protein/407261069","LOC101055744")</f>
        <v>LOC101055744</v>
      </c>
      <c r="B3992" s="4"/>
      <c r="C3992" s="3">
        <v>19185</v>
      </c>
      <c r="D3992" s="3">
        <v>37373</v>
      </c>
      <c r="E3992" s="3">
        <v>102507</v>
      </c>
      <c r="F3992" s="3">
        <v>66303</v>
      </c>
      <c r="G3992" s="3">
        <v>0</v>
      </c>
      <c r="H3992" s="2">
        <f t="shared" si="124"/>
        <v>225368</v>
      </c>
      <c r="I3992" t="str">
        <f t="shared" si="125"/>
        <v>LOC101055744_225368</v>
      </c>
      <c r="J3992" s="3">
        <v>19185</v>
      </c>
      <c r="K3992" s="3">
        <v>37373</v>
      </c>
      <c r="L3992" s="3">
        <v>102507</v>
      </c>
      <c r="M3992" s="3">
        <v>66303</v>
      </c>
      <c r="N3992" s="3">
        <v>0</v>
      </c>
    </row>
    <row r="3993" spans="1:14" x14ac:dyDescent="0.2">
      <c r="A3993" s="5" t="str">
        <f>HYPERLINK("http://www.ncbi.nlm.nih.gov/protein/407262437","LOC101055749")</f>
        <v>LOC101055749</v>
      </c>
      <c r="B3993" s="4"/>
      <c r="C3993" s="3">
        <v>29894</v>
      </c>
      <c r="D3993" s="3">
        <v>4296</v>
      </c>
      <c r="E3993" s="3">
        <v>18251</v>
      </c>
      <c r="F3993" s="3">
        <v>4355</v>
      </c>
      <c r="G3993" s="3">
        <v>82046</v>
      </c>
      <c r="H3993" s="2">
        <f t="shared" si="124"/>
        <v>138842</v>
      </c>
      <c r="I3993" t="str">
        <f t="shared" si="125"/>
        <v>LOC101055749_138842</v>
      </c>
      <c r="J3993" s="3">
        <v>29894</v>
      </c>
      <c r="K3993" s="3">
        <v>4296</v>
      </c>
      <c r="L3993" s="3">
        <v>18251</v>
      </c>
      <c r="M3993" s="3">
        <v>4355</v>
      </c>
      <c r="N3993" s="3">
        <v>82046</v>
      </c>
    </row>
    <row r="3994" spans="1:14" x14ac:dyDescent="0.2">
      <c r="A3994" s="5" t="str">
        <f>HYPERLINK("http://www.ncbi.nlm.nih.gov/protein/407264338","LOC101055749")</f>
        <v>LOC101055749</v>
      </c>
      <c r="B3994" s="4"/>
      <c r="C3994" s="3">
        <v>29894</v>
      </c>
      <c r="D3994" s="3">
        <v>4296</v>
      </c>
      <c r="E3994" s="3">
        <v>18251</v>
      </c>
      <c r="F3994" s="3">
        <v>4355</v>
      </c>
      <c r="G3994" s="3">
        <v>82046</v>
      </c>
      <c r="H3994" s="2">
        <f t="shared" si="124"/>
        <v>138842</v>
      </c>
      <c r="I3994" t="str">
        <f t="shared" si="125"/>
        <v>LOC101055749_138842</v>
      </c>
      <c r="J3994" s="3">
        <v>29894</v>
      </c>
      <c r="K3994" s="3">
        <v>4296</v>
      </c>
      <c r="L3994" s="3">
        <v>18251</v>
      </c>
      <c r="M3994" s="3">
        <v>4355</v>
      </c>
      <c r="N3994" s="3">
        <v>82046</v>
      </c>
    </row>
    <row r="3995" spans="1:14" x14ac:dyDescent="0.2">
      <c r="A3995" s="5" t="str">
        <f>HYPERLINK("http://www.ncbi.nlm.nih.gov/protein/407261248","LOC101055761")</f>
        <v>LOC101055761</v>
      </c>
      <c r="B3995" s="4"/>
      <c r="C3995" s="3">
        <v>732</v>
      </c>
      <c r="D3995" s="3">
        <v>0</v>
      </c>
      <c r="E3995" s="3">
        <v>375</v>
      </c>
      <c r="F3995" s="3">
        <v>229</v>
      </c>
      <c r="G3995" s="3">
        <v>6372</v>
      </c>
      <c r="H3995" s="2">
        <f t="shared" si="124"/>
        <v>7708</v>
      </c>
      <c r="I3995" t="str">
        <f t="shared" si="125"/>
        <v>LOC101055761_7708</v>
      </c>
      <c r="J3995" s="3">
        <v>732</v>
      </c>
      <c r="K3995" s="3">
        <v>0</v>
      </c>
      <c r="L3995" s="3">
        <v>375</v>
      </c>
      <c r="M3995" s="3">
        <v>229</v>
      </c>
      <c r="N3995" s="3">
        <v>6372</v>
      </c>
    </row>
    <row r="3996" spans="1:14" x14ac:dyDescent="0.2">
      <c r="A3996" s="5" t="str">
        <f>HYPERLINK("http://www.ncbi.nlm.nih.gov/protein/407261857","LOC101055799")</f>
        <v>LOC101055799</v>
      </c>
      <c r="B3996" s="4"/>
      <c r="C3996" s="3">
        <v>14389</v>
      </c>
      <c r="D3996" s="3">
        <v>3530</v>
      </c>
      <c r="E3996" s="3">
        <v>19349</v>
      </c>
      <c r="F3996" s="3">
        <v>11157</v>
      </c>
      <c r="G3996" s="3">
        <v>2442</v>
      </c>
      <c r="H3996" s="2">
        <f t="shared" si="124"/>
        <v>50867</v>
      </c>
      <c r="I3996" t="str">
        <f t="shared" si="125"/>
        <v>LOC101055799_50867</v>
      </c>
      <c r="J3996" s="3">
        <v>14389</v>
      </c>
      <c r="K3996" s="3">
        <v>3530</v>
      </c>
      <c r="L3996" s="3">
        <v>19349</v>
      </c>
      <c r="M3996" s="3">
        <v>11157</v>
      </c>
      <c r="N3996" s="3">
        <v>2442</v>
      </c>
    </row>
    <row r="3997" spans="1:14" x14ac:dyDescent="0.2">
      <c r="A3997" s="5" t="str">
        <f>HYPERLINK("http://www.ncbi.nlm.nih.gov/protein/407262441","LOC101055815")</f>
        <v>LOC101055815</v>
      </c>
      <c r="B3997" s="4"/>
      <c r="C3997" s="3">
        <v>3881</v>
      </c>
      <c r="D3997" s="3">
        <v>2597</v>
      </c>
      <c r="E3997" s="3">
        <v>2855</v>
      </c>
      <c r="F3997" s="3">
        <v>5108</v>
      </c>
      <c r="G3997" s="3">
        <v>4048</v>
      </c>
      <c r="H3997" s="2">
        <f t="shared" si="124"/>
        <v>18489</v>
      </c>
      <c r="I3997" t="str">
        <f t="shared" si="125"/>
        <v>LOC101055815_18489</v>
      </c>
      <c r="J3997" s="3">
        <v>3881</v>
      </c>
      <c r="K3997" s="3">
        <v>2597</v>
      </c>
      <c r="L3997" s="3">
        <v>2855</v>
      </c>
      <c r="M3997" s="3">
        <v>5108</v>
      </c>
      <c r="N3997" s="3">
        <v>4048</v>
      </c>
    </row>
    <row r="3998" spans="1:14" x14ac:dyDescent="0.2">
      <c r="A3998" s="5" t="str">
        <f>HYPERLINK("http://www.ncbi.nlm.nih.gov/protein/407262010","LOC101055828")</f>
        <v>LOC101055828</v>
      </c>
      <c r="B3998" s="4"/>
      <c r="C3998" s="3">
        <v>0</v>
      </c>
      <c r="D3998" s="3">
        <v>695</v>
      </c>
      <c r="E3998" s="3">
        <v>4703</v>
      </c>
      <c r="F3998" s="3">
        <v>4920</v>
      </c>
      <c r="G3998" s="3">
        <v>8375</v>
      </c>
      <c r="H3998" s="2">
        <f t="shared" si="124"/>
        <v>18693</v>
      </c>
      <c r="I3998" t="str">
        <f t="shared" si="125"/>
        <v>LOC101055828_18693</v>
      </c>
      <c r="J3998" s="3">
        <v>0</v>
      </c>
      <c r="K3998" s="3">
        <v>695</v>
      </c>
      <c r="L3998" s="3">
        <v>4703</v>
      </c>
      <c r="M3998" s="3">
        <v>4920</v>
      </c>
      <c r="N3998" s="3">
        <v>8375</v>
      </c>
    </row>
    <row r="3999" spans="1:14" x14ac:dyDescent="0.2">
      <c r="A3999" s="5" t="str">
        <f>HYPERLINK("http://www.ncbi.nlm.nih.gov/protein/407263825","LOC101055828")</f>
        <v>LOC101055828</v>
      </c>
      <c r="B3999" s="4"/>
      <c r="C3999" s="3">
        <v>0</v>
      </c>
      <c r="D3999" s="3">
        <v>1048</v>
      </c>
      <c r="E3999" s="3">
        <v>4706</v>
      </c>
      <c r="F3999" s="3">
        <v>4920</v>
      </c>
      <c r="G3999" s="3">
        <v>8375</v>
      </c>
      <c r="H3999" s="2">
        <f t="shared" si="124"/>
        <v>19049</v>
      </c>
      <c r="I3999" t="str">
        <f t="shared" si="125"/>
        <v>LOC101055828_19049</v>
      </c>
      <c r="J3999" s="3">
        <v>0</v>
      </c>
      <c r="K3999" s="3">
        <v>1048</v>
      </c>
      <c r="L3999" s="3">
        <v>4706</v>
      </c>
      <c r="M3999" s="3">
        <v>4920</v>
      </c>
      <c r="N3999" s="3">
        <v>8375</v>
      </c>
    </row>
    <row r="4000" spans="1:14" x14ac:dyDescent="0.2">
      <c r="A4000" s="5" t="str">
        <f>HYPERLINK("http://www.ncbi.nlm.nih.gov/protein/407260908","LOC101055829")</f>
        <v>LOC101055829</v>
      </c>
      <c r="B4000" s="4"/>
      <c r="C4000" s="3">
        <v>232615</v>
      </c>
      <c r="D4000" s="3">
        <v>37339</v>
      </c>
      <c r="E4000" s="3">
        <v>116591</v>
      </c>
      <c r="F4000" s="3">
        <v>402975</v>
      </c>
      <c r="G4000" s="3">
        <v>0</v>
      </c>
      <c r="H4000" s="2">
        <f t="shared" si="124"/>
        <v>789520</v>
      </c>
      <c r="I4000" t="str">
        <f t="shared" si="125"/>
        <v>LOC101055829_789520</v>
      </c>
      <c r="J4000" s="3">
        <v>232615</v>
      </c>
      <c r="K4000" s="3">
        <v>37339</v>
      </c>
      <c r="L4000" s="3">
        <v>116591</v>
      </c>
      <c r="M4000" s="3">
        <v>402975</v>
      </c>
      <c r="N4000" s="3">
        <v>0</v>
      </c>
    </row>
    <row r="4001" spans="1:14" x14ac:dyDescent="0.2">
      <c r="A4001" s="5" t="str">
        <f>HYPERLINK("http://www.ncbi.nlm.nih.gov/protein/407261194","LOC101055843")</f>
        <v>LOC101055843</v>
      </c>
      <c r="B4001" s="4"/>
      <c r="C4001" s="3">
        <v>0</v>
      </c>
      <c r="D4001" s="3">
        <v>3947</v>
      </c>
      <c r="E4001" s="3">
        <v>9642</v>
      </c>
      <c r="F4001" s="3">
        <v>0</v>
      </c>
      <c r="G4001" s="3">
        <v>0</v>
      </c>
      <c r="H4001" s="2">
        <f t="shared" si="124"/>
        <v>13589</v>
      </c>
      <c r="I4001" t="str">
        <f t="shared" si="125"/>
        <v>LOC101055843_13589</v>
      </c>
      <c r="J4001" s="3">
        <v>0</v>
      </c>
      <c r="K4001" s="3">
        <v>3947</v>
      </c>
      <c r="L4001" s="3">
        <v>9642</v>
      </c>
      <c r="M4001" s="3">
        <v>0</v>
      </c>
      <c r="N4001" s="3">
        <v>0</v>
      </c>
    </row>
    <row r="4002" spans="1:14" x14ac:dyDescent="0.2">
      <c r="A4002" s="5" t="str">
        <f>HYPERLINK("http://www.ncbi.nlm.nih.gov/protein/407262073","LOC101055909")</f>
        <v>LOC101055909</v>
      </c>
      <c r="B4002" s="4"/>
      <c r="C4002" s="3">
        <v>421</v>
      </c>
      <c r="D4002" s="3">
        <v>1424</v>
      </c>
      <c r="E4002" s="3">
        <v>947</v>
      </c>
      <c r="F4002" s="3">
        <v>0</v>
      </c>
      <c r="G4002" s="3">
        <v>0</v>
      </c>
      <c r="H4002" s="2">
        <f t="shared" si="124"/>
        <v>2792</v>
      </c>
      <c r="I4002" t="str">
        <f t="shared" si="125"/>
        <v>LOC101055909_2792</v>
      </c>
      <c r="J4002" s="3">
        <v>421</v>
      </c>
      <c r="K4002" s="3">
        <v>1424</v>
      </c>
      <c r="L4002" s="3">
        <v>947</v>
      </c>
      <c r="M4002" s="3">
        <v>0</v>
      </c>
      <c r="N4002" s="3">
        <v>0</v>
      </c>
    </row>
    <row r="4003" spans="1:14" x14ac:dyDescent="0.2">
      <c r="A4003" s="5" t="str">
        <f>HYPERLINK("http://www.ncbi.nlm.nih.gov/protein/407261941","LOC101055913")</f>
        <v>LOC101055913</v>
      </c>
      <c r="B4003" s="4"/>
      <c r="C4003" s="3">
        <v>513</v>
      </c>
      <c r="D4003" s="3">
        <v>42</v>
      </c>
      <c r="E4003" s="3">
        <v>239</v>
      </c>
      <c r="F4003" s="3">
        <v>0</v>
      </c>
      <c r="G4003" s="3">
        <v>546</v>
      </c>
      <c r="H4003" s="2">
        <f t="shared" si="124"/>
        <v>1340</v>
      </c>
      <c r="I4003" t="str">
        <f t="shared" si="125"/>
        <v>LOC101055913_1340</v>
      </c>
      <c r="J4003" s="3">
        <v>513</v>
      </c>
      <c r="K4003" s="3">
        <v>42</v>
      </c>
      <c r="L4003" s="3">
        <v>239</v>
      </c>
      <c r="M4003" s="3">
        <v>0</v>
      </c>
      <c r="N4003" s="3">
        <v>546</v>
      </c>
    </row>
    <row r="4004" spans="1:14" x14ac:dyDescent="0.2">
      <c r="A4004" s="5" t="str">
        <f>HYPERLINK("http://www.ncbi.nlm.nih.gov/protein/407262980","LOC101055915")</f>
        <v>LOC101055915</v>
      </c>
      <c r="B4004" s="4"/>
      <c r="C4004" s="3">
        <v>340144</v>
      </c>
      <c r="D4004" s="3">
        <v>63110</v>
      </c>
      <c r="E4004" s="3">
        <v>230441</v>
      </c>
      <c r="F4004" s="3">
        <v>534321</v>
      </c>
      <c r="G4004" s="3">
        <v>0</v>
      </c>
      <c r="H4004" s="2">
        <f t="shared" si="124"/>
        <v>1168016</v>
      </c>
      <c r="I4004" t="str">
        <f t="shared" si="125"/>
        <v>LOC101055915_1168016</v>
      </c>
      <c r="J4004" s="3">
        <v>340144</v>
      </c>
      <c r="K4004" s="3">
        <v>63110</v>
      </c>
      <c r="L4004" s="3">
        <v>230441</v>
      </c>
      <c r="M4004" s="3">
        <v>534321</v>
      </c>
      <c r="N4004" s="3">
        <v>0</v>
      </c>
    </row>
    <row r="4005" spans="1:14" x14ac:dyDescent="0.2">
      <c r="A4005" s="5" t="str">
        <f>HYPERLINK("http://www.ncbi.nlm.nih.gov/protein/407262455","LOC101055925")</f>
        <v>LOC101055925</v>
      </c>
      <c r="B4005" s="4"/>
      <c r="C4005" s="3">
        <v>155546</v>
      </c>
      <c r="D4005" s="3">
        <v>17349</v>
      </c>
      <c r="E4005" s="3">
        <v>41356</v>
      </c>
      <c r="F4005" s="3">
        <v>80497</v>
      </c>
      <c r="G4005" s="3">
        <v>3716</v>
      </c>
      <c r="H4005" s="2">
        <f t="shared" si="124"/>
        <v>298464</v>
      </c>
      <c r="I4005" t="str">
        <f t="shared" si="125"/>
        <v>LOC101055925_298464</v>
      </c>
      <c r="J4005" s="3">
        <v>155546</v>
      </c>
      <c r="K4005" s="3">
        <v>17349</v>
      </c>
      <c r="L4005" s="3">
        <v>41356</v>
      </c>
      <c r="M4005" s="3">
        <v>80497</v>
      </c>
      <c r="N4005" s="3">
        <v>3716</v>
      </c>
    </row>
    <row r="4006" spans="1:14" x14ac:dyDescent="0.2">
      <c r="A4006" s="5" t="str">
        <f>HYPERLINK("http://www.ncbi.nlm.nih.gov/protein/407262470","LOC101055936")</f>
        <v>LOC101055936</v>
      </c>
      <c r="B4006" s="4"/>
      <c r="C4006" s="3">
        <v>10398</v>
      </c>
      <c r="D4006" s="3">
        <v>0</v>
      </c>
      <c r="E4006" s="3">
        <v>0</v>
      </c>
      <c r="F4006" s="3">
        <v>0</v>
      </c>
      <c r="G4006" s="3">
        <v>0</v>
      </c>
      <c r="H4006" s="2">
        <f t="shared" si="124"/>
        <v>10398</v>
      </c>
      <c r="I4006" t="str">
        <f t="shared" si="125"/>
        <v>LOC101055936_10398</v>
      </c>
      <c r="J4006" s="3">
        <v>10398</v>
      </c>
      <c r="K4006" s="3">
        <v>0</v>
      </c>
      <c r="L4006" s="3">
        <v>0</v>
      </c>
      <c r="M4006" s="3">
        <v>0</v>
      </c>
      <c r="N4006" s="3">
        <v>0</v>
      </c>
    </row>
    <row r="4007" spans="1:14" x14ac:dyDescent="0.2">
      <c r="A4007" s="5" t="str">
        <f>HYPERLINK("http://www.ncbi.nlm.nih.gov/protein/407264353","LOC101055936")</f>
        <v>LOC101055936</v>
      </c>
      <c r="B4007" s="4"/>
      <c r="C4007" s="3">
        <v>10398</v>
      </c>
      <c r="D4007" s="3">
        <v>0</v>
      </c>
      <c r="E4007" s="3">
        <v>0</v>
      </c>
      <c r="F4007" s="3">
        <v>0</v>
      </c>
      <c r="G4007" s="3">
        <v>0</v>
      </c>
      <c r="H4007" s="2">
        <f t="shared" si="124"/>
        <v>10398</v>
      </c>
      <c r="I4007" t="str">
        <f t="shared" si="125"/>
        <v>LOC101055936_10398</v>
      </c>
      <c r="J4007" s="3">
        <v>10398</v>
      </c>
      <c r="K4007" s="3">
        <v>0</v>
      </c>
      <c r="L4007" s="3">
        <v>0</v>
      </c>
      <c r="M4007" s="3">
        <v>0</v>
      </c>
      <c r="N4007" s="3">
        <v>0</v>
      </c>
    </row>
    <row r="4008" spans="1:14" x14ac:dyDescent="0.2">
      <c r="A4008" s="5" t="str">
        <f>HYPERLINK("http://www.ncbi.nlm.nih.gov/protein/407261474","LOC101055953")</f>
        <v>LOC101055953</v>
      </c>
      <c r="B4008" s="4"/>
      <c r="C4008" s="3">
        <v>0</v>
      </c>
      <c r="D4008" s="3">
        <v>2822</v>
      </c>
      <c r="E4008" s="3">
        <v>0</v>
      </c>
      <c r="F4008" s="3">
        <v>0</v>
      </c>
      <c r="G4008" s="3">
        <v>0</v>
      </c>
      <c r="H4008" s="2">
        <f t="shared" si="124"/>
        <v>2822</v>
      </c>
      <c r="I4008" t="str">
        <f t="shared" si="125"/>
        <v>LOC101055953_2822</v>
      </c>
      <c r="J4008" s="3">
        <v>0</v>
      </c>
      <c r="K4008" s="3">
        <v>2822</v>
      </c>
      <c r="L4008" s="3">
        <v>0</v>
      </c>
      <c r="M4008" s="3">
        <v>0</v>
      </c>
      <c r="N4008" s="3">
        <v>0</v>
      </c>
    </row>
    <row r="4009" spans="1:14" x14ac:dyDescent="0.2">
      <c r="A4009" s="5" t="str">
        <f>HYPERLINK("http://www.ncbi.nlm.nih.gov/protein/407264058","LOC101055956")</f>
        <v>LOC101055956</v>
      </c>
      <c r="B4009" s="4"/>
      <c r="C4009" s="3">
        <v>0</v>
      </c>
      <c r="D4009" s="3">
        <v>457</v>
      </c>
      <c r="E4009" s="3">
        <v>0</v>
      </c>
      <c r="F4009" s="3">
        <v>53263</v>
      </c>
      <c r="G4009" s="3">
        <v>0</v>
      </c>
      <c r="H4009" s="2">
        <f t="shared" si="124"/>
        <v>53720</v>
      </c>
      <c r="I4009" t="str">
        <f t="shared" si="125"/>
        <v>LOC101055956_53720</v>
      </c>
      <c r="J4009" s="3">
        <v>0</v>
      </c>
      <c r="K4009" s="3">
        <v>457</v>
      </c>
      <c r="L4009" s="3">
        <v>0</v>
      </c>
      <c r="M4009" s="3">
        <v>53263</v>
      </c>
      <c r="N4009" s="3">
        <v>0</v>
      </c>
    </row>
    <row r="4010" spans="1:14" x14ac:dyDescent="0.2">
      <c r="A4010" s="5" t="str">
        <f>HYPERLINK("http://www.ncbi.nlm.nih.gov/protein/407262130","LOC101056029")</f>
        <v>LOC101056029</v>
      </c>
      <c r="B4010" s="4"/>
      <c r="C4010" s="3">
        <v>310470</v>
      </c>
      <c r="D4010" s="3">
        <v>24601</v>
      </c>
      <c r="E4010" s="3">
        <v>114890</v>
      </c>
      <c r="F4010" s="3">
        <v>105496</v>
      </c>
      <c r="G4010" s="3">
        <v>0</v>
      </c>
      <c r="H4010" s="2">
        <f t="shared" si="124"/>
        <v>555457</v>
      </c>
      <c r="I4010" t="str">
        <f t="shared" si="125"/>
        <v>LOC101056029_555457</v>
      </c>
      <c r="J4010" s="3">
        <v>310470</v>
      </c>
      <c r="K4010" s="3">
        <v>24601</v>
      </c>
      <c r="L4010" s="3">
        <v>114890</v>
      </c>
      <c r="M4010" s="3">
        <v>105496</v>
      </c>
      <c r="N4010" s="3">
        <v>0</v>
      </c>
    </row>
    <row r="4011" spans="1:14" x14ac:dyDescent="0.2">
      <c r="A4011" s="5" t="str">
        <f>HYPERLINK("http://www.ncbi.nlm.nih.gov/protein/407264033","LOC101056029")</f>
        <v>LOC101056029</v>
      </c>
      <c r="B4011" s="4"/>
      <c r="C4011" s="3">
        <v>310470</v>
      </c>
      <c r="D4011" s="3">
        <v>24601</v>
      </c>
      <c r="E4011" s="3">
        <v>114890</v>
      </c>
      <c r="F4011" s="3">
        <v>105496</v>
      </c>
      <c r="G4011" s="3">
        <v>0</v>
      </c>
      <c r="H4011" s="2">
        <f t="shared" si="124"/>
        <v>555457</v>
      </c>
      <c r="I4011" t="str">
        <f t="shared" si="125"/>
        <v>LOC101056029_555457</v>
      </c>
      <c r="J4011" s="3">
        <v>310470</v>
      </c>
      <c r="K4011" s="3">
        <v>24601</v>
      </c>
      <c r="L4011" s="3">
        <v>114890</v>
      </c>
      <c r="M4011" s="3">
        <v>105496</v>
      </c>
      <c r="N4011" s="3">
        <v>0</v>
      </c>
    </row>
    <row r="4012" spans="1:14" x14ac:dyDescent="0.2">
      <c r="A4012" s="5" t="str">
        <f>HYPERLINK("http://www.ncbi.nlm.nih.gov/protein/407261723","LOC101056044")</f>
        <v>LOC101056044</v>
      </c>
      <c r="B4012" s="4"/>
      <c r="C4012" s="3">
        <v>110202</v>
      </c>
      <c r="D4012" s="3">
        <v>3169</v>
      </c>
      <c r="E4012" s="3">
        <v>1052</v>
      </c>
      <c r="F4012" s="3">
        <v>11918</v>
      </c>
      <c r="G4012" s="3">
        <v>0</v>
      </c>
      <c r="H4012" s="2">
        <f t="shared" si="124"/>
        <v>126341</v>
      </c>
      <c r="I4012" t="str">
        <f t="shared" si="125"/>
        <v>LOC101056044_126341</v>
      </c>
      <c r="J4012" s="3">
        <v>110202</v>
      </c>
      <c r="K4012" s="3">
        <v>3169</v>
      </c>
      <c r="L4012" s="3">
        <v>1052</v>
      </c>
      <c r="M4012" s="3">
        <v>11918</v>
      </c>
      <c r="N4012" s="3">
        <v>0</v>
      </c>
    </row>
    <row r="4013" spans="1:14" x14ac:dyDescent="0.2">
      <c r="A4013" s="5" t="str">
        <f>HYPERLINK("http://www.ncbi.nlm.nih.gov/protein/407262307","LOC101056061")</f>
        <v>LOC101056061</v>
      </c>
      <c r="B4013" s="4"/>
      <c r="C4013" s="3">
        <v>29308</v>
      </c>
      <c r="D4013" s="3">
        <v>221</v>
      </c>
      <c r="E4013" s="3">
        <v>2220</v>
      </c>
      <c r="F4013" s="3">
        <v>0</v>
      </c>
      <c r="G4013" s="3">
        <v>0</v>
      </c>
      <c r="H4013" s="2">
        <f t="shared" si="124"/>
        <v>31749</v>
      </c>
      <c r="I4013" t="str">
        <f t="shared" si="125"/>
        <v>LOC101056061_31749</v>
      </c>
      <c r="J4013" s="3">
        <v>29308</v>
      </c>
      <c r="K4013" s="3">
        <v>221</v>
      </c>
      <c r="L4013" s="3">
        <v>2220</v>
      </c>
      <c r="M4013" s="3">
        <v>0</v>
      </c>
      <c r="N4013" s="3">
        <v>0</v>
      </c>
    </row>
    <row r="4014" spans="1:14" x14ac:dyDescent="0.2">
      <c r="A4014" s="5" t="str">
        <f>HYPERLINK("http://www.ncbi.nlm.nih.gov/protein/407263189","LOC101056102")</f>
        <v>LOC101056102</v>
      </c>
      <c r="B4014" s="4"/>
      <c r="C4014" s="3">
        <v>458</v>
      </c>
      <c r="D4014" s="3">
        <v>954</v>
      </c>
      <c r="E4014" s="3">
        <v>2731</v>
      </c>
      <c r="F4014" s="3">
        <v>3430</v>
      </c>
      <c r="G4014" s="3">
        <v>0</v>
      </c>
      <c r="H4014" s="2">
        <f t="shared" si="124"/>
        <v>7573</v>
      </c>
      <c r="I4014" t="str">
        <f t="shared" si="125"/>
        <v>LOC101056102_7573</v>
      </c>
      <c r="J4014" s="3">
        <v>458</v>
      </c>
      <c r="K4014" s="3">
        <v>954</v>
      </c>
      <c r="L4014" s="3">
        <v>2731</v>
      </c>
      <c r="M4014" s="3">
        <v>3430</v>
      </c>
      <c r="N4014" s="3">
        <v>0</v>
      </c>
    </row>
    <row r="4015" spans="1:14" x14ac:dyDescent="0.2">
      <c r="A4015" s="5" t="str">
        <f>HYPERLINK("http://www.ncbi.nlm.nih.gov/protein/407261583","LOC101056128")</f>
        <v>LOC101056128</v>
      </c>
      <c r="B4015" s="4"/>
      <c r="C4015" s="3">
        <v>0</v>
      </c>
      <c r="D4015" s="3">
        <v>1104</v>
      </c>
      <c r="E4015" s="3">
        <v>530</v>
      </c>
      <c r="F4015" s="3">
        <v>0</v>
      </c>
      <c r="G4015" s="3">
        <v>0</v>
      </c>
      <c r="H4015" s="2">
        <f t="shared" si="124"/>
        <v>1634</v>
      </c>
      <c r="I4015" t="str">
        <f t="shared" si="125"/>
        <v>LOC101056128_1634</v>
      </c>
      <c r="J4015" s="3">
        <v>0</v>
      </c>
      <c r="K4015" s="3">
        <v>1104</v>
      </c>
      <c r="L4015" s="3">
        <v>530</v>
      </c>
      <c r="M4015" s="3">
        <v>0</v>
      </c>
      <c r="N4015" s="3">
        <v>0</v>
      </c>
    </row>
    <row r="4016" spans="1:14" x14ac:dyDescent="0.2">
      <c r="A4016" s="5" t="str">
        <f>HYPERLINK("http://www.ncbi.nlm.nih.gov/protein/407262373","LOC101056140")</f>
        <v>LOC101056140</v>
      </c>
      <c r="B4016" s="4"/>
      <c r="C4016" s="3">
        <v>112747</v>
      </c>
      <c r="D4016" s="3">
        <v>18161</v>
      </c>
      <c r="E4016" s="3">
        <v>64949</v>
      </c>
      <c r="F4016" s="3">
        <v>156369</v>
      </c>
      <c r="G4016" s="3">
        <v>0</v>
      </c>
      <c r="H4016" s="2">
        <f t="shared" si="124"/>
        <v>352226</v>
      </c>
      <c r="I4016" t="str">
        <f t="shared" si="125"/>
        <v>LOC101056140_352226</v>
      </c>
      <c r="J4016" s="3">
        <v>112747</v>
      </c>
      <c r="K4016" s="3">
        <v>18161</v>
      </c>
      <c r="L4016" s="3">
        <v>64949</v>
      </c>
      <c r="M4016" s="3">
        <v>156369</v>
      </c>
      <c r="N4016" s="3">
        <v>0</v>
      </c>
    </row>
    <row r="4017" spans="1:14" x14ac:dyDescent="0.2">
      <c r="A4017" s="5" t="str">
        <f>HYPERLINK("http://www.ncbi.nlm.nih.gov/protein/407264228","LOC101056140")</f>
        <v>LOC101056140</v>
      </c>
      <c r="B4017" s="4"/>
      <c r="C4017" s="3">
        <v>184360</v>
      </c>
      <c r="D4017" s="3">
        <v>21412</v>
      </c>
      <c r="E4017" s="3">
        <v>89361</v>
      </c>
      <c r="F4017" s="3">
        <v>276787</v>
      </c>
      <c r="G4017" s="3">
        <v>0</v>
      </c>
      <c r="H4017" s="2">
        <f t="shared" si="124"/>
        <v>571920</v>
      </c>
      <c r="I4017" t="str">
        <f t="shared" si="125"/>
        <v>LOC101056140_571920</v>
      </c>
      <c r="J4017" s="3">
        <v>184360</v>
      </c>
      <c r="K4017" s="3">
        <v>21412</v>
      </c>
      <c r="L4017" s="3">
        <v>89361</v>
      </c>
      <c r="M4017" s="3">
        <v>276787</v>
      </c>
      <c r="N4017" s="3">
        <v>0</v>
      </c>
    </row>
    <row r="4018" spans="1:14" x14ac:dyDescent="0.2">
      <c r="A4018" s="5" t="str">
        <f>HYPERLINK("http://www.ncbi.nlm.nih.gov/protein/407261282","LOC101056154")</f>
        <v>LOC101056154</v>
      </c>
      <c r="B4018" s="4"/>
      <c r="C4018" s="3">
        <v>677</v>
      </c>
      <c r="D4018" s="3">
        <v>507</v>
      </c>
      <c r="E4018" s="3">
        <v>18394</v>
      </c>
      <c r="F4018" s="3">
        <v>2890</v>
      </c>
      <c r="G4018" s="3">
        <v>2892</v>
      </c>
      <c r="H4018" s="2">
        <f t="shared" si="124"/>
        <v>25360</v>
      </c>
      <c r="I4018" t="str">
        <f t="shared" si="125"/>
        <v>LOC101056154_25360</v>
      </c>
      <c r="J4018" s="3">
        <v>677</v>
      </c>
      <c r="K4018" s="3">
        <v>507</v>
      </c>
      <c r="L4018" s="3">
        <v>18394</v>
      </c>
      <c r="M4018" s="3">
        <v>2890</v>
      </c>
      <c r="N4018" s="3">
        <v>2892</v>
      </c>
    </row>
    <row r="4019" spans="1:14" x14ac:dyDescent="0.2">
      <c r="A4019" s="5" t="str">
        <f>HYPERLINK("http://www.ncbi.nlm.nih.gov/protein/407263193","LOC101056154")</f>
        <v>LOC101056154</v>
      </c>
      <c r="B4019" s="4"/>
      <c r="C4019" s="3">
        <v>677</v>
      </c>
      <c r="D4019" s="3">
        <v>507</v>
      </c>
      <c r="E4019" s="3">
        <v>18394</v>
      </c>
      <c r="F4019" s="3">
        <v>2890</v>
      </c>
      <c r="G4019" s="3">
        <v>2892</v>
      </c>
      <c r="H4019" s="2">
        <f t="shared" si="124"/>
        <v>25360</v>
      </c>
      <c r="I4019" t="str">
        <f t="shared" si="125"/>
        <v>LOC101056154_25360</v>
      </c>
      <c r="J4019" s="3">
        <v>677</v>
      </c>
      <c r="K4019" s="3">
        <v>507</v>
      </c>
      <c r="L4019" s="3">
        <v>18394</v>
      </c>
      <c r="M4019" s="3">
        <v>2890</v>
      </c>
      <c r="N4019" s="3">
        <v>2892</v>
      </c>
    </row>
    <row r="4020" spans="1:14" x14ac:dyDescent="0.2">
      <c r="A4020" s="5" t="str">
        <f>HYPERLINK("http://www.ncbi.nlm.nih.gov/protein/407263038","LOC101056241")</f>
        <v>LOC101056241</v>
      </c>
      <c r="B4020" s="4"/>
      <c r="C4020" s="3">
        <v>0</v>
      </c>
      <c r="D4020" s="3">
        <v>152</v>
      </c>
      <c r="E4020" s="3">
        <v>1395</v>
      </c>
      <c r="F4020" s="3">
        <v>0</v>
      </c>
      <c r="G4020" s="3">
        <v>0</v>
      </c>
      <c r="H4020" s="2">
        <f t="shared" si="124"/>
        <v>1547</v>
      </c>
      <c r="I4020" t="str">
        <f t="shared" si="125"/>
        <v>LOC101056241_1547</v>
      </c>
      <c r="J4020" s="3">
        <v>0</v>
      </c>
      <c r="K4020" s="3">
        <v>152</v>
      </c>
      <c r="L4020" s="3">
        <v>1395</v>
      </c>
      <c r="M4020" s="3">
        <v>0</v>
      </c>
      <c r="N4020" s="3">
        <v>0</v>
      </c>
    </row>
    <row r="4021" spans="1:14" x14ac:dyDescent="0.2">
      <c r="A4021" s="5" t="str">
        <f>HYPERLINK("http://www.ncbi.nlm.nih.gov/protein/407261825","LOC101056244")</f>
        <v>LOC101056244</v>
      </c>
      <c r="B4021" s="4"/>
      <c r="C4021" s="3">
        <v>238</v>
      </c>
      <c r="D4021" s="3">
        <v>0</v>
      </c>
      <c r="E4021" s="3">
        <v>12</v>
      </c>
      <c r="F4021" s="3">
        <v>0</v>
      </c>
      <c r="G4021" s="3">
        <v>311</v>
      </c>
      <c r="H4021" s="2">
        <f t="shared" si="124"/>
        <v>561</v>
      </c>
      <c r="I4021" t="str">
        <f t="shared" si="125"/>
        <v>LOC101056244_561</v>
      </c>
      <c r="J4021" s="3">
        <v>238</v>
      </c>
      <c r="K4021" s="3">
        <v>0</v>
      </c>
      <c r="L4021" s="3">
        <v>12</v>
      </c>
      <c r="M4021" s="3">
        <v>0</v>
      </c>
      <c r="N4021" s="3">
        <v>311</v>
      </c>
    </row>
    <row r="4022" spans="1:14" x14ac:dyDescent="0.2">
      <c r="A4022" s="5" t="str">
        <f>HYPERLINK("http://www.ncbi.nlm.nih.gov/protein/407261113","LOC101056341")</f>
        <v>LOC101056341</v>
      </c>
      <c r="B4022" s="4"/>
      <c r="C4022" s="3">
        <v>1418625</v>
      </c>
      <c r="D4022" s="3">
        <v>114838</v>
      </c>
      <c r="E4022" s="3">
        <v>284797</v>
      </c>
      <c r="F4022" s="3">
        <v>642026</v>
      </c>
      <c r="G4022" s="3">
        <v>988894</v>
      </c>
      <c r="H4022" s="2">
        <f t="shared" si="124"/>
        <v>3449180</v>
      </c>
      <c r="I4022" t="str">
        <f t="shared" si="125"/>
        <v>LOC101056341_3449180</v>
      </c>
      <c r="J4022" s="3">
        <v>1418625</v>
      </c>
      <c r="K4022" s="3">
        <v>114838</v>
      </c>
      <c r="L4022" s="3">
        <v>284797</v>
      </c>
      <c r="M4022" s="3">
        <v>642026</v>
      </c>
      <c r="N4022" s="3">
        <v>988894</v>
      </c>
    </row>
    <row r="4023" spans="1:14" x14ac:dyDescent="0.2">
      <c r="A4023" s="5" t="str">
        <f>HYPERLINK("http://www.ncbi.nlm.nih.gov/protein/407262753","LOC101056348")</f>
        <v>LOC101056348</v>
      </c>
      <c r="B4023" s="4"/>
      <c r="C4023" s="3">
        <v>0</v>
      </c>
      <c r="D4023" s="3">
        <v>2672</v>
      </c>
      <c r="E4023" s="3">
        <v>13</v>
      </c>
      <c r="F4023" s="3">
        <v>0</v>
      </c>
      <c r="G4023" s="3">
        <v>0</v>
      </c>
      <c r="H4023" s="2">
        <f t="shared" si="124"/>
        <v>2685</v>
      </c>
      <c r="I4023" t="str">
        <f t="shared" si="125"/>
        <v>LOC101056348_2685</v>
      </c>
      <c r="J4023" s="3">
        <v>0</v>
      </c>
      <c r="K4023" s="3">
        <v>2672</v>
      </c>
      <c r="L4023" s="3">
        <v>13</v>
      </c>
      <c r="M4023" s="3">
        <v>0</v>
      </c>
      <c r="N4023" s="3">
        <v>0</v>
      </c>
    </row>
    <row r="4024" spans="1:14" x14ac:dyDescent="0.2">
      <c r="A4024" s="5" t="str">
        <f>HYPERLINK("http://www.ncbi.nlm.nih.gov/protein/407261656","LOC101056352")</f>
        <v>LOC101056352</v>
      </c>
      <c r="B4024" s="4"/>
      <c r="C4024" s="3">
        <v>0</v>
      </c>
      <c r="D4024" s="3">
        <v>0</v>
      </c>
      <c r="E4024" s="3">
        <v>0</v>
      </c>
      <c r="F4024" s="3">
        <v>0</v>
      </c>
      <c r="G4024" s="3">
        <v>20112</v>
      </c>
      <c r="H4024" s="2">
        <f t="shared" si="124"/>
        <v>20112</v>
      </c>
      <c r="I4024" t="str">
        <f t="shared" si="125"/>
        <v>LOC101056352_20112</v>
      </c>
      <c r="J4024" s="3">
        <v>0</v>
      </c>
      <c r="K4024" s="3">
        <v>0</v>
      </c>
      <c r="L4024" s="3">
        <v>0</v>
      </c>
      <c r="M4024" s="3">
        <v>0</v>
      </c>
      <c r="N4024" s="3">
        <v>20112</v>
      </c>
    </row>
    <row r="4025" spans="1:14" x14ac:dyDescent="0.2">
      <c r="A4025" s="5" t="str">
        <f>HYPERLINK("http://www.ncbi.nlm.nih.gov/protein/407262207","LOC101056365")</f>
        <v>LOC101056365</v>
      </c>
      <c r="B4025" s="4"/>
      <c r="C4025" s="3">
        <v>4320</v>
      </c>
      <c r="D4025" s="3">
        <v>4989</v>
      </c>
      <c r="E4025" s="3">
        <v>16855</v>
      </c>
      <c r="F4025" s="3">
        <v>130863</v>
      </c>
      <c r="G4025" s="3">
        <v>0</v>
      </c>
      <c r="H4025" s="2">
        <f t="shared" si="124"/>
        <v>157027</v>
      </c>
      <c r="I4025" t="str">
        <f t="shared" si="125"/>
        <v>LOC101056365_157027</v>
      </c>
      <c r="J4025" s="3">
        <v>4320</v>
      </c>
      <c r="K4025" s="3">
        <v>4989</v>
      </c>
      <c r="L4025" s="3">
        <v>16855</v>
      </c>
      <c r="M4025" s="3">
        <v>130863</v>
      </c>
      <c r="N4025" s="3">
        <v>0</v>
      </c>
    </row>
    <row r="4026" spans="1:14" x14ac:dyDescent="0.2">
      <c r="A4026" s="5" t="str">
        <f>HYPERLINK("http://www.ncbi.nlm.nih.gov/protein/407262376","LOC101056370")</f>
        <v>LOC101056370</v>
      </c>
      <c r="B4026" s="4"/>
      <c r="C4026" s="3">
        <v>281254</v>
      </c>
      <c r="D4026" s="3">
        <v>3363</v>
      </c>
      <c r="E4026" s="3">
        <v>2742</v>
      </c>
      <c r="F4026" s="3">
        <v>1261</v>
      </c>
      <c r="G4026" s="3">
        <v>11159</v>
      </c>
      <c r="H4026" s="2">
        <f t="shared" si="124"/>
        <v>299779</v>
      </c>
      <c r="I4026" t="str">
        <f t="shared" si="125"/>
        <v>LOC101056370_299779</v>
      </c>
      <c r="J4026" s="3">
        <v>281254</v>
      </c>
      <c r="K4026" s="3">
        <v>3363</v>
      </c>
      <c r="L4026" s="3">
        <v>2742</v>
      </c>
      <c r="M4026" s="3">
        <v>1261</v>
      </c>
      <c r="N4026" s="3">
        <v>11159</v>
      </c>
    </row>
    <row r="4027" spans="1:14" x14ac:dyDescent="0.2">
      <c r="A4027" s="5" t="str">
        <f>HYPERLINK("http://www.ncbi.nlm.nih.gov/protein/407261123","LOC101056383")</f>
        <v>LOC101056383</v>
      </c>
      <c r="B4027" s="4"/>
      <c r="C4027" s="3">
        <v>0</v>
      </c>
      <c r="D4027" s="3">
        <v>152</v>
      </c>
      <c r="E4027" s="3">
        <v>1395</v>
      </c>
      <c r="F4027" s="3">
        <v>0</v>
      </c>
      <c r="G4027" s="3">
        <v>0</v>
      </c>
      <c r="H4027" s="2">
        <f t="shared" si="124"/>
        <v>1547</v>
      </c>
      <c r="I4027" t="str">
        <f t="shared" si="125"/>
        <v>LOC101056383_1547</v>
      </c>
      <c r="J4027" s="3">
        <v>0</v>
      </c>
      <c r="K4027" s="3">
        <v>152</v>
      </c>
      <c r="L4027" s="3">
        <v>1395</v>
      </c>
      <c r="M4027" s="3">
        <v>0</v>
      </c>
      <c r="N4027" s="3">
        <v>0</v>
      </c>
    </row>
    <row r="4028" spans="1:14" x14ac:dyDescent="0.2">
      <c r="A4028" s="5" t="str">
        <f>HYPERLINK("http://www.ncbi.nlm.nih.gov/protein/407261888","LOC101056386")</f>
        <v>LOC101056386</v>
      </c>
      <c r="B4028" s="4"/>
      <c r="C4028" s="3">
        <v>197925</v>
      </c>
      <c r="D4028" s="3">
        <v>7461</v>
      </c>
      <c r="E4028" s="3">
        <v>8064</v>
      </c>
      <c r="F4028" s="3">
        <v>184093</v>
      </c>
      <c r="G4028" s="3">
        <v>482</v>
      </c>
      <c r="H4028" s="2">
        <f t="shared" si="124"/>
        <v>398025</v>
      </c>
      <c r="I4028" t="str">
        <f t="shared" si="125"/>
        <v>LOC101056386_398025</v>
      </c>
      <c r="J4028" s="3">
        <v>197925</v>
      </c>
      <c r="K4028" s="3">
        <v>7461</v>
      </c>
      <c r="L4028" s="3">
        <v>8064</v>
      </c>
      <c r="M4028" s="3">
        <v>184093</v>
      </c>
      <c r="N4028" s="3">
        <v>482</v>
      </c>
    </row>
    <row r="4029" spans="1:14" x14ac:dyDescent="0.2">
      <c r="A4029" s="5" t="str">
        <f>HYPERLINK("http://www.ncbi.nlm.nih.gov/protein/407260886","LOC101056391")</f>
        <v>LOC101056391</v>
      </c>
      <c r="B4029" s="4"/>
      <c r="C4029" s="3">
        <v>0</v>
      </c>
      <c r="D4029" s="3">
        <v>0</v>
      </c>
      <c r="E4029" s="3">
        <v>0</v>
      </c>
      <c r="F4029" s="3">
        <v>2333</v>
      </c>
      <c r="G4029" s="3">
        <v>1456</v>
      </c>
      <c r="H4029" s="2">
        <f t="shared" si="124"/>
        <v>3789</v>
      </c>
      <c r="I4029" t="str">
        <f t="shared" si="125"/>
        <v>LOC101056391_3789</v>
      </c>
      <c r="J4029" s="3">
        <v>0</v>
      </c>
      <c r="K4029" s="3">
        <v>0</v>
      </c>
      <c r="L4029" s="3">
        <v>0</v>
      </c>
      <c r="M4029" s="3">
        <v>2333</v>
      </c>
      <c r="N4029" s="3">
        <v>1456</v>
      </c>
    </row>
    <row r="4030" spans="1:14" x14ac:dyDescent="0.2">
      <c r="A4030" s="5" t="str">
        <f>HYPERLINK("http://www.ncbi.nlm.nih.gov/protein/407261870;31543471","LOC101056392")</f>
        <v>LOC101056392</v>
      </c>
      <c r="B4030" s="4"/>
      <c r="C4030" s="3">
        <v>0</v>
      </c>
      <c r="D4030" s="3">
        <v>0</v>
      </c>
      <c r="E4030" s="3">
        <v>88</v>
      </c>
      <c r="F4030" s="3">
        <v>0</v>
      </c>
      <c r="G4030" s="3">
        <v>0</v>
      </c>
      <c r="H4030" s="2">
        <f t="shared" si="124"/>
        <v>88</v>
      </c>
      <c r="I4030" t="str">
        <f t="shared" si="125"/>
        <v>LOC101056392_88</v>
      </c>
      <c r="J4030" s="3">
        <v>0</v>
      </c>
      <c r="K4030" s="3">
        <v>0</v>
      </c>
      <c r="L4030" s="3">
        <v>88</v>
      </c>
      <c r="M4030" s="3">
        <v>0</v>
      </c>
      <c r="N4030" s="3">
        <v>0</v>
      </c>
    </row>
    <row r="4031" spans="1:14" x14ac:dyDescent="0.2">
      <c r="A4031" s="5" t="str">
        <f>HYPERLINK("http://www.ncbi.nlm.nih.gov/protein/407262029","LOC101056437")</f>
        <v>LOC101056437</v>
      </c>
      <c r="B4031" s="4"/>
      <c r="C4031" s="3">
        <v>0</v>
      </c>
      <c r="D4031" s="3">
        <v>0</v>
      </c>
      <c r="E4031" s="3">
        <v>0</v>
      </c>
      <c r="F4031" s="3">
        <v>0</v>
      </c>
      <c r="G4031" s="3">
        <v>19588</v>
      </c>
      <c r="H4031" s="2">
        <f t="shared" si="124"/>
        <v>19588</v>
      </c>
      <c r="I4031" t="str">
        <f t="shared" si="125"/>
        <v>LOC101056437_19588</v>
      </c>
      <c r="J4031" s="3">
        <v>0</v>
      </c>
      <c r="K4031" s="3">
        <v>0</v>
      </c>
      <c r="L4031" s="3">
        <v>0</v>
      </c>
      <c r="M4031" s="3">
        <v>0</v>
      </c>
      <c r="N4031" s="3">
        <v>19588</v>
      </c>
    </row>
    <row r="4032" spans="1:14" x14ac:dyDescent="0.2">
      <c r="A4032" s="5" t="str">
        <f>HYPERLINK("http://www.ncbi.nlm.nih.gov/protein/407262314","LOC101056444")</f>
        <v>LOC101056444</v>
      </c>
      <c r="B4032" s="4"/>
      <c r="C4032" s="3">
        <v>608400</v>
      </c>
      <c r="D4032" s="3">
        <v>124733</v>
      </c>
      <c r="E4032" s="3">
        <v>289620</v>
      </c>
      <c r="F4032" s="3">
        <v>591161</v>
      </c>
      <c r="G4032" s="3">
        <v>1113574</v>
      </c>
      <c r="H4032" s="2">
        <f t="shared" si="124"/>
        <v>2727488</v>
      </c>
      <c r="I4032" t="str">
        <f t="shared" si="125"/>
        <v>LOC101056444_2727488</v>
      </c>
      <c r="J4032" s="3">
        <v>608400</v>
      </c>
      <c r="K4032" s="3">
        <v>124733</v>
      </c>
      <c r="L4032" s="3">
        <v>289620</v>
      </c>
      <c r="M4032" s="3">
        <v>591161</v>
      </c>
      <c r="N4032" s="3">
        <v>1113574</v>
      </c>
    </row>
    <row r="4033" spans="1:14" x14ac:dyDescent="0.2">
      <c r="A4033" s="5" t="str">
        <f>HYPERLINK("http://www.ncbi.nlm.nih.gov/protein/407262619","LOC101056446")</f>
        <v>LOC101056446</v>
      </c>
      <c r="B4033" s="4"/>
      <c r="C4033" s="3">
        <v>2233</v>
      </c>
      <c r="D4033" s="3">
        <v>0</v>
      </c>
      <c r="E4033" s="3">
        <v>623</v>
      </c>
      <c r="F4033" s="3">
        <v>0</v>
      </c>
      <c r="G4033" s="3">
        <v>0</v>
      </c>
      <c r="H4033" s="2">
        <f t="shared" si="124"/>
        <v>2856</v>
      </c>
      <c r="I4033" t="str">
        <f t="shared" si="125"/>
        <v>LOC101056446_2856</v>
      </c>
      <c r="J4033" s="3">
        <v>2233</v>
      </c>
      <c r="K4033" s="3">
        <v>0</v>
      </c>
      <c r="L4033" s="3">
        <v>623</v>
      </c>
      <c r="M4033" s="3">
        <v>0</v>
      </c>
      <c r="N4033" s="3">
        <v>0</v>
      </c>
    </row>
    <row r="4034" spans="1:14" x14ac:dyDescent="0.2">
      <c r="A4034" s="5" t="str">
        <f>HYPERLINK("http://www.ncbi.nlm.nih.gov/protein/407262621","LOC101056446")</f>
        <v>LOC101056446</v>
      </c>
      <c r="B4034" s="4"/>
      <c r="C4034" s="3">
        <v>2233</v>
      </c>
      <c r="D4034" s="3">
        <v>0</v>
      </c>
      <c r="E4034" s="3">
        <v>623</v>
      </c>
      <c r="F4034" s="3">
        <v>0</v>
      </c>
      <c r="G4034" s="3">
        <v>0</v>
      </c>
      <c r="H4034" s="2">
        <f t="shared" ref="H4034:H4097" si="126">SUM(C4034:G4034)</f>
        <v>2856</v>
      </c>
      <c r="I4034" t="str">
        <f t="shared" ref="I4034:I4097" si="127">A4034&amp;"_"&amp;H4034</f>
        <v>LOC101056446_2856</v>
      </c>
      <c r="J4034" s="3">
        <v>2233</v>
      </c>
      <c r="K4034" s="3">
        <v>0</v>
      </c>
      <c r="L4034" s="3">
        <v>623</v>
      </c>
      <c r="M4034" s="3">
        <v>0</v>
      </c>
      <c r="N4034" s="3">
        <v>0</v>
      </c>
    </row>
    <row r="4035" spans="1:14" x14ac:dyDescent="0.2">
      <c r="A4035" s="5" t="str">
        <f>HYPERLINK("http://www.ncbi.nlm.nih.gov/protein/407262603","LOC101056446")</f>
        <v>LOC101056446</v>
      </c>
      <c r="B4035" s="4"/>
      <c r="C4035" s="3">
        <v>2233</v>
      </c>
      <c r="D4035" s="3">
        <v>349</v>
      </c>
      <c r="E4035" s="3">
        <v>623</v>
      </c>
      <c r="F4035" s="3">
        <v>0</v>
      </c>
      <c r="G4035" s="3">
        <v>0</v>
      </c>
      <c r="H4035" s="2">
        <f t="shared" si="126"/>
        <v>3205</v>
      </c>
      <c r="I4035" t="str">
        <f t="shared" si="127"/>
        <v>LOC101056446_3205</v>
      </c>
      <c r="J4035" s="3">
        <v>2233</v>
      </c>
      <c r="K4035" s="3">
        <v>349</v>
      </c>
      <c r="L4035" s="3">
        <v>623</v>
      </c>
      <c r="M4035" s="3">
        <v>0</v>
      </c>
      <c r="N4035" s="3">
        <v>0</v>
      </c>
    </row>
    <row r="4036" spans="1:14" x14ac:dyDescent="0.2">
      <c r="A4036" s="5" t="str">
        <f>HYPERLINK("http://www.ncbi.nlm.nih.gov/protein/407262605","LOC101056446")</f>
        <v>LOC101056446</v>
      </c>
      <c r="B4036" s="4"/>
      <c r="C4036" s="3">
        <v>2233</v>
      </c>
      <c r="D4036" s="3">
        <v>349</v>
      </c>
      <c r="E4036" s="3">
        <v>623</v>
      </c>
      <c r="F4036" s="3">
        <v>0</v>
      </c>
      <c r="G4036" s="3">
        <v>0</v>
      </c>
      <c r="H4036" s="2">
        <f t="shared" si="126"/>
        <v>3205</v>
      </c>
      <c r="I4036" t="str">
        <f t="shared" si="127"/>
        <v>LOC101056446_3205</v>
      </c>
      <c r="J4036" s="3">
        <v>2233</v>
      </c>
      <c r="K4036" s="3">
        <v>349</v>
      </c>
      <c r="L4036" s="3">
        <v>623</v>
      </c>
      <c r="M4036" s="3">
        <v>0</v>
      </c>
      <c r="N4036" s="3">
        <v>0</v>
      </c>
    </row>
    <row r="4037" spans="1:14" x14ac:dyDescent="0.2">
      <c r="A4037" s="5" t="str">
        <f>HYPERLINK("http://www.ncbi.nlm.nih.gov/protein/407262607","LOC101056446")</f>
        <v>LOC101056446</v>
      </c>
      <c r="B4037" s="4"/>
      <c r="C4037" s="3">
        <v>2233</v>
      </c>
      <c r="D4037" s="3">
        <v>349</v>
      </c>
      <c r="E4037" s="3">
        <v>623</v>
      </c>
      <c r="F4037" s="3">
        <v>0</v>
      </c>
      <c r="G4037" s="3">
        <v>0</v>
      </c>
      <c r="H4037" s="2">
        <f t="shared" si="126"/>
        <v>3205</v>
      </c>
      <c r="I4037" t="str">
        <f t="shared" si="127"/>
        <v>LOC101056446_3205</v>
      </c>
      <c r="J4037" s="3">
        <v>2233</v>
      </c>
      <c r="K4037" s="3">
        <v>349</v>
      </c>
      <c r="L4037" s="3">
        <v>623</v>
      </c>
      <c r="M4037" s="3">
        <v>0</v>
      </c>
      <c r="N4037" s="3">
        <v>0</v>
      </c>
    </row>
    <row r="4038" spans="1:14" x14ac:dyDescent="0.2">
      <c r="A4038" s="5" t="str">
        <f>HYPERLINK("http://www.ncbi.nlm.nih.gov/protein/407262609","LOC101056446")</f>
        <v>LOC101056446</v>
      </c>
      <c r="B4038" s="4"/>
      <c r="C4038" s="3">
        <v>2233</v>
      </c>
      <c r="D4038" s="3">
        <v>349</v>
      </c>
      <c r="E4038" s="3">
        <v>623</v>
      </c>
      <c r="F4038" s="3">
        <v>0</v>
      </c>
      <c r="G4038" s="3">
        <v>0</v>
      </c>
      <c r="H4038" s="2">
        <f t="shared" si="126"/>
        <v>3205</v>
      </c>
      <c r="I4038" t="str">
        <f t="shared" si="127"/>
        <v>LOC101056446_3205</v>
      </c>
      <c r="J4038" s="3">
        <v>2233</v>
      </c>
      <c r="K4038" s="3">
        <v>349</v>
      </c>
      <c r="L4038" s="3">
        <v>623</v>
      </c>
      <c r="M4038" s="3">
        <v>0</v>
      </c>
      <c r="N4038" s="3">
        <v>0</v>
      </c>
    </row>
    <row r="4039" spans="1:14" x14ac:dyDescent="0.2">
      <c r="A4039" s="5" t="str">
        <f>HYPERLINK("http://www.ncbi.nlm.nih.gov/protein/407262611","LOC101056446")</f>
        <v>LOC101056446</v>
      </c>
      <c r="B4039" s="4"/>
      <c r="C4039" s="3">
        <v>2233</v>
      </c>
      <c r="D4039" s="3">
        <v>349</v>
      </c>
      <c r="E4039" s="3">
        <v>623</v>
      </c>
      <c r="F4039" s="3">
        <v>0</v>
      </c>
      <c r="G4039" s="3">
        <v>0</v>
      </c>
      <c r="H4039" s="2">
        <f t="shared" si="126"/>
        <v>3205</v>
      </c>
      <c r="I4039" t="str">
        <f t="shared" si="127"/>
        <v>LOC101056446_3205</v>
      </c>
      <c r="J4039" s="3">
        <v>2233</v>
      </c>
      <c r="K4039" s="3">
        <v>349</v>
      </c>
      <c r="L4039" s="3">
        <v>623</v>
      </c>
      <c r="M4039" s="3">
        <v>0</v>
      </c>
      <c r="N4039" s="3">
        <v>0</v>
      </c>
    </row>
    <row r="4040" spans="1:14" x14ac:dyDescent="0.2">
      <c r="A4040" s="5" t="str">
        <f>HYPERLINK("http://www.ncbi.nlm.nih.gov/protein/407262613","LOC101056446")</f>
        <v>LOC101056446</v>
      </c>
      <c r="B4040" s="4"/>
      <c r="C4040" s="3">
        <v>2233</v>
      </c>
      <c r="D4040" s="3">
        <v>349</v>
      </c>
      <c r="E4040" s="3">
        <v>623</v>
      </c>
      <c r="F4040" s="3">
        <v>0</v>
      </c>
      <c r="G4040" s="3">
        <v>0</v>
      </c>
      <c r="H4040" s="2">
        <f t="shared" si="126"/>
        <v>3205</v>
      </c>
      <c r="I4040" t="str">
        <f t="shared" si="127"/>
        <v>LOC101056446_3205</v>
      </c>
      <c r="J4040" s="3">
        <v>2233</v>
      </c>
      <c r="K4040" s="3">
        <v>349</v>
      </c>
      <c r="L4040" s="3">
        <v>623</v>
      </c>
      <c r="M4040" s="3">
        <v>0</v>
      </c>
      <c r="N4040" s="3">
        <v>0</v>
      </c>
    </row>
    <row r="4041" spans="1:14" x14ac:dyDescent="0.2">
      <c r="A4041" s="5" t="str">
        <f>HYPERLINK("http://www.ncbi.nlm.nih.gov/protein/407262615","LOC101056446")</f>
        <v>LOC101056446</v>
      </c>
      <c r="B4041" s="4"/>
      <c r="C4041" s="3">
        <v>2233</v>
      </c>
      <c r="D4041" s="3">
        <v>349</v>
      </c>
      <c r="E4041" s="3">
        <v>389</v>
      </c>
      <c r="F4041" s="3">
        <v>0</v>
      </c>
      <c r="G4041" s="3">
        <v>0</v>
      </c>
      <c r="H4041" s="2">
        <f t="shared" si="126"/>
        <v>2971</v>
      </c>
      <c r="I4041" t="str">
        <f t="shared" si="127"/>
        <v>LOC101056446_2971</v>
      </c>
      <c r="J4041" s="3">
        <v>2233</v>
      </c>
      <c r="K4041" s="3">
        <v>349</v>
      </c>
      <c r="L4041" s="3">
        <v>389</v>
      </c>
      <c r="M4041" s="3">
        <v>0</v>
      </c>
      <c r="N4041" s="3">
        <v>0</v>
      </c>
    </row>
    <row r="4042" spans="1:14" x14ac:dyDescent="0.2">
      <c r="A4042" s="5" t="str">
        <f>HYPERLINK("http://www.ncbi.nlm.nih.gov/protein/407262617","LOC101056446")</f>
        <v>LOC101056446</v>
      </c>
      <c r="B4042" s="4"/>
      <c r="C4042" s="3">
        <v>2233</v>
      </c>
      <c r="D4042" s="3">
        <v>349</v>
      </c>
      <c r="E4042" s="3">
        <v>623</v>
      </c>
      <c r="F4042" s="3">
        <v>0</v>
      </c>
      <c r="G4042" s="3">
        <v>0</v>
      </c>
      <c r="H4042" s="2">
        <f t="shared" si="126"/>
        <v>3205</v>
      </c>
      <c r="I4042" t="str">
        <f t="shared" si="127"/>
        <v>LOC101056446_3205</v>
      </c>
      <c r="J4042" s="3">
        <v>2233</v>
      </c>
      <c r="K4042" s="3">
        <v>349</v>
      </c>
      <c r="L4042" s="3">
        <v>623</v>
      </c>
      <c r="M4042" s="3">
        <v>0</v>
      </c>
      <c r="N4042" s="3">
        <v>0</v>
      </c>
    </row>
    <row r="4043" spans="1:14" x14ac:dyDescent="0.2">
      <c r="A4043" s="5" t="str">
        <f>HYPERLINK("http://www.ncbi.nlm.nih.gov/protein/407262576","LOC101056452")</f>
        <v>LOC101056452</v>
      </c>
      <c r="B4043" s="4"/>
      <c r="C4043" s="3">
        <v>14205</v>
      </c>
      <c r="D4043" s="3">
        <v>22439</v>
      </c>
      <c r="E4043" s="3">
        <v>99330</v>
      </c>
      <c r="F4043" s="3">
        <v>173673</v>
      </c>
      <c r="G4043" s="3">
        <v>19823</v>
      </c>
      <c r="H4043" s="2">
        <f t="shared" si="126"/>
        <v>329470</v>
      </c>
      <c r="I4043" t="str">
        <f t="shared" si="127"/>
        <v>LOC101056452_329470</v>
      </c>
      <c r="J4043" s="3">
        <v>14205</v>
      </c>
      <c r="K4043" s="3">
        <v>22439</v>
      </c>
      <c r="L4043" s="3">
        <v>99330</v>
      </c>
      <c r="M4043" s="3">
        <v>173673</v>
      </c>
      <c r="N4043" s="3">
        <v>19823</v>
      </c>
    </row>
    <row r="4044" spans="1:14" x14ac:dyDescent="0.2">
      <c r="A4044" s="5" t="str">
        <f>HYPERLINK("http://www.ncbi.nlm.nih.gov/protein/407262333","LOC101056456")</f>
        <v>LOC101056456</v>
      </c>
      <c r="B4044" s="4"/>
      <c r="C4044" s="3">
        <v>0</v>
      </c>
      <c r="D4044" s="3">
        <v>0</v>
      </c>
      <c r="E4044" s="3">
        <v>0</v>
      </c>
      <c r="F4044" s="3">
        <v>24082</v>
      </c>
      <c r="G4044" s="3">
        <v>0</v>
      </c>
      <c r="H4044" s="2">
        <f t="shared" si="126"/>
        <v>24082</v>
      </c>
      <c r="I4044" t="str">
        <f t="shared" si="127"/>
        <v>LOC101056456_24082</v>
      </c>
      <c r="J4044" s="3">
        <v>0</v>
      </c>
      <c r="K4044" s="3">
        <v>0</v>
      </c>
      <c r="L4044" s="3">
        <v>0</v>
      </c>
      <c r="M4044" s="3">
        <v>24082</v>
      </c>
      <c r="N4044" s="3">
        <v>0</v>
      </c>
    </row>
    <row r="4045" spans="1:14" x14ac:dyDescent="0.2">
      <c r="A4045" s="5" t="str">
        <f>HYPERLINK("http://www.ncbi.nlm.nih.gov/protein/407262335","LOC101056456")</f>
        <v>LOC101056456</v>
      </c>
      <c r="B4045" s="4"/>
      <c r="C4045" s="3">
        <v>0</v>
      </c>
      <c r="D4045" s="3">
        <v>0</v>
      </c>
      <c r="E4045" s="3">
        <v>0</v>
      </c>
      <c r="F4045" s="3">
        <v>24082</v>
      </c>
      <c r="G4045" s="3">
        <v>0</v>
      </c>
      <c r="H4045" s="2">
        <f t="shared" si="126"/>
        <v>24082</v>
      </c>
      <c r="I4045" t="str">
        <f t="shared" si="127"/>
        <v>LOC101056456_24082</v>
      </c>
      <c r="J4045" s="3">
        <v>0</v>
      </c>
      <c r="K4045" s="3">
        <v>0</v>
      </c>
      <c r="L4045" s="3">
        <v>0</v>
      </c>
      <c r="M4045" s="3">
        <v>24082</v>
      </c>
      <c r="N4045" s="3">
        <v>0</v>
      </c>
    </row>
    <row r="4046" spans="1:14" x14ac:dyDescent="0.2">
      <c r="A4046" s="5" t="str">
        <f>HYPERLINK("http://www.ncbi.nlm.nih.gov/protein/407262339","LOC101056456")</f>
        <v>LOC101056456</v>
      </c>
      <c r="B4046" s="4"/>
      <c r="C4046" s="3">
        <v>0</v>
      </c>
      <c r="D4046" s="3">
        <v>0</v>
      </c>
      <c r="E4046" s="3">
        <v>0</v>
      </c>
      <c r="F4046" s="3">
        <v>24082</v>
      </c>
      <c r="G4046" s="3">
        <v>0</v>
      </c>
      <c r="H4046" s="2">
        <f t="shared" si="126"/>
        <v>24082</v>
      </c>
      <c r="I4046" t="str">
        <f t="shared" si="127"/>
        <v>LOC101056456_24082</v>
      </c>
      <c r="J4046" s="3">
        <v>0</v>
      </c>
      <c r="K4046" s="3">
        <v>0</v>
      </c>
      <c r="L4046" s="3">
        <v>0</v>
      </c>
      <c r="M4046" s="3">
        <v>24082</v>
      </c>
      <c r="N4046" s="3">
        <v>0</v>
      </c>
    </row>
    <row r="4047" spans="1:14" x14ac:dyDescent="0.2">
      <c r="A4047" s="5" t="str">
        <f>HYPERLINK("http://www.ncbi.nlm.nih.gov/protein/407262341","LOC101056456")</f>
        <v>LOC101056456</v>
      </c>
      <c r="B4047" s="4"/>
      <c r="C4047" s="3">
        <v>0</v>
      </c>
      <c r="D4047" s="3">
        <v>0</v>
      </c>
      <c r="E4047" s="3">
        <v>0</v>
      </c>
      <c r="F4047" s="3">
        <v>24082</v>
      </c>
      <c r="G4047" s="3">
        <v>0</v>
      </c>
      <c r="H4047" s="2">
        <f t="shared" si="126"/>
        <v>24082</v>
      </c>
      <c r="I4047" t="str">
        <f t="shared" si="127"/>
        <v>LOC101056456_24082</v>
      </c>
      <c r="J4047" s="3">
        <v>0</v>
      </c>
      <c r="K4047" s="3">
        <v>0</v>
      </c>
      <c r="L4047" s="3">
        <v>0</v>
      </c>
      <c r="M4047" s="3">
        <v>24082</v>
      </c>
      <c r="N4047" s="3">
        <v>0</v>
      </c>
    </row>
    <row r="4048" spans="1:14" x14ac:dyDescent="0.2">
      <c r="A4048" s="5" t="str">
        <f>HYPERLINK("http://www.ncbi.nlm.nih.gov/protein/407262343","LOC101056456")</f>
        <v>LOC101056456</v>
      </c>
      <c r="B4048" s="4"/>
      <c r="C4048" s="3">
        <v>0</v>
      </c>
      <c r="D4048" s="3">
        <v>0</v>
      </c>
      <c r="E4048" s="3">
        <v>0</v>
      </c>
      <c r="F4048" s="3">
        <v>24082</v>
      </c>
      <c r="G4048" s="3">
        <v>0</v>
      </c>
      <c r="H4048" s="2">
        <f t="shared" si="126"/>
        <v>24082</v>
      </c>
      <c r="I4048" t="str">
        <f t="shared" si="127"/>
        <v>LOC101056456_24082</v>
      </c>
      <c r="J4048" s="3">
        <v>0</v>
      </c>
      <c r="K4048" s="3">
        <v>0</v>
      </c>
      <c r="L4048" s="3">
        <v>0</v>
      </c>
      <c r="M4048" s="3">
        <v>24082</v>
      </c>
      <c r="N4048" s="3">
        <v>0</v>
      </c>
    </row>
    <row r="4049" spans="1:14" x14ac:dyDescent="0.2">
      <c r="A4049" s="5" t="str">
        <f>HYPERLINK("http://www.ncbi.nlm.nih.gov/protein/407261812","LOC101056470")</f>
        <v>LOC101056470</v>
      </c>
      <c r="B4049" s="4"/>
      <c r="C4049" s="3">
        <v>15304</v>
      </c>
      <c r="D4049" s="3">
        <v>22278</v>
      </c>
      <c r="E4049" s="3">
        <v>55839</v>
      </c>
      <c r="F4049" s="3">
        <v>144950</v>
      </c>
      <c r="G4049" s="3">
        <v>0</v>
      </c>
      <c r="H4049" s="2">
        <f t="shared" si="126"/>
        <v>238371</v>
      </c>
      <c r="I4049" t="str">
        <f t="shared" si="127"/>
        <v>LOC101056470_238371</v>
      </c>
      <c r="J4049" s="3">
        <v>15304</v>
      </c>
      <c r="K4049" s="3">
        <v>22278</v>
      </c>
      <c r="L4049" s="3">
        <v>55839</v>
      </c>
      <c r="M4049" s="3">
        <v>144950</v>
      </c>
      <c r="N4049" s="3">
        <v>0</v>
      </c>
    </row>
    <row r="4050" spans="1:14" x14ac:dyDescent="0.2">
      <c r="A4050" s="5" t="str">
        <f>HYPERLINK("http://www.ncbi.nlm.nih.gov/protein/407262623","LOC101056478")</f>
        <v>LOC101056478</v>
      </c>
      <c r="B4050" s="4"/>
      <c r="C4050" s="3">
        <v>1281</v>
      </c>
      <c r="D4050" s="3">
        <v>5123</v>
      </c>
      <c r="E4050" s="3">
        <v>3810</v>
      </c>
      <c r="F4050" s="3">
        <v>27798</v>
      </c>
      <c r="G4050" s="3">
        <v>75877</v>
      </c>
      <c r="H4050" s="2">
        <f t="shared" si="126"/>
        <v>113889</v>
      </c>
      <c r="I4050" t="str">
        <f t="shared" si="127"/>
        <v>LOC101056478_113889</v>
      </c>
      <c r="J4050" s="3">
        <v>1281</v>
      </c>
      <c r="K4050" s="3">
        <v>5123</v>
      </c>
      <c r="L4050" s="3">
        <v>3810</v>
      </c>
      <c r="M4050" s="3">
        <v>27798</v>
      </c>
      <c r="N4050" s="3">
        <v>75877</v>
      </c>
    </row>
    <row r="4051" spans="1:14" x14ac:dyDescent="0.2">
      <c r="A4051" s="5" t="str">
        <f>HYPERLINK("http://www.ncbi.nlm.nih.gov/protein/407262528","LOC101056486")</f>
        <v>LOC101056486</v>
      </c>
      <c r="B4051" s="4"/>
      <c r="C4051" s="3">
        <v>494</v>
      </c>
      <c r="D4051" s="3">
        <v>1950</v>
      </c>
      <c r="E4051" s="3">
        <v>11249</v>
      </c>
      <c r="F4051" s="3">
        <v>13367</v>
      </c>
      <c r="G4051" s="3">
        <v>1221</v>
      </c>
      <c r="H4051" s="2">
        <f t="shared" si="126"/>
        <v>28281</v>
      </c>
      <c r="I4051" t="str">
        <f t="shared" si="127"/>
        <v>LOC101056486_28281</v>
      </c>
      <c r="J4051" s="3">
        <v>494</v>
      </c>
      <c r="K4051" s="3">
        <v>1950</v>
      </c>
      <c r="L4051" s="3">
        <v>11249</v>
      </c>
      <c r="M4051" s="3">
        <v>13367</v>
      </c>
      <c r="N4051" s="3">
        <v>1221</v>
      </c>
    </row>
    <row r="4052" spans="1:14" x14ac:dyDescent="0.2">
      <c r="A4052" s="5" t="str">
        <f>HYPERLINK("http://www.ncbi.nlm.nih.gov/protein/407262506","LOC101056523")</f>
        <v>LOC101056523</v>
      </c>
      <c r="B4052" s="4"/>
      <c r="C4052" s="3">
        <v>3899</v>
      </c>
      <c r="D4052" s="3">
        <v>255</v>
      </c>
      <c r="E4052" s="3">
        <v>10322</v>
      </c>
      <c r="F4052" s="3">
        <v>38349</v>
      </c>
      <c r="G4052" s="3">
        <v>13365</v>
      </c>
      <c r="H4052" s="2">
        <f t="shared" si="126"/>
        <v>66190</v>
      </c>
      <c r="I4052" t="str">
        <f t="shared" si="127"/>
        <v>LOC101056523_66190</v>
      </c>
      <c r="J4052" s="3">
        <v>3899</v>
      </c>
      <c r="K4052" s="3">
        <v>255</v>
      </c>
      <c r="L4052" s="3">
        <v>10322</v>
      </c>
      <c r="M4052" s="3">
        <v>38349</v>
      </c>
      <c r="N4052" s="3">
        <v>13365</v>
      </c>
    </row>
    <row r="4053" spans="1:14" x14ac:dyDescent="0.2">
      <c r="A4053" s="5" t="str">
        <f>HYPERLINK("http://www.ncbi.nlm.nih.gov/protein/407261989","LOC101056543")</f>
        <v>LOC101056543</v>
      </c>
      <c r="B4053" s="4"/>
      <c r="C4053" s="3">
        <v>35276</v>
      </c>
      <c r="D4053" s="3">
        <v>4221</v>
      </c>
      <c r="E4053" s="3">
        <v>7883</v>
      </c>
      <c r="F4053" s="3">
        <v>81692</v>
      </c>
      <c r="G4053" s="3">
        <v>0</v>
      </c>
      <c r="H4053" s="2">
        <f t="shared" si="126"/>
        <v>129072</v>
      </c>
      <c r="I4053" t="str">
        <f t="shared" si="127"/>
        <v>LOC101056543_129072</v>
      </c>
      <c r="J4053" s="3">
        <v>35276</v>
      </c>
      <c r="K4053" s="3">
        <v>4221</v>
      </c>
      <c r="L4053" s="3">
        <v>7883</v>
      </c>
      <c r="M4053" s="3">
        <v>81692</v>
      </c>
      <c r="N4053" s="3">
        <v>0</v>
      </c>
    </row>
    <row r="4054" spans="1:14" x14ac:dyDescent="0.2">
      <c r="A4054" s="5" t="str">
        <f>HYPERLINK("http://www.ncbi.nlm.nih.gov/protein/407262193","LOC101056544")</f>
        <v>LOC101056544</v>
      </c>
      <c r="B4054" s="4"/>
      <c r="C4054" s="3">
        <v>217091</v>
      </c>
      <c r="D4054" s="3">
        <v>22351</v>
      </c>
      <c r="E4054" s="3">
        <v>155015</v>
      </c>
      <c r="F4054" s="3">
        <v>174352</v>
      </c>
      <c r="G4054" s="3">
        <v>1853</v>
      </c>
      <c r="H4054" s="2">
        <f t="shared" si="126"/>
        <v>570662</v>
      </c>
      <c r="I4054" t="str">
        <f t="shared" si="127"/>
        <v>LOC101056544_570662</v>
      </c>
      <c r="J4054" s="3">
        <v>217091</v>
      </c>
      <c r="K4054" s="3">
        <v>22351</v>
      </c>
      <c r="L4054" s="3">
        <v>155015</v>
      </c>
      <c r="M4054" s="3">
        <v>174352</v>
      </c>
      <c r="N4054" s="3">
        <v>1853</v>
      </c>
    </row>
    <row r="4055" spans="1:14" x14ac:dyDescent="0.2">
      <c r="A4055" s="5" t="str">
        <f>HYPERLINK("http://www.ncbi.nlm.nih.gov/protein/407262152","LOC101056551")</f>
        <v>LOC101056551</v>
      </c>
      <c r="B4055" s="4"/>
      <c r="C4055" s="3">
        <v>0</v>
      </c>
      <c r="D4055" s="3">
        <v>0</v>
      </c>
      <c r="E4055" s="3">
        <v>0</v>
      </c>
      <c r="F4055" s="3">
        <v>0</v>
      </c>
      <c r="G4055" s="3">
        <v>600</v>
      </c>
      <c r="H4055" s="2">
        <f t="shared" si="126"/>
        <v>600</v>
      </c>
      <c r="I4055" t="str">
        <f t="shared" si="127"/>
        <v>LOC101056551_600</v>
      </c>
      <c r="J4055" s="3">
        <v>0</v>
      </c>
      <c r="K4055" s="3">
        <v>0</v>
      </c>
      <c r="L4055" s="3">
        <v>0</v>
      </c>
      <c r="M4055" s="3">
        <v>0</v>
      </c>
      <c r="N4055" s="3">
        <v>600</v>
      </c>
    </row>
    <row r="4056" spans="1:14" x14ac:dyDescent="0.2">
      <c r="A4056" s="5" t="str">
        <f>HYPERLINK("http://www.ncbi.nlm.nih.gov/protein/407262277","LOC101056557")</f>
        <v>LOC101056557</v>
      </c>
      <c r="B4056" s="4"/>
      <c r="C4056" s="3">
        <v>422906</v>
      </c>
      <c r="D4056" s="3">
        <v>92191</v>
      </c>
      <c r="E4056" s="3">
        <v>182232</v>
      </c>
      <c r="F4056" s="3">
        <v>511843</v>
      </c>
      <c r="G4056" s="3">
        <v>1027791</v>
      </c>
      <c r="H4056" s="2">
        <f t="shared" si="126"/>
        <v>2236963</v>
      </c>
      <c r="I4056" t="str">
        <f t="shared" si="127"/>
        <v>LOC101056557_2236963</v>
      </c>
      <c r="J4056" s="3">
        <v>422906</v>
      </c>
      <c r="K4056" s="3">
        <v>92191</v>
      </c>
      <c r="L4056" s="3">
        <v>182232</v>
      </c>
      <c r="M4056" s="3">
        <v>511843</v>
      </c>
      <c r="N4056" s="3">
        <v>1027791</v>
      </c>
    </row>
    <row r="4057" spans="1:14" x14ac:dyDescent="0.2">
      <c r="A4057" s="5" t="str">
        <f>HYPERLINK("http://www.ncbi.nlm.nih.gov/protein/407262168","LOC101056558")</f>
        <v>LOC101056558</v>
      </c>
      <c r="B4057" s="4"/>
      <c r="C4057" s="3">
        <v>2746</v>
      </c>
      <c r="D4057" s="3">
        <v>0</v>
      </c>
      <c r="E4057" s="3">
        <v>0</v>
      </c>
      <c r="F4057" s="3">
        <v>0</v>
      </c>
      <c r="G4057" s="3">
        <v>0</v>
      </c>
      <c r="H4057" s="2">
        <f t="shared" si="126"/>
        <v>2746</v>
      </c>
      <c r="I4057" t="str">
        <f t="shared" si="127"/>
        <v>LOC101056558_2746</v>
      </c>
      <c r="J4057" s="3">
        <v>2746</v>
      </c>
      <c r="K4057" s="3">
        <v>0</v>
      </c>
      <c r="L4057" s="3">
        <v>0</v>
      </c>
      <c r="M4057" s="3">
        <v>0</v>
      </c>
      <c r="N4057" s="3">
        <v>0</v>
      </c>
    </row>
    <row r="4058" spans="1:14" x14ac:dyDescent="0.2">
      <c r="A4058" s="5" t="str">
        <f>HYPERLINK("http://www.ncbi.nlm.nih.gov/protein/407262168;238776830","LOC101056558")</f>
        <v>LOC101056558</v>
      </c>
      <c r="B4058" s="4"/>
      <c r="C4058" s="3">
        <v>0</v>
      </c>
      <c r="D4058" s="3">
        <v>0</v>
      </c>
      <c r="E4058" s="3">
        <v>20923</v>
      </c>
      <c r="F4058" s="3">
        <v>0</v>
      </c>
      <c r="G4058" s="3">
        <v>0</v>
      </c>
      <c r="H4058" s="2">
        <f t="shared" si="126"/>
        <v>20923</v>
      </c>
      <c r="I4058" t="str">
        <f t="shared" si="127"/>
        <v>LOC101056558_20923</v>
      </c>
      <c r="J4058" s="3">
        <v>0</v>
      </c>
      <c r="K4058" s="3">
        <v>0</v>
      </c>
      <c r="L4058" s="3">
        <v>20923</v>
      </c>
      <c r="M4058" s="3">
        <v>0</v>
      </c>
      <c r="N4058" s="3">
        <v>0</v>
      </c>
    </row>
    <row r="4059" spans="1:14" x14ac:dyDescent="0.2">
      <c r="A4059" s="5" t="str">
        <f>HYPERLINK("http://www.ncbi.nlm.nih.gov/protein/407261780","LOC101056559")</f>
        <v>LOC101056559</v>
      </c>
      <c r="B4059" s="4"/>
      <c r="C4059" s="3">
        <v>0</v>
      </c>
      <c r="D4059" s="3">
        <v>0</v>
      </c>
      <c r="E4059" s="3">
        <v>290</v>
      </c>
      <c r="F4059" s="3">
        <v>0</v>
      </c>
      <c r="G4059" s="3">
        <v>0</v>
      </c>
      <c r="H4059" s="2">
        <f t="shared" si="126"/>
        <v>290</v>
      </c>
      <c r="I4059" t="str">
        <f t="shared" si="127"/>
        <v>LOC101056559_290</v>
      </c>
      <c r="J4059" s="3">
        <v>0</v>
      </c>
      <c r="K4059" s="3">
        <v>0</v>
      </c>
      <c r="L4059" s="3">
        <v>290</v>
      </c>
      <c r="M4059" s="3">
        <v>0</v>
      </c>
      <c r="N4059" s="3">
        <v>0</v>
      </c>
    </row>
    <row r="4060" spans="1:14" x14ac:dyDescent="0.2">
      <c r="A4060" s="5" t="str">
        <f>HYPERLINK("http://www.ncbi.nlm.nih.gov/protein/407262460","LOC101056577")</f>
        <v>LOC101056577</v>
      </c>
      <c r="B4060" s="4"/>
      <c r="C4060" s="3">
        <v>531</v>
      </c>
      <c r="D4060" s="3">
        <v>1200</v>
      </c>
      <c r="E4060" s="3">
        <v>9</v>
      </c>
      <c r="F4060" s="3">
        <v>0</v>
      </c>
      <c r="G4060" s="3">
        <v>1114</v>
      </c>
      <c r="H4060" s="2">
        <f t="shared" si="126"/>
        <v>2854</v>
      </c>
      <c r="I4060" t="str">
        <f t="shared" si="127"/>
        <v>LOC101056577_2854</v>
      </c>
      <c r="J4060" s="3">
        <v>531</v>
      </c>
      <c r="K4060" s="3">
        <v>1200</v>
      </c>
      <c r="L4060" s="3">
        <v>9</v>
      </c>
      <c r="M4060" s="3">
        <v>0</v>
      </c>
      <c r="N4060" s="3">
        <v>1114</v>
      </c>
    </row>
    <row r="4061" spans="1:14" x14ac:dyDescent="0.2">
      <c r="A4061" s="5" t="str">
        <f>HYPERLINK("http://www.ncbi.nlm.nih.gov/protein/407262586","LOC101056592")</f>
        <v>LOC101056592</v>
      </c>
      <c r="B4061" s="4"/>
      <c r="C4061" s="3">
        <v>178026</v>
      </c>
      <c r="D4061" s="3">
        <v>30703</v>
      </c>
      <c r="E4061" s="3">
        <v>322</v>
      </c>
      <c r="F4061" s="3">
        <v>0</v>
      </c>
      <c r="G4061" s="3">
        <v>11191</v>
      </c>
      <c r="H4061" s="2">
        <f t="shared" si="126"/>
        <v>220242</v>
      </c>
      <c r="I4061" t="str">
        <f t="shared" si="127"/>
        <v>LOC101056592_220242</v>
      </c>
      <c r="J4061" s="3">
        <v>178026</v>
      </c>
      <c r="K4061" s="3">
        <v>30703</v>
      </c>
      <c r="L4061" s="3">
        <v>322</v>
      </c>
      <c r="M4061" s="3">
        <v>0</v>
      </c>
      <c r="N4061" s="3">
        <v>11191</v>
      </c>
    </row>
    <row r="4062" spans="1:14" x14ac:dyDescent="0.2">
      <c r="A4062" s="5" t="str">
        <f>HYPERLINK("http://www.ncbi.nlm.nih.gov/protein/407262172","LOC101056595")</f>
        <v>LOC101056595</v>
      </c>
      <c r="B4062" s="4"/>
      <c r="C4062" s="3">
        <v>112674</v>
      </c>
      <c r="D4062" s="3">
        <v>1612</v>
      </c>
      <c r="E4062" s="3">
        <v>16038</v>
      </c>
      <c r="F4062" s="3">
        <v>38308</v>
      </c>
      <c r="G4062" s="3">
        <v>4080</v>
      </c>
      <c r="H4062" s="2">
        <f t="shared" si="126"/>
        <v>172712</v>
      </c>
      <c r="I4062" t="str">
        <f t="shared" si="127"/>
        <v>LOC101056595_172712</v>
      </c>
      <c r="J4062" s="3">
        <v>112674</v>
      </c>
      <c r="K4062" s="3">
        <v>1612</v>
      </c>
      <c r="L4062" s="3">
        <v>16038</v>
      </c>
      <c r="M4062" s="3">
        <v>38308</v>
      </c>
      <c r="N4062" s="3">
        <v>4080</v>
      </c>
    </row>
    <row r="4063" spans="1:14" x14ac:dyDescent="0.2">
      <c r="A4063" s="5" t="str">
        <f>HYPERLINK("http://www.ncbi.nlm.nih.gov/protein/407260973","LOC101056616")</f>
        <v>LOC101056616</v>
      </c>
      <c r="B4063" s="4"/>
      <c r="C4063" s="3">
        <v>0</v>
      </c>
      <c r="D4063" s="3">
        <v>3565</v>
      </c>
      <c r="E4063" s="3">
        <v>4844</v>
      </c>
      <c r="F4063" s="3">
        <v>8734</v>
      </c>
      <c r="G4063" s="3">
        <v>21280</v>
      </c>
      <c r="H4063" s="2">
        <f t="shared" si="126"/>
        <v>38423</v>
      </c>
      <c r="I4063" t="str">
        <f t="shared" si="127"/>
        <v>LOC101056616_38423</v>
      </c>
      <c r="J4063" s="3">
        <v>0</v>
      </c>
      <c r="K4063" s="3">
        <v>3565</v>
      </c>
      <c r="L4063" s="3">
        <v>4844</v>
      </c>
      <c r="M4063" s="3">
        <v>8734</v>
      </c>
      <c r="N4063" s="3">
        <v>21280</v>
      </c>
    </row>
    <row r="4064" spans="1:14" x14ac:dyDescent="0.2">
      <c r="A4064" s="5" t="str">
        <f>HYPERLINK("http://www.ncbi.nlm.nih.gov/protein/407261696","LOC101056619")</f>
        <v>LOC101056619</v>
      </c>
      <c r="B4064" s="4"/>
      <c r="C4064" s="3">
        <v>3359410</v>
      </c>
      <c r="D4064" s="3">
        <v>408048</v>
      </c>
      <c r="E4064" s="3">
        <v>479284</v>
      </c>
      <c r="F4064" s="3">
        <v>2405508</v>
      </c>
      <c r="G4064" s="3">
        <v>1643063</v>
      </c>
      <c r="H4064" s="2">
        <f t="shared" si="126"/>
        <v>8295313</v>
      </c>
      <c r="I4064" t="str">
        <f t="shared" si="127"/>
        <v>LOC101056619_8295313</v>
      </c>
      <c r="J4064" s="3">
        <v>3359410</v>
      </c>
      <c r="K4064" s="3">
        <v>408048</v>
      </c>
      <c r="L4064" s="3">
        <v>479284</v>
      </c>
      <c r="M4064" s="3">
        <v>2405508</v>
      </c>
      <c r="N4064" s="3">
        <v>1643063</v>
      </c>
    </row>
    <row r="4065" spans="1:14" x14ac:dyDescent="0.2">
      <c r="A4065" s="5" t="str">
        <f>HYPERLINK("http://www.ncbi.nlm.nih.gov/protein/407261700","LOC101056619")</f>
        <v>LOC101056619</v>
      </c>
      <c r="B4065" s="4"/>
      <c r="C4065" s="3">
        <v>3359410</v>
      </c>
      <c r="D4065" s="3">
        <v>408048</v>
      </c>
      <c r="E4065" s="3">
        <v>479284</v>
      </c>
      <c r="F4065" s="3">
        <v>2405369</v>
      </c>
      <c r="G4065" s="3">
        <v>1644348</v>
      </c>
      <c r="H4065" s="2">
        <f t="shared" si="126"/>
        <v>8296459</v>
      </c>
      <c r="I4065" t="str">
        <f t="shared" si="127"/>
        <v>LOC101056619_8296459</v>
      </c>
      <c r="J4065" s="3">
        <v>3359410</v>
      </c>
      <c r="K4065" s="3">
        <v>408048</v>
      </c>
      <c r="L4065" s="3">
        <v>479284</v>
      </c>
      <c r="M4065" s="3">
        <v>2405369</v>
      </c>
      <c r="N4065" s="3">
        <v>1644348</v>
      </c>
    </row>
    <row r="4066" spans="1:14" x14ac:dyDescent="0.2">
      <c r="A4066" s="5" t="str">
        <f>HYPERLINK("http://www.ncbi.nlm.nih.gov/protein/407261702","LOC101056619")</f>
        <v>LOC101056619</v>
      </c>
      <c r="B4066" s="4"/>
      <c r="C4066" s="3">
        <v>3129340</v>
      </c>
      <c r="D4066" s="3">
        <v>383965</v>
      </c>
      <c r="E4066" s="3">
        <v>475807</v>
      </c>
      <c r="F4066" s="3">
        <v>1894557</v>
      </c>
      <c r="G4066" s="3">
        <v>1629997</v>
      </c>
      <c r="H4066" s="2">
        <f t="shared" si="126"/>
        <v>7513666</v>
      </c>
      <c r="I4066" t="str">
        <f t="shared" si="127"/>
        <v>LOC101056619_7513666</v>
      </c>
      <c r="J4066" s="3">
        <v>3129340</v>
      </c>
      <c r="K4066" s="3">
        <v>383965</v>
      </c>
      <c r="L4066" s="3">
        <v>475807</v>
      </c>
      <c r="M4066" s="3">
        <v>1894557</v>
      </c>
      <c r="N4066" s="3">
        <v>1629997</v>
      </c>
    </row>
    <row r="4067" spans="1:14" x14ac:dyDescent="0.2">
      <c r="A4067" s="5" t="str">
        <f>HYPERLINK("http://www.ncbi.nlm.nih.gov/protein/407261716","LOC101056619")</f>
        <v>LOC101056619</v>
      </c>
      <c r="B4067" s="4"/>
      <c r="C4067" s="3">
        <v>3211644</v>
      </c>
      <c r="D4067" s="3">
        <v>394887</v>
      </c>
      <c r="E4067" s="3">
        <v>463131</v>
      </c>
      <c r="F4067" s="3">
        <v>2315172</v>
      </c>
      <c r="G4067" s="3">
        <v>1590629</v>
      </c>
      <c r="H4067" s="2">
        <f t="shared" si="126"/>
        <v>7975463</v>
      </c>
      <c r="I4067" t="str">
        <f t="shared" si="127"/>
        <v>LOC101056619_7975463</v>
      </c>
      <c r="J4067" s="3">
        <v>3211644</v>
      </c>
      <c r="K4067" s="3">
        <v>394887</v>
      </c>
      <c r="L4067" s="3">
        <v>463131</v>
      </c>
      <c r="M4067" s="3">
        <v>2315172</v>
      </c>
      <c r="N4067" s="3">
        <v>1590629</v>
      </c>
    </row>
    <row r="4068" spans="1:14" x14ac:dyDescent="0.2">
      <c r="A4068" s="5" t="str">
        <f>HYPERLINK("http://www.ncbi.nlm.nih.gov/protein/407261718","LOC101056619")</f>
        <v>LOC101056619</v>
      </c>
      <c r="B4068" s="4"/>
      <c r="C4068" s="3">
        <v>2588397</v>
      </c>
      <c r="D4068" s="3">
        <v>258194</v>
      </c>
      <c r="E4068" s="3">
        <v>357372</v>
      </c>
      <c r="F4068" s="3">
        <v>1974710</v>
      </c>
      <c r="G4068" s="3">
        <v>1571138</v>
      </c>
      <c r="H4068" s="2">
        <f t="shared" si="126"/>
        <v>6749811</v>
      </c>
      <c r="I4068" t="str">
        <f t="shared" si="127"/>
        <v>LOC101056619_6749811</v>
      </c>
      <c r="J4068" s="3">
        <v>2588397</v>
      </c>
      <c r="K4068" s="3">
        <v>258194</v>
      </c>
      <c r="L4068" s="3">
        <v>357372</v>
      </c>
      <c r="M4068" s="3">
        <v>1974710</v>
      </c>
      <c r="N4068" s="3">
        <v>1571138</v>
      </c>
    </row>
    <row r="4069" spans="1:14" x14ac:dyDescent="0.2">
      <c r="A4069" s="5" t="str">
        <f>HYPERLINK("http://www.ncbi.nlm.nih.gov/protein/407262235","LOC101056658")</f>
        <v>LOC101056658</v>
      </c>
      <c r="B4069" s="4"/>
      <c r="C4069" s="3">
        <v>30132</v>
      </c>
      <c r="D4069" s="3">
        <v>27405</v>
      </c>
      <c r="E4069" s="3">
        <v>40254</v>
      </c>
      <c r="F4069" s="3">
        <v>229638</v>
      </c>
      <c r="G4069" s="3">
        <v>324894</v>
      </c>
      <c r="H4069" s="2">
        <f t="shared" si="126"/>
        <v>652323</v>
      </c>
      <c r="I4069" t="str">
        <f t="shared" si="127"/>
        <v>LOC101056658_652323</v>
      </c>
      <c r="J4069" s="3">
        <v>30132</v>
      </c>
      <c r="K4069" s="3">
        <v>27405</v>
      </c>
      <c r="L4069" s="3">
        <v>40254</v>
      </c>
      <c r="M4069" s="3">
        <v>229638</v>
      </c>
      <c r="N4069" s="3">
        <v>324894</v>
      </c>
    </row>
    <row r="4070" spans="1:14" x14ac:dyDescent="0.2">
      <c r="A4070" s="5" t="str">
        <f>HYPERLINK("http://www.ncbi.nlm.nih.gov/protein/407262590","LOC101056659")</f>
        <v>LOC101056659</v>
      </c>
      <c r="B4070" s="4"/>
      <c r="C4070" s="3">
        <v>341517</v>
      </c>
      <c r="D4070" s="3">
        <v>25791</v>
      </c>
      <c r="E4070" s="3">
        <v>0</v>
      </c>
      <c r="F4070" s="3">
        <v>13318</v>
      </c>
      <c r="G4070" s="3">
        <v>0</v>
      </c>
      <c r="H4070" s="2">
        <f t="shared" si="126"/>
        <v>380626</v>
      </c>
      <c r="I4070" t="str">
        <f t="shared" si="127"/>
        <v>LOC101056659_380626</v>
      </c>
      <c r="J4070" s="3">
        <v>341517</v>
      </c>
      <c r="K4070" s="3">
        <v>25791</v>
      </c>
      <c r="L4070" s="3">
        <v>0</v>
      </c>
      <c r="M4070" s="3">
        <v>13318</v>
      </c>
      <c r="N4070" s="3">
        <v>0</v>
      </c>
    </row>
    <row r="4071" spans="1:14" x14ac:dyDescent="0.2">
      <c r="A4071" s="5" t="str">
        <f>HYPERLINK("http://www.ncbi.nlm.nih.gov/protein/407262435","LOC101056668")</f>
        <v>LOC101056668</v>
      </c>
      <c r="B4071" s="4"/>
      <c r="C4071" s="3">
        <v>3204</v>
      </c>
      <c r="D4071" s="3">
        <v>0</v>
      </c>
      <c r="E4071" s="3">
        <v>0</v>
      </c>
      <c r="F4071" s="3">
        <v>0</v>
      </c>
      <c r="G4071" s="3">
        <v>0</v>
      </c>
      <c r="H4071" s="2">
        <f t="shared" si="126"/>
        <v>3204</v>
      </c>
      <c r="I4071" t="str">
        <f t="shared" si="127"/>
        <v>LOC101056668_3204</v>
      </c>
      <c r="J4071" s="3">
        <v>3204</v>
      </c>
      <c r="K4071" s="3">
        <v>0</v>
      </c>
      <c r="L4071" s="3">
        <v>0</v>
      </c>
      <c r="M4071" s="3">
        <v>0</v>
      </c>
      <c r="N4071" s="3">
        <v>0</v>
      </c>
    </row>
    <row r="4072" spans="1:14" x14ac:dyDescent="0.2">
      <c r="A4072" s="5" t="str">
        <f>HYPERLINK("http://www.ncbi.nlm.nih.gov/protein/407262493","LOC101056688")</f>
        <v>LOC101056688</v>
      </c>
      <c r="B4072" s="4"/>
      <c r="C4072" s="3">
        <v>0</v>
      </c>
      <c r="D4072" s="3">
        <v>5033</v>
      </c>
      <c r="E4072" s="3">
        <v>7343</v>
      </c>
      <c r="F4072" s="3">
        <v>19171</v>
      </c>
      <c r="G4072" s="3">
        <v>65489</v>
      </c>
      <c r="H4072" s="2">
        <f t="shared" si="126"/>
        <v>97036</v>
      </c>
      <c r="I4072" t="str">
        <f t="shared" si="127"/>
        <v>LOC101056688_97036</v>
      </c>
      <c r="J4072" s="3">
        <v>0</v>
      </c>
      <c r="K4072" s="3">
        <v>5033</v>
      </c>
      <c r="L4072" s="3">
        <v>7343</v>
      </c>
      <c r="M4072" s="3">
        <v>19171</v>
      </c>
      <c r="N4072" s="3">
        <v>65489</v>
      </c>
    </row>
    <row r="4073" spans="1:14" x14ac:dyDescent="0.2">
      <c r="A4073" s="5" t="str">
        <f>HYPERLINK("http://www.ncbi.nlm.nih.gov/protein/407260978","LOC101056690")</f>
        <v>LOC101056690</v>
      </c>
      <c r="B4073" s="4"/>
      <c r="C4073" s="3">
        <v>0</v>
      </c>
      <c r="D4073" s="3">
        <v>0</v>
      </c>
      <c r="E4073" s="3">
        <v>0</v>
      </c>
      <c r="F4073" s="3">
        <v>0</v>
      </c>
      <c r="G4073" s="3">
        <v>4830</v>
      </c>
      <c r="H4073" s="2">
        <f t="shared" si="126"/>
        <v>4830</v>
      </c>
      <c r="I4073" t="str">
        <f t="shared" si="127"/>
        <v>LOC101056690_4830</v>
      </c>
      <c r="J4073" s="3">
        <v>0</v>
      </c>
      <c r="K4073" s="3">
        <v>0</v>
      </c>
      <c r="L4073" s="3">
        <v>0</v>
      </c>
      <c r="M4073" s="3">
        <v>0</v>
      </c>
      <c r="N4073" s="3">
        <v>4830</v>
      </c>
    </row>
    <row r="4074" spans="1:14" x14ac:dyDescent="0.2">
      <c r="A4074" s="5" t="str">
        <f>HYPERLINK("http://www.ncbi.nlm.nih.gov/protein/407260980","LOC101056690")</f>
        <v>LOC101056690</v>
      </c>
      <c r="B4074" s="4"/>
      <c r="C4074" s="3">
        <v>0</v>
      </c>
      <c r="D4074" s="3">
        <v>0</v>
      </c>
      <c r="E4074" s="3">
        <v>0</v>
      </c>
      <c r="F4074" s="3">
        <v>0</v>
      </c>
      <c r="G4074" s="3">
        <v>4830</v>
      </c>
      <c r="H4074" s="2">
        <f t="shared" si="126"/>
        <v>4830</v>
      </c>
      <c r="I4074" t="str">
        <f t="shared" si="127"/>
        <v>LOC101056690_4830</v>
      </c>
      <c r="J4074" s="3">
        <v>0</v>
      </c>
      <c r="K4074" s="3">
        <v>0</v>
      </c>
      <c r="L4074" s="3">
        <v>0</v>
      </c>
      <c r="M4074" s="3">
        <v>0</v>
      </c>
      <c r="N4074" s="3">
        <v>4830</v>
      </c>
    </row>
    <row r="4075" spans="1:14" x14ac:dyDescent="0.2">
      <c r="A4075" s="5" t="str">
        <f>HYPERLINK("http://www.ncbi.nlm.nih.gov/protein/407260982","LOC101056690")</f>
        <v>LOC101056690</v>
      </c>
      <c r="B4075" s="4"/>
      <c r="C4075" s="3">
        <v>0</v>
      </c>
      <c r="D4075" s="3">
        <v>0</v>
      </c>
      <c r="E4075" s="3">
        <v>0</v>
      </c>
      <c r="F4075" s="3">
        <v>0</v>
      </c>
      <c r="G4075" s="3">
        <v>4830</v>
      </c>
      <c r="H4075" s="2">
        <f t="shared" si="126"/>
        <v>4830</v>
      </c>
      <c r="I4075" t="str">
        <f t="shared" si="127"/>
        <v>LOC101056690_4830</v>
      </c>
      <c r="J4075" s="3">
        <v>0</v>
      </c>
      <c r="K4075" s="3">
        <v>0</v>
      </c>
      <c r="L4075" s="3">
        <v>0</v>
      </c>
      <c r="M4075" s="3">
        <v>0</v>
      </c>
      <c r="N4075" s="3">
        <v>4830</v>
      </c>
    </row>
    <row r="4076" spans="1:14" x14ac:dyDescent="0.2">
      <c r="A4076" s="5" t="str">
        <f>HYPERLINK("http://www.ncbi.nlm.nih.gov/protein/407260984","LOC101056690")</f>
        <v>LOC101056690</v>
      </c>
      <c r="B4076" s="4"/>
      <c r="C4076" s="3">
        <v>0</v>
      </c>
      <c r="D4076" s="3">
        <v>0</v>
      </c>
      <c r="E4076" s="3">
        <v>0</v>
      </c>
      <c r="F4076" s="3">
        <v>0</v>
      </c>
      <c r="G4076" s="3">
        <v>3973</v>
      </c>
      <c r="H4076" s="2">
        <f t="shared" si="126"/>
        <v>3973</v>
      </c>
      <c r="I4076" t="str">
        <f t="shared" si="127"/>
        <v>LOC101056690_3973</v>
      </c>
      <c r="J4076" s="3">
        <v>0</v>
      </c>
      <c r="K4076" s="3">
        <v>0</v>
      </c>
      <c r="L4076" s="3">
        <v>0</v>
      </c>
      <c r="M4076" s="3">
        <v>0</v>
      </c>
      <c r="N4076" s="3">
        <v>3973</v>
      </c>
    </row>
    <row r="4077" spans="1:14" x14ac:dyDescent="0.2">
      <c r="A4077" s="5" t="str">
        <f>HYPERLINK("http://www.ncbi.nlm.nih.gov/protein/377834539","LOC215866")</f>
        <v>LOC215866</v>
      </c>
      <c r="B4077" s="4"/>
      <c r="C4077" s="3">
        <v>458</v>
      </c>
      <c r="D4077" s="3">
        <v>827</v>
      </c>
      <c r="E4077" s="3">
        <v>2616</v>
      </c>
      <c r="F4077" s="3">
        <v>3389</v>
      </c>
      <c r="G4077" s="3">
        <v>0</v>
      </c>
      <c r="H4077" s="2">
        <f t="shared" si="126"/>
        <v>7290</v>
      </c>
      <c r="I4077" t="str">
        <f t="shared" si="127"/>
        <v>LOC215866_7290</v>
      </c>
      <c r="J4077" s="3">
        <v>458</v>
      </c>
      <c r="K4077" s="3">
        <v>827</v>
      </c>
      <c r="L4077" s="3">
        <v>2616</v>
      </c>
      <c r="M4077" s="3">
        <v>3389</v>
      </c>
      <c r="N4077" s="3">
        <v>0</v>
      </c>
    </row>
    <row r="4078" spans="1:14" x14ac:dyDescent="0.2">
      <c r="A4078" s="5" t="str">
        <f>HYPERLINK("http://www.ncbi.nlm.nih.gov/protein/407263623","LOC215866")</f>
        <v>LOC215866</v>
      </c>
      <c r="B4078" s="4"/>
      <c r="C4078" s="3">
        <v>458</v>
      </c>
      <c r="D4078" s="3">
        <v>827</v>
      </c>
      <c r="E4078" s="3">
        <v>2616</v>
      </c>
      <c r="F4078" s="3">
        <v>3389</v>
      </c>
      <c r="G4078" s="3">
        <v>0</v>
      </c>
      <c r="H4078" s="2">
        <f t="shared" si="126"/>
        <v>7290</v>
      </c>
      <c r="I4078" t="str">
        <f t="shared" si="127"/>
        <v>LOC215866_7290</v>
      </c>
      <c r="J4078" s="3">
        <v>458</v>
      </c>
      <c r="K4078" s="3">
        <v>827</v>
      </c>
      <c r="L4078" s="3">
        <v>2616</v>
      </c>
      <c r="M4078" s="3">
        <v>3389</v>
      </c>
      <c r="N4078" s="3">
        <v>0</v>
      </c>
    </row>
    <row r="4079" spans="1:14" x14ac:dyDescent="0.2">
      <c r="A4079" s="5" t="str">
        <f>HYPERLINK("http://www.ncbi.nlm.nih.gov/protein/82975294","LOC386400")</f>
        <v>LOC386400</v>
      </c>
      <c r="B4079" s="4"/>
      <c r="C4079" s="3">
        <v>0</v>
      </c>
      <c r="D4079" s="3">
        <v>3561</v>
      </c>
      <c r="E4079" s="3">
        <v>1588</v>
      </c>
      <c r="F4079" s="3">
        <v>3806</v>
      </c>
      <c r="G4079" s="3">
        <v>63989</v>
      </c>
      <c r="H4079" s="2">
        <f t="shared" si="126"/>
        <v>72944</v>
      </c>
      <c r="I4079" t="str">
        <f t="shared" si="127"/>
        <v>LOC386400_72944</v>
      </c>
      <c r="J4079" s="3">
        <v>0</v>
      </c>
      <c r="K4079" s="3">
        <v>3561</v>
      </c>
      <c r="L4079" s="3">
        <v>1588</v>
      </c>
      <c r="M4079" s="3">
        <v>3806</v>
      </c>
      <c r="N4079" s="3">
        <v>63989</v>
      </c>
    </row>
    <row r="4080" spans="1:14" x14ac:dyDescent="0.2">
      <c r="A4080" s="5" t="str">
        <f>HYPERLINK("http://www.ncbi.nlm.nih.gov/protein/407261848","LOC434624")</f>
        <v>LOC434624</v>
      </c>
      <c r="B4080" s="4"/>
      <c r="C4080" s="3">
        <v>174255</v>
      </c>
      <c r="D4080" s="3">
        <v>6670</v>
      </c>
      <c r="E4080" s="3">
        <v>4879</v>
      </c>
      <c r="F4080" s="3">
        <v>114262</v>
      </c>
      <c r="G4080" s="3">
        <v>0</v>
      </c>
      <c r="H4080" s="2">
        <f t="shared" si="126"/>
        <v>300066</v>
      </c>
      <c r="I4080" t="str">
        <f t="shared" si="127"/>
        <v>LOC434624_300066</v>
      </c>
      <c r="J4080" s="3">
        <v>174255</v>
      </c>
      <c r="K4080" s="3">
        <v>6670</v>
      </c>
      <c r="L4080" s="3">
        <v>4879</v>
      </c>
      <c r="M4080" s="3">
        <v>114262</v>
      </c>
      <c r="N4080" s="3">
        <v>0</v>
      </c>
    </row>
    <row r="4081" spans="1:14" x14ac:dyDescent="0.2">
      <c r="A4081" s="5" t="str">
        <f>HYPERLINK("http://www.ncbi.nlm.nih.gov/protein/377834670","LOC547349")</f>
        <v>LOC547349</v>
      </c>
      <c r="B4081" s="4"/>
      <c r="C4081" s="3">
        <v>0</v>
      </c>
      <c r="D4081" s="3">
        <v>0</v>
      </c>
      <c r="E4081" s="3">
        <v>234</v>
      </c>
      <c r="F4081" s="3">
        <v>0</v>
      </c>
      <c r="G4081" s="3">
        <v>0</v>
      </c>
      <c r="H4081" s="2">
        <f t="shared" si="126"/>
        <v>234</v>
      </c>
      <c r="I4081" t="str">
        <f t="shared" si="127"/>
        <v>LOC547349_234</v>
      </c>
      <c r="J4081" s="3">
        <v>0</v>
      </c>
      <c r="K4081" s="3">
        <v>0</v>
      </c>
      <c r="L4081" s="3">
        <v>234</v>
      </c>
      <c r="M4081" s="3">
        <v>0</v>
      </c>
      <c r="N4081" s="3">
        <v>0</v>
      </c>
    </row>
    <row r="4082" spans="1:14" x14ac:dyDescent="0.2">
      <c r="A4082" s="5" t="str">
        <f>HYPERLINK("http://www.ncbi.nlm.nih.gov/protein/68534959","LOC547349")</f>
        <v>LOC547349</v>
      </c>
      <c r="B4082" s="4"/>
      <c r="C4082" s="3">
        <v>0</v>
      </c>
      <c r="D4082" s="3">
        <v>0</v>
      </c>
      <c r="E4082" s="3">
        <v>234</v>
      </c>
      <c r="F4082" s="3">
        <v>0</v>
      </c>
      <c r="G4082" s="3">
        <v>0</v>
      </c>
      <c r="H4082" s="2">
        <f t="shared" si="126"/>
        <v>234</v>
      </c>
      <c r="I4082" t="str">
        <f t="shared" si="127"/>
        <v>LOC547349_234</v>
      </c>
      <c r="J4082" s="3">
        <v>0</v>
      </c>
      <c r="K4082" s="3">
        <v>0</v>
      </c>
      <c r="L4082" s="3">
        <v>234</v>
      </c>
      <c r="M4082" s="3">
        <v>0</v>
      </c>
      <c r="N4082" s="3">
        <v>0</v>
      </c>
    </row>
    <row r="4083" spans="1:14" x14ac:dyDescent="0.2">
      <c r="A4083" s="5" t="str">
        <f>HYPERLINK("http://www.ncbi.nlm.nih.gov/protein/407262567","LOC630855")</f>
        <v>LOC630855</v>
      </c>
      <c r="B4083" s="4"/>
      <c r="C4083" s="3">
        <v>91457</v>
      </c>
      <c r="D4083" s="3">
        <v>18203</v>
      </c>
      <c r="E4083" s="3">
        <v>96011</v>
      </c>
      <c r="F4083" s="3">
        <v>120451</v>
      </c>
      <c r="G4083" s="3">
        <v>0</v>
      </c>
      <c r="H4083" s="2">
        <f t="shared" si="126"/>
        <v>326122</v>
      </c>
      <c r="I4083" t="str">
        <f t="shared" si="127"/>
        <v>LOC630855_326122</v>
      </c>
      <c r="J4083" s="3">
        <v>91457</v>
      </c>
      <c r="K4083" s="3">
        <v>18203</v>
      </c>
      <c r="L4083" s="3">
        <v>96011</v>
      </c>
      <c r="M4083" s="3">
        <v>120451</v>
      </c>
      <c r="N4083" s="3">
        <v>0</v>
      </c>
    </row>
    <row r="4084" spans="1:14" x14ac:dyDescent="0.2">
      <c r="A4084" s="5" t="str">
        <f>HYPERLINK("http://www.ncbi.nlm.nih.gov/protein/82916992","LOC631033")</f>
        <v>LOC631033</v>
      </c>
      <c r="B4084" s="4"/>
      <c r="C4084" s="3">
        <v>860</v>
      </c>
      <c r="D4084" s="3">
        <v>11273</v>
      </c>
      <c r="E4084" s="3">
        <v>9834</v>
      </c>
      <c r="F4084" s="3">
        <v>492591</v>
      </c>
      <c r="G4084" s="3">
        <v>5269</v>
      </c>
      <c r="H4084" s="2">
        <f t="shared" si="126"/>
        <v>519827</v>
      </c>
      <c r="I4084" t="str">
        <f t="shared" si="127"/>
        <v>LOC631033_519827</v>
      </c>
      <c r="J4084" s="3">
        <v>860</v>
      </c>
      <c r="K4084" s="3">
        <v>11273</v>
      </c>
      <c r="L4084" s="3">
        <v>9834</v>
      </c>
      <c r="M4084" s="3">
        <v>492591</v>
      </c>
      <c r="N4084" s="3">
        <v>5269</v>
      </c>
    </row>
    <row r="4085" spans="1:14" x14ac:dyDescent="0.2">
      <c r="A4085" s="5" t="str">
        <f>HYPERLINK("http://www.ncbi.nlm.nih.gov/protein/82913708","LOC631040")</f>
        <v>LOC631040</v>
      </c>
      <c r="B4085" s="4"/>
      <c r="C4085" s="3">
        <v>3240</v>
      </c>
      <c r="D4085" s="3">
        <v>992</v>
      </c>
      <c r="E4085" s="3">
        <v>10</v>
      </c>
      <c r="F4085" s="3">
        <v>0</v>
      </c>
      <c r="G4085" s="3">
        <v>0</v>
      </c>
      <c r="H4085" s="2">
        <f t="shared" si="126"/>
        <v>4242</v>
      </c>
      <c r="I4085" t="str">
        <f t="shared" si="127"/>
        <v>LOC631040_4242</v>
      </c>
      <c r="J4085" s="3">
        <v>3240</v>
      </c>
      <c r="K4085" s="3">
        <v>992</v>
      </c>
      <c r="L4085" s="3">
        <v>10</v>
      </c>
      <c r="M4085" s="3">
        <v>0</v>
      </c>
      <c r="N4085" s="3">
        <v>0</v>
      </c>
    </row>
    <row r="4086" spans="1:14" x14ac:dyDescent="0.2">
      <c r="A4086" s="5" t="str">
        <f>HYPERLINK("http://www.ncbi.nlm.nih.gov/protein/407261777","LOC631286")</f>
        <v>LOC631286</v>
      </c>
      <c r="B4086" s="4"/>
      <c r="C4086" s="3">
        <v>13675</v>
      </c>
      <c r="D4086" s="3">
        <v>9143</v>
      </c>
      <c r="E4086" s="3">
        <v>13517</v>
      </c>
      <c r="F4086" s="3">
        <v>23984</v>
      </c>
      <c r="G4086" s="3">
        <v>41339</v>
      </c>
      <c r="H4086" s="2">
        <f t="shared" si="126"/>
        <v>101658</v>
      </c>
      <c r="I4086" t="str">
        <f t="shared" si="127"/>
        <v>LOC631286_101658</v>
      </c>
      <c r="J4086" s="3">
        <v>13675</v>
      </c>
      <c r="K4086" s="3">
        <v>9143</v>
      </c>
      <c r="L4086" s="3">
        <v>13517</v>
      </c>
      <c r="M4086" s="3">
        <v>23984</v>
      </c>
      <c r="N4086" s="3">
        <v>41339</v>
      </c>
    </row>
    <row r="4087" spans="1:14" x14ac:dyDescent="0.2">
      <c r="A4087" s="5" t="str">
        <f>HYPERLINK("http://www.ncbi.nlm.nih.gov/protein/82892305","LOC631287")</f>
        <v>LOC631287</v>
      </c>
      <c r="B4087" s="4"/>
      <c r="C4087" s="3">
        <v>0</v>
      </c>
      <c r="D4087" s="3">
        <v>2601</v>
      </c>
      <c r="E4087" s="3">
        <v>2109</v>
      </c>
      <c r="F4087" s="3">
        <v>65</v>
      </c>
      <c r="G4087" s="3">
        <v>0</v>
      </c>
      <c r="H4087" s="2">
        <f t="shared" si="126"/>
        <v>4775</v>
      </c>
      <c r="I4087" t="str">
        <f t="shared" si="127"/>
        <v>LOC631287_4775</v>
      </c>
      <c r="J4087" s="3">
        <v>0</v>
      </c>
      <c r="K4087" s="3">
        <v>2601</v>
      </c>
      <c r="L4087" s="3">
        <v>2109</v>
      </c>
      <c r="M4087" s="3">
        <v>65</v>
      </c>
      <c r="N4087" s="3">
        <v>0</v>
      </c>
    </row>
    <row r="4088" spans="1:14" x14ac:dyDescent="0.2">
      <c r="A4088" s="5" t="str">
        <f>HYPERLINK("http://www.ncbi.nlm.nih.gov/protein/82918783","LOC631966")</f>
        <v>LOC631966</v>
      </c>
      <c r="B4088" s="4"/>
      <c r="C4088" s="3">
        <v>3881</v>
      </c>
      <c r="D4088" s="3">
        <v>2597</v>
      </c>
      <c r="E4088" s="3">
        <v>2763</v>
      </c>
      <c r="F4088" s="3">
        <v>5026</v>
      </c>
      <c r="G4088" s="3">
        <v>3116</v>
      </c>
      <c r="H4088" s="2">
        <f t="shared" si="126"/>
        <v>17383</v>
      </c>
      <c r="I4088" t="str">
        <f t="shared" si="127"/>
        <v>LOC631966_17383</v>
      </c>
      <c r="J4088" s="3">
        <v>3881</v>
      </c>
      <c r="K4088" s="3">
        <v>2597</v>
      </c>
      <c r="L4088" s="3">
        <v>2763</v>
      </c>
      <c r="M4088" s="3">
        <v>5026</v>
      </c>
      <c r="N4088" s="3">
        <v>3116</v>
      </c>
    </row>
    <row r="4089" spans="1:14" x14ac:dyDescent="0.2">
      <c r="A4089" s="5" t="str">
        <f>HYPERLINK("http://www.ncbi.nlm.nih.gov/protein/149253567","LOC632465")</f>
        <v>LOC632465</v>
      </c>
      <c r="B4089" s="4"/>
      <c r="C4089" s="3">
        <v>0</v>
      </c>
      <c r="D4089" s="3">
        <v>0</v>
      </c>
      <c r="E4089" s="3">
        <v>0</v>
      </c>
      <c r="F4089" s="3">
        <v>892</v>
      </c>
      <c r="G4089" s="3">
        <v>2046</v>
      </c>
      <c r="H4089" s="2">
        <f t="shared" si="126"/>
        <v>2938</v>
      </c>
      <c r="I4089" t="str">
        <f t="shared" si="127"/>
        <v>LOC632465_2938</v>
      </c>
      <c r="J4089" s="3">
        <v>0</v>
      </c>
      <c r="K4089" s="3">
        <v>0</v>
      </c>
      <c r="L4089" s="3">
        <v>0</v>
      </c>
      <c r="M4089" s="3">
        <v>892</v>
      </c>
      <c r="N4089" s="3">
        <v>2046</v>
      </c>
    </row>
    <row r="4090" spans="1:14" x14ac:dyDescent="0.2">
      <c r="A4090" s="5" t="str">
        <f>HYPERLINK("http://www.ncbi.nlm.nih.gov/protein/82935644","LOC633406")</f>
        <v>LOC633406</v>
      </c>
      <c r="B4090" s="4"/>
      <c r="C4090" s="3">
        <v>0</v>
      </c>
      <c r="D4090" s="3">
        <v>0</v>
      </c>
      <c r="E4090" s="3">
        <v>600</v>
      </c>
      <c r="F4090" s="3">
        <v>205</v>
      </c>
      <c r="G4090" s="3">
        <v>0</v>
      </c>
      <c r="H4090" s="2">
        <f t="shared" si="126"/>
        <v>805</v>
      </c>
      <c r="I4090" t="str">
        <f t="shared" si="127"/>
        <v>LOC633406_805</v>
      </c>
      <c r="J4090" s="3">
        <v>0</v>
      </c>
      <c r="K4090" s="3">
        <v>0</v>
      </c>
      <c r="L4090" s="3">
        <v>600</v>
      </c>
      <c r="M4090" s="3">
        <v>205</v>
      </c>
      <c r="N4090" s="3">
        <v>0</v>
      </c>
    </row>
    <row r="4091" spans="1:14" x14ac:dyDescent="0.2">
      <c r="A4091" s="5" t="str">
        <f>HYPERLINK("http://www.ncbi.nlm.nih.gov/protein/83013315","LOC634339")</f>
        <v>LOC634339</v>
      </c>
      <c r="B4091" s="4"/>
      <c r="C4091" s="3">
        <v>1117</v>
      </c>
      <c r="D4091" s="3">
        <v>33</v>
      </c>
      <c r="E4091" s="3">
        <v>13185</v>
      </c>
      <c r="F4091" s="3">
        <v>53182</v>
      </c>
      <c r="G4091" s="3">
        <v>0</v>
      </c>
      <c r="H4091" s="2">
        <f t="shared" si="126"/>
        <v>67517</v>
      </c>
      <c r="I4091" t="str">
        <f t="shared" si="127"/>
        <v>LOC634339_67517</v>
      </c>
      <c r="J4091" s="3">
        <v>1117</v>
      </c>
      <c r="K4091" s="3">
        <v>33</v>
      </c>
      <c r="L4091" s="3">
        <v>13185</v>
      </c>
      <c r="M4091" s="3">
        <v>53182</v>
      </c>
      <c r="N4091" s="3">
        <v>0</v>
      </c>
    </row>
    <row r="4092" spans="1:14" x14ac:dyDescent="0.2">
      <c r="A4092" s="5" t="str">
        <f>HYPERLINK("http://www.ncbi.nlm.nih.gov/protein/82916356","LOC634555")</f>
        <v>LOC634555</v>
      </c>
      <c r="B4092" s="4"/>
      <c r="C4092" s="3">
        <v>549</v>
      </c>
      <c r="D4092" s="3">
        <v>0</v>
      </c>
      <c r="E4092" s="3">
        <v>0</v>
      </c>
      <c r="F4092" s="3">
        <v>0</v>
      </c>
      <c r="G4092" s="3">
        <v>0</v>
      </c>
      <c r="H4092" s="2">
        <f t="shared" si="126"/>
        <v>549</v>
      </c>
      <c r="I4092" t="str">
        <f t="shared" si="127"/>
        <v>LOC634555_549</v>
      </c>
      <c r="J4092" s="3">
        <v>549</v>
      </c>
      <c r="K4092" s="3">
        <v>0</v>
      </c>
      <c r="L4092" s="3">
        <v>0</v>
      </c>
      <c r="M4092" s="3">
        <v>0</v>
      </c>
      <c r="N4092" s="3">
        <v>0</v>
      </c>
    </row>
    <row r="4093" spans="1:14" x14ac:dyDescent="0.2">
      <c r="A4093" s="5" t="str">
        <f>HYPERLINK("http://www.ncbi.nlm.nih.gov/protein/82931574","LOC635999")</f>
        <v>LOC635999</v>
      </c>
      <c r="B4093" s="4"/>
      <c r="C4093" s="3">
        <v>165</v>
      </c>
      <c r="D4093" s="3">
        <v>353</v>
      </c>
      <c r="E4093" s="3">
        <v>1266</v>
      </c>
      <c r="F4093" s="3">
        <v>3061</v>
      </c>
      <c r="G4093" s="3">
        <v>1778</v>
      </c>
      <c r="H4093" s="2">
        <f t="shared" si="126"/>
        <v>6623</v>
      </c>
      <c r="I4093" t="str">
        <f t="shared" si="127"/>
        <v>LOC635999_6623</v>
      </c>
      <c r="J4093" s="3">
        <v>165</v>
      </c>
      <c r="K4093" s="3">
        <v>353</v>
      </c>
      <c r="L4093" s="3">
        <v>1266</v>
      </c>
      <c r="M4093" s="3">
        <v>3061</v>
      </c>
      <c r="N4093" s="3">
        <v>1778</v>
      </c>
    </row>
    <row r="4094" spans="1:14" x14ac:dyDescent="0.2">
      <c r="A4094" s="5" t="str">
        <f>HYPERLINK("http://www.ncbi.nlm.nih.gov/protein/82905443","LOC636901")</f>
        <v>LOC636901</v>
      </c>
      <c r="B4094" s="4"/>
      <c r="C4094" s="3">
        <v>301097</v>
      </c>
      <c r="D4094" s="3">
        <v>39166</v>
      </c>
      <c r="E4094" s="3">
        <v>329048</v>
      </c>
      <c r="F4094" s="3">
        <v>341936</v>
      </c>
      <c r="G4094" s="3">
        <v>25821</v>
      </c>
      <c r="H4094" s="2">
        <f t="shared" si="126"/>
        <v>1037068</v>
      </c>
      <c r="I4094" t="str">
        <f t="shared" si="127"/>
        <v>LOC636901_1037068</v>
      </c>
      <c r="J4094" s="3">
        <v>301097</v>
      </c>
      <c r="K4094" s="3">
        <v>39166</v>
      </c>
      <c r="L4094" s="3">
        <v>329048</v>
      </c>
      <c r="M4094" s="3">
        <v>341936</v>
      </c>
      <c r="N4094" s="3">
        <v>25821</v>
      </c>
    </row>
    <row r="4095" spans="1:14" x14ac:dyDescent="0.2">
      <c r="A4095" s="5" t="str">
        <f>HYPERLINK("http://www.ncbi.nlm.nih.gov/protein/82898629","LOC637553")</f>
        <v>LOC637553</v>
      </c>
      <c r="B4095" s="4"/>
      <c r="C4095" s="3">
        <v>18068</v>
      </c>
      <c r="D4095" s="3">
        <v>32757</v>
      </c>
      <c r="E4095" s="3">
        <v>63469</v>
      </c>
      <c r="F4095" s="3">
        <v>311231</v>
      </c>
      <c r="G4095" s="3">
        <v>0</v>
      </c>
      <c r="H4095" s="2">
        <f t="shared" si="126"/>
        <v>425525</v>
      </c>
      <c r="I4095" t="str">
        <f t="shared" si="127"/>
        <v>LOC637553_425525</v>
      </c>
      <c r="J4095" s="3">
        <v>18068</v>
      </c>
      <c r="K4095" s="3">
        <v>32757</v>
      </c>
      <c r="L4095" s="3">
        <v>63469</v>
      </c>
      <c r="M4095" s="3">
        <v>311231</v>
      </c>
      <c r="N4095" s="3">
        <v>0</v>
      </c>
    </row>
    <row r="4096" spans="1:14" x14ac:dyDescent="0.2">
      <c r="A4096" s="5" t="str">
        <f>HYPERLINK("http://www.ncbi.nlm.nih.gov/protein/83009766","LOC637657")</f>
        <v>LOC637657</v>
      </c>
      <c r="B4096" s="4"/>
      <c r="C4096" s="3">
        <v>146</v>
      </c>
      <c r="D4096" s="3">
        <v>526</v>
      </c>
      <c r="E4096" s="3">
        <v>111</v>
      </c>
      <c r="F4096" s="3">
        <v>0</v>
      </c>
      <c r="G4096" s="3">
        <v>1135</v>
      </c>
      <c r="H4096" s="2">
        <f t="shared" si="126"/>
        <v>1918</v>
      </c>
      <c r="I4096" t="str">
        <f t="shared" si="127"/>
        <v>LOC637657_1918</v>
      </c>
      <c r="J4096" s="3">
        <v>146</v>
      </c>
      <c r="K4096" s="3">
        <v>526</v>
      </c>
      <c r="L4096" s="3">
        <v>111</v>
      </c>
      <c r="M4096" s="3">
        <v>0</v>
      </c>
      <c r="N4096" s="3">
        <v>1135</v>
      </c>
    </row>
    <row r="4097" spans="1:14" x14ac:dyDescent="0.2">
      <c r="A4097" s="5" t="str">
        <f>HYPERLINK("http://www.ncbi.nlm.nih.gov/protein/83014391","LOC637733")</f>
        <v>LOC637733</v>
      </c>
      <c r="B4097" s="4"/>
      <c r="C4097" s="3">
        <v>135245</v>
      </c>
      <c r="D4097" s="3">
        <v>17341</v>
      </c>
      <c r="E4097" s="3">
        <v>28577</v>
      </c>
      <c r="F4097" s="3">
        <v>114475</v>
      </c>
      <c r="G4097" s="3">
        <v>301569</v>
      </c>
      <c r="H4097" s="2">
        <f t="shared" si="126"/>
        <v>597207</v>
      </c>
      <c r="I4097" t="str">
        <f t="shared" si="127"/>
        <v>LOC637733_597207</v>
      </c>
      <c r="J4097" s="3">
        <v>135245</v>
      </c>
      <c r="K4097" s="3">
        <v>17341</v>
      </c>
      <c r="L4097" s="3">
        <v>28577</v>
      </c>
      <c r="M4097" s="3">
        <v>114475</v>
      </c>
      <c r="N4097" s="3">
        <v>301569</v>
      </c>
    </row>
    <row r="4098" spans="1:14" x14ac:dyDescent="0.2">
      <c r="A4098" s="5" t="str">
        <f>HYPERLINK("http://www.ncbi.nlm.nih.gov/protein/309263460","LOC638236")</f>
        <v>LOC638236</v>
      </c>
      <c r="B4098" s="4"/>
      <c r="C4098" s="3">
        <v>90413</v>
      </c>
      <c r="D4098" s="3">
        <v>8004</v>
      </c>
      <c r="E4098" s="3">
        <v>64076</v>
      </c>
      <c r="F4098" s="3">
        <v>341019</v>
      </c>
      <c r="G4098" s="3">
        <v>0</v>
      </c>
      <c r="H4098" s="2">
        <f t="shared" ref="H4098:H4161" si="128">SUM(C4098:G4098)</f>
        <v>503512</v>
      </c>
      <c r="I4098" t="str">
        <f t="shared" ref="I4098:I4161" si="129">A4098&amp;"_"&amp;H4098</f>
        <v>LOC638236_503512</v>
      </c>
      <c r="J4098" s="3">
        <v>90413</v>
      </c>
      <c r="K4098" s="3">
        <v>8004</v>
      </c>
      <c r="L4098" s="3">
        <v>64076</v>
      </c>
      <c r="M4098" s="3">
        <v>341019</v>
      </c>
      <c r="N4098" s="3">
        <v>0</v>
      </c>
    </row>
    <row r="4099" spans="1:14" x14ac:dyDescent="0.2">
      <c r="A4099" s="5" t="str">
        <f>HYPERLINK("http://www.ncbi.nlm.nih.gov/protein/82898755","LOC638399")</f>
        <v>LOC638399</v>
      </c>
      <c r="B4099" s="4"/>
      <c r="C4099" s="3">
        <v>124316</v>
      </c>
      <c r="D4099" s="3">
        <v>8089</v>
      </c>
      <c r="E4099" s="3">
        <v>116780</v>
      </c>
      <c r="F4099" s="3">
        <v>48442</v>
      </c>
      <c r="G4099" s="3">
        <v>1210</v>
      </c>
      <c r="H4099" s="2">
        <f t="shared" si="128"/>
        <v>298837</v>
      </c>
      <c r="I4099" t="str">
        <f t="shared" si="129"/>
        <v>LOC638399_298837</v>
      </c>
      <c r="J4099" s="3">
        <v>124316</v>
      </c>
      <c r="K4099" s="3">
        <v>8089</v>
      </c>
      <c r="L4099" s="3">
        <v>116780</v>
      </c>
      <c r="M4099" s="3">
        <v>48442</v>
      </c>
      <c r="N4099" s="3">
        <v>1210</v>
      </c>
    </row>
    <row r="4100" spans="1:14" x14ac:dyDescent="0.2">
      <c r="A4100" s="5" t="str">
        <f>HYPERLINK("http://www.ncbi.nlm.nih.gov/protein/377833703","LOC639541")</f>
        <v>LOC639541</v>
      </c>
      <c r="B4100" s="4"/>
      <c r="C4100" s="3">
        <v>0</v>
      </c>
      <c r="D4100" s="3">
        <v>449</v>
      </c>
      <c r="E4100" s="3">
        <v>332</v>
      </c>
      <c r="F4100" s="3">
        <v>0</v>
      </c>
      <c r="G4100" s="3">
        <v>20027</v>
      </c>
      <c r="H4100" s="2">
        <f t="shared" si="128"/>
        <v>20808</v>
      </c>
      <c r="I4100" t="str">
        <f t="shared" si="129"/>
        <v>LOC639541_20808</v>
      </c>
      <c r="J4100" s="3">
        <v>0</v>
      </c>
      <c r="K4100" s="3">
        <v>449</v>
      </c>
      <c r="L4100" s="3">
        <v>332</v>
      </c>
      <c r="M4100" s="3">
        <v>0</v>
      </c>
      <c r="N4100" s="3">
        <v>20027</v>
      </c>
    </row>
    <row r="4101" spans="1:14" x14ac:dyDescent="0.2">
      <c r="A4101" s="5" t="str">
        <f>HYPERLINK("http://www.ncbi.nlm.nih.gov/protein/82885488","LOC639905")</f>
        <v>LOC639905</v>
      </c>
      <c r="B4101" s="4"/>
      <c r="C4101" s="3">
        <v>0</v>
      </c>
      <c r="D4101" s="3">
        <v>319</v>
      </c>
      <c r="E4101" s="3">
        <v>566</v>
      </c>
      <c r="F4101" s="3">
        <v>0</v>
      </c>
      <c r="G4101" s="3">
        <v>4005</v>
      </c>
      <c r="H4101" s="2">
        <f t="shared" si="128"/>
        <v>4890</v>
      </c>
      <c r="I4101" t="str">
        <f t="shared" si="129"/>
        <v>LOC639905_4890</v>
      </c>
      <c r="J4101" s="3">
        <v>0</v>
      </c>
      <c r="K4101" s="3">
        <v>319</v>
      </c>
      <c r="L4101" s="3">
        <v>566</v>
      </c>
      <c r="M4101" s="3">
        <v>0</v>
      </c>
      <c r="N4101" s="3">
        <v>4005</v>
      </c>
    </row>
    <row r="4102" spans="1:14" x14ac:dyDescent="0.2">
      <c r="A4102" s="5" t="str">
        <f>HYPERLINK("http://www.ncbi.nlm.nih.gov/protein/82942326","LOC639931")</f>
        <v>LOC639931</v>
      </c>
      <c r="B4102" s="4"/>
      <c r="C4102" s="3">
        <v>0</v>
      </c>
      <c r="D4102" s="3">
        <v>0</v>
      </c>
      <c r="E4102" s="3">
        <v>0</v>
      </c>
      <c r="F4102" s="3">
        <v>892</v>
      </c>
      <c r="G4102" s="3">
        <v>2046</v>
      </c>
      <c r="H4102" s="2">
        <f t="shared" si="128"/>
        <v>2938</v>
      </c>
      <c r="I4102" t="str">
        <f t="shared" si="129"/>
        <v>LOC639931_2938</v>
      </c>
      <c r="J4102" s="3">
        <v>0</v>
      </c>
      <c r="K4102" s="3">
        <v>0</v>
      </c>
      <c r="L4102" s="3">
        <v>0</v>
      </c>
      <c r="M4102" s="3">
        <v>892</v>
      </c>
      <c r="N4102" s="3">
        <v>2046</v>
      </c>
    </row>
    <row r="4103" spans="1:14" x14ac:dyDescent="0.2">
      <c r="A4103" s="5" t="str">
        <f>HYPERLINK("http://www.ncbi.nlm.nih.gov/protein/309264229","LOC640611")</f>
        <v>LOC640611</v>
      </c>
      <c r="B4103" s="4"/>
      <c r="C4103" s="3">
        <v>0</v>
      </c>
      <c r="D4103" s="3">
        <v>3371</v>
      </c>
      <c r="E4103" s="3">
        <v>3695</v>
      </c>
      <c r="F4103" s="3">
        <v>11124</v>
      </c>
      <c r="G4103" s="3">
        <v>48932</v>
      </c>
      <c r="H4103" s="2">
        <f t="shared" si="128"/>
        <v>67122</v>
      </c>
      <c r="I4103" t="str">
        <f t="shared" si="129"/>
        <v>LOC640611_67122</v>
      </c>
      <c r="J4103" s="3">
        <v>0</v>
      </c>
      <c r="K4103" s="3">
        <v>3371</v>
      </c>
      <c r="L4103" s="3">
        <v>3695</v>
      </c>
      <c r="M4103" s="3">
        <v>11124</v>
      </c>
      <c r="N4103" s="3">
        <v>48932</v>
      </c>
    </row>
    <row r="4104" spans="1:14" x14ac:dyDescent="0.2">
      <c r="A4104" s="5" t="str">
        <f>HYPERLINK("http://www.ncbi.nlm.nih.gov/protein/309267099","LOC640856")</f>
        <v>LOC640856</v>
      </c>
      <c r="B4104" s="4"/>
      <c r="C4104" s="3">
        <v>6133</v>
      </c>
      <c r="D4104" s="3">
        <v>342</v>
      </c>
      <c r="E4104" s="3">
        <v>0</v>
      </c>
      <c r="F4104" s="3">
        <v>0</v>
      </c>
      <c r="G4104" s="3">
        <v>311</v>
      </c>
      <c r="H4104" s="2">
        <f t="shared" si="128"/>
        <v>6786</v>
      </c>
      <c r="I4104" t="str">
        <f t="shared" si="129"/>
        <v>LOC640856_6786</v>
      </c>
      <c r="J4104" s="3">
        <v>6133</v>
      </c>
      <c r="K4104" s="3">
        <v>342</v>
      </c>
      <c r="L4104" s="3">
        <v>0</v>
      </c>
      <c r="M4104" s="3">
        <v>0</v>
      </c>
      <c r="N4104" s="3">
        <v>311</v>
      </c>
    </row>
    <row r="4105" spans="1:14" x14ac:dyDescent="0.2">
      <c r="A4105" s="5" t="str">
        <f>HYPERLINK("http://www.ncbi.nlm.nih.gov/protein/149274459","LOC668643")</f>
        <v>LOC668643</v>
      </c>
      <c r="B4105" s="4"/>
      <c r="C4105" s="3">
        <v>0</v>
      </c>
      <c r="D4105" s="3">
        <v>0</v>
      </c>
      <c r="E4105" s="3">
        <v>164</v>
      </c>
      <c r="F4105" s="3">
        <v>0</v>
      </c>
      <c r="G4105" s="3">
        <v>0</v>
      </c>
      <c r="H4105" s="2">
        <f t="shared" si="128"/>
        <v>164</v>
      </c>
      <c r="I4105" t="str">
        <f t="shared" si="129"/>
        <v>LOC668643_164</v>
      </c>
      <c r="J4105" s="3">
        <v>0</v>
      </c>
      <c r="K4105" s="3">
        <v>0</v>
      </c>
      <c r="L4105" s="3">
        <v>164</v>
      </c>
      <c r="M4105" s="3">
        <v>0</v>
      </c>
      <c r="N4105" s="3">
        <v>0</v>
      </c>
    </row>
    <row r="4106" spans="1:14" x14ac:dyDescent="0.2">
      <c r="A4106" s="5" t="str">
        <f>HYPERLINK("http://www.ncbi.nlm.nih.gov/protein/94394659","LOC674321")</f>
        <v>LOC674321</v>
      </c>
      <c r="B4106" s="4"/>
      <c r="C4106" s="3">
        <v>1574</v>
      </c>
      <c r="D4106" s="3">
        <v>1647</v>
      </c>
      <c r="E4106" s="3">
        <v>0</v>
      </c>
      <c r="F4106" s="3">
        <v>0</v>
      </c>
      <c r="G4106" s="3">
        <v>0</v>
      </c>
      <c r="H4106" s="2">
        <f t="shared" si="128"/>
        <v>3221</v>
      </c>
      <c r="I4106" t="str">
        <f t="shared" si="129"/>
        <v>LOC674321_3221</v>
      </c>
      <c r="J4106" s="3">
        <v>1574</v>
      </c>
      <c r="K4106" s="3">
        <v>1647</v>
      </c>
      <c r="L4106" s="3">
        <v>0</v>
      </c>
      <c r="M4106" s="3">
        <v>0</v>
      </c>
      <c r="N4106" s="3">
        <v>0</v>
      </c>
    </row>
    <row r="4107" spans="1:14" x14ac:dyDescent="0.2">
      <c r="A4107" s="5" t="str">
        <f>HYPERLINK("http://www.ncbi.nlm.nih.gov/protein/377833655","LOC674595")</f>
        <v>LOC674595</v>
      </c>
      <c r="B4107" s="4"/>
      <c r="C4107" s="3">
        <v>76904</v>
      </c>
      <c r="D4107" s="3">
        <v>61</v>
      </c>
      <c r="E4107" s="3">
        <v>63</v>
      </c>
      <c r="F4107" s="3">
        <v>0</v>
      </c>
      <c r="G4107" s="3">
        <v>0</v>
      </c>
      <c r="H4107" s="2">
        <f t="shared" si="128"/>
        <v>77028</v>
      </c>
      <c r="I4107" t="str">
        <f t="shared" si="129"/>
        <v>LOC674595_77028</v>
      </c>
      <c r="J4107" s="3">
        <v>76904</v>
      </c>
      <c r="K4107" s="3">
        <v>61</v>
      </c>
      <c r="L4107" s="3">
        <v>63</v>
      </c>
      <c r="M4107" s="3">
        <v>0</v>
      </c>
      <c r="N4107" s="3">
        <v>0</v>
      </c>
    </row>
    <row r="4108" spans="1:14" x14ac:dyDescent="0.2">
      <c r="A4108" s="5" t="str">
        <f>HYPERLINK("http://www.ncbi.nlm.nih.gov/protein/309263209","LOC674846")</f>
        <v>LOC674846</v>
      </c>
      <c r="B4108" s="4"/>
      <c r="C4108" s="3">
        <v>0</v>
      </c>
      <c r="D4108" s="3">
        <v>0</v>
      </c>
      <c r="E4108" s="3">
        <v>0</v>
      </c>
      <c r="F4108" s="3">
        <v>0</v>
      </c>
      <c r="G4108" s="3">
        <v>793</v>
      </c>
      <c r="H4108" s="2">
        <f t="shared" si="128"/>
        <v>793</v>
      </c>
      <c r="I4108" t="str">
        <f t="shared" si="129"/>
        <v>LOC674846_793</v>
      </c>
      <c r="J4108" s="3">
        <v>0</v>
      </c>
      <c r="K4108" s="3">
        <v>0</v>
      </c>
      <c r="L4108" s="3">
        <v>0</v>
      </c>
      <c r="M4108" s="3">
        <v>0</v>
      </c>
      <c r="N4108" s="3">
        <v>793</v>
      </c>
    </row>
    <row r="4109" spans="1:14" x14ac:dyDescent="0.2">
      <c r="A4109" s="5" t="str">
        <f>HYPERLINK("http://www.ncbi.nlm.nih.gov/protein/407262183","LOC675851")</f>
        <v>LOC675851</v>
      </c>
      <c r="B4109" s="4"/>
      <c r="C4109" s="3">
        <v>8933</v>
      </c>
      <c r="D4109" s="3">
        <v>4553</v>
      </c>
      <c r="E4109" s="3">
        <v>190</v>
      </c>
      <c r="F4109" s="3">
        <v>0</v>
      </c>
      <c r="G4109" s="3">
        <v>0</v>
      </c>
      <c r="H4109" s="2">
        <f t="shared" si="128"/>
        <v>13676</v>
      </c>
      <c r="I4109" t="str">
        <f t="shared" si="129"/>
        <v>LOC675851_13676</v>
      </c>
      <c r="J4109" s="3">
        <v>8933</v>
      </c>
      <c r="K4109" s="3">
        <v>4553</v>
      </c>
      <c r="L4109" s="3">
        <v>190</v>
      </c>
      <c r="M4109" s="3">
        <v>0</v>
      </c>
      <c r="N4109" s="3">
        <v>0</v>
      </c>
    </row>
    <row r="4110" spans="1:14" x14ac:dyDescent="0.2">
      <c r="A4110" s="5" t="str">
        <f>HYPERLINK("http://www.ncbi.nlm.nih.gov/protein/149267855","LOC677113")</f>
        <v>LOC677113</v>
      </c>
      <c r="B4110" s="4"/>
      <c r="C4110" s="3">
        <v>23981</v>
      </c>
      <c r="D4110" s="3">
        <v>5342</v>
      </c>
      <c r="E4110" s="3">
        <v>24193</v>
      </c>
      <c r="F4110" s="3">
        <v>145261</v>
      </c>
      <c r="G4110" s="3">
        <v>0</v>
      </c>
      <c r="H4110" s="2">
        <f t="shared" si="128"/>
        <v>198777</v>
      </c>
      <c r="I4110" t="str">
        <f t="shared" si="129"/>
        <v>LOC677113_198777</v>
      </c>
      <c r="J4110" s="3">
        <v>23981</v>
      </c>
      <c r="K4110" s="3">
        <v>5342</v>
      </c>
      <c r="L4110" s="3">
        <v>24193</v>
      </c>
      <c r="M4110" s="3">
        <v>145261</v>
      </c>
      <c r="N4110" s="3">
        <v>0</v>
      </c>
    </row>
    <row r="4111" spans="1:14" x14ac:dyDescent="0.2">
      <c r="A4111" s="5" t="str">
        <f>HYPERLINK("http://www.ncbi.nlm.nih.gov/protein/407262542","LOC677654")</f>
        <v>LOC677654</v>
      </c>
      <c r="B4111" s="4"/>
      <c r="C4111" s="3">
        <v>9556</v>
      </c>
      <c r="D4111" s="3">
        <v>30375</v>
      </c>
      <c r="E4111" s="3">
        <v>34868</v>
      </c>
      <c r="F4111" s="3">
        <v>17231</v>
      </c>
      <c r="G4111" s="3">
        <v>489189</v>
      </c>
      <c r="H4111" s="2">
        <f t="shared" si="128"/>
        <v>581219</v>
      </c>
      <c r="I4111" t="str">
        <f t="shared" si="129"/>
        <v>LOC677654_581219</v>
      </c>
      <c r="J4111" s="3">
        <v>9556</v>
      </c>
      <c r="K4111" s="3">
        <v>30375</v>
      </c>
      <c r="L4111" s="3">
        <v>34868</v>
      </c>
      <c r="M4111" s="3">
        <v>17231</v>
      </c>
      <c r="N4111" s="3">
        <v>489189</v>
      </c>
    </row>
    <row r="4112" spans="1:14" x14ac:dyDescent="0.2">
      <c r="A4112" s="5" t="str">
        <f>HYPERLINK("http://www.ncbi.nlm.nih.gov/protein/27754073","Loh12cr1")</f>
        <v>Loh12cr1</v>
      </c>
      <c r="B4112" s="4"/>
      <c r="C4112" s="3">
        <v>0</v>
      </c>
      <c r="D4112" s="3">
        <v>98</v>
      </c>
      <c r="E4112" s="3">
        <v>211</v>
      </c>
      <c r="F4112" s="3">
        <v>0</v>
      </c>
      <c r="G4112" s="3">
        <v>782</v>
      </c>
      <c r="H4112" s="2">
        <f t="shared" si="128"/>
        <v>1091</v>
      </c>
      <c r="I4112" t="str">
        <f t="shared" si="129"/>
        <v>Loh12cr1_1091</v>
      </c>
      <c r="J4112" s="3">
        <v>0</v>
      </c>
      <c r="K4112" s="3">
        <v>98</v>
      </c>
      <c r="L4112" s="3">
        <v>211</v>
      </c>
      <c r="M4112" s="3">
        <v>0</v>
      </c>
      <c r="N4112" s="3">
        <v>782</v>
      </c>
    </row>
    <row r="4113" spans="1:14" x14ac:dyDescent="0.2">
      <c r="A4113" s="5" t="str">
        <f>HYPERLINK("http://www.ncbi.nlm.nih.gov/protein/281427221","Loh12cr1")</f>
        <v>Loh12cr1</v>
      </c>
      <c r="B4113" s="4"/>
      <c r="C4113" s="3">
        <v>0</v>
      </c>
      <c r="D4113" s="3">
        <v>98</v>
      </c>
      <c r="E4113" s="3">
        <v>211</v>
      </c>
      <c r="F4113" s="3">
        <v>0</v>
      </c>
      <c r="G4113" s="3">
        <v>782</v>
      </c>
      <c r="H4113" s="2">
        <f t="shared" si="128"/>
        <v>1091</v>
      </c>
      <c r="I4113" t="str">
        <f t="shared" si="129"/>
        <v>Loh12cr1_1091</v>
      </c>
      <c r="J4113" s="3">
        <v>0</v>
      </c>
      <c r="K4113" s="3">
        <v>98</v>
      </c>
      <c r="L4113" s="3">
        <v>211</v>
      </c>
      <c r="M4113" s="3">
        <v>0</v>
      </c>
      <c r="N4113" s="3">
        <v>782</v>
      </c>
    </row>
    <row r="4114" spans="1:14" x14ac:dyDescent="0.2">
      <c r="A4114" s="5" t="str">
        <f>HYPERLINK("http://www.ncbi.nlm.nih.gov/protein/116089322","Lonp1")</f>
        <v>Lonp1</v>
      </c>
      <c r="B4114" s="4"/>
      <c r="C4114" s="3">
        <v>77929</v>
      </c>
      <c r="D4114" s="3">
        <v>50182</v>
      </c>
      <c r="E4114" s="3">
        <v>0</v>
      </c>
      <c r="F4114" s="3">
        <v>0</v>
      </c>
      <c r="G4114" s="3">
        <v>2388</v>
      </c>
      <c r="H4114" s="2">
        <f t="shared" si="128"/>
        <v>130499</v>
      </c>
      <c r="I4114" t="str">
        <f t="shared" si="129"/>
        <v>Lonp1_130499</v>
      </c>
      <c r="J4114" s="3">
        <v>77929</v>
      </c>
      <c r="K4114" s="3">
        <v>50182</v>
      </c>
      <c r="L4114" s="3">
        <v>0</v>
      </c>
      <c r="M4114" s="3">
        <v>0</v>
      </c>
      <c r="N4114" s="3">
        <v>2388</v>
      </c>
    </row>
    <row r="4115" spans="1:14" x14ac:dyDescent="0.2">
      <c r="A4115" s="5" t="str">
        <f>HYPERLINK("http://www.ncbi.nlm.nih.gov/protein/13385298","Lonp2")</f>
        <v>Lonp2</v>
      </c>
      <c r="B4115" s="4"/>
      <c r="C4115" s="3">
        <v>0</v>
      </c>
      <c r="D4115" s="3">
        <v>2476</v>
      </c>
      <c r="E4115" s="3">
        <v>3557</v>
      </c>
      <c r="F4115" s="3">
        <v>0</v>
      </c>
      <c r="G4115" s="3">
        <v>0</v>
      </c>
      <c r="H4115" s="2">
        <f t="shared" si="128"/>
        <v>6033</v>
      </c>
      <c r="I4115" t="str">
        <f t="shared" si="129"/>
        <v>Lonp2_6033</v>
      </c>
      <c r="J4115" s="3">
        <v>0</v>
      </c>
      <c r="K4115" s="3">
        <v>2476</v>
      </c>
      <c r="L4115" s="3">
        <v>3557</v>
      </c>
      <c r="M4115" s="3">
        <v>0</v>
      </c>
      <c r="N4115" s="3">
        <v>0</v>
      </c>
    </row>
    <row r="4116" spans="1:14" x14ac:dyDescent="0.2">
      <c r="A4116" s="5" t="str">
        <f>HYPERLINK("http://www.ncbi.nlm.nih.gov/protein/274319427","Lonp2")</f>
        <v>Lonp2</v>
      </c>
      <c r="B4116" s="4"/>
      <c r="C4116" s="3">
        <v>0</v>
      </c>
      <c r="D4116" s="3">
        <v>205</v>
      </c>
      <c r="E4116" s="3">
        <v>918</v>
      </c>
      <c r="F4116" s="3">
        <v>0</v>
      </c>
      <c r="G4116" s="3">
        <v>0</v>
      </c>
      <c r="H4116" s="2">
        <f t="shared" si="128"/>
        <v>1123</v>
      </c>
      <c r="I4116" t="str">
        <f t="shared" si="129"/>
        <v>Lonp2_1123</v>
      </c>
      <c r="J4116" s="3">
        <v>0</v>
      </c>
      <c r="K4116" s="3">
        <v>205</v>
      </c>
      <c r="L4116" s="3">
        <v>918</v>
      </c>
      <c r="M4116" s="3">
        <v>0</v>
      </c>
      <c r="N4116" s="3">
        <v>0</v>
      </c>
    </row>
    <row r="4117" spans="1:14" x14ac:dyDescent="0.2">
      <c r="A4117" s="5" t="str">
        <f>HYPERLINK("http://www.ncbi.nlm.nih.gov/protein/40254539","Lpar2")</f>
        <v>Lpar2</v>
      </c>
      <c r="B4117" s="4"/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2">
        <f t="shared" si="128"/>
        <v>0</v>
      </c>
      <c r="I4117" t="str">
        <f t="shared" si="129"/>
        <v>Lpar2_0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</row>
    <row r="4118" spans="1:14" x14ac:dyDescent="0.2">
      <c r="A4118" s="5" t="str">
        <f>HYPERLINK("http://www.ncbi.nlm.nih.gov/protein/148747363","Lpcat1")</f>
        <v>Lpcat1</v>
      </c>
      <c r="B4118" s="4"/>
      <c r="C4118" s="3">
        <v>1318</v>
      </c>
      <c r="D4118" s="3">
        <v>1856</v>
      </c>
      <c r="E4118" s="3">
        <v>1119</v>
      </c>
      <c r="F4118" s="3">
        <v>0</v>
      </c>
      <c r="G4118" s="3">
        <v>0</v>
      </c>
      <c r="H4118" s="2">
        <f t="shared" si="128"/>
        <v>4293</v>
      </c>
      <c r="I4118" t="str">
        <f t="shared" si="129"/>
        <v>Lpcat1_4293</v>
      </c>
      <c r="J4118" s="3">
        <v>1318</v>
      </c>
      <c r="K4118" s="3">
        <v>1856</v>
      </c>
      <c r="L4118" s="3">
        <v>1119</v>
      </c>
      <c r="M4118" s="3">
        <v>0</v>
      </c>
      <c r="N4118" s="3">
        <v>0</v>
      </c>
    </row>
    <row r="4119" spans="1:14" x14ac:dyDescent="0.2">
      <c r="A4119" s="5" t="str">
        <f>HYPERLINK("http://www.ncbi.nlm.nih.gov/protein/27370522","Lpcat2")</f>
        <v>Lpcat2</v>
      </c>
      <c r="B4119" s="4"/>
      <c r="C4119" s="3">
        <v>0</v>
      </c>
      <c r="D4119" s="3">
        <v>290</v>
      </c>
      <c r="E4119" s="3">
        <v>176</v>
      </c>
      <c r="F4119" s="3">
        <v>0</v>
      </c>
      <c r="G4119" s="3">
        <v>0</v>
      </c>
      <c r="H4119" s="2">
        <f t="shared" si="128"/>
        <v>466</v>
      </c>
      <c r="I4119" t="str">
        <f t="shared" si="129"/>
        <v>Lpcat2_466</v>
      </c>
      <c r="J4119" s="3">
        <v>0</v>
      </c>
      <c r="K4119" s="3">
        <v>290</v>
      </c>
      <c r="L4119" s="3">
        <v>176</v>
      </c>
      <c r="M4119" s="3">
        <v>0</v>
      </c>
      <c r="N4119" s="3">
        <v>0</v>
      </c>
    </row>
    <row r="4120" spans="1:14" x14ac:dyDescent="0.2">
      <c r="A4120" s="5" t="str">
        <f>HYPERLINK("http://www.ncbi.nlm.nih.gov/protein/21699058","Lpcat3")</f>
        <v>Lpcat3</v>
      </c>
      <c r="B4120" s="4"/>
      <c r="C4120" s="3">
        <v>0</v>
      </c>
      <c r="D4120" s="3">
        <v>315</v>
      </c>
      <c r="E4120" s="3">
        <v>531</v>
      </c>
      <c r="F4120" s="3">
        <v>0</v>
      </c>
      <c r="G4120" s="3">
        <v>0</v>
      </c>
      <c r="H4120" s="2">
        <f t="shared" si="128"/>
        <v>846</v>
      </c>
      <c r="I4120" t="str">
        <f t="shared" si="129"/>
        <v>Lpcat3_846</v>
      </c>
      <c r="J4120" s="3">
        <v>0</v>
      </c>
      <c r="K4120" s="3">
        <v>315</v>
      </c>
      <c r="L4120" s="3">
        <v>531</v>
      </c>
      <c r="M4120" s="3">
        <v>0</v>
      </c>
      <c r="N4120" s="3">
        <v>0</v>
      </c>
    </row>
    <row r="4121" spans="1:14" x14ac:dyDescent="0.2">
      <c r="A4121" s="5" t="str">
        <f>HYPERLINK("http://www.ncbi.nlm.nih.gov/protein/46402175","Lpcat4")</f>
        <v>Lpcat4</v>
      </c>
      <c r="B4121" s="4"/>
      <c r="C4121" s="3">
        <v>0</v>
      </c>
      <c r="D4121" s="3">
        <v>0</v>
      </c>
      <c r="E4121" s="3">
        <v>196</v>
      </c>
      <c r="F4121" s="3">
        <v>0</v>
      </c>
      <c r="G4121" s="3">
        <v>0</v>
      </c>
      <c r="H4121" s="2">
        <f t="shared" si="128"/>
        <v>196</v>
      </c>
      <c r="I4121" t="str">
        <f t="shared" si="129"/>
        <v>Lpcat4_196</v>
      </c>
      <c r="J4121" s="3">
        <v>0</v>
      </c>
      <c r="K4121" s="3">
        <v>0</v>
      </c>
      <c r="L4121" s="3">
        <v>196</v>
      </c>
      <c r="M4121" s="3">
        <v>0</v>
      </c>
      <c r="N4121" s="3">
        <v>0</v>
      </c>
    </row>
    <row r="4122" spans="1:14" x14ac:dyDescent="0.2">
      <c r="A4122" s="5" t="str">
        <f>HYPERLINK("http://www.ncbi.nlm.nih.gov/protein/198386326","Lpgat1")</f>
        <v>Lpgat1</v>
      </c>
      <c r="B4122" s="4"/>
      <c r="C4122" s="3">
        <v>714</v>
      </c>
      <c r="D4122" s="3">
        <v>0</v>
      </c>
      <c r="E4122" s="3">
        <v>0</v>
      </c>
      <c r="F4122" s="3">
        <v>0</v>
      </c>
      <c r="G4122" s="3">
        <v>0</v>
      </c>
      <c r="H4122" s="2">
        <f t="shared" si="128"/>
        <v>714</v>
      </c>
      <c r="I4122" t="str">
        <f t="shared" si="129"/>
        <v>Lpgat1_714</v>
      </c>
      <c r="J4122" s="3">
        <v>714</v>
      </c>
      <c r="K4122" s="3">
        <v>0</v>
      </c>
      <c r="L4122" s="3">
        <v>0</v>
      </c>
      <c r="M4122" s="3">
        <v>0</v>
      </c>
      <c r="N4122" s="3">
        <v>0</v>
      </c>
    </row>
    <row r="4123" spans="1:14" x14ac:dyDescent="0.2">
      <c r="A4123" s="5" t="str">
        <f>HYPERLINK("http://www.ncbi.nlm.nih.gov/protein/26986567","Lpgat1")</f>
        <v>Lpgat1</v>
      </c>
      <c r="B4123" s="4"/>
      <c r="C4123" s="3">
        <v>714</v>
      </c>
      <c r="D4123" s="3">
        <v>10</v>
      </c>
      <c r="E4123" s="3">
        <v>0</v>
      </c>
      <c r="F4123" s="3">
        <v>0</v>
      </c>
      <c r="G4123" s="3">
        <v>0</v>
      </c>
      <c r="H4123" s="2">
        <f t="shared" si="128"/>
        <v>724</v>
      </c>
      <c r="I4123" t="str">
        <f t="shared" si="129"/>
        <v>Lpgat1_724</v>
      </c>
      <c r="J4123" s="3">
        <v>714</v>
      </c>
      <c r="K4123" s="3">
        <v>10</v>
      </c>
      <c r="L4123" s="3">
        <v>0</v>
      </c>
      <c r="M4123" s="3">
        <v>0</v>
      </c>
      <c r="N4123" s="3">
        <v>0</v>
      </c>
    </row>
    <row r="4124" spans="1:14" x14ac:dyDescent="0.2">
      <c r="A4124" s="5" t="str">
        <f>HYPERLINK("http://www.ncbi.nlm.nih.gov/protein/124486821","Lphn2")</f>
        <v>Lphn2</v>
      </c>
      <c r="B4124" s="4"/>
      <c r="C4124" s="3">
        <v>0</v>
      </c>
      <c r="D4124" s="3">
        <v>361</v>
      </c>
      <c r="E4124" s="3">
        <v>1068</v>
      </c>
      <c r="F4124" s="3">
        <v>0</v>
      </c>
      <c r="G4124" s="3">
        <v>0</v>
      </c>
      <c r="H4124" s="2">
        <f t="shared" si="128"/>
        <v>1429</v>
      </c>
      <c r="I4124" t="str">
        <f t="shared" si="129"/>
        <v>Lphn2_1429</v>
      </c>
      <c r="J4124" s="3">
        <v>0</v>
      </c>
      <c r="K4124" s="3">
        <v>361</v>
      </c>
      <c r="L4124" s="3">
        <v>1068</v>
      </c>
      <c r="M4124" s="3">
        <v>0</v>
      </c>
      <c r="N4124" s="3">
        <v>0</v>
      </c>
    </row>
    <row r="4125" spans="1:14" x14ac:dyDescent="0.2">
      <c r="A4125" s="5" t="str">
        <f>HYPERLINK("http://www.ncbi.nlm.nih.gov/protein/225543157","Lpp")</f>
        <v>Lpp</v>
      </c>
      <c r="B4125" s="4"/>
      <c r="C4125" s="3">
        <v>0</v>
      </c>
      <c r="D4125" s="3">
        <v>0</v>
      </c>
      <c r="E4125" s="3">
        <v>0</v>
      </c>
      <c r="F4125" s="3">
        <v>0</v>
      </c>
      <c r="G4125" s="3">
        <v>43202</v>
      </c>
      <c r="H4125" s="2">
        <f t="shared" si="128"/>
        <v>43202</v>
      </c>
      <c r="I4125" t="str">
        <f t="shared" si="129"/>
        <v>Lpp_43202</v>
      </c>
      <c r="J4125" s="3">
        <v>0</v>
      </c>
      <c r="K4125" s="3">
        <v>0</v>
      </c>
      <c r="L4125" s="3">
        <v>0</v>
      </c>
      <c r="M4125" s="3">
        <v>0</v>
      </c>
      <c r="N4125" s="3">
        <v>43202</v>
      </c>
    </row>
    <row r="4126" spans="1:14" x14ac:dyDescent="0.2">
      <c r="A4126" s="5" t="str">
        <f>HYPERLINK("http://www.ncbi.nlm.nih.gov/protein/225543168","Lpp")</f>
        <v>Lpp</v>
      </c>
      <c r="B4126" s="4"/>
      <c r="C4126" s="3">
        <v>0</v>
      </c>
      <c r="D4126" s="3">
        <v>0</v>
      </c>
      <c r="E4126" s="3">
        <v>0</v>
      </c>
      <c r="F4126" s="3">
        <v>0</v>
      </c>
      <c r="G4126" s="3">
        <v>37869</v>
      </c>
      <c r="H4126" s="2">
        <f t="shared" si="128"/>
        <v>37869</v>
      </c>
      <c r="I4126" t="str">
        <f t="shared" si="129"/>
        <v>Lpp_37869</v>
      </c>
      <c r="J4126" s="3">
        <v>0</v>
      </c>
      <c r="K4126" s="3">
        <v>0</v>
      </c>
      <c r="L4126" s="3">
        <v>0</v>
      </c>
      <c r="M4126" s="3">
        <v>0</v>
      </c>
      <c r="N4126" s="3">
        <v>37869</v>
      </c>
    </row>
    <row r="4127" spans="1:14" x14ac:dyDescent="0.2">
      <c r="A4127" s="5" t="str">
        <f>HYPERLINK("http://www.ncbi.nlm.nih.gov/protein/117956395","Lrba")</f>
        <v>Lrba</v>
      </c>
      <c r="B4127" s="4"/>
      <c r="C4127" s="3">
        <v>6645</v>
      </c>
      <c r="D4127" s="3">
        <v>33805</v>
      </c>
      <c r="E4127" s="3">
        <v>57519</v>
      </c>
      <c r="F4127" s="3">
        <v>406119</v>
      </c>
      <c r="G4127" s="3">
        <v>548477</v>
      </c>
      <c r="H4127" s="2">
        <f t="shared" si="128"/>
        <v>1052565</v>
      </c>
      <c r="I4127" t="str">
        <f t="shared" si="129"/>
        <v>Lrba_1052565</v>
      </c>
      <c r="J4127" s="3">
        <v>6645</v>
      </c>
      <c r="K4127" s="3">
        <v>33805</v>
      </c>
      <c r="L4127" s="3">
        <v>57519</v>
      </c>
      <c r="M4127" s="3">
        <v>406119</v>
      </c>
      <c r="N4127" s="3">
        <v>548477</v>
      </c>
    </row>
    <row r="4128" spans="1:14" x14ac:dyDescent="0.2">
      <c r="A4128" s="5" t="str">
        <f>HYPERLINK("http://www.ncbi.nlm.nih.gov/protein/117956397","Lrba")</f>
        <v>Lrba</v>
      </c>
      <c r="B4128" s="4"/>
      <c r="C4128" s="3">
        <v>10251</v>
      </c>
      <c r="D4128" s="3">
        <v>35586</v>
      </c>
      <c r="E4128" s="3">
        <v>65647</v>
      </c>
      <c r="F4128" s="3">
        <v>471701</v>
      </c>
      <c r="G4128" s="3">
        <v>649992</v>
      </c>
      <c r="H4128" s="2">
        <f t="shared" si="128"/>
        <v>1233177</v>
      </c>
      <c r="I4128" t="str">
        <f t="shared" si="129"/>
        <v>Lrba_1233177</v>
      </c>
      <c r="J4128" s="3">
        <v>10251</v>
      </c>
      <c r="K4128" s="3">
        <v>35586</v>
      </c>
      <c r="L4128" s="3">
        <v>65647</v>
      </c>
      <c r="M4128" s="3">
        <v>471701</v>
      </c>
      <c r="N4128" s="3">
        <v>649992</v>
      </c>
    </row>
    <row r="4129" spans="1:14" x14ac:dyDescent="0.2">
      <c r="A4129" s="5" t="str">
        <f>HYPERLINK("http://www.ncbi.nlm.nih.gov/protein/117956399","Lrba")</f>
        <v>Lrba</v>
      </c>
      <c r="B4129" s="4"/>
      <c r="C4129" s="3">
        <v>10251</v>
      </c>
      <c r="D4129" s="3">
        <v>36375</v>
      </c>
      <c r="E4129" s="3">
        <v>68511</v>
      </c>
      <c r="F4129" s="3">
        <v>481221</v>
      </c>
      <c r="G4129" s="3">
        <v>744086</v>
      </c>
      <c r="H4129" s="2">
        <f t="shared" si="128"/>
        <v>1340444</v>
      </c>
      <c r="I4129" t="str">
        <f t="shared" si="129"/>
        <v>Lrba_1340444</v>
      </c>
      <c r="J4129" s="3">
        <v>10251</v>
      </c>
      <c r="K4129" s="3">
        <v>36375</v>
      </c>
      <c r="L4129" s="3">
        <v>68511</v>
      </c>
      <c r="M4129" s="3">
        <v>481221</v>
      </c>
      <c r="N4129" s="3">
        <v>744086</v>
      </c>
    </row>
    <row r="4130" spans="1:14" x14ac:dyDescent="0.2">
      <c r="A4130" s="5" t="str">
        <f>HYPERLINK("http://www.ncbi.nlm.nih.gov/protein/356460937","Lrch1")</f>
        <v>Lrch1</v>
      </c>
      <c r="B4130" s="4"/>
      <c r="C4130" s="3">
        <v>0</v>
      </c>
      <c r="D4130" s="3">
        <v>0</v>
      </c>
      <c r="E4130" s="3">
        <v>104</v>
      </c>
      <c r="F4130" s="3">
        <v>0</v>
      </c>
      <c r="G4130" s="3">
        <v>0</v>
      </c>
      <c r="H4130" s="2">
        <f t="shared" si="128"/>
        <v>104</v>
      </c>
      <c r="I4130" t="str">
        <f t="shared" si="129"/>
        <v>Lrch1_104</v>
      </c>
      <c r="J4130" s="3">
        <v>0</v>
      </c>
      <c r="K4130" s="3">
        <v>0</v>
      </c>
      <c r="L4130" s="3">
        <v>104</v>
      </c>
      <c r="M4130" s="3">
        <v>0</v>
      </c>
      <c r="N4130" s="3">
        <v>0</v>
      </c>
    </row>
    <row r="4131" spans="1:14" x14ac:dyDescent="0.2">
      <c r="A4131" s="5" t="str">
        <f>HYPERLINK("http://www.ncbi.nlm.nih.gov/protein/90991704","Lrch1")</f>
        <v>Lrch1</v>
      </c>
      <c r="B4131" s="4"/>
      <c r="C4131" s="3">
        <v>0</v>
      </c>
      <c r="D4131" s="3">
        <v>0</v>
      </c>
      <c r="E4131" s="3">
        <v>104</v>
      </c>
      <c r="F4131" s="3">
        <v>0</v>
      </c>
      <c r="G4131" s="3">
        <v>0</v>
      </c>
      <c r="H4131" s="2">
        <f t="shared" si="128"/>
        <v>104</v>
      </c>
      <c r="I4131" t="str">
        <f t="shared" si="129"/>
        <v>Lrch1_104</v>
      </c>
      <c r="J4131" s="3">
        <v>0</v>
      </c>
      <c r="K4131" s="3">
        <v>0</v>
      </c>
      <c r="L4131" s="3">
        <v>104</v>
      </c>
      <c r="M4131" s="3">
        <v>0</v>
      </c>
      <c r="N4131" s="3">
        <v>0</v>
      </c>
    </row>
    <row r="4132" spans="1:14" x14ac:dyDescent="0.2">
      <c r="A4132" s="5" t="str">
        <f>HYPERLINK("http://www.ncbi.nlm.nih.gov/protein/22122701","Lrch4")</f>
        <v>Lrch4</v>
      </c>
      <c r="B4132" s="4"/>
      <c r="C4132" s="3">
        <v>0</v>
      </c>
      <c r="D4132" s="3">
        <v>0</v>
      </c>
      <c r="E4132" s="3">
        <v>9</v>
      </c>
      <c r="F4132" s="3">
        <v>0</v>
      </c>
      <c r="G4132" s="3">
        <v>0</v>
      </c>
      <c r="H4132" s="2">
        <f t="shared" si="128"/>
        <v>9</v>
      </c>
      <c r="I4132" t="str">
        <f t="shared" si="129"/>
        <v>Lrch4_9</v>
      </c>
      <c r="J4132" s="3">
        <v>0</v>
      </c>
      <c r="K4132" s="3">
        <v>0</v>
      </c>
      <c r="L4132" s="3">
        <v>9</v>
      </c>
      <c r="M4132" s="3">
        <v>0</v>
      </c>
      <c r="N4132" s="3">
        <v>0</v>
      </c>
    </row>
    <row r="4133" spans="1:14" x14ac:dyDescent="0.2">
      <c r="A4133" s="5" t="str">
        <f>HYPERLINK("http://www.ncbi.nlm.nih.gov/protein/274325486","Lrch4")</f>
        <v>Lrch4</v>
      </c>
      <c r="B4133" s="4"/>
      <c r="C4133" s="3">
        <v>0</v>
      </c>
      <c r="D4133" s="3">
        <v>0</v>
      </c>
      <c r="E4133" s="3">
        <v>9</v>
      </c>
      <c r="F4133" s="3">
        <v>0</v>
      </c>
      <c r="G4133" s="3">
        <v>0</v>
      </c>
      <c r="H4133" s="2">
        <f t="shared" si="128"/>
        <v>9</v>
      </c>
      <c r="I4133" t="str">
        <f t="shared" si="129"/>
        <v>Lrch4_9</v>
      </c>
      <c r="J4133" s="3">
        <v>0</v>
      </c>
      <c r="K4133" s="3">
        <v>0</v>
      </c>
      <c r="L4133" s="3">
        <v>9</v>
      </c>
      <c r="M4133" s="3">
        <v>0</v>
      </c>
      <c r="N4133" s="3">
        <v>0</v>
      </c>
    </row>
    <row r="4134" spans="1:14" x14ac:dyDescent="0.2">
      <c r="A4134" s="5" t="str">
        <f>HYPERLINK("http://www.ncbi.nlm.nih.gov/protein/254588006","Lrguk")</f>
        <v>Lrguk</v>
      </c>
      <c r="B4134" s="4"/>
      <c r="C4134" s="3">
        <v>0</v>
      </c>
      <c r="D4134" s="3">
        <v>0</v>
      </c>
      <c r="E4134" s="3">
        <v>560</v>
      </c>
      <c r="F4134" s="3">
        <v>17263</v>
      </c>
      <c r="G4134" s="3">
        <v>0</v>
      </c>
      <c r="H4134" s="2">
        <f t="shared" si="128"/>
        <v>17823</v>
      </c>
      <c r="I4134" t="str">
        <f t="shared" si="129"/>
        <v>Lrguk_17823</v>
      </c>
      <c r="J4134" s="3">
        <v>0</v>
      </c>
      <c r="K4134" s="3">
        <v>0</v>
      </c>
      <c r="L4134" s="3">
        <v>560</v>
      </c>
      <c r="M4134" s="3">
        <v>17263</v>
      </c>
      <c r="N4134" s="3">
        <v>0</v>
      </c>
    </row>
    <row r="4135" spans="1:14" x14ac:dyDescent="0.2">
      <c r="A4135" s="5" t="str">
        <f>HYPERLINK("http://www.ncbi.nlm.nih.gov/protein/124494256","Lrp1")</f>
        <v>Lrp1</v>
      </c>
      <c r="B4135" s="4"/>
      <c r="C4135" s="3">
        <v>0</v>
      </c>
      <c r="D4135" s="3">
        <v>2165</v>
      </c>
      <c r="E4135" s="3">
        <v>8565</v>
      </c>
      <c r="F4135" s="3">
        <v>4813</v>
      </c>
      <c r="G4135" s="3">
        <v>0</v>
      </c>
      <c r="H4135" s="2">
        <f t="shared" si="128"/>
        <v>15543</v>
      </c>
      <c r="I4135" t="str">
        <f t="shared" si="129"/>
        <v>Lrp1_15543</v>
      </c>
      <c r="J4135" s="3">
        <v>0</v>
      </c>
      <c r="K4135" s="3">
        <v>2165</v>
      </c>
      <c r="L4135" s="3">
        <v>8565</v>
      </c>
      <c r="M4135" s="3">
        <v>4813</v>
      </c>
      <c r="N4135" s="3">
        <v>0</v>
      </c>
    </row>
    <row r="4136" spans="1:14" x14ac:dyDescent="0.2">
      <c r="A4136" s="5" t="str">
        <f>HYPERLINK("http://www.ncbi.nlm.nih.gov/protein/153792247","Lrp1b")</f>
        <v>Lrp1b</v>
      </c>
      <c r="B4136" s="4"/>
      <c r="C4136" s="3">
        <v>0</v>
      </c>
      <c r="D4136" s="3">
        <v>0</v>
      </c>
      <c r="E4136" s="3">
        <v>126</v>
      </c>
      <c r="F4136" s="3">
        <v>0</v>
      </c>
      <c r="G4136" s="3">
        <v>0</v>
      </c>
      <c r="H4136" s="2">
        <f t="shared" si="128"/>
        <v>126</v>
      </c>
      <c r="I4136" t="str">
        <f t="shared" si="129"/>
        <v>Lrp1b_126</v>
      </c>
      <c r="J4136" s="3">
        <v>0</v>
      </c>
      <c r="K4136" s="3">
        <v>0</v>
      </c>
      <c r="L4136" s="3">
        <v>126</v>
      </c>
      <c r="M4136" s="3">
        <v>0</v>
      </c>
      <c r="N4136" s="3">
        <v>0</v>
      </c>
    </row>
    <row r="4137" spans="1:14" x14ac:dyDescent="0.2">
      <c r="A4137" s="5" t="str">
        <f>HYPERLINK("http://www.ncbi.nlm.nih.gov/protein/124487372","Lrp2")</f>
        <v>Lrp2</v>
      </c>
      <c r="B4137" s="4"/>
      <c r="C4137" s="3">
        <v>0</v>
      </c>
      <c r="D4137" s="3">
        <v>17049</v>
      </c>
      <c r="E4137" s="3">
        <v>52358</v>
      </c>
      <c r="F4137" s="3">
        <v>12450</v>
      </c>
      <c r="G4137" s="3">
        <v>0</v>
      </c>
      <c r="H4137" s="2">
        <f t="shared" si="128"/>
        <v>81857</v>
      </c>
      <c r="I4137" t="str">
        <f t="shared" si="129"/>
        <v>Lrp2_81857</v>
      </c>
      <c r="J4137" s="3">
        <v>0</v>
      </c>
      <c r="K4137" s="3">
        <v>17049</v>
      </c>
      <c r="L4137" s="3">
        <v>52358</v>
      </c>
      <c r="M4137" s="3">
        <v>12450</v>
      </c>
      <c r="N4137" s="3">
        <v>0</v>
      </c>
    </row>
    <row r="4138" spans="1:14" x14ac:dyDescent="0.2">
      <c r="A4138" s="5" t="str">
        <f>HYPERLINK("http://www.ncbi.nlm.nih.gov/protein/148727327","Lrp6")</f>
        <v>Lrp6</v>
      </c>
      <c r="B4138" s="4"/>
      <c r="C4138" s="3">
        <v>0</v>
      </c>
      <c r="D4138" s="3">
        <v>0</v>
      </c>
      <c r="E4138" s="3">
        <v>912</v>
      </c>
      <c r="F4138" s="3">
        <v>0</v>
      </c>
      <c r="G4138" s="3">
        <v>0</v>
      </c>
      <c r="H4138" s="2">
        <f t="shared" si="128"/>
        <v>912</v>
      </c>
      <c r="I4138" t="str">
        <f t="shared" si="129"/>
        <v>Lrp6_912</v>
      </c>
      <c r="J4138" s="3">
        <v>0</v>
      </c>
      <c r="K4138" s="3">
        <v>0</v>
      </c>
      <c r="L4138" s="3">
        <v>912</v>
      </c>
      <c r="M4138" s="3">
        <v>0</v>
      </c>
      <c r="N4138" s="3">
        <v>0</v>
      </c>
    </row>
    <row r="4139" spans="1:14" x14ac:dyDescent="0.2">
      <c r="A4139" s="5" t="str">
        <f>HYPERLINK("http://www.ncbi.nlm.nih.gov/protein/63999380","Lrpap1")</f>
        <v>Lrpap1</v>
      </c>
      <c r="B4139" s="4"/>
      <c r="C4139" s="3">
        <v>8183</v>
      </c>
      <c r="D4139" s="3">
        <v>2459</v>
      </c>
      <c r="E4139" s="3">
        <v>1414</v>
      </c>
      <c r="F4139" s="3">
        <v>0</v>
      </c>
      <c r="G4139" s="3">
        <v>750</v>
      </c>
      <c r="H4139" s="2">
        <f t="shared" si="128"/>
        <v>12806</v>
      </c>
      <c r="I4139" t="str">
        <f t="shared" si="129"/>
        <v>Lrpap1_12806</v>
      </c>
      <c r="J4139" s="3">
        <v>8183</v>
      </c>
      <c r="K4139" s="3">
        <v>2459</v>
      </c>
      <c r="L4139" s="3">
        <v>1414</v>
      </c>
      <c r="M4139" s="3">
        <v>0</v>
      </c>
      <c r="N4139" s="3">
        <v>750</v>
      </c>
    </row>
    <row r="4140" spans="1:14" x14ac:dyDescent="0.2">
      <c r="A4140" s="5" t="str">
        <f>HYPERLINK("http://www.ncbi.nlm.nih.gov/protein/134031976","Lrpprc")</f>
        <v>Lrpprc</v>
      </c>
      <c r="B4140" s="4"/>
      <c r="C4140" s="3">
        <v>134879</v>
      </c>
      <c r="D4140" s="3">
        <v>60365</v>
      </c>
      <c r="E4140" s="3">
        <v>165</v>
      </c>
      <c r="F4140" s="3">
        <v>0</v>
      </c>
      <c r="G4140" s="3">
        <v>2517</v>
      </c>
      <c r="H4140" s="2">
        <f t="shared" si="128"/>
        <v>197926</v>
      </c>
      <c r="I4140" t="str">
        <f t="shared" si="129"/>
        <v>Lrpprc_197926</v>
      </c>
      <c r="J4140" s="3">
        <v>134879</v>
      </c>
      <c r="K4140" s="3">
        <v>60365</v>
      </c>
      <c r="L4140" s="3">
        <v>165</v>
      </c>
      <c r="M4140" s="3">
        <v>0</v>
      </c>
      <c r="N4140" s="3">
        <v>2517</v>
      </c>
    </row>
    <row r="4141" spans="1:14" x14ac:dyDescent="0.2">
      <c r="A4141" s="5" t="str">
        <f>HYPERLINK("http://www.ncbi.nlm.nih.gov/protein/225690585","Lrrc1")</f>
        <v>Lrrc1</v>
      </c>
      <c r="B4141" s="4"/>
      <c r="C4141" s="3">
        <v>8586</v>
      </c>
      <c r="D4141" s="3">
        <v>4718</v>
      </c>
      <c r="E4141" s="3">
        <v>12071</v>
      </c>
      <c r="F4141" s="3">
        <v>0</v>
      </c>
      <c r="G4141" s="3">
        <v>0</v>
      </c>
      <c r="H4141" s="2">
        <f t="shared" si="128"/>
        <v>25375</v>
      </c>
      <c r="I4141" t="str">
        <f t="shared" si="129"/>
        <v>Lrrc1_25375</v>
      </c>
      <c r="J4141" s="3">
        <v>8586</v>
      </c>
      <c r="K4141" s="3">
        <v>4718</v>
      </c>
      <c r="L4141" s="3">
        <v>12071</v>
      </c>
      <c r="M4141" s="3">
        <v>0</v>
      </c>
      <c r="N4141" s="3">
        <v>0</v>
      </c>
    </row>
    <row r="4142" spans="1:14" x14ac:dyDescent="0.2">
      <c r="A4142" s="5" t="str">
        <f>HYPERLINK("http://www.ncbi.nlm.nih.gov/protein/225690587","Lrrc1")</f>
        <v>Lrrc1</v>
      </c>
      <c r="B4142" s="4"/>
      <c r="C4142" s="3">
        <v>8586</v>
      </c>
      <c r="D4142" s="3">
        <v>6897</v>
      </c>
      <c r="E4142" s="3">
        <v>13874</v>
      </c>
      <c r="F4142" s="3">
        <v>0</v>
      </c>
      <c r="G4142" s="3">
        <v>0</v>
      </c>
      <c r="H4142" s="2">
        <f t="shared" si="128"/>
        <v>29357</v>
      </c>
      <c r="I4142" t="str">
        <f t="shared" si="129"/>
        <v>Lrrc1_29357</v>
      </c>
      <c r="J4142" s="3">
        <v>8586</v>
      </c>
      <c r="K4142" s="3">
        <v>6897</v>
      </c>
      <c r="L4142" s="3">
        <v>13874</v>
      </c>
      <c r="M4142" s="3">
        <v>0</v>
      </c>
      <c r="N4142" s="3">
        <v>0</v>
      </c>
    </row>
    <row r="4143" spans="1:14" x14ac:dyDescent="0.2">
      <c r="A4143" s="5" t="str">
        <f>HYPERLINK("http://www.ncbi.nlm.nih.gov/protein/21703932","Lrrc14")</f>
        <v>Lrrc14</v>
      </c>
      <c r="B4143" s="4"/>
      <c r="C4143" s="3">
        <v>604</v>
      </c>
      <c r="D4143" s="3">
        <v>0</v>
      </c>
      <c r="E4143" s="3">
        <v>0</v>
      </c>
      <c r="F4143" s="3">
        <v>0</v>
      </c>
      <c r="G4143" s="3">
        <v>0</v>
      </c>
      <c r="H4143" s="2">
        <f t="shared" si="128"/>
        <v>604</v>
      </c>
      <c r="I4143" t="str">
        <f t="shared" si="129"/>
        <v>Lrrc14_604</v>
      </c>
      <c r="J4143" s="3">
        <v>604</v>
      </c>
      <c r="K4143" s="3">
        <v>0</v>
      </c>
      <c r="L4143" s="3">
        <v>0</v>
      </c>
      <c r="M4143" s="3">
        <v>0</v>
      </c>
      <c r="N4143" s="3">
        <v>0</v>
      </c>
    </row>
    <row r="4144" spans="1:14" x14ac:dyDescent="0.2">
      <c r="A4144" s="5" t="str">
        <f>HYPERLINK("http://www.ncbi.nlm.nih.gov/protein/154146185","Lrrc16a")</f>
        <v>Lrrc16a</v>
      </c>
      <c r="B4144" s="4"/>
      <c r="C4144" s="3">
        <v>110</v>
      </c>
      <c r="D4144" s="3">
        <v>5476</v>
      </c>
      <c r="E4144" s="3">
        <v>20364</v>
      </c>
      <c r="F4144" s="3">
        <v>23051</v>
      </c>
      <c r="G4144" s="3">
        <v>4305</v>
      </c>
      <c r="H4144" s="2">
        <f t="shared" si="128"/>
        <v>53306</v>
      </c>
      <c r="I4144" t="str">
        <f t="shared" si="129"/>
        <v>Lrrc16a_53306</v>
      </c>
      <c r="J4144" s="3">
        <v>110</v>
      </c>
      <c r="K4144" s="3">
        <v>5476</v>
      </c>
      <c r="L4144" s="3">
        <v>20364</v>
      </c>
      <c r="M4144" s="3">
        <v>23051</v>
      </c>
      <c r="N4144" s="3">
        <v>4305</v>
      </c>
    </row>
    <row r="4145" spans="1:14" x14ac:dyDescent="0.2">
      <c r="A4145" s="5" t="str">
        <f>HYPERLINK("http://www.ncbi.nlm.nih.gov/protein/23956308","Lrrc20")</f>
        <v>Lrrc20</v>
      </c>
      <c r="B4145" s="4"/>
      <c r="C4145" s="3">
        <v>0</v>
      </c>
      <c r="D4145" s="3">
        <v>159</v>
      </c>
      <c r="E4145" s="3">
        <v>679</v>
      </c>
      <c r="F4145" s="3">
        <v>0</v>
      </c>
      <c r="G4145" s="3">
        <v>16760</v>
      </c>
      <c r="H4145" s="2">
        <f t="shared" si="128"/>
        <v>17598</v>
      </c>
      <c r="I4145" t="str">
        <f t="shared" si="129"/>
        <v>Lrrc20_17598</v>
      </c>
      <c r="J4145" s="3">
        <v>0</v>
      </c>
      <c r="K4145" s="3">
        <v>159</v>
      </c>
      <c r="L4145" s="3">
        <v>679</v>
      </c>
      <c r="M4145" s="3">
        <v>0</v>
      </c>
      <c r="N4145" s="3">
        <v>16760</v>
      </c>
    </row>
    <row r="4146" spans="1:14" x14ac:dyDescent="0.2">
      <c r="A4146" s="5" t="str">
        <f>HYPERLINK("http://www.ncbi.nlm.nih.gov/protein/31541911","Lrrc40")</f>
        <v>Lrrc40</v>
      </c>
      <c r="B4146" s="4"/>
      <c r="C4146" s="3">
        <v>201</v>
      </c>
      <c r="D4146" s="3">
        <v>2737</v>
      </c>
      <c r="E4146" s="3">
        <v>3407</v>
      </c>
      <c r="F4146" s="3">
        <v>10911</v>
      </c>
      <c r="G4146" s="3">
        <v>1446</v>
      </c>
      <c r="H4146" s="2">
        <f t="shared" si="128"/>
        <v>18702</v>
      </c>
      <c r="I4146" t="str">
        <f t="shared" si="129"/>
        <v>Lrrc40_18702</v>
      </c>
      <c r="J4146" s="3">
        <v>201</v>
      </c>
      <c r="K4146" s="3">
        <v>2737</v>
      </c>
      <c r="L4146" s="3">
        <v>3407</v>
      </c>
      <c r="M4146" s="3">
        <v>10911</v>
      </c>
      <c r="N4146" s="3">
        <v>1446</v>
      </c>
    </row>
    <row r="4147" spans="1:14" x14ac:dyDescent="0.2">
      <c r="A4147" s="5" t="str">
        <f>HYPERLINK("http://www.ncbi.nlm.nih.gov/protein/41152116","Lrrc47")</f>
        <v>Lrrc47</v>
      </c>
      <c r="B4147" s="4"/>
      <c r="C4147" s="3">
        <v>0</v>
      </c>
      <c r="D4147" s="3">
        <v>3361</v>
      </c>
      <c r="E4147" s="3">
        <v>5365</v>
      </c>
      <c r="F4147" s="3">
        <v>112903</v>
      </c>
      <c r="G4147" s="3">
        <v>675</v>
      </c>
      <c r="H4147" s="2">
        <f t="shared" si="128"/>
        <v>122304</v>
      </c>
      <c r="I4147" t="str">
        <f t="shared" si="129"/>
        <v>Lrrc47_122304</v>
      </c>
      <c r="J4147" s="3">
        <v>0</v>
      </c>
      <c r="K4147" s="3">
        <v>3361</v>
      </c>
      <c r="L4147" s="3">
        <v>5365</v>
      </c>
      <c r="M4147" s="3">
        <v>112903</v>
      </c>
      <c r="N4147" s="3">
        <v>675</v>
      </c>
    </row>
    <row r="4148" spans="1:14" x14ac:dyDescent="0.2">
      <c r="A4148" s="5" t="str">
        <f>HYPERLINK("http://www.ncbi.nlm.nih.gov/protein/227430395","Lrrc57")</f>
        <v>Lrrc57</v>
      </c>
      <c r="B4148" s="4"/>
      <c r="C4148" s="3">
        <v>0</v>
      </c>
      <c r="D4148" s="3">
        <v>3478</v>
      </c>
      <c r="E4148" s="3">
        <v>1472</v>
      </c>
      <c r="F4148" s="3">
        <v>859</v>
      </c>
      <c r="G4148" s="3">
        <v>0</v>
      </c>
      <c r="H4148" s="2">
        <f t="shared" si="128"/>
        <v>5809</v>
      </c>
      <c r="I4148" t="str">
        <f t="shared" si="129"/>
        <v>Lrrc57_5809</v>
      </c>
      <c r="J4148" s="3">
        <v>0</v>
      </c>
      <c r="K4148" s="3">
        <v>3478</v>
      </c>
      <c r="L4148" s="3">
        <v>1472</v>
      </c>
      <c r="M4148" s="3">
        <v>859</v>
      </c>
      <c r="N4148" s="3">
        <v>0</v>
      </c>
    </row>
    <row r="4149" spans="1:14" x14ac:dyDescent="0.2">
      <c r="A4149" s="5" t="str">
        <f>HYPERLINK("http://www.ncbi.nlm.nih.gov/protein/227430397","Lrrc57")</f>
        <v>Lrrc57</v>
      </c>
      <c r="B4149" s="4"/>
      <c r="C4149" s="3">
        <v>0</v>
      </c>
      <c r="D4149" s="3">
        <v>3478</v>
      </c>
      <c r="E4149" s="3">
        <v>1472</v>
      </c>
      <c r="F4149" s="3">
        <v>859</v>
      </c>
      <c r="G4149" s="3">
        <v>0</v>
      </c>
      <c r="H4149" s="2">
        <f t="shared" si="128"/>
        <v>5809</v>
      </c>
      <c r="I4149" t="str">
        <f t="shared" si="129"/>
        <v>Lrrc57_5809</v>
      </c>
      <c r="J4149" s="3">
        <v>0</v>
      </c>
      <c r="K4149" s="3">
        <v>3478</v>
      </c>
      <c r="L4149" s="3">
        <v>1472</v>
      </c>
      <c r="M4149" s="3">
        <v>859</v>
      </c>
      <c r="N4149" s="3">
        <v>0</v>
      </c>
    </row>
    <row r="4150" spans="1:14" x14ac:dyDescent="0.2">
      <c r="A4150" s="5" t="str">
        <f>HYPERLINK("http://www.ncbi.nlm.nih.gov/protein/31981233","Lrrc57")</f>
        <v>Lrrc57</v>
      </c>
      <c r="B4150" s="4"/>
      <c r="C4150" s="3">
        <v>0</v>
      </c>
      <c r="D4150" s="3">
        <v>3478</v>
      </c>
      <c r="E4150" s="3">
        <v>1472</v>
      </c>
      <c r="F4150" s="3">
        <v>859</v>
      </c>
      <c r="G4150" s="3">
        <v>0</v>
      </c>
      <c r="H4150" s="2">
        <f t="shared" si="128"/>
        <v>5809</v>
      </c>
      <c r="I4150" t="str">
        <f t="shared" si="129"/>
        <v>Lrrc57_5809</v>
      </c>
      <c r="J4150" s="3">
        <v>0</v>
      </c>
      <c r="K4150" s="3">
        <v>3478</v>
      </c>
      <c r="L4150" s="3">
        <v>1472</v>
      </c>
      <c r="M4150" s="3">
        <v>859</v>
      </c>
      <c r="N4150" s="3">
        <v>0</v>
      </c>
    </row>
    <row r="4151" spans="1:14" x14ac:dyDescent="0.2">
      <c r="A4151" s="5" t="str">
        <f>HYPERLINK("http://www.ncbi.nlm.nih.gov/protein/110347495","Lrrc58")</f>
        <v>Lrrc58</v>
      </c>
      <c r="B4151" s="4"/>
      <c r="C4151" s="3">
        <v>0</v>
      </c>
      <c r="D4151" s="3">
        <v>0</v>
      </c>
      <c r="E4151" s="3">
        <v>136</v>
      </c>
      <c r="F4151" s="3">
        <v>1236</v>
      </c>
      <c r="G4151" s="3">
        <v>11170</v>
      </c>
      <c r="H4151" s="2">
        <f t="shared" si="128"/>
        <v>12542</v>
      </c>
      <c r="I4151" t="str">
        <f t="shared" si="129"/>
        <v>Lrrc58_12542</v>
      </c>
      <c r="J4151" s="3">
        <v>0</v>
      </c>
      <c r="K4151" s="3">
        <v>0</v>
      </c>
      <c r="L4151" s="3">
        <v>136</v>
      </c>
      <c r="M4151" s="3">
        <v>1236</v>
      </c>
      <c r="N4151" s="3">
        <v>11170</v>
      </c>
    </row>
    <row r="4152" spans="1:14" x14ac:dyDescent="0.2">
      <c r="A4152" s="5" t="str">
        <f>HYPERLINK("http://www.ncbi.nlm.nih.gov/protein/19527026","Lrrc59")</f>
        <v>Lrrc59</v>
      </c>
      <c r="B4152" s="4"/>
      <c r="C4152" s="3">
        <v>60758</v>
      </c>
      <c r="D4152" s="3">
        <v>23326</v>
      </c>
      <c r="E4152" s="3">
        <v>6763</v>
      </c>
      <c r="F4152" s="3">
        <v>0</v>
      </c>
      <c r="G4152" s="3">
        <v>0</v>
      </c>
      <c r="H4152" s="2">
        <f t="shared" si="128"/>
        <v>90847</v>
      </c>
      <c r="I4152" t="str">
        <f t="shared" si="129"/>
        <v>Lrrc59_90847</v>
      </c>
      <c r="J4152" s="3">
        <v>60758</v>
      </c>
      <c r="K4152" s="3">
        <v>23326</v>
      </c>
      <c r="L4152" s="3">
        <v>6763</v>
      </c>
      <c r="M4152" s="3">
        <v>0</v>
      </c>
      <c r="N4152" s="3">
        <v>0</v>
      </c>
    </row>
    <row r="4153" spans="1:14" x14ac:dyDescent="0.2">
      <c r="A4153" s="5" t="str">
        <f>HYPERLINK("http://www.ncbi.nlm.nih.gov/protein/267844854","Lrrc63")</f>
        <v>Lrrc63</v>
      </c>
      <c r="B4153" s="4"/>
      <c r="C4153" s="3">
        <v>4503</v>
      </c>
      <c r="D4153" s="3">
        <v>524</v>
      </c>
      <c r="E4153" s="3">
        <v>17863</v>
      </c>
      <c r="F4153" s="3">
        <v>0</v>
      </c>
      <c r="G4153" s="3">
        <v>0</v>
      </c>
      <c r="H4153" s="2">
        <f t="shared" si="128"/>
        <v>22890</v>
      </c>
      <c r="I4153" t="str">
        <f t="shared" si="129"/>
        <v>Lrrc63_22890</v>
      </c>
      <c r="J4153" s="3">
        <v>4503</v>
      </c>
      <c r="K4153" s="3">
        <v>524</v>
      </c>
      <c r="L4153" s="3">
        <v>17863</v>
      </c>
      <c r="M4153" s="3">
        <v>0</v>
      </c>
      <c r="N4153" s="3">
        <v>0</v>
      </c>
    </row>
    <row r="4154" spans="1:14" x14ac:dyDescent="0.2">
      <c r="A4154" s="5" t="str">
        <f>HYPERLINK("http://www.ncbi.nlm.nih.gov/protein/124486885","Lrrc7")</f>
        <v>Lrrc7</v>
      </c>
      <c r="B4154" s="4"/>
      <c r="C4154" s="3">
        <v>0</v>
      </c>
      <c r="D4154" s="3">
        <v>0</v>
      </c>
      <c r="E4154" s="3">
        <v>70</v>
      </c>
      <c r="F4154" s="3">
        <v>0</v>
      </c>
      <c r="G4154" s="3">
        <v>0</v>
      </c>
      <c r="H4154" s="2">
        <f t="shared" si="128"/>
        <v>70</v>
      </c>
      <c r="I4154" t="str">
        <f t="shared" si="129"/>
        <v>Lrrc7_70</v>
      </c>
      <c r="J4154" s="3">
        <v>0</v>
      </c>
      <c r="K4154" s="3">
        <v>0</v>
      </c>
      <c r="L4154" s="3">
        <v>70</v>
      </c>
      <c r="M4154" s="3">
        <v>0</v>
      </c>
      <c r="N4154" s="3">
        <v>0</v>
      </c>
    </row>
    <row r="4155" spans="1:14" x14ac:dyDescent="0.2">
      <c r="A4155" s="5" t="str">
        <f>HYPERLINK("http://www.ncbi.nlm.nih.gov/protein/29244192","Lrrc8a")</f>
        <v>Lrrc8a</v>
      </c>
      <c r="B4155" s="4"/>
      <c r="C4155" s="3">
        <v>0</v>
      </c>
      <c r="D4155" s="3">
        <v>0</v>
      </c>
      <c r="E4155" s="3">
        <v>218</v>
      </c>
      <c r="F4155" s="3">
        <v>0</v>
      </c>
      <c r="G4155" s="3">
        <v>0</v>
      </c>
      <c r="H4155" s="2">
        <f t="shared" si="128"/>
        <v>218</v>
      </c>
      <c r="I4155" t="str">
        <f t="shared" si="129"/>
        <v>Lrrc8a_218</v>
      </c>
      <c r="J4155" s="3">
        <v>0</v>
      </c>
      <c r="K4155" s="3">
        <v>0</v>
      </c>
      <c r="L4155" s="3">
        <v>218</v>
      </c>
      <c r="M4155" s="3">
        <v>0</v>
      </c>
      <c r="N4155" s="3">
        <v>0</v>
      </c>
    </row>
    <row r="4156" spans="1:14" x14ac:dyDescent="0.2">
      <c r="A4156" s="5" t="str">
        <f>HYPERLINK("http://www.ncbi.nlm.nih.gov/protein/254675306","Lrrcc1")</f>
        <v>Lrrcc1</v>
      </c>
      <c r="B4156" s="4"/>
      <c r="C4156" s="3">
        <v>0</v>
      </c>
      <c r="D4156" s="3">
        <v>0</v>
      </c>
      <c r="E4156" s="3">
        <v>72</v>
      </c>
      <c r="F4156" s="3">
        <v>0</v>
      </c>
      <c r="G4156" s="3">
        <v>0</v>
      </c>
      <c r="H4156" s="2">
        <f t="shared" si="128"/>
        <v>72</v>
      </c>
      <c r="I4156" t="str">
        <f t="shared" si="129"/>
        <v>Lrrcc1_72</v>
      </c>
      <c r="J4156" s="3">
        <v>0</v>
      </c>
      <c r="K4156" s="3">
        <v>0</v>
      </c>
      <c r="L4156" s="3">
        <v>72</v>
      </c>
      <c r="M4156" s="3">
        <v>0</v>
      </c>
      <c r="N4156" s="3">
        <v>0</v>
      </c>
    </row>
    <row r="4157" spans="1:14" x14ac:dyDescent="0.2">
      <c r="A4157" s="5" t="str">
        <f>HYPERLINK("http://www.ncbi.nlm.nih.gov/protein/254675308","Lrrcc1")</f>
        <v>Lrrcc1</v>
      </c>
      <c r="B4157" s="4"/>
      <c r="C4157" s="3">
        <v>0</v>
      </c>
      <c r="D4157" s="3">
        <v>0</v>
      </c>
      <c r="E4157" s="3">
        <v>72</v>
      </c>
      <c r="F4157" s="3">
        <v>0</v>
      </c>
      <c r="G4157" s="3">
        <v>0</v>
      </c>
      <c r="H4157" s="2">
        <f t="shared" si="128"/>
        <v>72</v>
      </c>
      <c r="I4157" t="str">
        <f t="shared" si="129"/>
        <v>Lrrcc1_72</v>
      </c>
      <c r="J4157" s="3">
        <v>0</v>
      </c>
      <c r="K4157" s="3">
        <v>0</v>
      </c>
      <c r="L4157" s="3">
        <v>72</v>
      </c>
      <c r="M4157" s="3">
        <v>0</v>
      </c>
      <c r="N4157" s="3">
        <v>0</v>
      </c>
    </row>
    <row r="4158" spans="1:14" x14ac:dyDescent="0.2">
      <c r="A4158" s="5" t="str">
        <f>HYPERLINK("http://www.ncbi.nlm.nih.gov/protein/254675310","Lrrcc1")</f>
        <v>Lrrcc1</v>
      </c>
      <c r="B4158" s="4"/>
      <c r="C4158" s="3">
        <v>0</v>
      </c>
      <c r="D4158" s="3">
        <v>0</v>
      </c>
      <c r="E4158" s="3">
        <v>72</v>
      </c>
      <c r="F4158" s="3">
        <v>0</v>
      </c>
      <c r="G4158" s="3">
        <v>0</v>
      </c>
      <c r="H4158" s="2">
        <f t="shared" si="128"/>
        <v>72</v>
      </c>
      <c r="I4158" t="str">
        <f t="shared" si="129"/>
        <v>Lrrcc1_72</v>
      </c>
      <c r="J4158" s="3">
        <v>0</v>
      </c>
      <c r="K4158" s="3">
        <v>0</v>
      </c>
      <c r="L4158" s="3">
        <v>72</v>
      </c>
      <c r="M4158" s="3">
        <v>0</v>
      </c>
      <c r="N4158" s="3">
        <v>0</v>
      </c>
    </row>
    <row r="4159" spans="1:14" x14ac:dyDescent="0.2">
      <c r="A4159" s="5" t="str">
        <f>HYPERLINK("http://www.ncbi.nlm.nih.gov/protein/162417949","Lrrfip1")</f>
        <v>Lrrfip1</v>
      </c>
      <c r="B4159" s="4"/>
      <c r="C4159" s="3">
        <v>0</v>
      </c>
      <c r="D4159" s="3">
        <v>1311</v>
      </c>
      <c r="E4159" s="3">
        <v>18360</v>
      </c>
      <c r="F4159" s="3">
        <v>67826</v>
      </c>
      <c r="G4159" s="3">
        <v>38886</v>
      </c>
      <c r="H4159" s="2">
        <f t="shared" si="128"/>
        <v>126383</v>
      </c>
      <c r="I4159" t="str">
        <f t="shared" si="129"/>
        <v>Lrrfip1_126383</v>
      </c>
      <c r="J4159" s="3">
        <v>0</v>
      </c>
      <c r="K4159" s="3">
        <v>1311</v>
      </c>
      <c r="L4159" s="3">
        <v>18360</v>
      </c>
      <c r="M4159" s="3">
        <v>67826</v>
      </c>
      <c r="N4159" s="3">
        <v>38886</v>
      </c>
    </row>
    <row r="4160" spans="1:14" x14ac:dyDescent="0.2">
      <c r="A4160" s="5" t="str">
        <f>HYPERLINK("http://www.ncbi.nlm.nih.gov/protein/162417952","Lrrfip1")</f>
        <v>Lrrfip1</v>
      </c>
      <c r="B4160" s="4"/>
      <c r="C4160" s="3">
        <v>0</v>
      </c>
      <c r="D4160" s="3">
        <v>620</v>
      </c>
      <c r="E4160" s="3">
        <v>10379</v>
      </c>
      <c r="F4160" s="3">
        <v>23812</v>
      </c>
      <c r="G4160" s="3">
        <v>16867</v>
      </c>
      <c r="H4160" s="2">
        <f t="shared" si="128"/>
        <v>51678</v>
      </c>
      <c r="I4160" t="str">
        <f t="shared" si="129"/>
        <v>Lrrfip1_51678</v>
      </c>
      <c r="J4160" s="3">
        <v>0</v>
      </c>
      <c r="K4160" s="3">
        <v>620</v>
      </c>
      <c r="L4160" s="3">
        <v>10379</v>
      </c>
      <c r="M4160" s="3">
        <v>23812</v>
      </c>
      <c r="N4160" s="3">
        <v>16867</v>
      </c>
    </row>
    <row r="4161" spans="1:14" x14ac:dyDescent="0.2">
      <c r="A4161" s="5" t="str">
        <f>HYPERLINK("http://www.ncbi.nlm.nih.gov/protein/6678722","Lrrfip1")</f>
        <v>Lrrfip1</v>
      </c>
      <c r="B4161" s="4"/>
      <c r="C4161" s="3">
        <v>0</v>
      </c>
      <c r="D4161" s="3">
        <v>620</v>
      </c>
      <c r="E4161" s="3">
        <v>12934</v>
      </c>
      <c r="F4161" s="3">
        <v>29738</v>
      </c>
      <c r="G4161" s="3">
        <v>18195</v>
      </c>
      <c r="H4161" s="2">
        <f t="shared" si="128"/>
        <v>61487</v>
      </c>
      <c r="I4161" t="str">
        <f t="shared" si="129"/>
        <v>Lrrfip1_61487</v>
      </c>
      <c r="J4161" s="3">
        <v>0</v>
      </c>
      <c r="K4161" s="3">
        <v>620</v>
      </c>
      <c r="L4161" s="3">
        <v>12934</v>
      </c>
      <c r="M4161" s="3">
        <v>29738</v>
      </c>
      <c r="N4161" s="3">
        <v>18195</v>
      </c>
    </row>
    <row r="4162" spans="1:14" x14ac:dyDescent="0.2">
      <c r="A4162" s="5" t="str">
        <f>HYPERLINK("http://www.ncbi.nlm.nih.gov/protein/110625827","Lrrfip2")</f>
        <v>Lrrfip2</v>
      </c>
      <c r="B4162" s="4"/>
      <c r="C4162" s="3">
        <v>0</v>
      </c>
      <c r="D4162" s="3">
        <v>299</v>
      </c>
      <c r="E4162" s="3">
        <v>6115</v>
      </c>
      <c r="F4162" s="3">
        <v>16731</v>
      </c>
      <c r="G4162" s="3">
        <v>9103</v>
      </c>
      <c r="H4162" s="2">
        <f t="shared" ref="H4162:H4225" si="130">SUM(C4162:G4162)</f>
        <v>32248</v>
      </c>
      <c r="I4162" t="str">
        <f t="shared" ref="I4162:I4225" si="131">A4162&amp;"_"&amp;H4162</f>
        <v>Lrrfip2_32248</v>
      </c>
      <c r="J4162" s="3">
        <v>0</v>
      </c>
      <c r="K4162" s="3">
        <v>299</v>
      </c>
      <c r="L4162" s="3">
        <v>6115</v>
      </c>
      <c r="M4162" s="3">
        <v>16731</v>
      </c>
      <c r="N4162" s="3">
        <v>9103</v>
      </c>
    </row>
    <row r="4163" spans="1:14" x14ac:dyDescent="0.2">
      <c r="A4163" s="5" t="str">
        <f>HYPERLINK("http://www.ncbi.nlm.nih.gov/protein/258679524","Lrrfip2")</f>
        <v>Lrrfip2</v>
      </c>
      <c r="B4163" s="4"/>
      <c r="C4163" s="3">
        <v>0</v>
      </c>
      <c r="D4163" s="3">
        <v>299</v>
      </c>
      <c r="E4163" s="3">
        <v>6115</v>
      </c>
      <c r="F4163" s="3">
        <v>16731</v>
      </c>
      <c r="G4163" s="3">
        <v>9103</v>
      </c>
      <c r="H4163" s="2">
        <f t="shared" si="130"/>
        <v>32248</v>
      </c>
      <c r="I4163" t="str">
        <f t="shared" si="131"/>
        <v>Lrrfip2_32248</v>
      </c>
      <c r="J4163" s="3">
        <v>0</v>
      </c>
      <c r="K4163" s="3">
        <v>299</v>
      </c>
      <c r="L4163" s="3">
        <v>6115</v>
      </c>
      <c r="M4163" s="3">
        <v>16731</v>
      </c>
      <c r="N4163" s="3">
        <v>9103</v>
      </c>
    </row>
    <row r="4164" spans="1:14" x14ac:dyDescent="0.2">
      <c r="A4164" s="5" t="str">
        <f>HYPERLINK("http://www.ncbi.nlm.nih.gov/protein/56699427","Lrrk1")</f>
        <v>Lrrk1</v>
      </c>
      <c r="B4164" s="4"/>
      <c r="C4164" s="3">
        <v>0</v>
      </c>
      <c r="D4164" s="3">
        <v>71</v>
      </c>
      <c r="E4164" s="3">
        <v>18</v>
      </c>
      <c r="F4164" s="3">
        <v>0</v>
      </c>
      <c r="G4164" s="3">
        <v>0</v>
      </c>
      <c r="H4164" s="2">
        <f t="shared" si="130"/>
        <v>89</v>
      </c>
      <c r="I4164" t="str">
        <f t="shared" si="131"/>
        <v>Lrrk1_89</v>
      </c>
      <c r="J4164" s="3">
        <v>0</v>
      </c>
      <c r="K4164" s="3">
        <v>71</v>
      </c>
      <c r="L4164" s="3">
        <v>18</v>
      </c>
      <c r="M4164" s="3">
        <v>0</v>
      </c>
      <c r="N4164" s="3">
        <v>0</v>
      </c>
    </row>
    <row r="4165" spans="1:14" x14ac:dyDescent="0.2">
      <c r="A4165" s="5" t="str">
        <f>HYPERLINK("http://www.ncbi.nlm.nih.gov/protein/146231954","Lrrk2")</f>
        <v>Lrrk2</v>
      </c>
      <c r="B4165" s="4"/>
      <c r="C4165" s="3">
        <v>33244</v>
      </c>
      <c r="D4165" s="3">
        <v>628</v>
      </c>
      <c r="E4165" s="3">
        <v>0</v>
      </c>
      <c r="F4165" s="3">
        <v>0</v>
      </c>
      <c r="G4165" s="3">
        <v>0</v>
      </c>
      <c r="H4165" s="2">
        <f t="shared" si="130"/>
        <v>33872</v>
      </c>
      <c r="I4165" t="str">
        <f t="shared" si="131"/>
        <v>Lrrk2_33872</v>
      </c>
      <c r="J4165" s="3">
        <v>33244</v>
      </c>
      <c r="K4165" s="3">
        <v>628</v>
      </c>
      <c r="L4165" s="3">
        <v>0</v>
      </c>
      <c r="M4165" s="3">
        <v>0</v>
      </c>
      <c r="N4165" s="3">
        <v>0</v>
      </c>
    </row>
    <row r="4166" spans="1:14" x14ac:dyDescent="0.2">
      <c r="A4166" s="5" t="str">
        <f>HYPERLINK("http://www.ncbi.nlm.nih.gov/protein/110625667","Lsm1")</f>
        <v>Lsm1</v>
      </c>
      <c r="B4166" s="4"/>
      <c r="C4166" s="3">
        <v>0</v>
      </c>
      <c r="D4166" s="3">
        <v>0</v>
      </c>
      <c r="E4166" s="3">
        <v>0</v>
      </c>
      <c r="F4166" s="3">
        <v>2145</v>
      </c>
      <c r="G4166" s="3">
        <v>0</v>
      </c>
      <c r="H4166" s="2">
        <f t="shared" si="130"/>
        <v>2145</v>
      </c>
      <c r="I4166" t="str">
        <f t="shared" si="131"/>
        <v>Lsm1_2145</v>
      </c>
      <c r="J4166" s="3">
        <v>0</v>
      </c>
      <c r="K4166" s="3">
        <v>0</v>
      </c>
      <c r="L4166" s="3">
        <v>0</v>
      </c>
      <c r="M4166" s="3">
        <v>2145</v>
      </c>
      <c r="N4166" s="3">
        <v>0</v>
      </c>
    </row>
    <row r="4167" spans="1:14" x14ac:dyDescent="0.2">
      <c r="A4167" s="5" t="str">
        <f>HYPERLINK("http://www.ncbi.nlm.nih.gov/protein/20270251","Lsm10")</f>
        <v>Lsm10</v>
      </c>
      <c r="B4167" s="4"/>
      <c r="C4167" s="3">
        <v>0</v>
      </c>
      <c r="D4167" s="3">
        <v>0</v>
      </c>
      <c r="E4167" s="3">
        <v>111</v>
      </c>
      <c r="F4167" s="3">
        <v>614</v>
      </c>
      <c r="G4167" s="3">
        <v>75</v>
      </c>
      <c r="H4167" s="2">
        <f t="shared" si="130"/>
        <v>800</v>
      </c>
      <c r="I4167" t="str">
        <f t="shared" si="131"/>
        <v>Lsm10_800</v>
      </c>
      <c r="J4167" s="3">
        <v>0</v>
      </c>
      <c r="K4167" s="3">
        <v>0</v>
      </c>
      <c r="L4167" s="3">
        <v>111</v>
      </c>
      <c r="M4167" s="3">
        <v>614</v>
      </c>
      <c r="N4167" s="3">
        <v>75</v>
      </c>
    </row>
    <row r="4168" spans="1:14" x14ac:dyDescent="0.2">
      <c r="A4168" s="5" t="str">
        <f>HYPERLINK("http://www.ncbi.nlm.nih.gov/protein/31711990","Lsm12")</f>
        <v>Lsm12</v>
      </c>
      <c r="B4168" s="4"/>
      <c r="C4168" s="3">
        <v>0</v>
      </c>
      <c r="D4168" s="3">
        <v>1787</v>
      </c>
      <c r="E4168" s="3">
        <v>6777</v>
      </c>
      <c r="F4168" s="3">
        <v>6696</v>
      </c>
      <c r="G4168" s="3">
        <v>15486</v>
      </c>
      <c r="H4168" s="2">
        <f t="shared" si="130"/>
        <v>30746</v>
      </c>
      <c r="I4168" t="str">
        <f t="shared" si="131"/>
        <v>Lsm12_30746</v>
      </c>
      <c r="J4168" s="3">
        <v>0</v>
      </c>
      <c r="K4168" s="3">
        <v>1787</v>
      </c>
      <c r="L4168" s="3">
        <v>6777</v>
      </c>
      <c r="M4168" s="3">
        <v>6696</v>
      </c>
      <c r="N4168" s="3">
        <v>15486</v>
      </c>
    </row>
    <row r="4169" spans="1:14" x14ac:dyDescent="0.2">
      <c r="A4169" s="5" t="str">
        <f>HYPERLINK("http://www.ncbi.nlm.nih.gov/protein/23956156","Lsm14a")</f>
        <v>Lsm14a</v>
      </c>
      <c r="B4169" s="4"/>
      <c r="C4169" s="3">
        <v>0</v>
      </c>
      <c r="D4169" s="3">
        <v>0</v>
      </c>
      <c r="E4169" s="3">
        <v>499</v>
      </c>
      <c r="F4169" s="3">
        <v>458</v>
      </c>
      <c r="G4169" s="3">
        <v>0</v>
      </c>
      <c r="H4169" s="2">
        <f t="shared" si="130"/>
        <v>957</v>
      </c>
      <c r="I4169" t="str">
        <f t="shared" si="131"/>
        <v>Lsm14a_957</v>
      </c>
      <c r="J4169" s="3">
        <v>0</v>
      </c>
      <c r="K4169" s="3">
        <v>0</v>
      </c>
      <c r="L4169" s="3">
        <v>499</v>
      </c>
      <c r="M4169" s="3">
        <v>458</v>
      </c>
      <c r="N4169" s="3">
        <v>0</v>
      </c>
    </row>
    <row r="4170" spans="1:14" x14ac:dyDescent="0.2">
      <c r="A4170" s="5" t="str">
        <f>HYPERLINK("http://www.ncbi.nlm.nih.gov/protein/148839333","Lsm14b")</f>
        <v>Lsm14b</v>
      </c>
      <c r="B4170" s="4"/>
      <c r="C4170" s="3">
        <v>0</v>
      </c>
      <c r="D4170" s="3">
        <v>0</v>
      </c>
      <c r="E4170" s="3">
        <v>822</v>
      </c>
      <c r="F4170" s="3">
        <v>0</v>
      </c>
      <c r="G4170" s="3">
        <v>0</v>
      </c>
      <c r="H4170" s="2">
        <f t="shared" si="130"/>
        <v>822</v>
      </c>
      <c r="I4170" t="str">
        <f t="shared" si="131"/>
        <v>Lsm14b_822</v>
      </c>
      <c r="J4170" s="3">
        <v>0</v>
      </c>
      <c r="K4170" s="3">
        <v>0</v>
      </c>
      <c r="L4170" s="3">
        <v>822</v>
      </c>
      <c r="M4170" s="3">
        <v>0</v>
      </c>
      <c r="N4170" s="3">
        <v>0</v>
      </c>
    </row>
    <row r="4171" spans="1:14" x14ac:dyDescent="0.2">
      <c r="A4171" s="5" t="str">
        <f>HYPERLINK("http://www.ncbi.nlm.nih.gov/protein/324021707","Lsm2")</f>
        <v>Lsm2</v>
      </c>
      <c r="B4171" s="4"/>
      <c r="C4171" s="3">
        <v>0</v>
      </c>
      <c r="D4171" s="3">
        <v>0</v>
      </c>
      <c r="E4171" s="3">
        <v>16</v>
      </c>
      <c r="F4171" s="3">
        <v>0</v>
      </c>
      <c r="G4171" s="3">
        <v>0</v>
      </c>
      <c r="H4171" s="2">
        <f t="shared" si="130"/>
        <v>16</v>
      </c>
      <c r="I4171" t="str">
        <f t="shared" si="131"/>
        <v>Lsm2_16</v>
      </c>
      <c r="J4171" s="3">
        <v>0</v>
      </c>
      <c r="K4171" s="3">
        <v>0</v>
      </c>
      <c r="L4171" s="3">
        <v>16</v>
      </c>
      <c r="M4171" s="3">
        <v>0</v>
      </c>
      <c r="N4171" s="3">
        <v>0</v>
      </c>
    </row>
    <row r="4172" spans="1:14" x14ac:dyDescent="0.2">
      <c r="A4172" s="5" t="str">
        <f>HYPERLINK("http://www.ncbi.nlm.nih.gov/protein/13994221","Lsm2")</f>
        <v>Lsm2</v>
      </c>
      <c r="B4172" s="4"/>
      <c r="C4172" s="3">
        <v>13931</v>
      </c>
      <c r="D4172" s="3">
        <v>589</v>
      </c>
      <c r="E4172" s="3">
        <v>1324</v>
      </c>
      <c r="F4172" s="3">
        <v>2210</v>
      </c>
      <c r="G4172" s="3">
        <v>107</v>
      </c>
      <c r="H4172" s="2">
        <f t="shared" si="130"/>
        <v>18161</v>
      </c>
      <c r="I4172" t="str">
        <f t="shared" si="131"/>
        <v>Lsm2_18161</v>
      </c>
      <c r="J4172" s="3">
        <v>13931</v>
      </c>
      <c r="K4172" s="3">
        <v>589</v>
      </c>
      <c r="L4172" s="3">
        <v>1324</v>
      </c>
      <c r="M4172" s="3">
        <v>2210</v>
      </c>
      <c r="N4172" s="3">
        <v>107</v>
      </c>
    </row>
    <row r="4173" spans="1:14" x14ac:dyDescent="0.2">
      <c r="A4173" s="5" t="str">
        <f>HYPERLINK("http://www.ncbi.nlm.nih.gov/protein/158533995","Lsm2")</f>
        <v>Lsm2</v>
      </c>
      <c r="B4173" s="4"/>
      <c r="C4173" s="3">
        <v>13931</v>
      </c>
      <c r="D4173" s="3">
        <v>589</v>
      </c>
      <c r="E4173" s="3">
        <v>1324</v>
      </c>
      <c r="F4173" s="3">
        <v>2210</v>
      </c>
      <c r="G4173" s="3">
        <v>107</v>
      </c>
      <c r="H4173" s="2">
        <f t="shared" si="130"/>
        <v>18161</v>
      </c>
      <c r="I4173" t="str">
        <f t="shared" si="131"/>
        <v>Lsm2_18161</v>
      </c>
      <c r="J4173" s="3">
        <v>13931</v>
      </c>
      <c r="K4173" s="3">
        <v>589</v>
      </c>
      <c r="L4173" s="3">
        <v>1324</v>
      </c>
      <c r="M4173" s="3">
        <v>2210</v>
      </c>
      <c r="N4173" s="3">
        <v>107</v>
      </c>
    </row>
    <row r="4174" spans="1:14" x14ac:dyDescent="0.2">
      <c r="A4174" s="5" t="str">
        <f>HYPERLINK("http://www.ncbi.nlm.nih.gov/protein/324021709","Lsm2")</f>
        <v>Lsm2</v>
      </c>
      <c r="B4174" s="4"/>
      <c r="C4174" s="3">
        <v>13235</v>
      </c>
      <c r="D4174" s="3">
        <v>589</v>
      </c>
      <c r="E4174" s="3">
        <v>658</v>
      </c>
      <c r="F4174" s="3">
        <v>2210</v>
      </c>
      <c r="G4174" s="3">
        <v>107</v>
      </c>
      <c r="H4174" s="2">
        <f t="shared" si="130"/>
        <v>16799</v>
      </c>
      <c r="I4174" t="str">
        <f t="shared" si="131"/>
        <v>Lsm2_16799</v>
      </c>
      <c r="J4174" s="3">
        <v>13235</v>
      </c>
      <c r="K4174" s="3">
        <v>589</v>
      </c>
      <c r="L4174" s="3">
        <v>658</v>
      </c>
      <c r="M4174" s="3">
        <v>2210</v>
      </c>
      <c r="N4174" s="3">
        <v>107</v>
      </c>
    </row>
    <row r="4175" spans="1:14" x14ac:dyDescent="0.2">
      <c r="A4175" s="5" t="str">
        <f>HYPERLINK("http://www.ncbi.nlm.nih.gov/protein/13385806","Lsm3")</f>
        <v>Lsm3</v>
      </c>
      <c r="B4175" s="4"/>
      <c r="C4175" s="3">
        <v>3625</v>
      </c>
      <c r="D4175" s="3">
        <v>875</v>
      </c>
      <c r="E4175" s="3">
        <v>550</v>
      </c>
      <c r="F4175" s="3">
        <v>31416</v>
      </c>
      <c r="G4175" s="3">
        <v>9092</v>
      </c>
      <c r="H4175" s="2">
        <f t="shared" si="130"/>
        <v>45558</v>
      </c>
      <c r="I4175" t="str">
        <f t="shared" si="131"/>
        <v>Lsm3_45558</v>
      </c>
      <c r="J4175" s="3">
        <v>3625</v>
      </c>
      <c r="K4175" s="3">
        <v>875</v>
      </c>
      <c r="L4175" s="3">
        <v>550</v>
      </c>
      <c r="M4175" s="3">
        <v>31416</v>
      </c>
      <c r="N4175" s="3">
        <v>9092</v>
      </c>
    </row>
    <row r="4176" spans="1:14" x14ac:dyDescent="0.2">
      <c r="A4176" s="5" t="str">
        <f>HYPERLINK("http://www.ncbi.nlm.nih.gov/protein/159032056","Lsm4")</f>
        <v>Lsm4</v>
      </c>
      <c r="B4176" s="4"/>
      <c r="C4176" s="3">
        <v>879</v>
      </c>
      <c r="D4176" s="3">
        <v>2252</v>
      </c>
      <c r="E4176" s="3">
        <v>3172</v>
      </c>
      <c r="F4176" s="3">
        <v>23763</v>
      </c>
      <c r="G4176" s="3">
        <v>25199</v>
      </c>
      <c r="H4176" s="2">
        <f t="shared" si="130"/>
        <v>55265</v>
      </c>
      <c r="I4176" t="str">
        <f t="shared" si="131"/>
        <v>Lsm4_55265</v>
      </c>
      <c r="J4176" s="3">
        <v>879</v>
      </c>
      <c r="K4176" s="3">
        <v>2252</v>
      </c>
      <c r="L4176" s="3">
        <v>3172</v>
      </c>
      <c r="M4176" s="3">
        <v>23763</v>
      </c>
      <c r="N4176" s="3">
        <v>25199</v>
      </c>
    </row>
    <row r="4177" spans="1:14" x14ac:dyDescent="0.2">
      <c r="A4177" s="5" t="str">
        <f>HYPERLINK("http://www.ncbi.nlm.nih.gov/protein/113865835","Lsm6")</f>
        <v>Lsm6</v>
      </c>
      <c r="B4177" s="4"/>
      <c r="C4177" s="3">
        <v>0</v>
      </c>
      <c r="D4177" s="3">
        <v>925</v>
      </c>
      <c r="E4177" s="3">
        <v>0</v>
      </c>
      <c r="F4177" s="3">
        <v>0</v>
      </c>
      <c r="G4177" s="3">
        <v>0</v>
      </c>
      <c r="H4177" s="2">
        <f t="shared" si="130"/>
        <v>925</v>
      </c>
      <c r="I4177" t="str">
        <f t="shared" si="131"/>
        <v>Lsm6_925</v>
      </c>
      <c r="J4177" s="3">
        <v>0</v>
      </c>
      <c r="K4177" s="3">
        <v>925</v>
      </c>
      <c r="L4177" s="3">
        <v>0</v>
      </c>
      <c r="M4177" s="3">
        <v>0</v>
      </c>
      <c r="N4177" s="3">
        <v>0</v>
      </c>
    </row>
    <row r="4178" spans="1:14" x14ac:dyDescent="0.2">
      <c r="A4178" s="5" t="str">
        <f>HYPERLINK("http://www.ncbi.nlm.nih.gov/protein/300797601;113865835","Lsm6")</f>
        <v>Lsm6</v>
      </c>
      <c r="B4178" s="4"/>
      <c r="C4178" s="3">
        <v>4998</v>
      </c>
      <c r="D4178" s="3">
        <v>0</v>
      </c>
      <c r="E4178" s="3">
        <v>3481</v>
      </c>
      <c r="F4178" s="3">
        <v>0</v>
      </c>
      <c r="G4178" s="3">
        <v>0</v>
      </c>
      <c r="H4178" s="2">
        <f t="shared" si="130"/>
        <v>8479</v>
      </c>
      <c r="I4178" t="str">
        <f t="shared" si="131"/>
        <v>Lsm6_8479</v>
      </c>
      <c r="J4178" s="3">
        <v>4998</v>
      </c>
      <c r="K4178" s="3">
        <v>0</v>
      </c>
      <c r="L4178" s="3">
        <v>3481</v>
      </c>
      <c r="M4178" s="3">
        <v>0</v>
      </c>
      <c r="N4178" s="3">
        <v>0</v>
      </c>
    </row>
    <row r="4179" spans="1:14" x14ac:dyDescent="0.2">
      <c r="A4179" s="5" t="str">
        <f>HYPERLINK("http://www.ncbi.nlm.nih.gov/protein/13384714","Lsm7")</f>
        <v>Lsm7</v>
      </c>
      <c r="B4179" s="4"/>
      <c r="C4179" s="3">
        <v>0</v>
      </c>
      <c r="D4179" s="3">
        <v>0</v>
      </c>
      <c r="E4179" s="3">
        <v>0</v>
      </c>
      <c r="F4179" s="3">
        <v>19179</v>
      </c>
      <c r="G4179" s="3">
        <v>14897</v>
      </c>
      <c r="H4179" s="2">
        <f t="shared" si="130"/>
        <v>34076</v>
      </c>
      <c r="I4179" t="str">
        <f t="shared" si="131"/>
        <v>Lsm7_34076</v>
      </c>
      <c r="J4179" s="3">
        <v>0</v>
      </c>
      <c r="K4179" s="3">
        <v>0</v>
      </c>
      <c r="L4179" s="3">
        <v>0</v>
      </c>
      <c r="M4179" s="3">
        <v>19179</v>
      </c>
      <c r="N4179" s="3">
        <v>14897</v>
      </c>
    </row>
    <row r="4180" spans="1:14" x14ac:dyDescent="0.2">
      <c r="A4180" s="5" t="str">
        <f>HYPERLINK("http://www.ncbi.nlm.nih.gov/protein/58037525","Lsmd1")</f>
        <v>Lsmd1</v>
      </c>
      <c r="B4180" s="4"/>
      <c r="C4180" s="3">
        <v>0</v>
      </c>
      <c r="D4180" s="3">
        <v>0</v>
      </c>
      <c r="E4180" s="3">
        <v>294</v>
      </c>
      <c r="F4180" s="3">
        <v>33</v>
      </c>
      <c r="G4180" s="3">
        <v>0</v>
      </c>
      <c r="H4180" s="2">
        <f t="shared" si="130"/>
        <v>327</v>
      </c>
      <c r="I4180" t="str">
        <f t="shared" si="131"/>
        <v>Lsmd1_327</v>
      </c>
      <c r="J4180" s="3">
        <v>0</v>
      </c>
      <c r="K4180" s="3">
        <v>0</v>
      </c>
      <c r="L4180" s="3">
        <v>294</v>
      </c>
      <c r="M4180" s="3">
        <v>33</v>
      </c>
      <c r="N4180" s="3">
        <v>0</v>
      </c>
    </row>
    <row r="4181" spans="1:14" x14ac:dyDescent="0.2">
      <c r="A4181" s="5" t="str">
        <f>HYPERLINK("http://www.ncbi.nlm.nih.gov/protein/255958261","Lsr")</f>
        <v>Lsr</v>
      </c>
      <c r="B4181" s="4"/>
      <c r="C4181" s="3">
        <v>0</v>
      </c>
      <c r="D4181" s="3">
        <v>2</v>
      </c>
      <c r="E4181" s="3">
        <v>171</v>
      </c>
      <c r="F4181" s="3">
        <v>0</v>
      </c>
      <c r="G4181" s="3">
        <v>0</v>
      </c>
      <c r="H4181" s="2">
        <f t="shared" si="130"/>
        <v>173</v>
      </c>
      <c r="I4181" t="str">
        <f t="shared" si="131"/>
        <v>Lsr_173</v>
      </c>
      <c r="J4181" s="3">
        <v>0</v>
      </c>
      <c r="K4181" s="3">
        <v>2</v>
      </c>
      <c r="L4181" s="3">
        <v>171</v>
      </c>
      <c r="M4181" s="3">
        <v>0</v>
      </c>
      <c r="N4181" s="3">
        <v>0</v>
      </c>
    </row>
    <row r="4182" spans="1:14" x14ac:dyDescent="0.2">
      <c r="A4182" s="5" t="str">
        <f>HYPERLINK("http://www.ncbi.nlm.nih.gov/protein/255958263","Lsr")</f>
        <v>Lsr</v>
      </c>
      <c r="B4182" s="4"/>
      <c r="C4182" s="3">
        <v>0</v>
      </c>
      <c r="D4182" s="3">
        <v>2</v>
      </c>
      <c r="E4182" s="3">
        <v>171</v>
      </c>
      <c r="F4182" s="3">
        <v>0</v>
      </c>
      <c r="G4182" s="3">
        <v>0</v>
      </c>
      <c r="H4182" s="2">
        <f t="shared" si="130"/>
        <v>173</v>
      </c>
      <c r="I4182" t="str">
        <f t="shared" si="131"/>
        <v>Lsr_173</v>
      </c>
      <c r="J4182" s="3">
        <v>0</v>
      </c>
      <c r="K4182" s="3">
        <v>2</v>
      </c>
      <c r="L4182" s="3">
        <v>171</v>
      </c>
      <c r="M4182" s="3">
        <v>0</v>
      </c>
      <c r="N4182" s="3">
        <v>0</v>
      </c>
    </row>
    <row r="4183" spans="1:14" x14ac:dyDescent="0.2">
      <c r="A4183" s="5" t="str">
        <f>HYPERLINK("http://www.ncbi.nlm.nih.gov/protein/30794490","Lsr")</f>
        <v>Lsr</v>
      </c>
      <c r="B4183" s="4"/>
      <c r="C4183" s="3">
        <v>0</v>
      </c>
      <c r="D4183" s="3">
        <v>2</v>
      </c>
      <c r="E4183" s="3">
        <v>171</v>
      </c>
      <c r="F4183" s="3">
        <v>0</v>
      </c>
      <c r="G4183" s="3">
        <v>0</v>
      </c>
      <c r="H4183" s="2">
        <f t="shared" si="130"/>
        <v>173</v>
      </c>
      <c r="I4183" t="str">
        <f t="shared" si="131"/>
        <v>Lsr_173</v>
      </c>
      <c r="J4183" s="3">
        <v>0</v>
      </c>
      <c r="K4183" s="3">
        <v>2</v>
      </c>
      <c r="L4183" s="3">
        <v>171</v>
      </c>
      <c r="M4183" s="3">
        <v>0</v>
      </c>
      <c r="N4183" s="3">
        <v>0</v>
      </c>
    </row>
    <row r="4184" spans="1:14" x14ac:dyDescent="0.2">
      <c r="A4184" s="5" t="str">
        <f>HYPERLINK("http://www.ncbi.nlm.nih.gov/protein/22122469","Lss")</f>
        <v>Lss</v>
      </c>
      <c r="B4184" s="4"/>
      <c r="C4184" s="3">
        <v>3332</v>
      </c>
      <c r="D4184" s="3">
        <v>13897</v>
      </c>
      <c r="E4184" s="3">
        <v>6420</v>
      </c>
      <c r="F4184" s="3">
        <v>622</v>
      </c>
      <c r="G4184" s="3">
        <v>0</v>
      </c>
      <c r="H4184" s="2">
        <f t="shared" si="130"/>
        <v>24271</v>
      </c>
      <c r="I4184" t="str">
        <f t="shared" si="131"/>
        <v>Lss_24271</v>
      </c>
      <c r="J4184" s="3">
        <v>3332</v>
      </c>
      <c r="K4184" s="3">
        <v>13897</v>
      </c>
      <c r="L4184" s="3">
        <v>6420</v>
      </c>
      <c r="M4184" s="3">
        <v>622</v>
      </c>
      <c r="N4184" s="3">
        <v>0</v>
      </c>
    </row>
    <row r="4185" spans="1:14" x14ac:dyDescent="0.2">
      <c r="A4185" s="5" t="str">
        <f>HYPERLINK("http://www.ncbi.nlm.nih.gov/protein/116734870","Lta4h")</f>
        <v>Lta4h</v>
      </c>
      <c r="B4185" s="4"/>
      <c r="C4185" s="3">
        <v>0</v>
      </c>
      <c r="D4185" s="3">
        <v>4958</v>
      </c>
      <c r="E4185" s="3">
        <v>13299</v>
      </c>
      <c r="F4185" s="3">
        <v>3078</v>
      </c>
      <c r="G4185" s="3">
        <v>78704</v>
      </c>
      <c r="H4185" s="2">
        <f t="shared" si="130"/>
        <v>100039</v>
      </c>
      <c r="I4185" t="str">
        <f t="shared" si="131"/>
        <v>Lta4h_100039</v>
      </c>
      <c r="J4185" s="3">
        <v>0</v>
      </c>
      <c r="K4185" s="3">
        <v>4958</v>
      </c>
      <c r="L4185" s="3">
        <v>13299</v>
      </c>
      <c r="M4185" s="3">
        <v>3078</v>
      </c>
      <c r="N4185" s="3">
        <v>78704</v>
      </c>
    </row>
    <row r="4186" spans="1:14" x14ac:dyDescent="0.2">
      <c r="A4186" s="5" t="str">
        <f>HYPERLINK("http://www.ncbi.nlm.nih.gov/protein/124486727","Ltn1")</f>
        <v>Ltn1</v>
      </c>
      <c r="B4186" s="4"/>
      <c r="C4186" s="3">
        <v>0</v>
      </c>
      <c r="D4186" s="3">
        <v>0</v>
      </c>
      <c r="E4186" s="3">
        <v>184</v>
      </c>
      <c r="F4186" s="3">
        <v>10085</v>
      </c>
      <c r="G4186" s="3">
        <v>1039</v>
      </c>
      <c r="H4186" s="2">
        <f t="shared" si="130"/>
        <v>11308</v>
      </c>
      <c r="I4186" t="str">
        <f t="shared" si="131"/>
        <v>Ltn1_11308</v>
      </c>
      <c r="J4186" s="3">
        <v>0</v>
      </c>
      <c r="K4186" s="3">
        <v>0</v>
      </c>
      <c r="L4186" s="3">
        <v>184</v>
      </c>
      <c r="M4186" s="3">
        <v>10085</v>
      </c>
      <c r="N4186" s="3">
        <v>1039</v>
      </c>
    </row>
    <row r="4187" spans="1:14" x14ac:dyDescent="0.2">
      <c r="A4187" s="5" t="str">
        <f>HYPERLINK("http://www.ncbi.nlm.nih.gov/protein/31324539","Ltv1")</f>
        <v>Ltv1</v>
      </c>
      <c r="B4187" s="4"/>
      <c r="C4187" s="3">
        <v>0</v>
      </c>
      <c r="D4187" s="3">
        <v>0</v>
      </c>
      <c r="E4187" s="3">
        <v>0</v>
      </c>
      <c r="F4187" s="3">
        <v>1965</v>
      </c>
      <c r="G4187" s="3">
        <v>0</v>
      </c>
      <c r="H4187" s="2">
        <f t="shared" si="130"/>
        <v>1965</v>
      </c>
      <c r="I4187" t="str">
        <f t="shared" si="131"/>
        <v>Ltv1_1965</v>
      </c>
      <c r="J4187" s="3">
        <v>0</v>
      </c>
      <c r="K4187" s="3">
        <v>0</v>
      </c>
      <c r="L4187" s="3">
        <v>0</v>
      </c>
      <c r="M4187" s="3">
        <v>1965</v>
      </c>
      <c r="N4187" s="3">
        <v>0</v>
      </c>
    </row>
    <row r="4188" spans="1:14" x14ac:dyDescent="0.2">
      <c r="A4188" s="5" t="str">
        <f>HYPERLINK("http://www.ncbi.nlm.nih.gov/protein/114158677","Luc7l")</f>
        <v>Luc7l</v>
      </c>
      <c r="B4188" s="4"/>
      <c r="C4188" s="3">
        <v>0</v>
      </c>
      <c r="D4188" s="3">
        <v>810</v>
      </c>
      <c r="E4188" s="3">
        <v>746</v>
      </c>
      <c r="F4188" s="3">
        <v>4273</v>
      </c>
      <c r="G4188" s="3">
        <v>5344</v>
      </c>
      <c r="H4188" s="2">
        <f t="shared" si="130"/>
        <v>11173</v>
      </c>
      <c r="I4188" t="str">
        <f t="shared" si="131"/>
        <v>Luc7l_11173</v>
      </c>
      <c r="J4188" s="3">
        <v>0</v>
      </c>
      <c r="K4188" s="3">
        <v>810</v>
      </c>
      <c r="L4188" s="3">
        <v>746</v>
      </c>
      <c r="M4188" s="3">
        <v>4273</v>
      </c>
      <c r="N4188" s="3">
        <v>5344</v>
      </c>
    </row>
    <row r="4189" spans="1:14" x14ac:dyDescent="0.2">
      <c r="A4189" s="5" t="str">
        <f>HYPERLINK("http://www.ncbi.nlm.nih.gov/protein/21536228","Luc7l")</f>
        <v>Luc7l</v>
      </c>
      <c r="B4189" s="4"/>
      <c r="C4189" s="3">
        <v>0</v>
      </c>
      <c r="D4189" s="3">
        <v>810</v>
      </c>
      <c r="E4189" s="3">
        <v>746</v>
      </c>
      <c r="F4189" s="3">
        <v>4273</v>
      </c>
      <c r="G4189" s="3">
        <v>5344</v>
      </c>
      <c r="H4189" s="2">
        <f t="shared" si="130"/>
        <v>11173</v>
      </c>
      <c r="I4189" t="str">
        <f t="shared" si="131"/>
        <v>Luc7l_11173</v>
      </c>
      <c r="J4189" s="3">
        <v>0</v>
      </c>
      <c r="K4189" s="3">
        <v>810</v>
      </c>
      <c r="L4189" s="3">
        <v>746</v>
      </c>
      <c r="M4189" s="3">
        <v>4273</v>
      </c>
      <c r="N4189" s="3">
        <v>5344</v>
      </c>
    </row>
    <row r="4190" spans="1:14" x14ac:dyDescent="0.2">
      <c r="A4190" s="5" t="str">
        <f>HYPERLINK("http://www.ncbi.nlm.nih.gov/protein/283806681","Luc7l2")</f>
        <v>Luc7l2</v>
      </c>
      <c r="B4190" s="4"/>
      <c r="C4190" s="3">
        <v>0</v>
      </c>
      <c r="D4190" s="3">
        <v>2657</v>
      </c>
      <c r="E4190" s="3">
        <v>2530</v>
      </c>
      <c r="F4190" s="3">
        <v>6344</v>
      </c>
      <c r="G4190" s="3">
        <v>19266</v>
      </c>
      <c r="H4190" s="2">
        <f t="shared" si="130"/>
        <v>30797</v>
      </c>
      <c r="I4190" t="str">
        <f t="shared" si="131"/>
        <v>Luc7l2_30797</v>
      </c>
      <c r="J4190" s="3">
        <v>0</v>
      </c>
      <c r="K4190" s="3">
        <v>2657</v>
      </c>
      <c r="L4190" s="3">
        <v>2530</v>
      </c>
      <c r="M4190" s="3">
        <v>6344</v>
      </c>
      <c r="N4190" s="3">
        <v>19266</v>
      </c>
    </row>
    <row r="4191" spans="1:14" x14ac:dyDescent="0.2">
      <c r="A4191" s="5" t="str">
        <f>HYPERLINK("http://www.ncbi.nlm.nih.gov/protein/283806683","Luc7l2")</f>
        <v>Luc7l2</v>
      </c>
      <c r="B4191" s="4"/>
      <c r="C4191" s="3">
        <v>0</v>
      </c>
      <c r="D4191" s="3">
        <v>2657</v>
      </c>
      <c r="E4191" s="3">
        <v>2530</v>
      </c>
      <c r="F4191" s="3">
        <v>6344</v>
      </c>
      <c r="G4191" s="3">
        <v>19266</v>
      </c>
      <c r="H4191" s="2">
        <f t="shared" si="130"/>
        <v>30797</v>
      </c>
      <c r="I4191" t="str">
        <f t="shared" si="131"/>
        <v>Luc7l2_30797</v>
      </c>
      <c r="J4191" s="3">
        <v>0</v>
      </c>
      <c r="K4191" s="3">
        <v>2657</v>
      </c>
      <c r="L4191" s="3">
        <v>2530</v>
      </c>
      <c r="M4191" s="3">
        <v>6344</v>
      </c>
      <c r="N4191" s="3">
        <v>19266</v>
      </c>
    </row>
    <row r="4192" spans="1:14" x14ac:dyDescent="0.2">
      <c r="A4192" s="5" t="str">
        <f>HYPERLINK("http://www.ncbi.nlm.nih.gov/protein/283806685","Luc7l2")</f>
        <v>Luc7l2</v>
      </c>
      <c r="B4192" s="4"/>
      <c r="C4192" s="3">
        <v>0</v>
      </c>
      <c r="D4192" s="3">
        <v>2570</v>
      </c>
      <c r="E4192" s="3">
        <v>2530</v>
      </c>
      <c r="F4192" s="3">
        <v>6344</v>
      </c>
      <c r="G4192" s="3">
        <v>19266</v>
      </c>
      <c r="H4192" s="2">
        <f t="shared" si="130"/>
        <v>30710</v>
      </c>
      <c r="I4192" t="str">
        <f t="shared" si="131"/>
        <v>Luc7l2_30710</v>
      </c>
      <c r="J4192" s="3">
        <v>0</v>
      </c>
      <c r="K4192" s="3">
        <v>2570</v>
      </c>
      <c r="L4192" s="3">
        <v>2530</v>
      </c>
      <c r="M4192" s="3">
        <v>6344</v>
      </c>
      <c r="N4192" s="3">
        <v>19266</v>
      </c>
    </row>
    <row r="4193" spans="1:14" x14ac:dyDescent="0.2">
      <c r="A4193" s="5" t="str">
        <f>HYPERLINK("http://www.ncbi.nlm.nih.gov/protein/23956166","Luc7l3")</f>
        <v>Luc7l3</v>
      </c>
      <c r="B4193" s="4"/>
      <c r="C4193" s="3">
        <v>11844</v>
      </c>
      <c r="D4193" s="3">
        <v>1369</v>
      </c>
      <c r="E4193" s="3">
        <v>935</v>
      </c>
      <c r="F4193" s="3">
        <v>6696</v>
      </c>
      <c r="G4193" s="3">
        <v>1007</v>
      </c>
      <c r="H4193" s="2">
        <f t="shared" si="130"/>
        <v>21851</v>
      </c>
      <c r="I4193" t="str">
        <f t="shared" si="131"/>
        <v>Luc7l3_21851</v>
      </c>
      <c r="J4193" s="3">
        <v>11844</v>
      </c>
      <c r="K4193" s="3">
        <v>1369</v>
      </c>
      <c r="L4193" s="3">
        <v>935</v>
      </c>
      <c r="M4193" s="3">
        <v>6696</v>
      </c>
      <c r="N4193" s="3">
        <v>1007</v>
      </c>
    </row>
    <row r="4194" spans="1:14" x14ac:dyDescent="0.2">
      <c r="A4194" s="5" t="str">
        <f>HYPERLINK("http://www.ncbi.nlm.nih.gov/protein/119433663","Luzp1")</f>
        <v>Luzp1</v>
      </c>
      <c r="B4194" s="4"/>
      <c r="C4194" s="3">
        <v>0</v>
      </c>
      <c r="D4194" s="3">
        <v>2</v>
      </c>
      <c r="E4194" s="3">
        <v>37</v>
      </c>
      <c r="F4194" s="3">
        <v>106</v>
      </c>
      <c r="G4194" s="3">
        <v>64</v>
      </c>
      <c r="H4194" s="2">
        <f t="shared" si="130"/>
        <v>209</v>
      </c>
      <c r="I4194" t="str">
        <f t="shared" si="131"/>
        <v>Luzp1_209</v>
      </c>
      <c r="J4194" s="3">
        <v>0</v>
      </c>
      <c r="K4194" s="3">
        <v>2</v>
      </c>
      <c r="L4194" s="3">
        <v>37</v>
      </c>
      <c r="M4194" s="3">
        <v>106</v>
      </c>
      <c r="N4194" s="3">
        <v>64</v>
      </c>
    </row>
    <row r="4195" spans="1:14" x14ac:dyDescent="0.2">
      <c r="A4195" s="5" t="str">
        <f>HYPERLINK("http://www.ncbi.nlm.nih.gov/protein/31980632","Lxn")</f>
        <v>Lxn</v>
      </c>
      <c r="B4195" s="4"/>
      <c r="C4195" s="3">
        <v>2032</v>
      </c>
      <c r="D4195" s="3">
        <v>5286</v>
      </c>
      <c r="E4195" s="3">
        <v>5883</v>
      </c>
      <c r="F4195" s="3">
        <v>303</v>
      </c>
      <c r="G4195" s="3">
        <v>35245</v>
      </c>
      <c r="H4195" s="2">
        <f t="shared" si="130"/>
        <v>48749</v>
      </c>
      <c r="I4195" t="str">
        <f t="shared" si="131"/>
        <v>Lxn_48749</v>
      </c>
      <c r="J4195" s="3">
        <v>2032</v>
      </c>
      <c r="K4195" s="3">
        <v>5286</v>
      </c>
      <c r="L4195" s="3">
        <v>5883</v>
      </c>
      <c r="M4195" s="3">
        <v>303</v>
      </c>
      <c r="N4195" s="3">
        <v>35245</v>
      </c>
    </row>
    <row r="4196" spans="1:14" x14ac:dyDescent="0.2">
      <c r="A4196" s="5" t="str">
        <f>HYPERLINK("http://www.ncbi.nlm.nih.gov/protein/255708401","Ly6e")</f>
        <v>Ly6e</v>
      </c>
      <c r="B4196" s="4"/>
      <c r="C4196" s="3">
        <v>0</v>
      </c>
      <c r="D4196" s="3">
        <v>747</v>
      </c>
      <c r="E4196" s="3">
        <v>116</v>
      </c>
      <c r="F4196" s="3">
        <v>0</v>
      </c>
      <c r="G4196" s="3">
        <v>0</v>
      </c>
      <c r="H4196" s="2">
        <f t="shared" si="130"/>
        <v>863</v>
      </c>
      <c r="I4196" t="str">
        <f t="shared" si="131"/>
        <v>Ly6e_863</v>
      </c>
      <c r="J4196" s="3">
        <v>0</v>
      </c>
      <c r="K4196" s="3">
        <v>747</v>
      </c>
      <c r="L4196" s="3">
        <v>116</v>
      </c>
      <c r="M4196" s="3">
        <v>0</v>
      </c>
      <c r="N4196" s="3">
        <v>0</v>
      </c>
    </row>
    <row r="4197" spans="1:14" x14ac:dyDescent="0.2">
      <c r="A4197" s="5" t="str">
        <f>HYPERLINK("http://www.ncbi.nlm.nih.gov/protein/148747179","Ly75")</f>
        <v>Ly75</v>
      </c>
      <c r="B4197" s="4"/>
      <c r="C4197" s="3">
        <v>0</v>
      </c>
      <c r="D4197" s="3">
        <v>84</v>
      </c>
      <c r="E4197" s="3">
        <v>534</v>
      </c>
      <c r="F4197" s="3">
        <v>0</v>
      </c>
      <c r="G4197" s="3">
        <v>0</v>
      </c>
      <c r="H4197" s="2">
        <f t="shared" si="130"/>
        <v>618</v>
      </c>
      <c r="I4197" t="str">
        <f t="shared" si="131"/>
        <v>Ly75_618</v>
      </c>
      <c r="J4197" s="3">
        <v>0</v>
      </c>
      <c r="K4197" s="3">
        <v>84</v>
      </c>
      <c r="L4197" s="3">
        <v>534</v>
      </c>
      <c r="M4197" s="3">
        <v>0</v>
      </c>
      <c r="N4197" s="3">
        <v>0</v>
      </c>
    </row>
    <row r="4198" spans="1:14" x14ac:dyDescent="0.2">
      <c r="A4198" s="5" t="str">
        <f>HYPERLINK("http://www.ncbi.nlm.nih.gov/protein/188219567","Lyar")</f>
        <v>Lyar</v>
      </c>
      <c r="B4198" s="4"/>
      <c r="C4198" s="3">
        <v>0</v>
      </c>
      <c r="D4198" s="3">
        <v>299</v>
      </c>
      <c r="E4198" s="3">
        <v>4427</v>
      </c>
      <c r="F4198" s="3">
        <v>10821</v>
      </c>
      <c r="G4198" s="3">
        <v>0</v>
      </c>
      <c r="H4198" s="2">
        <f t="shared" si="130"/>
        <v>15547</v>
      </c>
      <c r="I4198" t="str">
        <f t="shared" si="131"/>
        <v>Lyar_15547</v>
      </c>
      <c r="J4198" s="3">
        <v>0</v>
      </c>
      <c r="K4198" s="3">
        <v>299</v>
      </c>
      <c r="L4198" s="3">
        <v>4427</v>
      </c>
      <c r="M4198" s="3">
        <v>10821</v>
      </c>
      <c r="N4198" s="3">
        <v>0</v>
      </c>
    </row>
    <row r="4199" spans="1:14" x14ac:dyDescent="0.2">
      <c r="A4199" s="5" t="str">
        <f>HYPERLINK("http://www.ncbi.nlm.nih.gov/protein/161760634","Lyn")</f>
        <v>Lyn</v>
      </c>
      <c r="B4199" s="4"/>
      <c r="C4199" s="3">
        <v>2691</v>
      </c>
      <c r="D4199" s="3">
        <v>4169</v>
      </c>
      <c r="E4199" s="3">
        <v>3879</v>
      </c>
      <c r="F4199" s="3">
        <v>6025</v>
      </c>
      <c r="G4199" s="3">
        <v>34420</v>
      </c>
      <c r="H4199" s="2">
        <f t="shared" si="130"/>
        <v>51184</v>
      </c>
      <c r="I4199" t="str">
        <f t="shared" si="131"/>
        <v>Lyn_51184</v>
      </c>
      <c r="J4199" s="3">
        <v>2691</v>
      </c>
      <c r="K4199" s="3">
        <v>4169</v>
      </c>
      <c r="L4199" s="3">
        <v>3879</v>
      </c>
      <c r="M4199" s="3">
        <v>6025</v>
      </c>
      <c r="N4199" s="3">
        <v>34420</v>
      </c>
    </row>
    <row r="4200" spans="1:14" x14ac:dyDescent="0.2">
      <c r="A4200" s="5" t="str">
        <f>HYPERLINK("http://www.ncbi.nlm.nih.gov/protein/161760636","Lyn")</f>
        <v>Lyn</v>
      </c>
      <c r="B4200" s="4"/>
      <c r="C4200" s="3">
        <v>2691</v>
      </c>
      <c r="D4200" s="3">
        <v>4169</v>
      </c>
      <c r="E4200" s="3">
        <v>3879</v>
      </c>
      <c r="F4200" s="3">
        <v>6025</v>
      </c>
      <c r="G4200" s="3">
        <v>34420</v>
      </c>
      <c r="H4200" s="2">
        <f t="shared" si="130"/>
        <v>51184</v>
      </c>
      <c r="I4200" t="str">
        <f t="shared" si="131"/>
        <v>Lyn_51184</v>
      </c>
      <c r="J4200" s="3">
        <v>2691</v>
      </c>
      <c r="K4200" s="3">
        <v>4169</v>
      </c>
      <c r="L4200" s="3">
        <v>3879</v>
      </c>
      <c r="M4200" s="3">
        <v>6025</v>
      </c>
      <c r="N4200" s="3">
        <v>34420</v>
      </c>
    </row>
    <row r="4201" spans="1:14" x14ac:dyDescent="0.2">
      <c r="A4201" s="5" t="str">
        <f>HYPERLINK("http://www.ncbi.nlm.nih.gov/protein/6678760","Lypla1")</f>
        <v>Lypla1</v>
      </c>
      <c r="B4201" s="4"/>
      <c r="C4201" s="3">
        <v>1336</v>
      </c>
      <c r="D4201" s="3">
        <v>3670</v>
      </c>
      <c r="E4201" s="3">
        <v>2568</v>
      </c>
      <c r="F4201" s="3">
        <v>417</v>
      </c>
      <c r="G4201" s="3">
        <v>38179</v>
      </c>
      <c r="H4201" s="2">
        <f t="shared" si="130"/>
        <v>46170</v>
      </c>
      <c r="I4201" t="str">
        <f t="shared" si="131"/>
        <v>Lypla1_46170</v>
      </c>
      <c r="J4201" s="3">
        <v>1336</v>
      </c>
      <c r="K4201" s="3">
        <v>3670</v>
      </c>
      <c r="L4201" s="3">
        <v>2568</v>
      </c>
      <c r="M4201" s="3">
        <v>417</v>
      </c>
      <c r="N4201" s="3">
        <v>38179</v>
      </c>
    </row>
    <row r="4202" spans="1:14" x14ac:dyDescent="0.2">
      <c r="A4202" s="5" t="str">
        <f>HYPERLINK("http://www.ncbi.nlm.nih.gov/protein/7242156","Lypla2")</f>
        <v>Lypla2</v>
      </c>
      <c r="B4202" s="4"/>
      <c r="C4202" s="3">
        <v>0</v>
      </c>
      <c r="D4202" s="3">
        <v>0</v>
      </c>
      <c r="E4202" s="3">
        <v>25</v>
      </c>
      <c r="F4202" s="3">
        <v>0</v>
      </c>
      <c r="G4202" s="3">
        <v>7432</v>
      </c>
      <c r="H4202" s="2">
        <f t="shared" si="130"/>
        <v>7457</v>
      </c>
      <c r="I4202" t="str">
        <f t="shared" si="131"/>
        <v>Lypla2_7457</v>
      </c>
      <c r="J4202" s="3">
        <v>0</v>
      </c>
      <c r="K4202" s="3">
        <v>0</v>
      </c>
      <c r="L4202" s="3">
        <v>25</v>
      </c>
      <c r="M4202" s="3">
        <v>0</v>
      </c>
      <c r="N4202" s="3">
        <v>7432</v>
      </c>
    </row>
    <row r="4203" spans="1:14" x14ac:dyDescent="0.2">
      <c r="A4203" s="5" t="str">
        <f>HYPERLINK("http://www.ncbi.nlm.nih.gov/protein/227496223","Lyplal1")</f>
        <v>Lyplal1</v>
      </c>
      <c r="B4203" s="4"/>
      <c r="C4203" s="3">
        <v>0</v>
      </c>
      <c r="D4203" s="3">
        <v>2305</v>
      </c>
      <c r="E4203" s="3">
        <v>48</v>
      </c>
      <c r="F4203" s="3">
        <v>0</v>
      </c>
      <c r="G4203" s="3">
        <v>2110</v>
      </c>
      <c r="H4203" s="2">
        <f t="shared" si="130"/>
        <v>4463</v>
      </c>
      <c r="I4203" t="str">
        <f t="shared" si="131"/>
        <v>Lyplal1_4463</v>
      </c>
      <c r="J4203" s="3">
        <v>0</v>
      </c>
      <c r="K4203" s="3">
        <v>2305</v>
      </c>
      <c r="L4203" s="3">
        <v>48</v>
      </c>
      <c r="M4203" s="3">
        <v>0</v>
      </c>
      <c r="N4203" s="3">
        <v>2110</v>
      </c>
    </row>
    <row r="4204" spans="1:14" x14ac:dyDescent="0.2">
      <c r="A4204" s="5" t="str">
        <f>HYPERLINK("http://www.ncbi.nlm.nih.gov/protein/41235733","Lyrm4")</f>
        <v>Lyrm4</v>
      </c>
      <c r="B4204" s="4"/>
      <c r="C4204" s="3">
        <v>2215</v>
      </c>
      <c r="D4204" s="3">
        <v>3691</v>
      </c>
      <c r="E4204" s="3">
        <v>0</v>
      </c>
      <c r="F4204" s="3">
        <v>0</v>
      </c>
      <c r="G4204" s="3">
        <v>0</v>
      </c>
      <c r="H4204" s="2">
        <f t="shared" si="130"/>
        <v>5906</v>
      </c>
      <c r="I4204" t="str">
        <f t="shared" si="131"/>
        <v>Lyrm4_5906</v>
      </c>
      <c r="J4204" s="3">
        <v>2215</v>
      </c>
      <c r="K4204" s="3">
        <v>3691</v>
      </c>
      <c r="L4204" s="3">
        <v>0</v>
      </c>
      <c r="M4204" s="3">
        <v>0</v>
      </c>
      <c r="N4204" s="3">
        <v>0</v>
      </c>
    </row>
    <row r="4205" spans="1:14" x14ac:dyDescent="0.2">
      <c r="A4205" s="5" t="str">
        <f>HYPERLINK("http://www.ncbi.nlm.nih.gov/protein/19526856","Lyrm5")</f>
        <v>Lyrm5</v>
      </c>
      <c r="B4205" s="4"/>
      <c r="C4205" s="3">
        <v>18</v>
      </c>
      <c r="D4205" s="3">
        <v>0</v>
      </c>
      <c r="E4205" s="3">
        <v>0</v>
      </c>
      <c r="F4205" s="3">
        <v>0</v>
      </c>
      <c r="G4205" s="3">
        <v>0</v>
      </c>
      <c r="H4205" s="2">
        <f t="shared" si="130"/>
        <v>18</v>
      </c>
      <c r="I4205" t="str">
        <f t="shared" si="131"/>
        <v>Lyrm5_18</v>
      </c>
      <c r="J4205" s="3">
        <v>18</v>
      </c>
      <c r="K4205" s="3">
        <v>0</v>
      </c>
      <c r="L4205" s="3">
        <v>0</v>
      </c>
      <c r="M4205" s="3">
        <v>0</v>
      </c>
      <c r="N4205" s="3">
        <v>0</v>
      </c>
    </row>
    <row r="4206" spans="1:14" x14ac:dyDescent="0.2">
      <c r="A4206" s="5" t="str">
        <f>HYPERLINK("http://www.ncbi.nlm.nih.gov/protein/111955376","Lyst")</f>
        <v>Lyst</v>
      </c>
      <c r="B4206" s="4"/>
      <c r="C4206" s="3">
        <v>0</v>
      </c>
      <c r="D4206" s="3">
        <v>0</v>
      </c>
      <c r="E4206" s="3">
        <v>20</v>
      </c>
      <c r="F4206" s="3">
        <v>262</v>
      </c>
      <c r="G4206" s="3">
        <v>0</v>
      </c>
      <c r="H4206" s="2">
        <f t="shared" si="130"/>
        <v>282</v>
      </c>
      <c r="I4206" t="str">
        <f t="shared" si="131"/>
        <v>Lyst_282</v>
      </c>
      <c r="J4206" s="3">
        <v>0</v>
      </c>
      <c r="K4206" s="3">
        <v>0</v>
      </c>
      <c r="L4206" s="3">
        <v>20</v>
      </c>
      <c r="M4206" s="3">
        <v>262</v>
      </c>
      <c r="N4206" s="3">
        <v>0</v>
      </c>
    </row>
    <row r="4207" spans="1:14" x14ac:dyDescent="0.2">
      <c r="A4207" s="5" t="str">
        <f>HYPERLINK("http://www.ncbi.nlm.nih.gov/protein/27229082","Lzic")</f>
        <v>Lzic</v>
      </c>
      <c r="B4207" s="4"/>
      <c r="C4207" s="3">
        <v>0</v>
      </c>
      <c r="D4207" s="3">
        <v>232</v>
      </c>
      <c r="E4207" s="3">
        <v>370</v>
      </c>
      <c r="F4207" s="3">
        <v>0</v>
      </c>
      <c r="G4207" s="3">
        <v>7797</v>
      </c>
      <c r="H4207" s="2">
        <f t="shared" si="130"/>
        <v>8399</v>
      </c>
      <c r="I4207" t="str">
        <f t="shared" si="131"/>
        <v>Lzic_8399</v>
      </c>
      <c r="J4207" s="3">
        <v>0</v>
      </c>
      <c r="K4207" s="3">
        <v>232</v>
      </c>
      <c r="L4207" s="3">
        <v>370</v>
      </c>
      <c r="M4207" s="3">
        <v>0</v>
      </c>
      <c r="N4207" s="3">
        <v>7797</v>
      </c>
    </row>
    <row r="4208" spans="1:14" x14ac:dyDescent="0.2">
      <c r="A4208" s="5" t="str">
        <f>HYPERLINK("http://www.ncbi.nlm.nih.gov/protein/15277319","Lztfl1")</f>
        <v>Lztfl1</v>
      </c>
      <c r="B4208" s="4"/>
      <c r="C4208" s="3">
        <v>0</v>
      </c>
      <c r="D4208" s="3">
        <v>806</v>
      </c>
      <c r="E4208" s="3">
        <v>154</v>
      </c>
      <c r="F4208" s="3">
        <v>0</v>
      </c>
      <c r="G4208" s="3">
        <v>33574</v>
      </c>
      <c r="H4208" s="2">
        <f t="shared" si="130"/>
        <v>34534</v>
      </c>
      <c r="I4208" t="str">
        <f t="shared" si="131"/>
        <v>Lztfl1_34534</v>
      </c>
      <c r="J4208" s="3">
        <v>0</v>
      </c>
      <c r="K4208" s="3">
        <v>806</v>
      </c>
      <c r="L4208" s="3">
        <v>154</v>
      </c>
      <c r="M4208" s="3">
        <v>0</v>
      </c>
      <c r="N4208" s="3">
        <v>33574</v>
      </c>
    </row>
    <row r="4209" spans="1:14" x14ac:dyDescent="0.2">
      <c r="A4209" s="5" t="str">
        <f>HYPERLINK("http://www.ncbi.nlm.nih.gov/protein/27229001","Lztr1")</f>
        <v>Lztr1</v>
      </c>
      <c r="B4209" s="4"/>
      <c r="C4209" s="3">
        <v>0</v>
      </c>
      <c r="D4209" s="3">
        <v>0</v>
      </c>
      <c r="E4209" s="3">
        <v>29</v>
      </c>
      <c r="F4209" s="3">
        <v>319</v>
      </c>
      <c r="G4209" s="3">
        <v>203</v>
      </c>
      <c r="H4209" s="2">
        <f t="shared" si="130"/>
        <v>551</v>
      </c>
      <c r="I4209" t="str">
        <f t="shared" si="131"/>
        <v>Lztr1_551</v>
      </c>
      <c r="J4209" s="3">
        <v>0</v>
      </c>
      <c r="K4209" s="3">
        <v>0</v>
      </c>
      <c r="L4209" s="3">
        <v>29</v>
      </c>
      <c r="M4209" s="3">
        <v>319</v>
      </c>
      <c r="N4209" s="3">
        <v>203</v>
      </c>
    </row>
    <row r="4210" spans="1:14" x14ac:dyDescent="0.2">
      <c r="A4210" s="5" t="str">
        <f>HYPERLINK("http://www.ncbi.nlm.nih.gov/protein/14916479","M6pr")</f>
        <v>M6pr</v>
      </c>
      <c r="B4210" s="4"/>
      <c r="C4210" s="3">
        <v>10526</v>
      </c>
      <c r="D4210" s="3">
        <v>9795</v>
      </c>
      <c r="E4210" s="3">
        <v>23833</v>
      </c>
      <c r="F4210" s="3">
        <v>17640</v>
      </c>
      <c r="G4210" s="3">
        <v>0</v>
      </c>
      <c r="H4210" s="2">
        <f t="shared" si="130"/>
        <v>61794</v>
      </c>
      <c r="I4210" t="str">
        <f t="shared" si="131"/>
        <v>M6pr_61794</v>
      </c>
      <c r="J4210" s="3">
        <v>10526</v>
      </c>
      <c r="K4210" s="3">
        <v>9795</v>
      </c>
      <c r="L4210" s="3">
        <v>23833</v>
      </c>
      <c r="M4210" s="3">
        <v>17640</v>
      </c>
      <c r="N4210" s="3">
        <v>0</v>
      </c>
    </row>
    <row r="4211" spans="1:14" x14ac:dyDescent="0.2">
      <c r="A4211" s="5" t="str">
        <f>HYPERLINK("http://www.ncbi.nlm.nih.gov/protein/253314482","Macc1")</f>
        <v>Macc1</v>
      </c>
      <c r="B4211" s="4"/>
      <c r="C4211" s="3">
        <v>0</v>
      </c>
      <c r="D4211" s="3">
        <v>324</v>
      </c>
      <c r="E4211" s="3">
        <v>124</v>
      </c>
      <c r="F4211" s="3">
        <v>0</v>
      </c>
      <c r="G4211" s="3">
        <v>0</v>
      </c>
      <c r="H4211" s="2">
        <f t="shared" si="130"/>
        <v>448</v>
      </c>
      <c r="I4211" t="str">
        <f t="shared" si="131"/>
        <v>Macc1_448</v>
      </c>
      <c r="J4211" s="3">
        <v>0</v>
      </c>
      <c r="K4211" s="3">
        <v>324</v>
      </c>
      <c r="L4211" s="3">
        <v>124</v>
      </c>
      <c r="M4211" s="3">
        <v>0</v>
      </c>
      <c r="N4211" s="3">
        <v>0</v>
      </c>
    </row>
    <row r="4212" spans="1:14" x14ac:dyDescent="0.2">
      <c r="A4212" s="5" t="str">
        <f>HYPERLINK("http://www.ncbi.nlm.nih.gov/protein/312433955","Macf1")</f>
        <v>Macf1</v>
      </c>
      <c r="B4212" s="4"/>
      <c r="C4212" s="3">
        <v>0</v>
      </c>
      <c r="D4212" s="3">
        <v>2181</v>
      </c>
      <c r="E4212" s="3">
        <v>18177</v>
      </c>
      <c r="F4212" s="3">
        <v>40731</v>
      </c>
      <c r="G4212" s="3">
        <v>79229</v>
      </c>
      <c r="H4212" s="2">
        <f t="shared" si="130"/>
        <v>140318</v>
      </c>
      <c r="I4212" t="str">
        <f t="shared" si="131"/>
        <v>Macf1_140318</v>
      </c>
      <c r="J4212" s="3">
        <v>0</v>
      </c>
      <c r="K4212" s="3">
        <v>2181</v>
      </c>
      <c r="L4212" s="3">
        <v>18177</v>
      </c>
      <c r="M4212" s="3">
        <v>40731</v>
      </c>
      <c r="N4212" s="3">
        <v>79229</v>
      </c>
    </row>
    <row r="4213" spans="1:14" x14ac:dyDescent="0.2">
      <c r="A4213" s="5" t="str">
        <f>HYPERLINK("http://www.ncbi.nlm.nih.gov/protein/312433957","Macf1")</f>
        <v>Macf1</v>
      </c>
      <c r="B4213" s="4"/>
      <c r="C4213" s="3">
        <v>0</v>
      </c>
      <c r="D4213" s="3">
        <v>2181</v>
      </c>
      <c r="E4213" s="3">
        <v>18177</v>
      </c>
      <c r="F4213" s="3">
        <v>40731</v>
      </c>
      <c r="G4213" s="3">
        <v>78683</v>
      </c>
      <c r="H4213" s="2">
        <f t="shared" si="130"/>
        <v>139772</v>
      </c>
      <c r="I4213" t="str">
        <f t="shared" si="131"/>
        <v>Macf1_139772</v>
      </c>
      <c r="J4213" s="3">
        <v>0</v>
      </c>
      <c r="K4213" s="3">
        <v>2181</v>
      </c>
      <c r="L4213" s="3">
        <v>18177</v>
      </c>
      <c r="M4213" s="3">
        <v>40731</v>
      </c>
      <c r="N4213" s="3">
        <v>78683</v>
      </c>
    </row>
    <row r="4214" spans="1:14" x14ac:dyDescent="0.2">
      <c r="A4214" s="5" t="str">
        <f>HYPERLINK("http://www.ncbi.nlm.nih.gov/protein/170650601","Macrod1")</f>
        <v>Macrod1</v>
      </c>
      <c r="B4214" s="4"/>
      <c r="C4214" s="3">
        <v>0</v>
      </c>
      <c r="D4214" s="3">
        <v>3417</v>
      </c>
      <c r="E4214" s="3">
        <v>154</v>
      </c>
      <c r="F4214" s="3">
        <v>0</v>
      </c>
      <c r="G4214" s="3">
        <v>4552</v>
      </c>
      <c r="H4214" s="2">
        <f t="shared" si="130"/>
        <v>8123</v>
      </c>
      <c r="I4214" t="str">
        <f t="shared" si="131"/>
        <v>Macrod1_8123</v>
      </c>
      <c r="J4214" s="3">
        <v>0</v>
      </c>
      <c r="K4214" s="3">
        <v>3417</v>
      </c>
      <c r="L4214" s="3">
        <v>154</v>
      </c>
      <c r="M4214" s="3">
        <v>0</v>
      </c>
      <c r="N4214" s="3">
        <v>4552</v>
      </c>
    </row>
    <row r="4215" spans="1:14" x14ac:dyDescent="0.2">
      <c r="A4215" s="5" t="str">
        <f>HYPERLINK("http://www.ncbi.nlm.nih.gov/protein/88014564","Mad1l1")</f>
        <v>Mad1l1</v>
      </c>
      <c r="B4215" s="4"/>
      <c r="C4215" s="3">
        <v>0</v>
      </c>
      <c r="D4215" s="3">
        <v>0</v>
      </c>
      <c r="E4215" s="3">
        <v>0</v>
      </c>
      <c r="F4215" s="3">
        <v>0</v>
      </c>
      <c r="G4215" s="3">
        <v>910</v>
      </c>
      <c r="H4215" s="2">
        <f t="shared" si="130"/>
        <v>910</v>
      </c>
      <c r="I4215" t="str">
        <f t="shared" si="131"/>
        <v>Mad1l1_910</v>
      </c>
      <c r="J4215" s="3">
        <v>0</v>
      </c>
      <c r="K4215" s="3">
        <v>0</v>
      </c>
      <c r="L4215" s="3">
        <v>0</v>
      </c>
      <c r="M4215" s="3">
        <v>0</v>
      </c>
      <c r="N4215" s="3">
        <v>910</v>
      </c>
    </row>
    <row r="4216" spans="1:14" x14ac:dyDescent="0.2">
      <c r="A4216" s="5" t="str">
        <f>HYPERLINK("http://www.ncbi.nlm.nih.gov/protein/31543218","Mad2l1")</f>
        <v>Mad2l1</v>
      </c>
      <c r="B4216" s="4"/>
      <c r="C4216" s="3">
        <v>348</v>
      </c>
      <c r="D4216" s="3">
        <v>572</v>
      </c>
      <c r="E4216" s="3">
        <v>199</v>
      </c>
      <c r="F4216" s="3">
        <v>0</v>
      </c>
      <c r="G4216" s="3">
        <v>1210</v>
      </c>
      <c r="H4216" s="2">
        <f t="shared" si="130"/>
        <v>2329</v>
      </c>
      <c r="I4216" t="str">
        <f t="shared" si="131"/>
        <v>Mad2l1_2329</v>
      </c>
      <c r="J4216" s="3">
        <v>348</v>
      </c>
      <c r="K4216" s="3">
        <v>572</v>
      </c>
      <c r="L4216" s="3">
        <v>199</v>
      </c>
      <c r="M4216" s="3">
        <v>0</v>
      </c>
      <c r="N4216" s="3">
        <v>1210</v>
      </c>
    </row>
    <row r="4217" spans="1:14" x14ac:dyDescent="0.2">
      <c r="A4217" s="5" t="str">
        <f>HYPERLINK("http://www.ncbi.nlm.nih.gov/protein/120407043","Maea")</f>
        <v>Maea</v>
      </c>
      <c r="B4217" s="4"/>
      <c r="C4217" s="3">
        <v>0</v>
      </c>
      <c r="D4217" s="3">
        <v>0</v>
      </c>
      <c r="E4217" s="3">
        <v>0</v>
      </c>
      <c r="F4217" s="3">
        <v>1465</v>
      </c>
      <c r="G4217" s="3">
        <v>246</v>
      </c>
      <c r="H4217" s="2">
        <f t="shared" si="130"/>
        <v>1711</v>
      </c>
      <c r="I4217" t="str">
        <f t="shared" si="131"/>
        <v>Maea_1711</v>
      </c>
      <c r="J4217" s="3">
        <v>0</v>
      </c>
      <c r="K4217" s="3">
        <v>0</v>
      </c>
      <c r="L4217" s="3">
        <v>0</v>
      </c>
      <c r="M4217" s="3">
        <v>1465</v>
      </c>
      <c r="N4217" s="3">
        <v>246</v>
      </c>
    </row>
    <row r="4218" spans="1:14" x14ac:dyDescent="0.2">
      <c r="A4218" s="5" t="str">
        <f>HYPERLINK("http://www.ncbi.nlm.nih.gov/protein/148238102","Magea10")</f>
        <v>Magea10</v>
      </c>
      <c r="B4218" s="4"/>
      <c r="C4218" s="3">
        <v>0</v>
      </c>
      <c r="D4218" s="3">
        <v>0</v>
      </c>
      <c r="E4218" s="3">
        <v>0</v>
      </c>
      <c r="F4218" s="3">
        <v>1203</v>
      </c>
      <c r="G4218" s="3">
        <v>0</v>
      </c>
      <c r="H4218" s="2">
        <f t="shared" si="130"/>
        <v>1203</v>
      </c>
      <c r="I4218" t="str">
        <f t="shared" si="131"/>
        <v>Magea10_1203</v>
      </c>
      <c r="J4218" s="3">
        <v>0</v>
      </c>
      <c r="K4218" s="3">
        <v>0</v>
      </c>
      <c r="L4218" s="3">
        <v>0</v>
      </c>
      <c r="M4218" s="3">
        <v>1203</v>
      </c>
      <c r="N4218" s="3">
        <v>0</v>
      </c>
    </row>
    <row r="4219" spans="1:14" x14ac:dyDescent="0.2">
      <c r="A4219" s="5" t="str">
        <f>HYPERLINK("http://www.ncbi.nlm.nih.gov/protein/9789935","Maged1")</f>
        <v>Maged1</v>
      </c>
      <c r="B4219" s="4"/>
      <c r="C4219" s="3">
        <v>0</v>
      </c>
      <c r="D4219" s="3">
        <v>0</v>
      </c>
      <c r="E4219" s="3">
        <v>0</v>
      </c>
      <c r="F4219" s="3">
        <v>0</v>
      </c>
      <c r="G4219" s="3">
        <v>32</v>
      </c>
      <c r="H4219" s="2">
        <f t="shared" si="130"/>
        <v>32</v>
      </c>
      <c r="I4219" t="str">
        <f t="shared" si="131"/>
        <v>Maged1_32</v>
      </c>
      <c r="J4219" s="3">
        <v>0</v>
      </c>
      <c r="K4219" s="3">
        <v>0</v>
      </c>
      <c r="L4219" s="3">
        <v>0</v>
      </c>
      <c r="M4219" s="3">
        <v>0</v>
      </c>
      <c r="N4219" s="3">
        <v>32</v>
      </c>
    </row>
    <row r="4220" spans="1:14" x14ac:dyDescent="0.2">
      <c r="A4220" s="5" t="str">
        <f>HYPERLINK("http://www.ncbi.nlm.nih.gov/protein/407262474","Maged2")</f>
        <v>Maged2</v>
      </c>
      <c r="B4220" s="4"/>
      <c r="C4220" s="3">
        <v>0</v>
      </c>
      <c r="D4220" s="3">
        <v>23</v>
      </c>
      <c r="E4220" s="3">
        <v>0</v>
      </c>
      <c r="F4220" s="3">
        <v>0</v>
      </c>
      <c r="G4220" s="3">
        <v>0</v>
      </c>
      <c r="H4220" s="2">
        <f t="shared" si="130"/>
        <v>23</v>
      </c>
      <c r="I4220" t="str">
        <f t="shared" si="131"/>
        <v>Maged2_23</v>
      </c>
      <c r="J4220" s="3">
        <v>0</v>
      </c>
      <c r="K4220" s="3">
        <v>23</v>
      </c>
      <c r="L4220" s="3">
        <v>0</v>
      </c>
      <c r="M4220" s="3">
        <v>0</v>
      </c>
      <c r="N4220" s="3">
        <v>0</v>
      </c>
    </row>
    <row r="4221" spans="1:14" x14ac:dyDescent="0.2">
      <c r="A4221" s="5" t="str">
        <f>HYPERLINK("http://www.ncbi.nlm.nih.gov/protein/13507638","Maged2")</f>
        <v>Maged2</v>
      </c>
      <c r="B4221" s="4"/>
      <c r="C4221" s="3">
        <v>0</v>
      </c>
      <c r="D4221" s="3">
        <v>23</v>
      </c>
      <c r="E4221" s="3">
        <v>0</v>
      </c>
      <c r="F4221" s="3">
        <v>0</v>
      </c>
      <c r="G4221" s="3">
        <v>257</v>
      </c>
      <c r="H4221" s="2">
        <f t="shared" si="130"/>
        <v>280</v>
      </c>
      <c r="I4221" t="str">
        <f t="shared" si="131"/>
        <v>Maged2_280</v>
      </c>
      <c r="J4221" s="3">
        <v>0</v>
      </c>
      <c r="K4221" s="3">
        <v>23</v>
      </c>
      <c r="L4221" s="3">
        <v>0</v>
      </c>
      <c r="M4221" s="3">
        <v>0</v>
      </c>
      <c r="N4221" s="3">
        <v>257</v>
      </c>
    </row>
    <row r="4222" spans="1:14" x14ac:dyDescent="0.2">
      <c r="A4222" s="5" t="str">
        <f>HYPERLINK("http://www.ncbi.nlm.nih.gov/protein/134031962","Magi1")</f>
        <v>Magi1</v>
      </c>
      <c r="B4222" s="4"/>
      <c r="C4222" s="3">
        <v>0</v>
      </c>
      <c r="D4222" s="3">
        <v>0</v>
      </c>
      <c r="E4222" s="3">
        <v>28</v>
      </c>
      <c r="F4222" s="3">
        <v>0</v>
      </c>
      <c r="G4222" s="3">
        <v>0</v>
      </c>
      <c r="H4222" s="2">
        <f t="shared" si="130"/>
        <v>28</v>
      </c>
      <c r="I4222" t="str">
        <f t="shared" si="131"/>
        <v>Magi1_28</v>
      </c>
      <c r="J4222" s="3">
        <v>0</v>
      </c>
      <c r="K4222" s="3">
        <v>0</v>
      </c>
      <c r="L4222" s="3">
        <v>28</v>
      </c>
      <c r="M4222" s="3">
        <v>0</v>
      </c>
      <c r="N4222" s="3">
        <v>0</v>
      </c>
    </row>
    <row r="4223" spans="1:14" x14ac:dyDescent="0.2">
      <c r="A4223" s="5" t="str">
        <f>HYPERLINK("http://www.ncbi.nlm.nih.gov/protein/134031999","Magi1")</f>
        <v>Magi1</v>
      </c>
      <c r="B4223" s="4"/>
      <c r="C4223" s="3">
        <v>0</v>
      </c>
      <c r="D4223" s="3">
        <v>0</v>
      </c>
      <c r="E4223" s="3">
        <v>28</v>
      </c>
      <c r="F4223" s="3">
        <v>0</v>
      </c>
      <c r="G4223" s="3">
        <v>0</v>
      </c>
      <c r="H4223" s="2">
        <f t="shared" si="130"/>
        <v>28</v>
      </c>
      <c r="I4223" t="str">
        <f t="shared" si="131"/>
        <v>Magi1_28</v>
      </c>
      <c r="J4223" s="3">
        <v>0</v>
      </c>
      <c r="K4223" s="3">
        <v>0</v>
      </c>
      <c r="L4223" s="3">
        <v>28</v>
      </c>
      <c r="M4223" s="3">
        <v>0</v>
      </c>
      <c r="N4223" s="3">
        <v>0</v>
      </c>
    </row>
    <row r="4224" spans="1:14" x14ac:dyDescent="0.2">
      <c r="A4224" s="5" t="str">
        <f>HYPERLINK("http://www.ncbi.nlm.nih.gov/protein/34328051","Magi1")</f>
        <v>Magi1</v>
      </c>
      <c r="B4224" s="4"/>
      <c r="C4224" s="3">
        <v>0</v>
      </c>
      <c r="D4224" s="3">
        <v>0</v>
      </c>
      <c r="E4224" s="3">
        <v>28</v>
      </c>
      <c r="F4224" s="3">
        <v>0</v>
      </c>
      <c r="G4224" s="3">
        <v>0</v>
      </c>
      <c r="H4224" s="2">
        <f t="shared" si="130"/>
        <v>28</v>
      </c>
      <c r="I4224" t="str">
        <f t="shared" si="131"/>
        <v>Magi1_28</v>
      </c>
      <c r="J4224" s="3">
        <v>0</v>
      </c>
      <c r="K4224" s="3">
        <v>0</v>
      </c>
      <c r="L4224" s="3">
        <v>28</v>
      </c>
      <c r="M4224" s="3">
        <v>0</v>
      </c>
      <c r="N4224" s="3">
        <v>0</v>
      </c>
    </row>
    <row r="4225" spans="1:14" x14ac:dyDescent="0.2">
      <c r="A4225" s="5" t="str">
        <f>HYPERLINK("http://www.ncbi.nlm.nih.gov/protein/71533173","Magi1")</f>
        <v>Magi1</v>
      </c>
      <c r="B4225" s="4"/>
      <c r="C4225" s="3">
        <v>0</v>
      </c>
      <c r="D4225" s="3">
        <v>0</v>
      </c>
      <c r="E4225" s="3">
        <v>28</v>
      </c>
      <c r="F4225" s="3">
        <v>0</v>
      </c>
      <c r="G4225" s="3">
        <v>0</v>
      </c>
      <c r="H4225" s="2">
        <f t="shared" si="130"/>
        <v>28</v>
      </c>
      <c r="I4225" t="str">
        <f t="shared" si="131"/>
        <v>Magi1_28</v>
      </c>
      <c r="J4225" s="3">
        <v>0</v>
      </c>
      <c r="K4225" s="3">
        <v>0</v>
      </c>
      <c r="L4225" s="3">
        <v>28</v>
      </c>
      <c r="M4225" s="3">
        <v>0</v>
      </c>
      <c r="N4225" s="3">
        <v>0</v>
      </c>
    </row>
    <row r="4226" spans="1:14" x14ac:dyDescent="0.2">
      <c r="A4226" s="5" t="str">
        <f>HYPERLINK("http://www.ncbi.nlm.nih.gov/protein/19527074","Magi3")</f>
        <v>Magi3</v>
      </c>
      <c r="B4226" s="4"/>
      <c r="C4226" s="3">
        <v>0</v>
      </c>
      <c r="D4226" s="3">
        <v>0</v>
      </c>
      <c r="E4226" s="3">
        <v>0</v>
      </c>
      <c r="F4226" s="3">
        <v>147</v>
      </c>
      <c r="G4226" s="3">
        <v>589</v>
      </c>
      <c r="H4226" s="2">
        <f t="shared" ref="H4226:H4289" si="132">SUM(C4226:G4226)</f>
        <v>736</v>
      </c>
      <c r="I4226" t="str">
        <f t="shared" ref="I4226:I4289" si="133">A4226&amp;"_"&amp;H4226</f>
        <v>Magi3_736</v>
      </c>
      <c r="J4226" s="3">
        <v>0</v>
      </c>
      <c r="K4226" s="3">
        <v>0</v>
      </c>
      <c r="L4226" s="3">
        <v>0</v>
      </c>
      <c r="M4226" s="3">
        <v>147</v>
      </c>
      <c r="N4226" s="3">
        <v>589</v>
      </c>
    </row>
    <row r="4227" spans="1:14" x14ac:dyDescent="0.2">
      <c r="A4227" s="5" t="str">
        <f>HYPERLINK("http://www.ncbi.nlm.nih.gov/protein/226823238","Magi3")</f>
        <v>Magi3</v>
      </c>
      <c r="B4227" s="4"/>
      <c r="C4227" s="3">
        <v>0</v>
      </c>
      <c r="D4227" s="3">
        <v>0</v>
      </c>
      <c r="E4227" s="3">
        <v>0</v>
      </c>
      <c r="F4227" s="3">
        <v>147</v>
      </c>
      <c r="G4227" s="3">
        <v>589</v>
      </c>
      <c r="H4227" s="2">
        <f t="shared" si="132"/>
        <v>736</v>
      </c>
      <c r="I4227" t="str">
        <f t="shared" si="133"/>
        <v>Magi3_736</v>
      </c>
      <c r="J4227" s="3">
        <v>0</v>
      </c>
      <c r="K4227" s="3">
        <v>0</v>
      </c>
      <c r="L4227" s="3">
        <v>0</v>
      </c>
      <c r="M4227" s="3">
        <v>147</v>
      </c>
      <c r="N4227" s="3">
        <v>589</v>
      </c>
    </row>
    <row r="4228" spans="1:14" x14ac:dyDescent="0.2">
      <c r="A4228" s="5" t="str">
        <f>HYPERLINK("http://www.ncbi.nlm.nih.gov/protein/6754616","Magoh")</f>
        <v>Magoh</v>
      </c>
      <c r="B4228" s="4"/>
      <c r="C4228" s="3">
        <v>65114</v>
      </c>
      <c r="D4228" s="3">
        <v>1484</v>
      </c>
      <c r="E4228" s="3">
        <v>6559</v>
      </c>
      <c r="F4228" s="3">
        <v>3888</v>
      </c>
      <c r="G4228" s="3">
        <v>5655</v>
      </c>
      <c r="H4228" s="2">
        <f t="shared" si="132"/>
        <v>82700</v>
      </c>
      <c r="I4228" t="str">
        <f t="shared" si="133"/>
        <v>Magoh_82700</v>
      </c>
      <c r="J4228" s="3">
        <v>65114</v>
      </c>
      <c r="K4228" s="3">
        <v>1484</v>
      </c>
      <c r="L4228" s="3">
        <v>6559</v>
      </c>
      <c r="M4228" s="3">
        <v>3888</v>
      </c>
      <c r="N4228" s="3">
        <v>5655</v>
      </c>
    </row>
    <row r="4229" spans="1:14" x14ac:dyDescent="0.2">
      <c r="A4229" s="5" t="str">
        <f>HYPERLINK("http://www.ncbi.nlm.nih.gov/protein/256985211","Magohb")</f>
        <v>Magohb</v>
      </c>
      <c r="B4229" s="4"/>
      <c r="C4229" s="3">
        <v>65114</v>
      </c>
      <c r="D4229" s="3">
        <v>1484</v>
      </c>
      <c r="E4229" s="3">
        <v>6559</v>
      </c>
      <c r="F4229" s="3">
        <v>3880</v>
      </c>
      <c r="G4229" s="3">
        <v>5655</v>
      </c>
      <c r="H4229" s="2">
        <f t="shared" si="132"/>
        <v>82692</v>
      </c>
      <c r="I4229" t="str">
        <f t="shared" si="133"/>
        <v>Magohb_82692</v>
      </c>
      <c r="J4229" s="3">
        <v>65114</v>
      </c>
      <c r="K4229" s="3">
        <v>1484</v>
      </c>
      <c r="L4229" s="3">
        <v>6559</v>
      </c>
      <c r="M4229" s="3">
        <v>3880</v>
      </c>
      <c r="N4229" s="3">
        <v>5655</v>
      </c>
    </row>
    <row r="4230" spans="1:14" x14ac:dyDescent="0.2">
      <c r="A4230" s="5" t="str">
        <f>HYPERLINK("http://www.ncbi.nlm.nih.gov/protein/298676496","Magt1")</f>
        <v>Magt1</v>
      </c>
      <c r="B4230" s="4"/>
      <c r="C4230" s="3">
        <v>0</v>
      </c>
      <c r="D4230" s="3">
        <v>758</v>
      </c>
      <c r="E4230" s="3">
        <v>560</v>
      </c>
      <c r="F4230" s="3">
        <v>0</v>
      </c>
      <c r="G4230" s="3">
        <v>0</v>
      </c>
      <c r="H4230" s="2">
        <f t="shared" si="132"/>
        <v>1318</v>
      </c>
      <c r="I4230" t="str">
        <f t="shared" si="133"/>
        <v>Magt1_1318</v>
      </c>
      <c r="J4230" s="3">
        <v>0</v>
      </c>
      <c r="K4230" s="3">
        <v>758</v>
      </c>
      <c r="L4230" s="3">
        <v>560</v>
      </c>
      <c r="M4230" s="3">
        <v>0</v>
      </c>
      <c r="N4230" s="3">
        <v>0</v>
      </c>
    </row>
    <row r="4231" spans="1:14" x14ac:dyDescent="0.2">
      <c r="A4231" s="5" t="str">
        <f>HYPERLINK("http://www.ncbi.nlm.nih.gov/protein/224809525","Mak")</f>
        <v>Mak</v>
      </c>
      <c r="B4231" s="4"/>
      <c r="C4231" s="3">
        <v>0</v>
      </c>
      <c r="D4231" s="3">
        <v>2261</v>
      </c>
      <c r="E4231" s="3">
        <v>3440</v>
      </c>
      <c r="F4231" s="3">
        <v>4330</v>
      </c>
      <c r="G4231" s="3">
        <v>34420</v>
      </c>
      <c r="H4231" s="2">
        <f t="shared" si="132"/>
        <v>44451</v>
      </c>
      <c r="I4231" t="str">
        <f t="shared" si="133"/>
        <v>Mak_44451</v>
      </c>
      <c r="J4231" s="3">
        <v>0</v>
      </c>
      <c r="K4231" s="3">
        <v>2261</v>
      </c>
      <c r="L4231" s="3">
        <v>3440</v>
      </c>
      <c r="M4231" s="3">
        <v>4330</v>
      </c>
      <c r="N4231" s="3">
        <v>34420</v>
      </c>
    </row>
    <row r="4232" spans="1:14" x14ac:dyDescent="0.2">
      <c r="A4232" s="5" t="str">
        <f>HYPERLINK("http://www.ncbi.nlm.nih.gov/protein/224809542","Mak")</f>
        <v>Mak</v>
      </c>
      <c r="B4232" s="4"/>
      <c r="C4232" s="3">
        <v>0</v>
      </c>
      <c r="D4232" s="3">
        <v>2261</v>
      </c>
      <c r="E4232" s="3">
        <v>3440</v>
      </c>
      <c r="F4232" s="3">
        <v>4330</v>
      </c>
      <c r="G4232" s="3">
        <v>34420</v>
      </c>
      <c r="H4232" s="2">
        <f t="shared" si="132"/>
        <v>44451</v>
      </c>
      <c r="I4232" t="str">
        <f t="shared" si="133"/>
        <v>Mak_44451</v>
      </c>
      <c r="J4232" s="3">
        <v>0</v>
      </c>
      <c r="K4232" s="3">
        <v>2261</v>
      </c>
      <c r="L4232" s="3">
        <v>3440</v>
      </c>
      <c r="M4232" s="3">
        <v>4330</v>
      </c>
      <c r="N4232" s="3">
        <v>34420</v>
      </c>
    </row>
    <row r="4233" spans="1:14" x14ac:dyDescent="0.2">
      <c r="A4233" s="5" t="str">
        <f>HYPERLINK("http://www.ncbi.nlm.nih.gov/protein/224809552","Mak")</f>
        <v>Mak</v>
      </c>
      <c r="B4233" s="4"/>
      <c r="C4233" s="3">
        <v>0</v>
      </c>
      <c r="D4233" s="3">
        <v>2261</v>
      </c>
      <c r="E4233" s="3">
        <v>3440</v>
      </c>
      <c r="F4233" s="3">
        <v>4330</v>
      </c>
      <c r="G4233" s="3">
        <v>34420</v>
      </c>
      <c r="H4233" s="2">
        <f t="shared" si="132"/>
        <v>44451</v>
      </c>
      <c r="I4233" t="str">
        <f t="shared" si="133"/>
        <v>Mak_44451</v>
      </c>
      <c r="J4233" s="3">
        <v>0</v>
      </c>
      <c r="K4233" s="3">
        <v>2261</v>
      </c>
      <c r="L4233" s="3">
        <v>3440</v>
      </c>
      <c r="M4233" s="3">
        <v>4330</v>
      </c>
      <c r="N4233" s="3">
        <v>34420</v>
      </c>
    </row>
    <row r="4234" spans="1:14" x14ac:dyDescent="0.2">
      <c r="A4234" s="5" t="str">
        <f>HYPERLINK("http://www.ncbi.nlm.nih.gov/protein/30725780","Mal2")</f>
        <v>Mal2</v>
      </c>
      <c r="B4234" s="4"/>
      <c r="C4234" s="3">
        <v>673130</v>
      </c>
      <c r="D4234" s="3">
        <v>52125</v>
      </c>
      <c r="E4234" s="3">
        <v>83307</v>
      </c>
      <c r="F4234" s="3">
        <v>90966</v>
      </c>
      <c r="G4234" s="3">
        <v>0</v>
      </c>
      <c r="H4234" s="2">
        <f t="shared" si="132"/>
        <v>899528</v>
      </c>
      <c r="I4234" t="str">
        <f t="shared" si="133"/>
        <v>Mal2_899528</v>
      </c>
      <c r="J4234" s="3">
        <v>673130</v>
      </c>
      <c r="K4234" s="3">
        <v>52125</v>
      </c>
      <c r="L4234" s="3">
        <v>83307</v>
      </c>
      <c r="M4234" s="3">
        <v>90966</v>
      </c>
      <c r="N4234" s="3">
        <v>0</v>
      </c>
    </row>
    <row r="4235" spans="1:14" x14ac:dyDescent="0.2">
      <c r="A4235" s="5" t="str">
        <f>HYPERLINK("http://www.ncbi.nlm.nih.gov/protein/254939620","Malsu1")</f>
        <v>Malsu1</v>
      </c>
      <c r="B4235" s="4"/>
      <c r="C4235" s="3">
        <v>0</v>
      </c>
      <c r="D4235" s="3">
        <v>163</v>
      </c>
      <c r="E4235" s="3">
        <v>0</v>
      </c>
      <c r="F4235" s="3">
        <v>0</v>
      </c>
      <c r="G4235" s="3">
        <v>0</v>
      </c>
      <c r="H4235" s="2">
        <f t="shared" si="132"/>
        <v>163</v>
      </c>
      <c r="I4235" t="str">
        <f t="shared" si="133"/>
        <v>Malsu1_163</v>
      </c>
      <c r="J4235" s="3">
        <v>0</v>
      </c>
      <c r="K4235" s="3">
        <v>163</v>
      </c>
      <c r="L4235" s="3">
        <v>0</v>
      </c>
      <c r="M4235" s="3">
        <v>0</v>
      </c>
      <c r="N4235" s="3">
        <v>0</v>
      </c>
    </row>
    <row r="4236" spans="1:14" x14ac:dyDescent="0.2">
      <c r="A4236" s="5" t="str">
        <f>HYPERLINK("http://www.ncbi.nlm.nih.gov/protein/6754620","Man1a2")</f>
        <v>Man1a2</v>
      </c>
      <c r="B4236" s="4"/>
      <c r="C4236" s="3">
        <v>0</v>
      </c>
      <c r="D4236" s="3">
        <v>234</v>
      </c>
      <c r="E4236" s="3">
        <v>0</v>
      </c>
      <c r="F4236" s="3">
        <v>0</v>
      </c>
      <c r="G4236" s="3">
        <v>0</v>
      </c>
      <c r="H4236" s="2">
        <f t="shared" si="132"/>
        <v>234</v>
      </c>
      <c r="I4236" t="str">
        <f t="shared" si="133"/>
        <v>Man1a2_234</v>
      </c>
      <c r="J4236" s="3">
        <v>0</v>
      </c>
      <c r="K4236" s="3">
        <v>234</v>
      </c>
      <c r="L4236" s="3">
        <v>0</v>
      </c>
      <c r="M4236" s="3">
        <v>0</v>
      </c>
      <c r="N4236" s="3">
        <v>0</v>
      </c>
    </row>
    <row r="4237" spans="1:14" x14ac:dyDescent="0.2">
      <c r="A4237" s="5" t="str">
        <f>HYPERLINK("http://www.ncbi.nlm.nih.gov/protein/71534295","Man1b1")</f>
        <v>Man1b1</v>
      </c>
      <c r="B4237" s="4"/>
      <c r="C4237" s="3">
        <v>0</v>
      </c>
      <c r="D4237" s="3">
        <v>84</v>
      </c>
      <c r="E4237" s="3">
        <v>0</v>
      </c>
      <c r="F4237" s="3">
        <v>0</v>
      </c>
      <c r="G4237" s="3">
        <v>0</v>
      </c>
      <c r="H4237" s="2">
        <f t="shared" si="132"/>
        <v>84</v>
      </c>
      <c r="I4237" t="str">
        <f t="shared" si="133"/>
        <v>Man1b1_84</v>
      </c>
      <c r="J4237" s="3">
        <v>0</v>
      </c>
      <c r="K4237" s="3">
        <v>84</v>
      </c>
      <c r="L4237" s="3">
        <v>0</v>
      </c>
      <c r="M4237" s="3">
        <v>0</v>
      </c>
      <c r="N4237" s="3">
        <v>0</v>
      </c>
    </row>
    <row r="4238" spans="1:14" x14ac:dyDescent="0.2">
      <c r="A4238" s="5" t="str">
        <f>HYPERLINK("http://www.ncbi.nlm.nih.gov/protein/226246610","Man2a1")</f>
        <v>Man2a1</v>
      </c>
      <c r="B4238" s="4"/>
      <c r="C4238" s="3">
        <v>0</v>
      </c>
      <c r="D4238" s="3">
        <v>1789</v>
      </c>
      <c r="E4238" s="3">
        <v>34</v>
      </c>
      <c r="F4238" s="3">
        <v>0</v>
      </c>
      <c r="G4238" s="3">
        <v>0</v>
      </c>
      <c r="H4238" s="2">
        <f t="shared" si="132"/>
        <v>1823</v>
      </c>
      <c r="I4238" t="str">
        <f t="shared" si="133"/>
        <v>Man2a1_1823</v>
      </c>
      <c r="J4238" s="3">
        <v>0</v>
      </c>
      <c r="K4238" s="3">
        <v>1789</v>
      </c>
      <c r="L4238" s="3">
        <v>34</v>
      </c>
      <c r="M4238" s="3">
        <v>0</v>
      </c>
      <c r="N4238" s="3">
        <v>0</v>
      </c>
    </row>
    <row r="4239" spans="1:14" x14ac:dyDescent="0.2">
      <c r="A4239" s="5" t="str">
        <f>HYPERLINK("http://www.ncbi.nlm.nih.gov/protein/113195690","Man2b1")</f>
        <v>Man2b1</v>
      </c>
      <c r="B4239" s="4"/>
      <c r="C4239" s="3">
        <v>0</v>
      </c>
      <c r="D4239" s="3">
        <v>3271</v>
      </c>
      <c r="E4239" s="3">
        <v>1535</v>
      </c>
      <c r="F4239" s="3">
        <v>3823</v>
      </c>
      <c r="G4239" s="3">
        <v>3384</v>
      </c>
      <c r="H4239" s="2">
        <f t="shared" si="132"/>
        <v>12013</v>
      </c>
      <c r="I4239" t="str">
        <f t="shared" si="133"/>
        <v>Man2b1_12013</v>
      </c>
      <c r="J4239" s="3">
        <v>0</v>
      </c>
      <c r="K4239" s="3">
        <v>3271</v>
      </c>
      <c r="L4239" s="3">
        <v>1535</v>
      </c>
      <c r="M4239" s="3">
        <v>3823</v>
      </c>
      <c r="N4239" s="3">
        <v>3384</v>
      </c>
    </row>
    <row r="4240" spans="1:14" x14ac:dyDescent="0.2">
      <c r="A4240" s="5" t="str">
        <f>HYPERLINK("http://www.ncbi.nlm.nih.gov/protein/227330625","Man2b2")</f>
        <v>Man2b2</v>
      </c>
      <c r="B4240" s="4"/>
      <c r="C4240" s="3">
        <v>2526</v>
      </c>
      <c r="D4240" s="3">
        <v>6918</v>
      </c>
      <c r="E4240" s="3">
        <v>1346</v>
      </c>
      <c r="F4240" s="3">
        <v>319</v>
      </c>
      <c r="G4240" s="3">
        <v>6469</v>
      </c>
      <c r="H4240" s="2">
        <f t="shared" si="132"/>
        <v>17578</v>
      </c>
      <c r="I4240" t="str">
        <f t="shared" si="133"/>
        <v>Man2b2_17578</v>
      </c>
      <c r="J4240" s="3">
        <v>2526</v>
      </c>
      <c r="K4240" s="3">
        <v>6918</v>
      </c>
      <c r="L4240" s="3">
        <v>1346</v>
      </c>
      <c r="M4240" s="3">
        <v>319</v>
      </c>
      <c r="N4240" s="3">
        <v>6469</v>
      </c>
    </row>
    <row r="4241" spans="1:14" x14ac:dyDescent="0.2">
      <c r="A4241" s="5" t="str">
        <f>HYPERLINK("http://www.ncbi.nlm.nih.gov/protein/30794150","Man2c1")</f>
        <v>Man2c1</v>
      </c>
      <c r="B4241" s="4"/>
      <c r="C4241" s="3">
        <v>604</v>
      </c>
      <c r="D4241" s="3">
        <v>0</v>
      </c>
      <c r="E4241" s="3">
        <v>325</v>
      </c>
      <c r="F4241" s="3">
        <v>20087</v>
      </c>
      <c r="G4241" s="3">
        <v>3727</v>
      </c>
      <c r="H4241" s="2">
        <f t="shared" si="132"/>
        <v>24743</v>
      </c>
      <c r="I4241" t="str">
        <f t="shared" si="133"/>
        <v>Man2c1_24743</v>
      </c>
      <c r="J4241" s="3">
        <v>604</v>
      </c>
      <c r="K4241" s="3">
        <v>0</v>
      </c>
      <c r="L4241" s="3">
        <v>325</v>
      </c>
      <c r="M4241" s="3">
        <v>20087</v>
      </c>
      <c r="N4241" s="3">
        <v>3727</v>
      </c>
    </row>
    <row r="4242" spans="1:14" x14ac:dyDescent="0.2">
      <c r="A4242" s="5" t="str">
        <f>HYPERLINK("http://www.ncbi.nlm.nih.gov/protein/158533990","Manba")</f>
        <v>Manba</v>
      </c>
      <c r="B4242" s="4"/>
      <c r="C4242" s="3">
        <v>51806</v>
      </c>
      <c r="D4242" s="3">
        <v>6413</v>
      </c>
      <c r="E4242" s="3">
        <v>15014</v>
      </c>
      <c r="F4242" s="3">
        <v>6254</v>
      </c>
      <c r="G4242" s="3">
        <v>23218</v>
      </c>
      <c r="H4242" s="2">
        <f t="shared" si="132"/>
        <v>102705</v>
      </c>
      <c r="I4242" t="str">
        <f t="shared" si="133"/>
        <v>Manba_102705</v>
      </c>
      <c r="J4242" s="3">
        <v>51806</v>
      </c>
      <c r="K4242" s="3">
        <v>6413</v>
      </c>
      <c r="L4242" s="3">
        <v>15014</v>
      </c>
      <c r="M4242" s="3">
        <v>6254</v>
      </c>
      <c r="N4242" s="3">
        <v>23218</v>
      </c>
    </row>
    <row r="4243" spans="1:14" x14ac:dyDescent="0.2">
      <c r="A4243" s="5" t="str">
        <f>HYPERLINK("http://www.ncbi.nlm.nih.gov/protein/254540070","Manbal")</f>
        <v>Manbal</v>
      </c>
      <c r="B4243" s="4"/>
      <c r="C4243" s="3">
        <v>1336</v>
      </c>
      <c r="D4243" s="3">
        <v>0</v>
      </c>
      <c r="E4243" s="3">
        <v>10</v>
      </c>
      <c r="F4243" s="3">
        <v>0</v>
      </c>
      <c r="G4243" s="3">
        <v>0</v>
      </c>
      <c r="H4243" s="2">
        <f t="shared" si="132"/>
        <v>1346</v>
      </c>
      <c r="I4243" t="str">
        <f t="shared" si="133"/>
        <v>Manbal_1346</v>
      </c>
      <c r="J4243" s="3">
        <v>1336</v>
      </c>
      <c r="K4243" s="3">
        <v>0</v>
      </c>
      <c r="L4243" s="3">
        <v>10</v>
      </c>
      <c r="M4243" s="3">
        <v>0</v>
      </c>
      <c r="N4243" s="3">
        <v>0</v>
      </c>
    </row>
    <row r="4244" spans="1:14" x14ac:dyDescent="0.2">
      <c r="A4244" s="5" t="str">
        <f>HYPERLINK("http://www.ncbi.nlm.nih.gov/protein/110625813","Manf")</f>
        <v>Manf</v>
      </c>
      <c r="B4244" s="4"/>
      <c r="C4244" s="3">
        <v>275</v>
      </c>
      <c r="D4244" s="3">
        <v>2292</v>
      </c>
      <c r="E4244" s="3">
        <v>331</v>
      </c>
      <c r="F4244" s="3">
        <v>0</v>
      </c>
      <c r="G4244" s="3">
        <v>2934</v>
      </c>
      <c r="H4244" s="2">
        <f t="shared" si="132"/>
        <v>5832</v>
      </c>
      <c r="I4244" t="str">
        <f t="shared" si="133"/>
        <v>Manf_5832</v>
      </c>
      <c r="J4244" s="3">
        <v>275</v>
      </c>
      <c r="K4244" s="3">
        <v>2292</v>
      </c>
      <c r="L4244" s="3">
        <v>331</v>
      </c>
      <c r="M4244" s="3">
        <v>0</v>
      </c>
      <c r="N4244" s="3">
        <v>2934</v>
      </c>
    </row>
    <row r="4245" spans="1:14" x14ac:dyDescent="0.2">
      <c r="A4245" s="5" t="str">
        <f>HYPERLINK("http://www.ncbi.nlm.nih.gov/protein/255759902","Maoa")</f>
        <v>Maoa</v>
      </c>
      <c r="B4245" s="4"/>
      <c r="C4245" s="3">
        <v>0</v>
      </c>
      <c r="D4245" s="3">
        <v>4567</v>
      </c>
      <c r="E4245" s="3">
        <v>1084</v>
      </c>
      <c r="F4245" s="3">
        <v>0</v>
      </c>
      <c r="G4245" s="3">
        <v>0</v>
      </c>
      <c r="H4245" s="2">
        <f t="shared" si="132"/>
        <v>5651</v>
      </c>
      <c r="I4245" t="str">
        <f t="shared" si="133"/>
        <v>Maoa_5651</v>
      </c>
      <c r="J4245" s="3">
        <v>0</v>
      </c>
      <c r="K4245" s="3">
        <v>4567</v>
      </c>
      <c r="L4245" s="3">
        <v>1084</v>
      </c>
      <c r="M4245" s="3">
        <v>0</v>
      </c>
      <c r="N4245" s="3">
        <v>0</v>
      </c>
    </row>
    <row r="4246" spans="1:14" x14ac:dyDescent="0.2">
      <c r="A4246" s="5" t="str">
        <f>HYPERLINK("http://www.ncbi.nlm.nih.gov/protein/124244033","Map1a")</f>
        <v>Map1a</v>
      </c>
      <c r="B4246" s="4"/>
      <c r="C4246" s="3">
        <v>0</v>
      </c>
      <c r="D4246" s="3">
        <v>0</v>
      </c>
      <c r="E4246" s="3">
        <v>190</v>
      </c>
      <c r="F4246" s="3">
        <v>1310</v>
      </c>
      <c r="G4246" s="3">
        <v>0</v>
      </c>
      <c r="H4246" s="2">
        <f t="shared" si="132"/>
        <v>1500</v>
      </c>
      <c r="I4246" t="str">
        <f t="shared" si="133"/>
        <v>Map1a_1500</v>
      </c>
      <c r="J4246" s="3">
        <v>0</v>
      </c>
      <c r="K4246" s="3">
        <v>0</v>
      </c>
      <c r="L4246" s="3">
        <v>190</v>
      </c>
      <c r="M4246" s="3">
        <v>1310</v>
      </c>
      <c r="N4246" s="3">
        <v>0</v>
      </c>
    </row>
    <row r="4247" spans="1:14" x14ac:dyDescent="0.2">
      <c r="A4247" s="5" t="str">
        <f>HYPERLINK("http://www.ncbi.nlm.nih.gov/protein/291045426","Map1a")</f>
        <v>Map1a</v>
      </c>
      <c r="B4247" s="4"/>
      <c r="C4247" s="3">
        <v>0</v>
      </c>
      <c r="D4247" s="3">
        <v>0</v>
      </c>
      <c r="E4247" s="3">
        <v>190</v>
      </c>
      <c r="F4247" s="3">
        <v>1310</v>
      </c>
      <c r="G4247" s="3">
        <v>0</v>
      </c>
      <c r="H4247" s="2">
        <f t="shared" si="132"/>
        <v>1500</v>
      </c>
      <c r="I4247" t="str">
        <f t="shared" si="133"/>
        <v>Map1a_1500</v>
      </c>
      <c r="J4247" s="3">
        <v>0</v>
      </c>
      <c r="K4247" s="3">
        <v>0</v>
      </c>
      <c r="L4247" s="3">
        <v>190</v>
      </c>
      <c r="M4247" s="3">
        <v>1310</v>
      </c>
      <c r="N4247" s="3">
        <v>0</v>
      </c>
    </row>
    <row r="4248" spans="1:14" x14ac:dyDescent="0.2">
      <c r="A4248" s="5" t="str">
        <f>HYPERLINK("http://www.ncbi.nlm.nih.gov/protein/171543853","Map1b")</f>
        <v>Map1b</v>
      </c>
      <c r="B4248" s="4"/>
      <c r="C4248" s="3">
        <v>0</v>
      </c>
      <c r="D4248" s="3">
        <v>77</v>
      </c>
      <c r="E4248" s="3">
        <v>686</v>
      </c>
      <c r="F4248" s="3">
        <v>1825</v>
      </c>
      <c r="G4248" s="3">
        <v>236</v>
      </c>
      <c r="H4248" s="2">
        <f t="shared" si="132"/>
        <v>2824</v>
      </c>
      <c r="I4248" t="str">
        <f t="shared" si="133"/>
        <v>Map1b_2824</v>
      </c>
      <c r="J4248" s="3">
        <v>0</v>
      </c>
      <c r="K4248" s="3">
        <v>77</v>
      </c>
      <c r="L4248" s="3">
        <v>686</v>
      </c>
      <c r="M4248" s="3">
        <v>1825</v>
      </c>
      <c r="N4248" s="3">
        <v>236</v>
      </c>
    </row>
    <row r="4249" spans="1:14" x14ac:dyDescent="0.2">
      <c r="A4249" s="5" t="str">
        <f>HYPERLINK("http://www.ncbi.nlm.nih.gov/protein/23956148","Map1lc3a")</f>
        <v>Map1lc3a</v>
      </c>
      <c r="B4249" s="4"/>
      <c r="C4249" s="3">
        <v>0</v>
      </c>
      <c r="D4249" s="3">
        <v>0</v>
      </c>
      <c r="E4249" s="3">
        <v>0</v>
      </c>
      <c r="F4249" s="3">
        <v>0</v>
      </c>
      <c r="G4249" s="3">
        <v>11631</v>
      </c>
      <c r="H4249" s="2">
        <f t="shared" si="132"/>
        <v>11631</v>
      </c>
      <c r="I4249" t="str">
        <f t="shared" si="133"/>
        <v>Map1lc3a_11631</v>
      </c>
      <c r="J4249" s="3">
        <v>0</v>
      </c>
      <c r="K4249" s="3">
        <v>0</v>
      </c>
      <c r="L4249" s="3">
        <v>0</v>
      </c>
      <c r="M4249" s="3">
        <v>0</v>
      </c>
      <c r="N4249" s="3">
        <v>11631</v>
      </c>
    </row>
    <row r="4250" spans="1:14" x14ac:dyDescent="0.2">
      <c r="A4250" s="5" t="str">
        <f>HYPERLINK("http://www.ncbi.nlm.nih.gov/protein/13385664","Map1lc3b")</f>
        <v>Map1lc3b</v>
      </c>
      <c r="B4250" s="4"/>
      <c r="C4250" s="3">
        <v>0</v>
      </c>
      <c r="D4250" s="3">
        <v>0</v>
      </c>
      <c r="E4250" s="3">
        <v>0</v>
      </c>
      <c r="F4250" s="3">
        <v>417</v>
      </c>
      <c r="G4250" s="3">
        <v>11631</v>
      </c>
      <c r="H4250" s="2">
        <f t="shared" si="132"/>
        <v>12048</v>
      </c>
      <c r="I4250" t="str">
        <f t="shared" si="133"/>
        <v>Map1lc3b_12048</v>
      </c>
      <c r="J4250" s="3">
        <v>0</v>
      </c>
      <c r="K4250" s="3">
        <v>0</v>
      </c>
      <c r="L4250" s="3">
        <v>0</v>
      </c>
      <c r="M4250" s="3">
        <v>417</v>
      </c>
      <c r="N4250" s="3">
        <v>11631</v>
      </c>
    </row>
    <row r="4251" spans="1:14" x14ac:dyDescent="0.2">
      <c r="A4251" s="5" t="str">
        <f>HYPERLINK("http://www.ncbi.nlm.nih.gov/protein/162287131","Map1s")</f>
        <v>Map1s</v>
      </c>
      <c r="B4251" s="4"/>
      <c r="C4251" s="3">
        <v>0</v>
      </c>
      <c r="D4251" s="3">
        <v>0</v>
      </c>
      <c r="E4251" s="3">
        <v>180</v>
      </c>
      <c r="F4251" s="3">
        <v>3667</v>
      </c>
      <c r="G4251" s="3">
        <v>0</v>
      </c>
      <c r="H4251" s="2">
        <f t="shared" si="132"/>
        <v>3847</v>
      </c>
      <c r="I4251" t="str">
        <f t="shared" si="133"/>
        <v>Map1s_3847</v>
      </c>
      <c r="J4251" s="3">
        <v>0</v>
      </c>
      <c r="K4251" s="3">
        <v>0</v>
      </c>
      <c r="L4251" s="3">
        <v>180</v>
      </c>
      <c r="M4251" s="3">
        <v>3667</v>
      </c>
      <c r="N4251" s="3">
        <v>0</v>
      </c>
    </row>
    <row r="4252" spans="1:14" x14ac:dyDescent="0.2">
      <c r="A4252" s="5" t="str">
        <f>HYPERLINK("http://www.ncbi.nlm.nih.gov/protein/68341935","Map2")</f>
        <v>Map2</v>
      </c>
      <c r="B4252" s="4"/>
      <c r="C4252" s="3">
        <v>0</v>
      </c>
      <c r="D4252" s="3">
        <v>0</v>
      </c>
      <c r="E4252" s="3">
        <v>647</v>
      </c>
      <c r="F4252" s="3">
        <v>4175</v>
      </c>
      <c r="G4252" s="3">
        <v>0</v>
      </c>
      <c r="H4252" s="2">
        <f t="shared" si="132"/>
        <v>4822</v>
      </c>
      <c r="I4252" t="str">
        <f t="shared" si="133"/>
        <v>Map2_4822</v>
      </c>
      <c r="J4252" s="3">
        <v>0</v>
      </c>
      <c r="K4252" s="3">
        <v>0</v>
      </c>
      <c r="L4252" s="3">
        <v>647</v>
      </c>
      <c r="M4252" s="3">
        <v>4175</v>
      </c>
      <c r="N4252" s="3">
        <v>0</v>
      </c>
    </row>
    <row r="4253" spans="1:14" x14ac:dyDescent="0.2">
      <c r="A4253" s="5" t="str">
        <f>HYPERLINK("http://www.ncbi.nlm.nih.gov/protein/90186270","Map2")</f>
        <v>Map2</v>
      </c>
      <c r="B4253" s="4"/>
      <c r="C4253" s="3">
        <v>0</v>
      </c>
      <c r="D4253" s="3">
        <v>0</v>
      </c>
      <c r="E4253" s="3">
        <v>647</v>
      </c>
      <c r="F4253" s="3">
        <v>4175</v>
      </c>
      <c r="G4253" s="3">
        <v>0</v>
      </c>
      <c r="H4253" s="2">
        <f t="shared" si="132"/>
        <v>4822</v>
      </c>
      <c r="I4253" t="str">
        <f t="shared" si="133"/>
        <v>Map2_4822</v>
      </c>
      <c r="J4253" s="3">
        <v>0</v>
      </c>
      <c r="K4253" s="3">
        <v>0</v>
      </c>
      <c r="L4253" s="3">
        <v>647</v>
      </c>
      <c r="M4253" s="3">
        <v>4175</v>
      </c>
      <c r="N4253" s="3">
        <v>0</v>
      </c>
    </row>
    <row r="4254" spans="1:14" x14ac:dyDescent="0.2">
      <c r="A4254" s="5" t="str">
        <f>HYPERLINK("http://www.ncbi.nlm.nih.gov/protein/6678794","Map2k1")</f>
        <v>Map2k1</v>
      </c>
      <c r="B4254" s="4"/>
      <c r="C4254" s="3">
        <v>0</v>
      </c>
      <c r="D4254" s="3">
        <v>2643</v>
      </c>
      <c r="E4254" s="3">
        <v>5076</v>
      </c>
      <c r="F4254" s="3">
        <v>8333</v>
      </c>
      <c r="G4254" s="3">
        <v>74035</v>
      </c>
      <c r="H4254" s="2">
        <f t="shared" si="132"/>
        <v>90087</v>
      </c>
      <c r="I4254" t="str">
        <f t="shared" si="133"/>
        <v>Map2k1_90087</v>
      </c>
      <c r="J4254" s="3">
        <v>0</v>
      </c>
      <c r="K4254" s="3">
        <v>2643</v>
      </c>
      <c r="L4254" s="3">
        <v>5076</v>
      </c>
      <c r="M4254" s="3">
        <v>8333</v>
      </c>
      <c r="N4254" s="3">
        <v>74035</v>
      </c>
    </row>
    <row r="4255" spans="1:14" x14ac:dyDescent="0.2">
      <c r="A4255" s="5" t="str">
        <f>HYPERLINK("http://www.ncbi.nlm.nih.gov/protein/31560267","Map2k2")</f>
        <v>Map2k2</v>
      </c>
      <c r="B4255" s="4"/>
      <c r="C4255" s="3">
        <v>0</v>
      </c>
      <c r="D4255" s="3">
        <v>4390</v>
      </c>
      <c r="E4255" s="3">
        <v>4255</v>
      </c>
      <c r="F4255" s="3">
        <v>2595</v>
      </c>
      <c r="G4255" s="3">
        <v>76241</v>
      </c>
      <c r="H4255" s="2">
        <f t="shared" si="132"/>
        <v>87481</v>
      </c>
      <c r="I4255" t="str">
        <f t="shared" si="133"/>
        <v>Map2k2_87481</v>
      </c>
      <c r="J4255" s="3">
        <v>0</v>
      </c>
      <c r="K4255" s="3">
        <v>4390</v>
      </c>
      <c r="L4255" s="3">
        <v>4255</v>
      </c>
      <c r="M4255" s="3">
        <v>2595</v>
      </c>
      <c r="N4255" s="3">
        <v>76241</v>
      </c>
    </row>
    <row r="4256" spans="1:14" x14ac:dyDescent="0.2">
      <c r="A4256" s="5" t="str">
        <f>HYPERLINK("http://www.ncbi.nlm.nih.gov/protein/22094081","Map2k3")</f>
        <v>Map2k3</v>
      </c>
      <c r="B4256" s="4"/>
      <c r="C4256" s="3">
        <v>0</v>
      </c>
      <c r="D4256" s="3">
        <v>19</v>
      </c>
      <c r="E4256" s="3">
        <v>40</v>
      </c>
      <c r="F4256" s="3">
        <v>1244</v>
      </c>
      <c r="G4256" s="3">
        <v>1681</v>
      </c>
      <c r="H4256" s="2">
        <f t="shared" si="132"/>
        <v>2984</v>
      </c>
      <c r="I4256" t="str">
        <f t="shared" si="133"/>
        <v>Map2k3_2984</v>
      </c>
      <c r="J4256" s="3">
        <v>0</v>
      </c>
      <c r="K4256" s="3">
        <v>19</v>
      </c>
      <c r="L4256" s="3">
        <v>40</v>
      </c>
      <c r="M4256" s="3">
        <v>1244</v>
      </c>
      <c r="N4256" s="3">
        <v>1681</v>
      </c>
    </row>
    <row r="4257" spans="1:14" x14ac:dyDescent="0.2">
      <c r="A4257" s="5" t="str">
        <f>HYPERLINK("http://www.ncbi.nlm.nih.gov/protein/22095023","Map2k4")</f>
        <v>Map2k4</v>
      </c>
      <c r="B4257" s="4"/>
      <c r="C4257" s="3">
        <v>0</v>
      </c>
      <c r="D4257" s="3">
        <v>278</v>
      </c>
      <c r="E4257" s="3">
        <v>0</v>
      </c>
      <c r="F4257" s="3">
        <v>311</v>
      </c>
      <c r="G4257" s="3">
        <v>18260</v>
      </c>
      <c r="H4257" s="2">
        <f t="shared" si="132"/>
        <v>18849</v>
      </c>
      <c r="I4257" t="str">
        <f t="shared" si="133"/>
        <v>Map2k4_18849</v>
      </c>
      <c r="J4257" s="3">
        <v>0</v>
      </c>
      <c r="K4257" s="3">
        <v>278</v>
      </c>
      <c r="L4257" s="3">
        <v>0</v>
      </c>
      <c r="M4257" s="3">
        <v>311</v>
      </c>
      <c r="N4257" s="3">
        <v>18260</v>
      </c>
    </row>
    <row r="4258" spans="1:14" x14ac:dyDescent="0.2">
      <c r="A4258" s="5" t="str">
        <f>HYPERLINK("http://www.ncbi.nlm.nih.gov/protein/110347549","Map2k7")</f>
        <v>Map2k7</v>
      </c>
      <c r="B4258" s="4"/>
      <c r="C4258" s="3">
        <v>0</v>
      </c>
      <c r="D4258" s="3">
        <v>6</v>
      </c>
      <c r="E4258" s="3">
        <v>0</v>
      </c>
      <c r="F4258" s="3">
        <v>0</v>
      </c>
      <c r="G4258" s="3">
        <v>0</v>
      </c>
      <c r="H4258" s="2">
        <f t="shared" si="132"/>
        <v>6</v>
      </c>
      <c r="I4258" t="str">
        <f t="shared" si="133"/>
        <v>Map2k7_6</v>
      </c>
      <c r="J4258" s="3">
        <v>0</v>
      </c>
      <c r="K4258" s="3">
        <v>6</v>
      </c>
      <c r="L4258" s="3">
        <v>0</v>
      </c>
      <c r="M4258" s="3">
        <v>0</v>
      </c>
      <c r="N4258" s="3">
        <v>0</v>
      </c>
    </row>
    <row r="4259" spans="1:14" x14ac:dyDescent="0.2">
      <c r="A4259" s="5" t="str">
        <f>HYPERLINK("http://www.ncbi.nlm.nih.gov/protein/110347551","Map2k7")</f>
        <v>Map2k7</v>
      </c>
      <c r="B4259" s="4"/>
      <c r="C4259" s="3">
        <v>0</v>
      </c>
      <c r="D4259" s="3">
        <v>6</v>
      </c>
      <c r="E4259" s="3">
        <v>0</v>
      </c>
      <c r="F4259" s="3">
        <v>0</v>
      </c>
      <c r="G4259" s="3">
        <v>0</v>
      </c>
      <c r="H4259" s="2">
        <f t="shared" si="132"/>
        <v>6</v>
      </c>
      <c r="I4259" t="str">
        <f t="shared" si="133"/>
        <v>Map2k7_6</v>
      </c>
      <c r="J4259" s="3">
        <v>0</v>
      </c>
      <c r="K4259" s="3">
        <v>6</v>
      </c>
      <c r="L4259" s="3">
        <v>0</v>
      </c>
      <c r="M4259" s="3">
        <v>0</v>
      </c>
      <c r="N4259" s="3">
        <v>0</v>
      </c>
    </row>
    <row r="4260" spans="1:14" x14ac:dyDescent="0.2">
      <c r="A4260" s="5" t="str">
        <f>HYPERLINK("http://www.ncbi.nlm.nih.gov/protein/255918231","Map2k7")</f>
        <v>Map2k7</v>
      </c>
      <c r="B4260" s="4"/>
      <c r="C4260" s="3">
        <v>0</v>
      </c>
      <c r="D4260" s="3">
        <v>6</v>
      </c>
      <c r="E4260" s="3">
        <v>0</v>
      </c>
      <c r="F4260" s="3">
        <v>0</v>
      </c>
      <c r="G4260" s="3">
        <v>0</v>
      </c>
      <c r="H4260" s="2">
        <f t="shared" si="132"/>
        <v>6</v>
      </c>
      <c r="I4260" t="str">
        <f t="shared" si="133"/>
        <v>Map2k7_6</v>
      </c>
      <c r="J4260" s="3">
        <v>0</v>
      </c>
      <c r="K4260" s="3">
        <v>6</v>
      </c>
      <c r="L4260" s="3">
        <v>0</v>
      </c>
      <c r="M4260" s="3">
        <v>0</v>
      </c>
      <c r="N4260" s="3">
        <v>0</v>
      </c>
    </row>
    <row r="4261" spans="1:14" x14ac:dyDescent="0.2">
      <c r="A4261" s="5" t="str">
        <f>HYPERLINK("http://www.ncbi.nlm.nih.gov/protein/124486847","Map3k10")</f>
        <v>Map3k10</v>
      </c>
      <c r="B4261" s="4"/>
      <c r="C4261" s="3">
        <v>0</v>
      </c>
      <c r="D4261" s="3">
        <v>0</v>
      </c>
      <c r="E4261" s="3">
        <v>1351</v>
      </c>
      <c r="F4261" s="3">
        <v>0</v>
      </c>
      <c r="G4261" s="3">
        <v>0</v>
      </c>
      <c r="H4261" s="2">
        <f t="shared" si="132"/>
        <v>1351</v>
      </c>
      <c r="I4261" t="str">
        <f t="shared" si="133"/>
        <v>Map3k10_1351</v>
      </c>
      <c r="J4261" s="3">
        <v>0</v>
      </c>
      <c r="K4261" s="3">
        <v>0</v>
      </c>
      <c r="L4261" s="3">
        <v>1351</v>
      </c>
      <c r="M4261" s="3">
        <v>0</v>
      </c>
      <c r="N4261" s="3">
        <v>0</v>
      </c>
    </row>
    <row r="4262" spans="1:14" x14ac:dyDescent="0.2">
      <c r="A4262" s="5" t="str">
        <f>HYPERLINK("http://www.ncbi.nlm.nih.gov/protein/31543234","Map3k11")</f>
        <v>Map3k11</v>
      </c>
      <c r="B4262" s="4"/>
      <c r="C4262" s="3">
        <v>0</v>
      </c>
      <c r="D4262" s="3">
        <v>0</v>
      </c>
      <c r="E4262" s="3">
        <v>1351</v>
      </c>
      <c r="F4262" s="3">
        <v>0</v>
      </c>
      <c r="G4262" s="3">
        <v>0</v>
      </c>
      <c r="H4262" s="2">
        <f t="shared" si="132"/>
        <v>1351</v>
      </c>
      <c r="I4262" t="str">
        <f t="shared" si="133"/>
        <v>Map3k11_1351</v>
      </c>
      <c r="J4262" s="3">
        <v>0</v>
      </c>
      <c r="K4262" s="3">
        <v>0</v>
      </c>
      <c r="L4262" s="3">
        <v>1351</v>
      </c>
      <c r="M4262" s="3">
        <v>0</v>
      </c>
      <c r="N4262" s="3">
        <v>0</v>
      </c>
    </row>
    <row r="4263" spans="1:14" x14ac:dyDescent="0.2">
      <c r="A4263" s="5" t="str">
        <f>HYPERLINK("http://www.ncbi.nlm.nih.gov/protein/8393835","Map3k14")</f>
        <v>Map3k14</v>
      </c>
      <c r="B4263" s="4"/>
      <c r="C4263" s="3">
        <v>0</v>
      </c>
      <c r="D4263" s="3">
        <v>2</v>
      </c>
      <c r="E4263" s="3">
        <v>0</v>
      </c>
      <c r="F4263" s="3">
        <v>0</v>
      </c>
      <c r="G4263" s="3">
        <v>0</v>
      </c>
      <c r="H4263" s="2">
        <f t="shared" si="132"/>
        <v>2</v>
      </c>
      <c r="I4263" t="str">
        <f t="shared" si="133"/>
        <v>Map3k14_2</v>
      </c>
      <c r="J4263" s="3">
        <v>0</v>
      </c>
      <c r="K4263" s="3">
        <v>2</v>
      </c>
      <c r="L4263" s="3">
        <v>0</v>
      </c>
      <c r="M4263" s="3">
        <v>0</v>
      </c>
      <c r="N4263" s="3">
        <v>0</v>
      </c>
    </row>
    <row r="4264" spans="1:14" x14ac:dyDescent="0.2">
      <c r="A4264" s="5" t="str">
        <f>HYPERLINK("http://www.ncbi.nlm.nih.gov/protein/282847404","Map3k15")</f>
        <v>Map3k15</v>
      </c>
      <c r="B4264" s="4"/>
      <c r="C4264" s="3">
        <v>0</v>
      </c>
      <c r="D4264" s="3">
        <v>0</v>
      </c>
      <c r="E4264" s="3">
        <v>0</v>
      </c>
      <c r="F4264" s="3">
        <v>467</v>
      </c>
      <c r="G4264" s="3">
        <v>0</v>
      </c>
      <c r="H4264" s="2">
        <f t="shared" si="132"/>
        <v>467</v>
      </c>
      <c r="I4264" t="str">
        <f t="shared" si="133"/>
        <v>Map3k15_467</v>
      </c>
      <c r="J4264" s="3">
        <v>0</v>
      </c>
      <c r="K4264" s="3">
        <v>0</v>
      </c>
      <c r="L4264" s="3">
        <v>0</v>
      </c>
      <c r="M4264" s="3">
        <v>467</v>
      </c>
      <c r="N4264" s="3">
        <v>0</v>
      </c>
    </row>
    <row r="4265" spans="1:14" x14ac:dyDescent="0.2">
      <c r="A4265" s="5" t="str">
        <f>HYPERLINK("http://www.ncbi.nlm.nih.gov/protein/89257354","Map3k2")</f>
        <v>Map3k2</v>
      </c>
      <c r="B4265" s="4"/>
      <c r="C4265" s="3">
        <v>0</v>
      </c>
      <c r="D4265" s="3">
        <v>0</v>
      </c>
      <c r="E4265" s="3">
        <v>0</v>
      </c>
      <c r="F4265" s="3">
        <v>0</v>
      </c>
      <c r="G4265" s="3">
        <v>600</v>
      </c>
      <c r="H4265" s="2">
        <f t="shared" si="132"/>
        <v>600</v>
      </c>
      <c r="I4265" t="str">
        <f t="shared" si="133"/>
        <v>Map3k2_600</v>
      </c>
      <c r="J4265" s="3">
        <v>0</v>
      </c>
      <c r="K4265" s="3">
        <v>0</v>
      </c>
      <c r="L4265" s="3">
        <v>0</v>
      </c>
      <c r="M4265" s="3">
        <v>0</v>
      </c>
      <c r="N4265" s="3">
        <v>600</v>
      </c>
    </row>
    <row r="4266" spans="1:14" x14ac:dyDescent="0.2">
      <c r="A4266" s="5" t="str">
        <f>HYPERLINK("http://www.ncbi.nlm.nih.gov/protein/33468949","Map3k3")</f>
        <v>Map3k3</v>
      </c>
      <c r="B4266" s="4"/>
      <c r="C4266" s="3">
        <v>0</v>
      </c>
      <c r="D4266" s="3">
        <v>0</v>
      </c>
      <c r="E4266" s="3">
        <v>887</v>
      </c>
      <c r="F4266" s="3">
        <v>0</v>
      </c>
      <c r="G4266" s="3">
        <v>4980</v>
      </c>
      <c r="H4266" s="2">
        <f t="shared" si="132"/>
        <v>5867</v>
      </c>
      <c r="I4266" t="str">
        <f t="shared" si="133"/>
        <v>Map3k3_5867</v>
      </c>
      <c r="J4266" s="3">
        <v>0</v>
      </c>
      <c r="K4266" s="3">
        <v>0</v>
      </c>
      <c r="L4266" s="3">
        <v>887</v>
      </c>
      <c r="M4266" s="3">
        <v>0</v>
      </c>
      <c r="N4266" s="3">
        <v>4980</v>
      </c>
    </row>
    <row r="4267" spans="1:14" x14ac:dyDescent="0.2">
      <c r="A4267" s="5" t="str">
        <f>HYPERLINK("http://www.ncbi.nlm.nih.gov/protein/93102421","Map3k4")</f>
        <v>Map3k4</v>
      </c>
      <c r="B4267" s="4"/>
      <c r="C4267" s="3">
        <v>0</v>
      </c>
      <c r="D4267" s="3">
        <v>0</v>
      </c>
      <c r="E4267" s="3">
        <v>0</v>
      </c>
      <c r="F4267" s="3">
        <v>41</v>
      </c>
      <c r="G4267" s="3">
        <v>0</v>
      </c>
      <c r="H4267" s="2">
        <f t="shared" si="132"/>
        <v>41</v>
      </c>
      <c r="I4267" t="str">
        <f t="shared" si="133"/>
        <v>Map3k4_41</v>
      </c>
      <c r="J4267" s="3">
        <v>0</v>
      </c>
      <c r="K4267" s="3">
        <v>0</v>
      </c>
      <c r="L4267" s="3">
        <v>0</v>
      </c>
      <c r="M4267" s="3">
        <v>41</v>
      </c>
      <c r="N4267" s="3">
        <v>0</v>
      </c>
    </row>
    <row r="4268" spans="1:14" x14ac:dyDescent="0.2">
      <c r="A4268" s="5" t="str">
        <f>HYPERLINK("http://www.ncbi.nlm.nih.gov/protein/171846249","Map3k5")</f>
        <v>Map3k5</v>
      </c>
      <c r="B4268" s="4"/>
      <c r="C4268" s="3">
        <v>0</v>
      </c>
      <c r="D4268" s="3">
        <v>61</v>
      </c>
      <c r="E4268" s="3">
        <v>439</v>
      </c>
      <c r="F4268" s="3">
        <v>6016</v>
      </c>
      <c r="G4268" s="3">
        <v>0</v>
      </c>
      <c r="H4268" s="2">
        <f t="shared" si="132"/>
        <v>6516</v>
      </c>
      <c r="I4268" t="str">
        <f t="shared" si="133"/>
        <v>Map3k5_6516</v>
      </c>
      <c r="J4268" s="3">
        <v>0</v>
      </c>
      <c r="K4268" s="3">
        <v>61</v>
      </c>
      <c r="L4268" s="3">
        <v>439</v>
      </c>
      <c r="M4268" s="3">
        <v>6016</v>
      </c>
      <c r="N4268" s="3">
        <v>0</v>
      </c>
    </row>
    <row r="4269" spans="1:14" x14ac:dyDescent="0.2">
      <c r="A4269" s="5" t="str">
        <f>HYPERLINK("http://www.ncbi.nlm.nih.gov/protein/291575174","Map3k9")</f>
        <v>Map3k9</v>
      </c>
      <c r="B4269" s="4"/>
      <c r="C4269" s="3">
        <v>0</v>
      </c>
      <c r="D4269" s="3">
        <v>0</v>
      </c>
      <c r="E4269" s="3">
        <v>1351</v>
      </c>
      <c r="F4269" s="3">
        <v>0</v>
      </c>
      <c r="G4269" s="3">
        <v>0</v>
      </c>
      <c r="H4269" s="2">
        <f t="shared" si="132"/>
        <v>1351</v>
      </c>
      <c r="I4269" t="str">
        <f t="shared" si="133"/>
        <v>Map3k9_1351</v>
      </c>
      <c r="J4269" s="3">
        <v>0</v>
      </c>
      <c r="K4269" s="3">
        <v>0</v>
      </c>
      <c r="L4269" s="3">
        <v>1351</v>
      </c>
      <c r="M4269" s="3">
        <v>0</v>
      </c>
      <c r="N4269" s="3">
        <v>0</v>
      </c>
    </row>
    <row r="4270" spans="1:14" x14ac:dyDescent="0.2">
      <c r="A4270" s="5" t="str">
        <f>HYPERLINK("http://www.ncbi.nlm.nih.gov/protein/52421792","Map3k9")</f>
        <v>Map3k9</v>
      </c>
      <c r="B4270" s="4"/>
      <c r="C4270" s="3">
        <v>0</v>
      </c>
      <c r="D4270" s="3">
        <v>0</v>
      </c>
      <c r="E4270" s="3">
        <v>1351</v>
      </c>
      <c r="F4270" s="3">
        <v>0</v>
      </c>
      <c r="G4270" s="3">
        <v>0</v>
      </c>
      <c r="H4270" s="2">
        <f t="shared" si="132"/>
        <v>1351</v>
      </c>
      <c r="I4270" t="str">
        <f t="shared" si="133"/>
        <v>Map3k9_1351</v>
      </c>
      <c r="J4270" s="3">
        <v>0</v>
      </c>
      <c r="K4270" s="3">
        <v>0</v>
      </c>
      <c r="L4270" s="3">
        <v>1351</v>
      </c>
      <c r="M4270" s="3">
        <v>0</v>
      </c>
      <c r="N4270" s="3">
        <v>0</v>
      </c>
    </row>
    <row r="4271" spans="1:14" x14ac:dyDescent="0.2">
      <c r="A4271" s="5" t="str">
        <f>HYPERLINK("http://www.ncbi.nlm.nih.gov/protein/328927080","Map4")</f>
        <v>Map4</v>
      </c>
      <c r="B4271" s="4"/>
      <c r="C4271" s="3">
        <v>0</v>
      </c>
      <c r="D4271" s="3">
        <v>0</v>
      </c>
      <c r="E4271" s="3">
        <v>189</v>
      </c>
      <c r="F4271" s="3">
        <v>0</v>
      </c>
      <c r="G4271" s="3">
        <v>7122</v>
      </c>
      <c r="H4271" s="2">
        <f t="shared" si="132"/>
        <v>7311</v>
      </c>
      <c r="I4271" t="str">
        <f t="shared" si="133"/>
        <v>Map4_7311</v>
      </c>
      <c r="J4271" s="3">
        <v>0</v>
      </c>
      <c r="K4271" s="3">
        <v>0</v>
      </c>
      <c r="L4271" s="3">
        <v>189</v>
      </c>
      <c r="M4271" s="3">
        <v>0</v>
      </c>
      <c r="N4271" s="3">
        <v>7122</v>
      </c>
    </row>
    <row r="4272" spans="1:14" x14ac:dyDescent="0.2">
      <c r="A4272" s="5" t="str">
        <f>HYPERLINK("http://www.ncbi.nlm.nih.gov/protein/328927083","Map4")</f>
        <v>Map4</v>
      </c>
      <c r="B4272" s="4"/>
      <c r="C4272" s="3">
        <v>0</v>
      </c>
      <c r="D4272" s="3">
        <v>296</v>
      </c>
      <c r="E4272" s="3">
        <v>13145</v>
      </c>
      <c r="F4272" s="3">
        <v>37015</v>
      </c>
      <c r="G4272" s="3">
        <v>71946</v>
      </c>
      <c r="H4272" s="2">
        <f t="shared" si="132"/>
        <v>122402</v>
      </c>
      <c r="I4272" t="str">
        <f t="shared" si="133"/>
        <v>Map4_122402</v>
      </c>
      <c r="J4272" s="3">
        <v>0</v>
      </c>
      <c r="K4272" s="3">
        <v>296</v>
      </c>
      <c r="L4272" s="3">
        <v>13145</v>
      </c>
      <c r="M4272" s="3">
        <v>37015</v>
      </c>
      <c r="N4272" s="3">
        <v>71946</v>
      </c>
    </row>
    <row r="4273" spans="1:14" x14ac:dyDescent="0.2">
      <c r="A4273" s="5" t="str">
        <f>HYPERLINK("http://www.ncbi.nlm.nih.gov/protein/148747189","Map4")</f>
        <v>Map4</v>
      </c>
      <c r="B4273" s="4"/>
      <c r="C4273" s="3">
        <v>330</v>
      </c>
      <c r="D4273" s="3">
        <v>296</v>
      </c>
      <c r="E4273" s="3">
        <v>13584</v>
      </c>
      <c r="F4273" s="3">
        <v>37015</v>
      </c>
      <c r="G4273" s="3">
        <v>71946</v>
      </c>
      <c r="H4273" s="2">
        <f t="shared" si="132"/>
        <v>123171</v>
      </c>
      <c r="I4273" t="str">
        <f t="shared" si="133"/>
        <v>Map4_123171</v>
      </c>
      <c r="J4273" s="3">
        <v>330</v>
      </c>
      <c r="K4273" s="3">
        <v>296</v>
      </c>
      <c r="L4273" s="3">
        <v>13584</v>
      </c>
      <c r="M4273" s="3">
        <v>37015</v>
      </c>
      <c r="N4273" s="3">
        <v>71946</v>
      </c>
    </row>
    <row r="4274" spans="1:14" x14ac:dyDescent="0.2">
      <c r="A4274" s="5" t="str">
        <f>HYPERLINK("http://www.ncbi.nlm.nih.gov/protein/328927075","Map4")</f>
        <v>Map4</v>
      </c>
      <c r="B4274" s="4"/>
      <c r="C4274" s="3">
        <v>330</v>
      </c>
      <c r="D4274" s="3">
        <v>296</v>
      </c>
      <c r="E4274" s="3">
        <v>13584</v>
      </c>
      <c r="F4274" s="3">
        <v>37187</v>
      </c>
      <c r="G4274" s="3">
        <v>71946</v>
      </c>
      <c r="H4274" s="2">
        <f t="shared" si="132"/>
        <v>123343</v>
      </c>
      <c r="I4274" t="str">
        <f t="shared" si="133"/>
        <v>Map4_123343</v>
      </c>
      <c r="J4274" s="3">
        <v>330</v>
      </c>
      <c r="K4274" s="3">
        <v>296</v>
      </c>
      <c r="L4274" s="3">
        <v>13584</v>
      </c>
      <c r="M4274" s="3">
        <v>37187</v>
      </c>
      <c r="N4274" s="3">
        <v>71946</v>
      </c>
    </row>
    <row r="4275" spans="1:14" x14ac:dyDescent="0.2">
      <c r="A4275" s="5" t="str">
        <f>HYPERLINK("http://www.ncbi.nlm.nih.gov/protein/6678800","Map4k2")</f>
        <v>Map4k2</v>
      </c>
      <c r="B4275" s="4"/>
      <c r="C4275" s="3">
        <v>0</v>
      </c>
      <c r="D4275" s="3">
        <v>0</v>
      </c>
      <c r="E4275" s="3">
        <v>151</v>
      </c>
      <c r="F4275" s="3">
        <v>311</v>
      </c>
      <c r="G4275" s="3">
        <v>664</v>
      </c>
      <c r="H4275" s="2">
        <f t="shared" si="132"/>
        <v>1126</v>
      </c>
      <c r="I4275" t="str">
        <f t="shared" si="133"/>
        <v>Map4k2_1126</v>
      </c>
      <c r="J4275" s="3">
        <v>0</v>
      </c>
      <c r="K4275" s="3">
        <v>0</v>
      </c>
      <c r="L4275" s="3">
        <v>151</v>
      </c>
      <c r="M4275" s="3">
        <v>311</v>
      </c>
      <c r="N4275" s="3">
        <v>664</v>
      </c>
    </row>
    <row r="4276" spans="1:14" x14ac:dyDescent="0.2">
      <c r="A4276" s="5" t="str">
        <f>HYPERLINK("http://www.ncbi.nlm.nih.gov/protein/124486875","Map4k3")</f>
        <v>Map4k3</v>
      </c>
      <c r="B4276" s="4"/>
      <c r="C4276" s="3">
        <v>0</v>
      </c>
      <c r="D4276" s="3">
        <v>0</v>
      </c>
      <c r="E4276" s="3">
        <v>0</v>
      </c>
      <c r="F4276" s="3">
        <v>25</v>
      </c>
      <c r="G4276" s="3">
        <v>0</v>
      </c>
      <c r="H4276" s="2">
        <f t="shared" si="132"/>
        <v>25</v>
      </c>
      <c r="I4276" t="str">
        <f t="shared" si="133"/>
        <v>Map4k3_25</v>
      </c>
      <c r="J4276" s="3">
        <v>0</v>
      </c>
      <c r="K4276" s="3">
        <v>0</v>
      </c>
      <c r="L4276" s="3">
        <v>0</v>
      </c>
      <c r="M4276" s="3">
        <v>25</v>
      </c>
      <c r="N4276" s="3">
        <v>0</v>
      </c>
    </row>
    <row r="4277" spans="1:14" x14ac:dyDescent="0.2">
      <c r="A4277" s="5" t="str">
        <f>HYPERLINK("http://www.ncbi.nlm.nih.gov/protein/145279237","Map4k4")</f>
        <v>Map4k4</v>
      </c>
      <c r="B4277" s="4"/>
      <c r="C4277" s="3">
        <v>0</v>
      </c>
      <c r="D4277" s="3">
        <v>0</v>
      </c>
      <c r="E4277" s="3">
        <v>247</v>
      </c>
      <c r="F4277" s="3">
        <v>0</v>
      </c>
      <c r="G4277" s="3">
        <v>0</v>
      </c>
      <c r="H4277" s="2">
        <f t="shared" si="132"/>
        <v>247</v>
      </c>
      <c r="I4277" t="str">
        <f t="shared" si="133"/>
        <v>Map4k4_247</v>
      </c>
      <c r="J4277" s="3">
        <v>0</v>
      </c>
      <c r="K4277" s="3">
        <v>0</v>
      </c>
      <c r="L4277" s="3">
        <v>247</v>
      </c>
      <c r="M4277" s="3">
        <v>0</v>
      </c>
      <c r="N4277" s="3">
        <v>0</v>
      </c>
    </row>
    <row r="4278" spans="1:14" x14ac:dyDescent="0.2">
      <c r="A4278" s="5" t="str">
        <f>HYPERLINK("http://www.ncbi.nlm.nih.gov/protein/356582264","Map4k4")</f>
        <v>Map4k4</v>
      </c>
      <c r="B4278" s="4"/>
      <c r="C4278" s="3">
        <v>0</v>
      </c>
      <c r="D4278" s="3">
        <v>0</v>
      </c>
      <c r="E4278" s="3">
        <v>247</v>
      </c>
      <c r="F4278" s="3">
        <v>0</v>
      </c>
      <c r="G4278" s="3">
        <v>0</v>
      </c>
      <c r="H4278" s="2">
        <f t="shared" si="132"/>
        <v>247</v>
      </c>
      <c r="I4278" t="str">
        <f t="shared" si="133"/>
        <v>Map4k4_247</v>
      </c>
      <c r="J4278" s="3">
        <v>0</v>
      </c>
      <c r="K4278" s="3">
        <v>0</v>
      </c>
      <c r="L4278" s="3">
        <v>247</v>
      </c>
      <c r="M4278" s="3">
        <v>0</v>
      </c>
      <c r="N4278" s="3">
        <v>0</v>
      </c>
    </row>
    <row r="4279" spans="1:14" x14ac:dyDescent="0.2">
      <c r="A4279" s="5" t="str">
        <f>HYPERLINK("http://www.ncbi.nlm.nih.gov/protein/356582266","Map4k4")</f>
        <v>Map4k4</v>
      </c>
      <c r="B4279" s="4"/>
      <c r="C4279" s="3">
        <v>0</v>
      </c>
      <c r="D4279" s="3">
        <v>0</v>
      </c>
      <c r="E4279" s="3">
        <v>247</v>
      </c>
      <c r="F4279" s="3">
        <v>0</v>
      </c>
      <c r="G4279" s="3">
        <v>0</v>
      </c>
      <c r="H4279" s="2">
        <f t="shared" si="132"/>
        <v>247</v>
      </c>
      <c r="I4279" t="str">
        <f t="shared" si="133"/>
        <v>Map4k4_247</v>
      </c>
      <c r="J4279" s="3">
        <v>0</v>
      </c>
      <c r="K4279" s="3">
        <v>0</v>
      </c>
      <c r="L4279" s="3">
        <v>247</v>
      </c>
      <c r="M4279" s="3">
        <v>0</v>
      </c>
      <c r="N4279" s="3">
        <v>0</v>
      </c>
    </row>
    <row r="4280" spans="1:14" x14ac:dyDescent="0.2">
      <c r="A4280" s="5" t="str">
        <f>HYPERLINK("http://www.ncbi.nlm.nih.gov/protein/356582268","Map4k4")</f>
        <v>Map4k4</v>
      </c>
      <c r="B4280" s="4"/>
      <c r="C4280" s="3">
        <v>0</v>
      </c>
      <c r="D4280" s="3">
        <v>0</v>
      </c>
      <c r="E4280" s="3">
        <v>247</v>
      </c>
      <c r="F4280" s="3">
        <v>0</v>
      </c>
      <c r="G4280" s="3">
        <v>0</v>
      </c>
      <c r="H4280" s="2">
        <f t="shared" si="132"/>
        <v>247</v>
      </c>
      <c r="I4280" t="str">
        <f t="shared" si="133"/>
        <v>Map4k4_247</v>
      </c>
      <c r="J4280" s="3">
        <v>0</v>
      </c>
      <c r="K4280" s="3">
        <v>0</v>
      </c>
      <c r="L4280" s="3">
        <v>247</v>
      </c>
      <c r="M4280" s="3">
        <v>0</v>
      </c>
      <c r="N4280" s="3">
        <v>0</v>
      </c>
    </row>
    <row r="4281" spans="1:14" x14ac:dyDescent="0.2">
      <c r="A4281" s="5" t="str">
        <f>HYPERLINK("http://www.ncbi.nlm.nih.gov/protein/77736537","Map4k5")</f>
        <v>Map4k5</v>
      </c>
      <c r="B4281" s="4"/>
      <c r="C4281" s="3">
        <v>0</v>
      </c>
      <c r="D4281" s="3">
        <v>1332</v>
      </c>
      <c r="E4281" s="3">
        <v>2327</v>
      </c>
      <c r="F4281" s="3">
        <v>9315</v>
      </c>
      <c r="G4281" s="3">
        <v>6147</v>
      </c>
      <c r="H4281" s="2">
        <f t="shared" si="132"/>
        <v>19121</v>
      </c>
      <c r="I4281" t="str">
        <f t="shared" si="133"/>
        <v>Map4k5_19121</v>
      </c>
      <c r="J4281" s="3">
        <v>0</v>
      </c>
      <c r="K4281" s="3">
        <v>1332</v>
      </c>
      <c r="L4281" s="3">
        <v>2327</v>
      </c>
      <c r="M4281" s="3">
        <v>9315</v>
      </c>
      <c r="N4281" s="3">
        <v>6147</v>
      </c>
    </row>
    <row r="4282" spans="1:14" x14ac:dyDescent="0.2">
      <c r="A4282" s="5" t="str">
        <f>HYPERLINK("http://www.ncbi.nlm.nih.gov/protein/113204613","Map6")</f>
        <v>Map6</v>
      </c>
      <c r="B4282" s="4"/>
      <c r="C4282" s="3">
        <v>73</v>
      </c>
      <c r="D4282" s="3">
        <v>0</v>
      </c>
      <c r="E4282" s="3">
        <v>0</v>
      </c>
      <c r="F4282" s="3">
        <v>0</v>
      </c>
      <c r="G4282" s="3">
        <v>86</v>
      </c>
      <c r="H4282" s="2">
        <f t="shared" si="132"/>
        <v>159</v>
      </c>
      <c r="I4282" t="str">
        <f t="shared" si="133"/>
        <v>Map6_159</v>
      </c>
      <c r="J4282" s="3">
        <v>73</v>
      </c>
      <c r="K4282" s="3">
        <v>0</v>
      </c>
      <c r="L4282" s="3">
        <v>0</v>
      </c>
      <c r="M4282" s="3">
        <v>0</v>
      </c>
      <c r="N4282" s="3">
        <v>86</v>
      </c>
    </row>
    <row r="4283" spans="1:14" x14ac:dyDescent="0.2">
      <c r="A4283" s="5" t="str">
        <f>HYPERLINK("http://www.ncbi.nlm.nih.gov/protein/114520592","Map6")</f>
        <v>Map6</v>
      </c>
      <c r="B4283" s="4"/>
      <c r="C4283" s="3">
        <v>73</v>
      </c>
      <c r="D4283" s="3">
        <v>0</v>
      </c>
      <c r="E4283" s="3">
        <v>0</v>
      </c>
      <c r="F4283" s="3">
        <v>0</v>
      </c>
      <c r="G4283" s="3">
        <v>86</v>
      </c>
      <c r="H4283" s="2">
        <f t="shared" si="132"/>
        <v>159</v>
      </c>
      <c r="I4283" t="str">
        <f t="shared" si="133"/>
        <v>Map6_159</v>
      </c>
      <c r="J4283" s="3">
        <v>73</v>
      </c>
      <c r="K4283" s="3">
        <v>0</v>
      </c>
      <c r="L4283" s="3">
        <v>0</v>
      </c>
      <c r="M4283" s="3">
        <v>0</v>
      </c>
      <c r="N4283" s="3">
        <v>86</v>
      </c>
    </row>
    <row r="4284" spans="1:14" x14ac:dyDescent="0.2">
      <c r="A4284" s="5" t="str">
        <f>HYPERLINK("http://www.ncbi.nlm.nih.gov/protein/114520594","Map6")</f>
        <v>Map6</v>
      </c>
      <c r="B4284" s="4"/>
      <c r="C4284" s="3">
        <v>73</v>
      </c>
      <c r="D4284" s="3">
        <v>0</v>
      </c>
      <c r="E4284" s="3">
        <v>0</v>
      </c>
      <c r="F4284" s="3">
        <v>0</v>
      </c>
      <c r="G4284" s="3">
        <v>86</v>
      </c>
      <c r="H4284" s="2">
        <f t="shared" si="132"/>
        <v>159</v>
      </c>
      <c r="I4284" t="str">
        <f t="shared" si="133"/>
        <v>Map6_159</v>
      </c>
      <c r="J4284" s="3">
        <v>73</v>
      </c>
      <c r="K4284" s="3">
        <v>0</v>
      </c>
      <c r="L4284" s="3">
        <v>0</v>
      </c>
      <c r="M4284" s="3">
        <v>0</v>
      </c>
      <c r="N4284" s="3">
        <v>86</v>
      </c>
    </row>
    <row r="4285" spans="1:14" x14ac:dyDescent="0.2">
      <c r="A4285" s="5" t="str">
        <f>HYPERLINK("http://www.ncbi.nlm.nih.gov/protein/310772196","Map7")</f>
        <v>Map7</v>
      </c>
      <c r="B4285" s="4"/>
      <c r="C4285" s="3">
        <v>0</v>
      </c>
      <c r="D4285" s="3">
        <v>0</v>
      </c>
      <c r="E4285" s="3">
        <v>735</v>
      </c>
      <c r="F4285" s="3">
        <v>0</v>
      </c>
      <c r="G4285" s="3">
        <v>0</v>
      </c>
      <c r="H4285" s="2">
        <f t="shared" si="132"/>
        <v>735</v>
      </c>
      <c r="I4285" t="str">
        <f t="shared" si="133"/>
        <v>Map7_735</v>
      </c>
      <c r="J4285" s="3">
        <v>0</v>
      </c>
      <c r="K4285" s="3">
        <v>0</v>
      </c>
      <c r="L4285" s="3">
        <v>735</v>
      </c>
      <c r="M4285" s="3">
        <v>0</v>
      </c>
      <c r="N4285" s="3">
        <v>0</v>
      </c>
    </row>
    <row r="4286" spans="1:14" x14ac:dyDescent="0.2">
      <c r="A4286" s="5" t="str">
        <f>HYPERLINK("http://www.ncbi.nlm.nih.gov/protein/159110787","Map7")</f>
        <v>Map7</v>
      </c>
      <c r="B4286" s="4"/>
      <c r="C4286" s="3">
        <v>0</v>
      </c>
      <c r="D4286" s="3">
        <v>0</v>
      </c>
      <c r="E4286" s="3">
        <v>850</v>
      </c>
      <c r="F4286" s="3">
        <v>524</v>
      </c>
      <c r="G4286" s="3">
        <v>0</v>
      </c>
      <c r="H4286" s="2">
        <f t="shared" si="132"/>
        <v>1374</v>
      </c>
      <c r="I4286" t="str">
        <f t="shared" si="133"/>
        <v>Map7_1374</v>
      </c>
      <c r="J4286" s="3">
        <v>0</v>
      </c>
      <c r="K4286" s="3">
        <v>0</v>
      </c>
      <c r="L4286" s="3">
        <v>850</v>
      </c>
      <c r="M4286" s="3">
        <v>524</v>
      </c>
      <c r="N4286" s="3">
        <v>0</v>
      </c>
    </row>
    <row r="4287" spans="1:14" x14ac:dyDescent="0.2">
      <c r="A4287" s="5" t="str">
        <f>HYPERLINK("http://www.ncbi.nlm.nih.gov/protein/225543273","Map7d1")</f>
        <v>Map7d1</v>
      </c>
      <c r="B4287" s="4"/>
      <c r="C4287" s="3">
        <v>0</v>
      </c>
      <c r="D4287" s="3">
        <v>0</v>
      </c>
      <c r="E4287" s="3">
        <v>0</v>
      </c>
      <c r="F4287" s="3">
        <v>98</v>
      </c>
      <c r="G4287" s="3">
        <v>0</v>
      </c>
      <c r="H4287" s="2">
        <f t="shared" si="132"/>
        <v>98</v>
      </c>
      <c r="I4287" t="str">
        <f t="shared" si="133"/>
        <v>Map7d1_98</v>
      </c>
      <c r="J4287" s="3">
        <v>0</v>
      </c>
      <c r="K4287" s="3">
        <v>0</v>
      </c>
      <c r="L4287" s="3">
        <v>0</v>
      </c>
      <c r="M4287" s="3">
        <v>98</v>
      </c>
      <c r="N4287" s="3">
        <v>0</v>
      </c>
    </row>
    <row r="4288" spans="1:14" x14ac:dyDescent="0.2">
      <c r="A4288" s="5" t="str">
        <f>HYPERLINK("http://www.ncbi.nlm.nih.gov/protein/225543276","Map7d1")</f>
        <v>Map7d1</v>
      </c>
      <c r="B4288" s="4"/>
      <c r="C4288" s="3">
        <v>0</v>
      </c>
      <c r="D4288" s="3">
        <v>0</v>
      </c>
      <c r="E4288" s="3">
        <v>0</v>
      </c>
      <c r="F4288" s="3">
        <v>98</v>
      </c>
      <c r="G4288" s="3">
        <v>0</v>
      </c>
      <c r="H4288" s="2">
        <f t="shared" si="132"/>
        <v>98</v>
      </c>
      <c r="I4288" t="str">
        <f t="shared" si="133"/>
        <v>Map7d1_98</v>
      </c>
      <c r="J4288" s="3">
        <v>0</v>
      </c>
      <c r="K4288" s="3">
        <v>0</v>
      </c>
      <c r="L4288" s="3">
        <v>0</v>
      </c>
      <c r="M4288" s="3">
        <v>98</v>
      </c>
      <c r="N4288" s="3">
        <v>0</v>
      </c>
    </row>
    <row r="4289" spans="1:14" x14ac:dyDescent="0.2">
      <c r="A4289" s="5" t="str">
        <f>HYPERLINK("http://www.ncbi.nlm.nih.gov/protein/124486997","Map9")</f>
        <v>Map9</v>
      </c>
      <c r="B4289" s="4"/>
      <c r="C4289" s="3">
        <v>0</v>
      </c>
      <c r="D4289" s="3">
        <v>0</v>
      </c>
      <c r="E4289" s="3">
        <v>114</v>
      </c>
      <c r="F4289" s="3">
        <v>0</v>
      </c>
      <c r="G4289" s="3">
        <v>0</v>
      </c>
      <c r="H4289" s="2">
        <f t="shared" si="132"/>
        <v>114</v>
      </c>
      <c r="I4289" t="str">
        <f t="shared" si="133"/>
        <v>Map9_114</v>
      </c>
      <c r="J4289" s="3">
        <v>0</v>
      </c>
      <c r="K4289" s="3">
        <v>0</v>
      </c>
      <c r="L4289" s="3">
        <v>114</v>
      </c>
      <c r="M4289" s="3">
        <v>0</v>
      </c>
      <c r="N4289" s="3">
        <v>0</v>
      </c>
    </row>
    <row r="4290" spans="1:14" x14ac:dyDescent="0.2">
      <c r="A4290" s="5" t="str">
        <f>HYPERLINK("http://www.ncbi.nlm.nih.gov/protein/6754632","Mapk1")</f>
        <v>Mapk1</v>
      </c>
      <c r="B4290" s="4"/>
      <c r="C4290" s="3">
        <v>10325</v>
      </c>
      <c r="D4290" s="3">
        <v>2849</v>
      </c>
      <c r="E4290" s="3">
        <v>27181</v>
      </c>
      <c r="F4290" s="3">
        <v>136650</v>
      </c>
      <c r="G4290" s="3">
        <v>302908</v>
      </c>
      <c r="H4290" s="2">
        <f t="shared" ref="H4290:H4353" si="134">SUM(C4290:G4290)</f>
        <v>479913</v>
      </c>
      <c r="I4290" t="str">
        <f t="shared" ref="I4290:I4353" si="135">A4290&amp;"_"&amp;H4290</f>
        <v>Mapk1_479913</v>
      </c>
      <c r="J4290" s="3">
        <v>10325</v>
      </c>
      <c r="K4290" s="3">
        <v>2849</v>
      </c>
      <c r="L4290" s="3">
        <v>27181</v>
      </c>
      <c r="M4290" s="3">
        <v>136650</v>
      </c>
      <c r="N4290" s="3">
        <v>302908</v>
      </c>
    </row>
    <row r="4291" spans="1:14" x14ac:dyDescent="0.2">
      <c r="A4291" s="5" t="str">
        <f>HYPERLINK("http://www.ncbi.nlm.nih.gov/protein/125858479","Mapk10")</f>
        <v>Mapk10</v>
      </c>
      <c r="B4291" s="4"/>
      <c r="C4291" s="3">
        <v>0</v>
      </c>
      <c r="D4291" s="3">
        <v>1937</v>
      </c>
      <c r="E4291" s="3">
        <v>3541</v>
      </c>
      <c r="F4291" s="3">
        <v>9086</v>
      </c>
      <c r="G4291" s="3">
        <v>42806</v>
      </c>
      <c r="H4291" s="2">
        <f t="shared" si="134"/>
        <v>57370</v>
      </c>
      <c r="I4291" t="str">
        <f t="shared" si="135"/>
        <v>Mapk10_57370</v>
      </c>
      <c r="J4291" s="3">
        <v>0</v>
      </c>
      <c r="K4291" s="3">
        <v>1937</v>
      </c>
      <c r="L4291" s="3">
        <v>3541</v>
      </c>
      <c r="M4291" s="3">
        <v>9086</v>
      </c>
      <c r="N4291" s="3">
        <v>42806</v>
      </c>
    </row>
    <row r="4292" spans="1:14" x14ac:dyDescent="0.2">
      <c r="A4292" s="5" t="str">
        <f>HYPERLINK("http://www.ncbi.nlm.nih.gov/protein/125858511","Mapk10")</f>
        <v>Mapk10</v>
      </c>
      <c r="B4292" s="4"/>
      <c r="C4292" s="3">
        <v>0</v>
      </c>
      <c r="D4292" s="3">
        <v>1937</v>
      </c>
      <c r="E4292" s="3">
        <v>3541</v>
      </c>
      <c r="F4292" s="3">
        <v>9086</v>
      </c>
      <c r="G4292" s="3">
        <v>42806</v>
      </c>
      <c r="H4292" s="2">
        <f t="shared" si="134"/>
        <v>57370</v>
      </c>
      <c r="I4292" t="str">
        <f t="shared" si="135"/>
        <v>Mapk10_57370</v>
      </c>
      <c r="J4292" s="3">
        <v>0</v>
      </c>
      <c r="K4292" s="3">
        <v>1937</v>
      </c>
      <c r="L4292" s="3">
        <v>3541</v>
      </c>
      <c r="M4292" s="3">
        <v>9086</v>
      </c>
      <c r="N4292" s="3">
        <v>42806</v>
      </c>
    </row>
    <row r="4293" spans="1:14" x14ac:dyDescent="0.2">
      <c r="A4293" s="5" t="str">
        <f>HYPERLINK("http://www.ncbi.nlm.nih.gov/protein/168693637","Mapk11")</f>
        <v>Mapk11</v>
      </c>
      <c r="B4293" s="4"/>
      <c r="C4293" s="3">
        <v>0</v>
      </c>
      <c r="D4293" s="3">
        <v>1937</v>
      </c>
      <c r="E4293" s="3">
        <v>3541</v>
      </c>
      <c r="F4293" s="3">
        <v>8865</v>
      </c>
      <c r="G4293" s="3">
        <v>42742</v>
      </c>
      <c r="H4293" s="2">
        <f t="shared" si="134"/>
        <v>57085</v>
      </c>
      <c r="I4293" t="str">
        <f t="shared" si="135"/>
        <v>Mapk11_57085</v>
      </c>
      <c r="J4293" s="3">
        <v>0</v>
      </c>
      <c r="K4293" s="3">
        <v>1937</v>
      </c>
      <c r="L4293" s="3">
        <v>3541</v>
      </c>
      <c r="M4293" s="3">
        <v>8865</v>
      </c>
      <c r="N4293" s="3">
        <v>42742</v>
      </c>
    </row>
    <row r="4294" spans="1:14" x14ac:dyDescent="0.2">
      <c r="A4294" s="5" t="str">
        <f>HYPERLINK("http://www.ncbi.nlm.nih.gov/protein/7305253","Mapk12")</f>
        <v>Mapk12</v>
      </c>
      <c r="B4294" s="4"/>
      <c r="C4294" s="3">
        <v>0</v>
      </c>
      <c r="D4294" s="3">
        <v>3369</v>
      </c>
      <c r="E4294" s="3">
        <v>4465</v>
      </c>
      <c r="F4294" s="3">
        <v>8865</v>
      </c>
      <c r="G4294" s="3">
        <v>80932</v>
      </c>
      <c r="H4294" s="2">
        <f t="shared" si="134"/>
        <v>97631</v>
      </c>
      <c r="I4294" t="str">
        <f t="shared" si="135"/>
        <v>Mapk12_97631</v>
      </c>
      <c r="J4294" s="3">
        <v>0</v>
      </c>
      <c r="K4294" s="3">
        <v>3369</v>
      </c>
      <c r="L4294" s="3">
        <v>4465</v>
      </c>
      <c r="M4294" s="3">
        <v>8865</v>
      </c>
      <c r="N4294" s="3">
        <v>80932</v>
      </c>
    </row>
    <row r="4295" spans="1:14" x14ac:dyDescent="0.2">
      <c r="A4295" s="5" t="str">
        <f>HYPERLINK("http://www.ncbi.nlm.nih.gov/protein/226246627","Mapk13")</f>
        <v>Mapk13</v>
      </c>
      <c r="B4295" s="4"/>
      <c r="C4295" s="3">
        <v>0</v>
      </c>
      <c r="D4295" s="3">
        <v>4246</v>
      </c>
      <c r="E4295" s="3">
        <v>6771</v>
      </c>
      <c r="F4295" s="3">
        <v>12262</v>
      </c>
      <c r="G4295" s="3">
        <v>51888</v>
      </c>
      <c r="H4295" s="2">
        <f t="shared" si="134"/>
        <v>75167</v>
      </c>
      <c r="I4295" t="str">
        <f t="shared" si="135"/>
        <v>Mapk13_75167</v>
      </c>
      <c r="J4295" s="3">
        <v>0</v>
      </c>
      <c r="K4295" s="3">
        <v>4246</v>
      </c>
      <c r="L4295" s="3">
        <v>6771</v>
      </c>
      <c r="M4295" s="3">
        <v>12262</v>
      </c>
      <c r="N4295" s="3">
        <v>51888</v>
      </c>
    </row>
    <row r="4296" spans="1:14" x14ac:dyDescent="0.2">
      <c r="A4296" s="5" t="str">
        <f>HYPERLINK("http://www.ncbi.nlm.nih.gov/protein/10092590","Mapk14")</f>
        <v>Mapk14</v>
      </c>
      <c r="B4296" s="4"/>
      <c r="C4296" s="3">
        <v>0</v>
      </c>
      <c r="D4296" s="3">
        <v>1937</v>
      </c>
      <c r="E4296" s="3">
        <v>3546</v>
      </c>
      <c r="F4296" s="3">
        <v>10674</v>
      </c>
      <c r="G4296" s="3">
        <v>84241</v>
      </c>
      <c r="H4296" s="2">
        <f t="shared" si="134"/>
        <v>100398</v>
      </c>
      <c r="I4296" t="str">
        <f t="shared" si="135"/>
        <v>Mapk14_100398</v>
      </c>
      <c r="J4296" s="3">
        <v>0</v>
      </c>
      <c r="K4296" s="3">
        <v>1937</v>
      </c>
      <c r="L4296" s="3">
        <v>3546</v>
      </c>
      <c r="M4296" s="3">
        <v>10674</v>
      </c>
      <c r="N4296" s="3">
        <v>84241</v>
      </c>
    </row>
    <row r="4297" spans="1:14" x14ac:dyDescent="0.2">
      <c r="A4297" s="5" t="str">
        <f>HYPERLINK("http://www.ncbi.nlm.nih.gov/protein/270341370","Mapk14")</f>
        <v>Mapk14</v>
      </c>
      <c r="B4297" s="4"/>
      <c r="C4297" s="3">
        <v>0</v>
      </c>
      <c r="D4297" s="3">
        <v>1937</v>
      </c>
      <c r="E4297" s="3">
        <v>3546</v>
      </c>
      <c r="F4297" s="3">
        <v>10207</v>
      </c>
      <c r="G4297" s="3">
        <v>78726</v>
      </c>
      <c r="H4297" s="2">
        <f t="shared" si="134"/>
        <v>94416</v>
      </c>
      <c r="I4297" t="str">
        <f t="shared" si="135"/>
        <v>Mapk14_94416</v>
      </c>
      <c r="J4297" s="3">
        <v>0</v>
      </c>
      <c r="K4297" s="3">
        <v>1937</v>
      </c>
      <c r="L4297" s="3">
        <v>3546</v>
      </c>
      <c r="M4297" s="3">
        <v>10207</v>
      </c>
      <c r="N4297" s="3">
        <v>78726</v>
      </c>
    </row>
    <row r="4298" spans="1:14" x14ac:dyDescent="0.2">
      <c r="A4298" s="5" t="str">
        <f>HYPERLINK("http://www.ncbi.nlm.nih.gov/protein/270341386","Mapk14")</f>
        <v>Mapk14</v>
      </c>
      <c r="B4298" s="4"/>
      <c r="C4298" s="3">
        <v>0</v>
      </c>
      <c r="D4298" s="3">
        <v>1937</v>
      </c>
      <c r="E4298" s="3">
        <v>3546</v>
      </c>
      <c r="F4298" s="3">
        <v>10674</v>
      </c>
      <c r="G4298" s="3">
        <v>84241</v>
      </c>
      <c r="H4298" s="2">
        <f t="shared" si="134"/>
        <v>100398</v>
      </c>
      <c r="I4298" t="str">
        <f t="shared" si="135"/>
        <v>Mapk14_100398</v>
      </c>
      <c r="J4298" s="3">
        <v>0</v>
      </c>
      <c r="K4298" s="3">
        <v>1937</v>
      </c>
      <c r="L4298" s="3">
        <v>3546</v>
      </c>
      <c r="M4298" s="3">
        <v>10674</v>
      </c>
      <c r="N4298" s="3">
        <v>84241</v>
      </c>
    </row>
    <row r="4299" spans="1:14" x14ac:dyDescent="0.2">
      <c r="A4299" s="5" t="str">
        <f>HYPERLINK("http://www.ncbi.nlm.nih.gov/protein/29244575","Mapk15")</f>
        <v>Mapk15</v>
      </c>
      <c r="B4299" s="4"/>
      <c r="C4299" s="3">
        <v>0</v>
      </c>
      <c r="D4299" s="3">
        <v>202</v>
      </c>
      <c r="E4299" s="3">
        <v>6785</v>
      </c>
      <c r="F4299" s="3">
        <v>36254</v>
      </c>
      <c r="G4299" s="3">
        <v>73039</v>
      </c>
      <c r="H4299" s="2">
        <f t="shared" si="134"/>
        <v>116280</v>
      </c>
      <c r="I4299" t="str">
        <f t="shared" si="135"/>
        <v>Mapk15_116280</v>
      </c>
      <c r="J4299" s="3">
        <v>0</v>
      </c>
      <c r="K4299" s="3">
        <v>202</v>
      </c>
      <c r="L4299" s="3">
        <v>6785</v>
      </c>
      <c r="M4299" s="3">
        <v>36254</v>
      </c>
      <c r="N4299" s="3">
        <v>73039</v>
      </c>
    </row>
    <row r="4300" spans="1:14" x14ac:dyDescent="0.2">
      <c r="A4300" s="5" t="str">
        <f>HYPERLINK("http://www.ncbi.nlm.nih.gov/protein/21489933","Mapk3")</f>
        <v>Mapk3</v>
      </c>
      <c r="B4300" s="4"/>
      <c r="C4300" s="3">
        <v>9794</v>
      </c>
      <c r="D4300" s="3">
        <v>4622</v>
      </c>
      <c r="E4300" s="3">
        <v>24228</v>
      </c>
      <c r="F4300" s="3">
        <v>118658</v>
      </c>
      <c r="G4300" s="3">
        <v>285226</v>
      </c>
      <c r="H4300" s="2">
        <f t="shared" si="134"/>
        <v>442528</v>
      </c>
      <c r="I4300" t="str">
        <f t="shared" si="135"/>
        <v>Mapk3_442528</v>
      </c>
      <c r="J4300" s="3">
        <v>9794</v>
      </c>
      <c r="K4300" s="3">
        <v>4622</v>
      </c>
      <c r="L4300" s="3">
        <v>24228</v>
      </c>
      <c r="M4300" s="3">
        <v>118658</v>
      </c>
      <c r="N4300" s="3">
        <v>285226</v>
      </c>
    </row>
    <row r="4301" spans="1:14" x14ac:dyDescent="0.2">
      <c r="A4301" s="5" t="str">
        <f>HYPERLINK("http://www.ncbi.nlm.nih.gov/protein/89337268","Mapk4")</f>
        <v>Mapk4</v>
      </c>
      <c r="B4301" s="4"/>
      <c r="C4301" s="3">
        <v>0</v>
      </c>
      <c r="D4301" s="3">
        <v>182</v>
      </c>
      <c r="E4301" s="3">
        <v>1223</v>
      </c>
      <c r="F4301" s="3">
        <v>532</v>
      </c>
      <c r="G4301" s="3">
        <v>1017</v>
      </c>
      <c r="H4301" s="2">
        <f t="shared" si="134"/>
        <v>2954</v>
      </c>
      <c r="I4301" t="str">
        <f t="shared" si="135"/>
        <v>Mapk4_2954</v>
      </c>
      <c r="J4301" s="3">
        <v>0</v>
      </c>
      <c r="K4301" s="3">
        <v>182</v>
      </c>
      <c r="L4301" s="3">
        <v>1223</v>
      </c>
      <c r="M4301" s="3">
        <v>532</v>
      </c>
      <c r="N4301" s="3">
        <v>1017</v>
      </c>
    </row>
    <row r="4302" spans="1:14" x14ac:dyDescent="0.2">
      <c r="A4302" s="5" t="str">
        <f>HYPERLINK("http://www.ncbi.nlm.nih.gov/protein/76573879","Mapk6")</f>
        <v>Mapk6</v>
      </c>
      <c r="B4302" s="4"/>
      <c r="C4302" s="3">
        <v>0</v>
      </c>
      <c r="D4302" s="3">
        <v>182</v>
      </c>
      <c r="E4302" s="3">
        <v>1223</v>
      </c>
      <c r="F4302" s="3">
        <v>532</v>
      </c>
      <c r="G4302" s="3">
        <v>1017</v>
      </c>
      <c r="H4302" s="2">
        <f t="shared" si="134"/>
        <v>2954</v>
      </c>
      <c r="I4302" t="str">
        <f t="shared" si="135"/>
        <v>Mapk6_2954</v>
      </c>
      <c r="J4302" s="3">
        <v>0</v>
      </c>
      <c r="K4302" s="3">
        <v>182</v>
      </c>
      <c r="L4302" s="3">
        <v>1223</v>
      </c>
      <c r="M4302" s="3">
        <v>532</v>
      </c>
      <c r="N4302" s="3">
        <v>1017</v>
      </c>
    </row>
    <row r="4303" spans="1:14" x14ac:dyDescent="0.2">
      <c r="A4303" s="5" t="str">
        <f>HYPERLINK("http://www.ncbi.nlm.nih.gov/protein/6754634","Mapk7")</f>
        <v>Mapk7</v>
      </c>
      <c r="B4303" s="4"/>
      <c r="C4303" s="3">
        <v>0</v>
      </c>
      <c r="D4303" s="3">
        <v>0</v>
      </c>
      <c r="E4303" s="3">
        <v>22</v>
      </c>
      <c r="F4303" s="3">
        <v>0</v>
      </c>
      <c r="G4303" s="3">
        <v>846</v>
      </c>
      <c r="H4303" s="2">
        <f t="shared" si="134"/>
        <v>868</v>
      </c>
      <c r="I4303" t="str">
        <f t="shared" si="135"/>
        <v>Mapk7_868</v>
      </c>
      <c r="J4303" s="3">
        <v>0</v>
      </c>
      <c r="K4303" s="3">
        <v>0</v>
      </c>
      <c r="L4303" s="3">
        <v>22</v>
      </c>
      <c r="M4303" s="3">
        <v>0</v>
      </c>
      <c r="N4303" s="3">
        <v>846</v>
      </c>
    </row>
    <row r="4304" spans="1:14" x14ac:dyDescent="0.2">
      <c r="A4304" s="5" t="str">
        <f>HYPERLINK("http://www.ncbi.nlm.nih.gov/protein/7710060","Mapk8")</f>
        <v>Mapk8</v>
      </c>
      <c r="B4304" s="4"/>
      <c r="C4304" s="3">
        <v>0</v>
      </c>
      <c r="D4304" s="3">
        <v>1937</v>
      </c>
      <c r="E4304" s="3">
        <v>3541</v>
      </c>
      <c r="F4304" s="3">
        <v>8865</v>
      </c>
      <c r="G4304" s="3">
        <v>42742</v>
      </c>
      <c r="H4304" s="2">
        <f t="shared" si="134"/>
        <v>57085</v>
      </c>
      <c r="I4304" t="str">
        <f t="shared" si="135"/>
        <v>Mapk8_57085</v>
      </c>
      <c r="J4304" s="3">
        <v>0</v>
      </c>
      <c r="K4304" s="3">
        <v>1937</v>
      </c>
      <c r="L4304" s="3">
        <v>3541</v>
      </c>
      <c r="M4304" s="3">
        <v>8865</v>
      </c>
      <c r="N4304" s="3">
        <v>42742</v>
      </c>
    </row>
    <row r="4305" spans="1:14" x14ac:dyDescent="0.2">
      <c r="A4305" s="5" t="str">
        <f>HYPERLINK("http://www.ncbi.nlm.nih.gov/protein/254540192","Mapk8ip3")</f>
        <v>Mapk8ip3</v>
      </c>
      <c r="B4305" s="4"/>
      <c r="C4305" s="3">
        <v>0</v>
      </c>
      <c r="D4305" s="3">
        <v>0</v>
      </c>
      <c r="E4305" s="3">
        <v>0</v>
      </c>
      <c r="F4305" s="3">
        <v>0</v>
      </c>
      <c r="G4305" s="3">
        <v>5783</v>
      </c>
      <c r="H4305" s="2">
        <f t="shared" si="134"/>
        <v>5783</v>
      </c>
      <c r="I4305" t="str">
        <f t="shared" si="135"/>
        <v>Mapk8ip3_5783</v>
      </c>
      <c r="J4305" s="3">
        <v>0</v>
      </c>
      <c r="K4305" s="3">
        <v>0</v>
      </c>
      <c r="L4305" s="3">
        <v>0</v>
      </c>
      <c r="M4305" s="3">
        <v>0</v>
      </c>
      <c r="N4305" s="3">
        <v>5783</v>
      </c>
    </row>
    <row r="4306" spans="1:14" x14ac:dyDescent="0.2">
      <c r="A4306" s="5" t="str">
        <f>HYPERLINK("http://www.ncbi.nlm.nih.gov/protein/254540198","Mapk8ip3")</f>
        <v>Mapk8ip3</v>
      </c>
      <c r="B4306" s="4"/>
      <c r="C4306" s="3">
        <v>0</v>
      </c>
      <c r="D4306" s="3">
        <v>0</v>
      </c>
      <c r="E4306" s="3">
        <v>0</v>
      </c>
      <c r="F4306" s="3">
        <v>0</v>
      </c>
      <c r="G4306" s="3">
        <v>5783</v>
      </c>
      <c r="H4306" s="2">
        <f t="shared" si="134"/>
        <v>5783</v>
      </c>
      <c r="I4306" t="str">
        <f t="shared" si="135"/>
        <v>Mapk8ip3_5783</v>
      </c>
      <c r="J4306" s="3">
        <v>0</v>
      </c>
      <c r="K4306" s="3">
        <v>0</v>
      </c>
      <c r="L4306" s="3">
        <v>0</v>
      </c>
      <c r="M4306" s="3">
        <v>0</v>
      </c>
      <c r="N4306" s="3">
        <v>5783</v>
      </c>
    </row>
    <row r="4307" spans="1:14" x14ac:dyDescent="0.2">
      <c r="A4307" s="5" t="str">
        <f>HYPERLINK("http://www.ncbi.nlm.nih.gov/protein/254540200","Mapk8ip3")</f>
        <v>Mapk8ip3</v>
      </c>
      <c r="B4307" s="4"/>
      <c r="C4307" s="3">
        <v>0</v>
      </c>
      <c r="D4307" s="3">
        <v>0</v>
      </c>
      <c r="E4307" s="3">
        <v>0</v>
      </c>
      <c r="F4307" s="3">
        <v>0</v>
      </c>
      <c r="G4307" s="3">
        <v>5783</v>
      </c>
      <c r="H4307" s="2">
        <f t="shared" si="134"/>
        <v>5783</v>
      </c>
      <c r="I4307" t="str">
        <f t="shared" si="135"/>
        <v>Mapk8ip3_5783</v>
      </c>
      <c r="J4307" s="3">
        <v>0</v>
      </c>
      <c r="K4307" s="3">
        <v>0</v>
      </c>
      <c r="L4307" s="3">
        <v>0</v>
      </c>
      <c r="M4307" s="3">
        <v>0</v>
      </c>
      <c r="N4307" s="3">
        <v>5783</v>
      </c>
    </row>
    <row r="4308" spans="1:14" x14ac:dyDescent="0.2">
      <c r="A4308" s="5" t="str">
        <f>HYPERLINK("http://www.ncbi.nlm.nih.gov/protein/254540202","Mapk8ip3")</f>
        <v>Mapk8ip3</v>
      </c>
      <c r="B4308" s="4"/>
      <c r="C4308" s="3">
        <v>0</v>
      </c>
      <c r="D4308" s="3">
        <v>0</v>
      </c>
      <c r="E4308" s="3">
        <v>0</v>
      </c>
      <c r="F4308" s="3">
        <v>0</v>
      </c>
      <c r="G4308" s="3">
        <v>5783</v>
      </c>
      <c r="H4308" s="2">
        <f t="shared" si="134"/>
        <v>5783</v>
      </c>
      <c r="I4308" t="str">
        <f t="shared" si="135"/>
        <v>Mapk8ip3_5783</v>
      </c>
      <c r="J4308" s="3">
        <v>0</v>
      </c>
      <c r="K4308" s="3">
        <v>0</v>
      </c>
      <c r="L4308" s="3">
        <v>0</v>
      </c>
      <c r="M4308" s="3">
        <v>0</v>
      </c>
      <c r="N4308" s="3">
        <v>5783</v>
      </c>
    </row>
    <row r="4309" spans="1:14" x14ac:dyDescent="0.2">
      <c r="A4309" s="5" t="str">
        <f>HYPERLINK("http://www.ncbi.nlm.nih.gov/protein/254540204","Mapk8ip3")</f>
        <v>Mapk8ip3</v>
      </c>
      <c r="B4309" s="4"/>
      <c r="C4309" s="3">
        <v>0</v>
      </c>
      <c r="D4309" s="3">
        <v>0</v>
      </c>
      <c r="E4309" s="3">
        <v>0</v>
      </c>
      <c r="F4309" s="3">
        <v>0</v>
      </c>
      <c r="G4309" s="3">
        <v>5783</v>
      </c>
      <c r="H4309" s="2">
        <f t="shared" si="134"/>
        <v>5783</v>
      </c>
      <c r="I4309" t="str">
        <f t="shared" si="135"/>
        <v>Mapk8ip3_5783</v>
      </c>
      <c r="J4309" s="3">
        <v>0</v>
      </c>
      <c r="K4309" s="3">
        <v>0</v>
      </c>
      <c r="L4309" s="3">
        <v>0</v>
      </c>
      <c r="M4309" s="3">
        <v>0</v>
      </c>
      <c r="N4309" s="3">
        <v>5783</v>
      </c>
    </row>
    <row r="4310" spans="1:14" x14ac:dyDescent="0.2">
      <c r="A4310" s="5" t="str">
        <f>HYPERLINK("http://www.ncbi.nlm.nih.gov/protein/254540206","Mapk8ip3")</f>
        <v>Mapk8ip3</v>
      </c>
      <c r="B4310" s="4"/>
      <c r="C4310" s="3">
        <v>0</v>
      </c>
      <c r="D4310" s="3">
        <v>0</v>
      </c>
      <c r="E4310" s="3">
        <v>0</v>
      </c>
      <c r="F4310" s="3">
        <v>0</v>
      </c>
      <c r="G4310" s="3">
        <v>5783</v>
      </c>
      <c r="H4310" s="2">
        <f t="shared" si="134"/>
        <v>5783</v>
      </c>
      <c r="I4310" t="str">
        <f t="shared" si="135"/>
        <v>Mapk8ip3_5783</v>
      </c>
      <c r="J4310" s="3">
        <v>0</v>
      </c>
      <c r="K4310" s="3">
        <v>0</v>
      </c>
      <c r="L4310" s="3">
        <v>0</v>
      </c>
      <c r="M4310" s="3">
        <v>0</v>
      </c>
      <c r="N4310" s="3">
        <v>5783</v>
      </c>
    </row>
    <row r="4311" spans="1:14" x14ac:dyDescent="0.2">
      <c r="A4311" s="5" t="str">
        <f>HYPERLINK("http://www.ncbi.nlm.nih.gov/protein/254540212","Mapk8ip3")</f>
        <v>Mapk8ip3</v>
      </c>
      <c r="B4311" s="4"/>
      <c r="C4311" s="3">
        <v>0</v>
      </c>
      <c r="D4311" s="3">
        <v>0</v>
      </c>
      <c r="E4311" s="3">
        <v>0</v>
      </c>
      <c r="F4311" s="3">
        <v>0</v>
      </c>
      <c r="G4311" s="3">
        <v>5783</v>
      </c>
      <c r="H4311" s="2">
        <f t="shared" si="134"/>
        <v>5783</v>
      </c>
      <c r="I4311" t="str">
        <f t="shared" si="135"/>
        <v>Mapk8ip3_5783</v>
      </c>
      <c r="J4311" s="3">
        <v>0</v>
      </c>
      <c r="K4311" s="3">
        <v>0</v>
      </c>
      <c r="L4311" s="3">
        <v>0</v>
      </c>
      <c r="M4311" s="3">
        <v>0</v>
      </c>
      <c r="N4311" s="3">
        <v>5783</v>
      </c>
    </row>
    <row r="4312" spans="1:14" x14ac:dyDescent="0.2">
      <c r="A4312" s="5" t="str">
        <f>HYPERLINK("http://www.ncbi.nlm.nih.gov/protein/254750709","Mapk9")</f>
        <v>Mapk9</v>
      </c>
      <c r="B4312" s="4"/>
      <c r="C4312" s="3">
        <v>0</v>
      </c>
      <c r="D4312" s="3">
        <v>1937</v>
      </c>
      <c r="E4312" s="3">
        <v>3541</v>
      </c>
      <c r="F4312" s="3">
        <v>9086</v>
      </c>
      <c r="G4312" s="3">
        <v>43705</v>
      </c>
      <c r="H4312" s="2">
        <f t="shared" si="134"/>
        <v>58269</v>
      </c>
      <c r="I4312" t="str">
        <f t="shared" si="135"/>
        <v>Mapk9_58269</v>
      </c>
      <c r="J4312" s="3">
        <v>0</v>
      </c>
      <c r="K4312" s="3">
        <v>1937</v>
      </c>
      <c r="L4312" s="3">
        <v>3541</v>
      </c>
      <c r="M4312" s="3">
        <v>9086</v>
      </c>
      <c r="N4312" s="3">
        <v>43705</v>
      </c>
    </row>
    <row r="4313" spans="1:14" x14ac:dyDescent="0.2">
      <c r="A4313" s="5" t="str">
        <f>HYPERLINK("http://www.ncbi.nlm.nih.gov/protein/254750733","Mapk9")</f>
        <v>Mapk9</v>
      </c>
      <c r="B4313" s="4"/>
      <c r="C4313" s="3">
        <v>0</v>
      </c>
      <c r="D4313" s="3">
        <v>1937</v>
      </c>
      <c r="E4313" s="3">
        <v>3541</v>
      </c>
      <c r="F4313" s="3">
        <v>9086</v>
      </c>
      <c r="G4313" s="3">
        <v>43705</v>
      </c>
      <c r="H4313" s="2">
        <f t="shared" si="134"/>
        <v>58269</v>
      </c>
      <c r="I4313" t="str">
        <f t="shared" si="135"/>
        <v>Mapk9_58269</v>
      </c>
      <c r="J4313" s="3">
        <v>0</v>
      </c>
      <c r="K4313" s="3">
        <v>1937</v>
      </c>
      <c r="L4313" s="3">
        <v>3541</v>
      </c>
      <c r="M4313" s="3">
        <v>9086</v>
      </c>
      <c r="N4313" s="3">
        <v>43705</v>
      </c>
    </row>
    <row r="4314" spans="1:14" x14ac:dyDescent="0.2">
      <c r="A4314" s="5" t="str">
        <f>HYPERLINK("http://www.ncbi.nlm.nih.gov/protein/254750739","Mapk9")</f>
        <v>Mapk9</v>
      </c>
      <c r="B4314" s="4"/>
      <c r="C4314" s="3">
        <v>0</v>
      </c>
      <c r="D4314" s="3">
        <v>1937</v>
      </c>
      <c r="E4314" s="3">
        <v>3541</v>
      </c>
      <c r="F4314" s="3">
        <v>9086</v>
      </c>
      <c r="G4314" s="3">
        <v>43705</v>
      </c>
      <c r="H4314" s="2">
        <f t="shared" si="134"/>
        <v>58269</v>
      </c>
      <c r="I4314" t="str">
        <f t="shared" si="135"/>
        <v>Mapk9_58269</v>
      </c>
      <c r="J4314" s="3">
        <v>0</v>
      </c>
      <c r="K4314" s="3">
        <v>1937</v>
      </c>
      <c r="L4314" s="3">
        <v>3541</v>
      </c>
      <c r="M4314" s="3">
        <v>9086</v>
      </c>
      <c r="N4314" s="3">
        <v>43705</v>
      </c>
    </row>
    <row r="4315" spans="1:14" x14ac:dyDescent="0.2">
      <c r="A4315" s="5" t="str">
        <f>HYPERLINK("http://www.ncbi.nlm.nih.gov/protein/8393749","Mapk9")</f>
        <v>Mapk9</v>
      </c>
      <c r="B4315" s="4"/>
      <c r="C4315" s="3">
        <v>0</v>
      </c>
      <c r="D4315" s="3">
        <v>1937</v>
      </c>
      <c r="E4315" s="3">
        <v>3541</v>
      </c>
      <c r="F4315" s="3">
        <v>9086</v>
      </c>
      <c r="G4315" s="3">
        <v>43705</v>
      </c>
      <c r="H4315" s="2">
        <f t="shared" si="134"/>
        <v>58269</v>
      </c>
      <c r="I4315" t="str">
        <f t="shared" si="135"/>
        <v>Mapk9_58269</v>
      </c>
      <c r="J4315" s="3">
        <v>0</v>
      </c>
      <c r="K4315" s="3">
        <v>1937</v>
      </c>
      <c r="L4315" s="3">
        <v>3541</v>
      </c>
      <c r="M4315" s="3">
        <v>9086</v>
      </c>
      <c r="N4315" s="3">
        <v>43705</v>
      </c>
    </row>
    <row r="4316" spans="1:14" x14ac:dyDescent="0.2">
      <c r="A4316" s="5" t="str">
        <f>HYPERLINK("http://www.ncbi.nlm.nih.gov/protein/28893485","Mapkap1")</f>
        <v>Mapkap1</v>
      </c>
      <c r="B4316" s="4"/>
      <c r="C4316" s="3">
        <v>0</v>
      </c>
      <c r="D4316" s="3">
        <v>543</v>
      </c>
      <c r="E4316" s="3">
        <v>941</v>
      </c>
      <c r="F4316" s="3">
        <v>1948</v>
      </c>
      <c r="G4316" s="3">
        <v>0</v>
      </c>
      <c r="H4316" s="2">
        <f t="shared" si="134"/>
        <v>3432</v>
      </c>
      <c r="I4316" t="str">
        <f t="shared" si="135"/>
        <v>Mapkap1_3432</v>
      </c>
      <c r="J4316" s="3">
        <v>0</v>
      </c>
      <c r="K4316" s="3">
        <v>543</v>
      </c>
      <c r="L4316" s="3">
        <v>941</v>
      </c>
      <c r="M4316" s="3">
        <v>1948</v>
      </c>
      <c r="N4316" s="3">
        <v>0</v>
      </c>
    </row>
    <row r="4317" spans="1:14" x14ac:dyDescent="0.2">
      <c r="A4317" s="5" t="str">
        <f>HYPERLINK("http://www.ncbi.nlm.nih.gov/protein/45544580","Mapkapk2")</f>
        <v>Mapkapk2</v>
      </c>
      <c r="B4317" s="4"/>
      <c r="C4317" s="3">
        <v>0</v>
      </c>
      <c r="D4317" s="3">
        <v>0</v>
      </c>
      <c r="E4317" s="3">
        <v>0</v>
      </c>
      <c r="F4317" s="3">
        <v>0</v>
      </c>
      <c r="G4317" s="3">
        <v>6608</v>
      </c>
      <c r="H4317" s="2">
        <f t="shared" si="134"/>
        <v>6608</v>
      </c>
      <c r="I4317" t="str">
        <f t="shared" si="135"/>
        <v>Mapkapk2_6608</v>
      </c>
      <c r="J4317" s="3">
        <v>0</v>
      </c>
      <c r="K4317" s="3">
        <v>0</v>
      </c>
      <c r="L4317" s="3">
        <v>0</v>
      </c>
      <c r="M4317" s="3">
        <v>0</v>
      </c>
      <c r="N4317" s="3">
        <v>6608</v>
      </c>
    </row>
    <row r="4318" spans="1:14" x14ac:dyDescent="0.2">
      <c r="A4318" s="5" t="str">
        <f>HYPERLINK("http://www.ncbi.nlm.nih.gov/protein/31542089","Mapkapk3")</f>
        <v>Mapkapk3</v>
      </c>
      <c r="B4318" s="4"/>
      <c r="C4318" s="3">
        <v>0</v>
      </c>
      <c r="D4318" s="3">
        <v>0</v>
      </c>
      <c r="E4318" s="3">
        <v>0</v>
      </c>
      <c r="F4318" s="3">
        <v>0</v>
      </c>
      <c r="G4318" s="3">
        <v>8300</v>
      </c>
      <c r="H4318" s="2">
        <f t="shared" si="134"/>
        <v>8300</v>
      </c>
      <c r="I4318" t="str">
        <f t="shared" si="135"/>
        <v>Mapkapk3_8300</v>
      </c>
      <c r="J4318" s="3">
        <v>0</v>
      </c>
      <c r="K4318" s="3">
        <v>0</v>
      </c>
      <c r="L4318" s="3">
        <v>0</v>
      </c>
      <c r="M4318" s="3">
        <v>0</v>
      </c>
      <c r="N4318" s="3">
        <v>8300</v>
      </c>
    </row>
    <row r="4319" spans="1:14" x14ac:dyDescent="0.2">
      <c r="A4319" s="5" t="str">
        <f>HYPERLINK("http://www.ncbi.nlm.nih.gov/protein/6754636","Mapkapk5")</f>
        <v>Mapkapk5</v>
      </c>
      <c r="B4319" s="4"/>
      <c r="C4319" s="3">
        <v>0</v>
      </c>
      <c r="D4319" s="3">
        <v>0</v>
      </c>
      <c r="E4319" s="3">
        <v>0</v>
      </c>
      <c r="F4319" s="3">
        <v>0</v>
      </c>
      <c r="G4319" s="3">
        <v>2527</v>
      </c>
      <c r="H4319" s="2">
        <f t="shared" si="134"/>
        <v>2527</v>
      </c>
      <c r="I4319" t="str">
        <f t="shared" si="135"/>
        <v>Mapkapk5_2527</v>
      </c>
      <c r="J4319" s="3">
        <v>0</v>
      </c>
      <c r="K4319" s="3">
        <v>0</v>
      </c>
      <c r="L4319" s="3">
        <v>0</v>
      </c>
      <c r="M4319" s="3">
        <v>0</v>
      </c>
      <c r="N4319" s="3">
        <v>2527</v>
      </c>
    </row>
    <row r="4320" spans="1:14" x14ac:dyDescent="0.2">
      <c r="A4320" s="5" t="str">
        <f>HYPERLINK("http://www.ncbi.nlm.nih.gov/protein/7106301","Mapre1")</f>
        <v>Mapre1</v>
      </c>
      <c r="B4320" s="4"/>
      <c r="C4320" s="3">
        <v>0</v>
      </c>
      <c r="D4320" s="3">
        <v>5937</v>
      </c>
      <c r="E4320" s="3">
        <v>2191</v>
      </c>
      <c r="F4320" s="3">
        <v>21192</v>
      </c>
      <c r="G4320" s="3">
        <v>71636</v>
      </c>
      <c r="H4320" s="2">
        <f t="shared" si="134"/>
        <v>100956</v>
      </c>
      <c r="I4320" t="str">
        <f t="shared" si="135"/>
        <v>Mapre1_100956</v>
      </c>
      <c r="J4320" s="3">
        <v>0</v>
      </c>
      <c r="K4320" s="3">
        <v>5937</v>
      </c>
      <c r="L4320" s="3">
        <v>2191</v>
      </c>
      <c r="M4320" s="3">
        <v>21192</v>
      </c>
      <c r="N4320" s="3">
        <v>71636</v>
      </c>
    </row>
    <row r="4321" spans="1:14" x14ac:dyDescent="0.2">
      <c r="A4321" s="5" t="str">
        <f>HYPERLINK("http://www.ncbi.nlm.nih.gov/protein/253314540","Mapre2")</f>
        <v>Mapre2</v>
      </c>
      <c r="B4321" s="4"/>
      <c r="C4321" s="3">
        <v>0</v>
      </c>
      <c r="D4321" s="3">
        <v>0</v>
      </c>
      <c r="E4321" s="3">
        <v>0</v>
      </c>
      <c r="F4321" s="3">
        <v>1105</v>
      </c>
      <c r="G4321" s="3">
        <v>0</v>
      </c>
      <c r="H4321" s="2">
        <f t="shared" si="134"/>
        <v>1105</v>
      </c>
      <c r="I4321" t="str">
        <f t="shared" si="135"/>
        <v>Mapre2_1105</v>
      </c>
      <c r="J4321" s="3">
        <v>0</v>
      </c>
      <c r="K4321" s="3">
        <v>0</v>
      </c>
      <c r="L4321" s="3">
        <v>0</v>
      </c>
      <c r="M4321" s="3">
        <v>1105</v>
      </c>
      <c r="N4321" s="3">
        <v>0</v>
      </c>
    </row>
    <row r="4322" spans="1:14" x14ac:dyDescent="0.2">
      <c r="A4322" s="5" t="str">
        <f>HYPERLINK("http://www.ncbi.nlm.nih.gov/protein/253314542","Mapre2")</f>
        <v>Mapre2</v>
      </c>
      <c r="B4322" s="4"/>
      <c r="C4322" s="3">
        <v>0</v>
      </c>
      <c r="D4322" s="3">
        <v>0</v>
      </c>
      <c r="E4322" s="3">
        <v>0</v>
      </c>
      <c r="F4322" s="3">
        <v>1105</v>
      </c>
      <c r="G4322" s="3">
        <v>0</v>
      </c>
      <c r="H4322" s="2">
        <f t="shared" si="134"/>
        <v>1105</v>
      </c>
      <c r="I4322" t="str">
        <f t="shared" si="135"/>
        <v>Mapre2_1105</v>
      </c>
      <c r="J4322" s="3">
        <v>0</v>
      </c>
      <c r="K4322" s="3">
        <v>0</v>
      </c>
      <c r="L4322" s="3">
        <v>0</v>
      </c>
      <c r="M4322" s="3">
        <v>1105</v>
      </c>
      <c r="N4322" s="3">
        <v>0</v>
      </c>
    </row>
    <row r="4323" spans="1:14" x14ac:dyDescent="0.2">
      <c r="A4323" s="5" t="str">
        <f>HYPERLINK("http://www.ncbi.nlm.nih.gov/protein/253314544","Mapre2")</f>
        <v>Mapre2</v>
      </c>
      <c r="B4323" s="4"/>
      <c r="C4323" s="3">
        <v>0</v>
      </c>
      <c r="D4323" s="3">
        <v>0</v>
      </c>
      <c r="E4323" s="3">
        <v>0</v>
      </c>
      <c r="F4323" s="3">
        <v>1105</v>
      </c>
      <c r="G4323" s="3">
        <v>0</v>
      </c>
      <c r="H4323" s="2">
        <f t="shared" si="134"/>
        <v>1105</v>
      </c>
      <c r="I4323" t="str">
        <f t="shared" si="135"/>
        <v>Mapre2_1105</v>
      </c>
      <c r="J4323" s="3">
        <v>0</v>
      </c>
      <c r="K4323" s="3">
        <v>0</v>
      </c>
      <c r="L4323" s="3">
        <v>0</v>
      </c>
      <c r="M4323" s="3">
        <v>1105</v>
      </c>
      <c r="N4323" s="3">
        <v>0</v>
      </c>
    </row>
    <row r="4324" spans="1:14" x14ac:dyDescent="0.2">
      <c r="A4324" s="5" t="str">
        <f>HYPERLINK("http://www.ncbi.nlm.nih.gov/protein/39930509","Mapre3")</f>
        <v>Mapre3</v>
      </c>
      <c r="B4324" s="4"/>
      <c r="C4324" s="3">
        <v>0</v>
      </c>
      <c r="D4324" s="3">
        <v>0</v>
      </c>
      <c r="E4324" s="3">
        <v>0</v>
      </c>
      <c r="F4324" s="3">
        <v>0</v>
      </c>
      <c r="G4324" s="3">
        <v>12766</v>
      </c>
      <c r="H4324" s="2">
        <f t="shared" si="134"/>
        <v>12766</v>
      </c>
      <c r="I4324" t="str">
        <f t="shared" si="135"/>
        <v>Mapre3_12766</v>
      </c>
      <c r="J4324" s="3">
        <v>0</v>
      </c>
      <c r="K4324" s="3">
        <v>0</v>
      </c>
      <c r="L4324" s="3">
        <v>0</v>
      </c>
      <c r="M4324" s="3">
        <v>0</v>
      </c>
      <c r="N4324" s="3">
        <v>12766</v>
      </c>
    </row>
    <row r="4325" spans="1:14" x14ac:dyDescent="0.2">
      <c r="A4325" s="5" t="str">
        <f>HYPERLINK("http://www.ncbi.nlm.nih.gov/protein/19526848","Marc2")</f>
        <v>Marc2</v>
      </c>
      <c r="B4325" s="4"/>
      <c r="C4325" s="3">
        <v>26306</v>
      </c>
      <c r="D4325" s="3">
        <v>8191</v>
      </c>
      <c r="E4325" s="3">
        <v>951</v>
      </c>
      <c r="F4325" s="3">
        <v>0</v>
      </c>
      <c r="G4325" s="3">
        <v>0</v>
      </c>
      <c r="H4325" s="2">
        <f t="shared" si="134"/>
        <v>35448</v>
      </c>
      <c r="I4325" t="str">
        <f t="shared" si="135"/>
        <v>Marc2_35448</v>
      </c>
      <c r="J4325" s="3">
        <v>26306</v>
      </c>
      <c r="K4325" s="3">
        <v>8191</v>
      </c>
      <c r="L4325" s="3">
        <v>951</v>
      </c>
      <c r="M4325" s="3">
        <v>0</v>
      </c>
      <c r="N4325" s="3">
        <v>0</v>
      </c>
    </row>
    <row r="4326" spans="1:14" x14ac:dyDescent="0.2">
      <c r="A4326" s="5" t="str">
        <f>HYPERLINK("http://www.ncbi.nlm.nih.gov/protein/256773297","March5")</f>
        <v>March5</v>
      </c>
      <c r="B4326" s="4"/>
      <c r="C4326" s="3">
        <v>934</v>
      </c>
      <c r="D4326" s="3">
        <v>2904</v>
      </c>
      <c r="E4326" s="3">
        <v>547</v>
      </c>
      <c r="F4326" s="3">
        <v>0</v>
      </c>
      <c r="G4326" s="3">
        <v>0</v>
      </c>
      <c r="H4326" s="2">
        <f t="shared" si="134"/>
        <v>4385</v>
      </c>
      <c r="I4326" t="str">
        <f t="shared" si="135"/>
        <v>March5_4385</v>
      </c>
      <c r="J4326" s="3">
        <v>934</v>
      </c>
      <c r="K4326" s="3">
        <v>2904</v>
      </c>
      <c r="L4326" s="3">
        <v>547</v>
      </c>
      <c r="M4326" s="3">
        <v>0</v>
      </c>
      <c r="N4326" s="3">
        <v>0</v>
      </c>
    </row>
    <row r="4327" spans="1:14" x14ac:dyDescent="0.2">
      <c r="A4327" s="5" t="str">
        <f>HYPERLINK("http://www.ncbi.nlm.nih.gov/protein/256773301","March5")</f>
        <v>March5</v>
      </c>
      <c r="B4327" s="4"/>
      <c r="C4327" s="3">
        <v>934</v>
      </c>
      <c r="D4327" s="3">
        <v>2904</v>
      </c>
      <c r="E4327" s="3">
        <v>547</v>
      </c>
      <c r="F4327" s="3">
        <v>0</v>
      </c>
      <c r="G4327" s="3">
        <v>0</v>
      </c>
      <c r="H4327" s="2">
        <f t="shared" si="134"/>
        <v>4385</v>
      </c>
      <c r="I4327" t="str">
        <f t="shared" si="135"/>
        <v>March5_4385</v>
      </c>
      <c r="J4327" s="3">
        <v>934</v>
      </c>
      <c r="K4327" s="3">
        <v>2904</v>
      </c>
      <c r="L4327" s="3">
        <v>547</v>
      </c>
      <c r="M4327" s="3">
        <v>0</v>
      </c>
      <c r="N4327" s="3">
        <v>0</v>
      </c>
    </row>
    <row r="4328" spans="1:14" x14ac:dyDescent="0.2">
      <c r="A4328" s="5" t="str">
        <f>HYPERLINK("http://www.ncbi.nlm.nih.gov/protein/256773303","March5")</f>
        <v>March5</v>
      </c>
      <c r="B4328" s="4"/>
      <c r="C4328" s="3">
        <v>934</v>
      </c>
      <c r="D4328" s="3">
        <v>754</v>
      </c>
      <c r="E4328" s="3">
        <v>281</v>
      </c>
      <c r="F4328" s="3">
        <v>0</v>
      </c>
      <c r="G4328" s="3">
        <v>0</v>
      </c>
      <c r="H4328" s="2">
        <f t="shared" si="134"/>
        <v>1969</v>
      </c>
      <c r="I4328" t="str">
        <f t="shared" si="135"/>
        <v>March5_1969</v>
      </c>
      <c r="J4328" s="3">
        <v>934</v>
      </c>
      <c r="K4328" s="3">
        <v>754</v>
      </c>
      <c r="L4328" s="3">
        <v>281</v>
      </c>
      <c r="M4328" s="3">
        <v>0</v>
      </c>
      <c r="N4328" s="3">
        <v>0</v>
      </c>
    </row>
    <row r="4329" spans="1:14" x14ac:dyDescent="0.2">
      <c r="A4329" s="5" t="str">
        <f>HYPERLINK("http://www.ncbi.nlm.nih.gov/protein/6678768","Marcks")</f>
        <v>Marcks</v>
      </c>
      <c r="B4329" s="4"/>
      <c r="C4329" s="3">
        <v>30809</v>
      </c>
      <c r="D4329" s="3">
        <v>9843</v>
      </c>
      <c r="E4329" s="3">
        <v>25412</v>
      </c>
      <c r="F4329" s="3">
        <v>16903</v>
      </c>
      <c r="G4329" s="3">
        <v>1724</v>
      </c>
      <c r="H4329" s="2">
        <f t="shared" si="134"/>
        <v>84691</v>
      </c>
      <c r="I4329" t="str">
        <f t="shared" si="135"/>
        <v>Marcks_84691</v>
      </c>
      <c r="J4329" s="3">
        <v>30809</v>
      </c>
      <c r="K4329" s="3">
        <v>9843</v>
      </c>
      <c r="L4329" s="3">
        <v>25412</v>
      </c>
      <c r="M4329" s="3">
        <v>16903</v>
      </c>
      <c r="N4329" s="3">
        <v>1724</v>
      </c>
    </row>
    <row r="4330" spans="1:14" x14ac:dyDescent="0.2">
      <c r="A4330" s="5" t="str">
        <f>HYPERLINK("http://www.ncbi.nlm.nih.gov/protein/6754706","Marcksl1")</f>
        <v>Marcksl1</v>
      </c>
      <c r="B4330" s="4"/>
      <c r="C4330" s="3">
        <v>13052</v>
      </c>
      <c r="D4330" s="3">
        <v>1413</v>
      </c>
      <c r="E4330" s="3">
        <v>10033</v>
      </c>
      <c r="F4330" s="3">
        <v>5386</v>
      </c>
      <c r="G4330" s="3">
        <v>1831</v>
      </c>
      <c r="H4330" s="2">
        <f t="shared" si="134"/>
        <v>31715</v>
      </c>
      <c r="I4330" t="str">
        <f t="shared" si="135"/>
        <v>Marcksl1_31715</v>
      </c>
      <c r="J4330" s="3">
        <v>13052</v>
      </c>
      <c r="K4330" s="3">
        <v>1413</v>
      </c>
      <c r="L4330" s="3">
        <v>10033</v>
      </c>
      <c r="M4330" s="3">
        <v>5386</v>
      </c>
      <c r="N4330" s="3">
        <v>1831</v>
      </c>
    </row>
    <row r="4331" spans="1:14" x14ac:dyDescent="0.2">
      <c r="A4331" s="5" t="str">
        <f>HYPERLINK("http://www.ncbi.nlm.nih.gov/protein/124487213","Marf1")</f>
        <v>Marf1</v>
      </c>
      <c r="B4331" s="4"/>
      <c r="C4331" s="3">
        <v>0</v>
      </c>
      <c r="D4331" s="3">
        <v>0</v>
      </c>
      <c r="E4331" s="3">
        <v>1058</v>
      </c>
      <c r="F4331" s="3">
        <v>13637</v>
      </c>
      <c r="G4331" s="3">
        <v>0</v>
      </c>
      <c r="H4331" s="2">
        <f t="shared" si="134"/>
        <v>14695</v>
      </c>
      <c r="I4331" t="str">
        <f t="shared" si="135"/>
        <v>Marf1_14695</v>
      </c>
      <c r="J4331" s="3">
        <v>0</v>
      </c>
      <c r="K4331" s="3">
        <v>0</v>
      </c>
      <c r="L4331" s="3">
        <v>1058</v>
      </c>
      <c r="M4331" s="3">
        <v>13637</v>
      </c>
      <c r="N4331" s="3">
        <v>0</v>
      </c>
    </row>
    <row r="4332" spans="1:14" x14ac:dyDescent="0.2">
      <c r="A4332" s="5" t="str">
        <f>HYPERLINK("http://www.ncbi.nlm.nih.gov/protein/224922757","Mark1")</f>
        <v>Mark1</v>
      </c>
      <c r="B4332" s="4"/>
      <c r="C4332" s="3">
        <v>0</v>
      </c>
      <c r="D4332" s="3">
        <v>1409</v>
      </c>
      <c r="E4332" s="3">
        <v>5130</v>
      </c>
      <c r="F4332" s="3">
        <v>3020</v>
      </c>
      <c r="G4332" s="3">
        <v>0</v>
      </c>
      <c r="H4332" s="2">
        <f t="shared" si="134"/>
        <v>9559</v>
      </c>
      <c r="I4332" t="str">
        <f t="shared" si="135"/>
        <v>Mark1_9559</v>
      </c>
      <c r="J4332" s="3">
        <v>0</v>
      </c>
      <c r="K4332" s="3">
        <v>1409</v>
      </c>
      <c r="L4332" s="3">
        <v>5130</v>
      </c>
      <c r="M4332" s="3">
        <v>3020</v>
      </c>
      <c r="N4332" s="3">
        <v>0</v>
      </c>
    </row>
    <row r="4333" spans="1:14" x14ac:dyDescent="0.2">
      <c r="A4333" s="5" t="str">
        <f>HYPERLINK("http://www.ncbi.nlm.nih.gov/protein/122937355","Mark2")</f>
        <v>Mark2</v>
      </c>
      <c r="B4333" s="4"/>
      <c r="C4333" s="3">
        <v>2966</v>
      </c>
      <c r="D4333" s="3">
        <v>5200</v>
      </c>
      <c r="E4333" s="3">
        <v>18846</v>
      </c>
      <c r="F4333" s="3">
        <v>25523</v>
      </c>
      <c r="G4333" s="3">
        <v>514</v>
      </c>
      <c r="H4333" s="2">
        <f t="shared" si="134"/>
        <v>53049</v>
      </c>
      <c r="I4333" t="str">
        <f t="shared" si="135"/>
        <v>Mark2_53049</v>
      </c>
      <c r="J4333" s="3">
        <v>2966</v>
      </c>
      <c r="K4333" s="3">
        <v>5200</v>
      </c>
      <c r="L4333" s="3">
        <v>18846</v>
      </c>
      <c r="M4333" s="3">
        <v>25523</v>
      </c>
      <c r="N4333" s="3">
        <v>514</v>
      </c>
    </row>
    <row r="4334" spans="1:14" x14ac:dyDescent="0.2">
      <c r="A4334" s="5" t="str">
        <f>HYPERLINK("http://www.ncbi.nlm.nih.gov/protein/122937357","Mark2")</f>
        <v>Mark2</v>
      </c>
      <c r="B4334" s="4"/>
      <c r="C4334" s="3">
        <v>2966</v>
      </c>
      <c r="D4334" s="3">
        <v>5200</v>
      </c>
      <c r="E4334" s="3">
        <v>18846</v>
      </c>
      <c r="F4334" s="3">
        <v>25523</v>
      </c>
      <c r="G4334" s="3">
        <v>514</v>
      </c>
      <c r="H4334" s="2">
        <f t="shared" si="134"/>
        <v>53049</v>
      </c>
      <c r="I4334" t="str">
        <f t="shared" si="135"/>
        <v>Mark2_53049</v>
      </c>
      <c r="J4334" s="3">
        <v>2966</v>
      </c>
      <c r="K4334" s="3">
        <v>5200</v>
      </c>
      <c r="L4334" s="3">
        <v>18846</v>
      </c>
      <c r="M4334" s="3">
        <v>25523</v>
      </c>
      <c r="N4334" s="3">
        <v>514</v>
      </c>
    </row>
    <row r="4335" spans="1:14" x14ac:dyDescent="0.2">
      <c r="A4335" s="5" t="str">
        <f>HYPERLINK("http://www.ncbi.nlm.nih.gov/protein/122937359","Mark2")</f>
        <v>Mark2</v>
      </c>
      <c r="B4335" s="4"/>
      <c r="C4335" s="3">
        <v>2966</v>
      </c>
      <c r="D4335" s="3">
        <v>5200</v>
      </c>
      <c r="E4335" s="3">
        <v>18846</v>
      </c>
      <c r="F4335" s="3">
        <v>25523</v>
      </c>
      <c r="G4335" s="3">
        <v>514</v>
      </c>
      <c r="H4335" s="2">
        <f t="shared" si="134"/>
        <v>53049</v>
      </c>
      <c r="I4335" t="str">
        <f t="shared" si="135"/>
        <v>Mark2_53049</v>
      </c>
      <c r="J4335" s="3">
        <v>2966</v>
      </c>
      <c r="K4335" s="3">
        <v>5200</v>
      </c>
      <c r="L4335" s="3">
        <v>18846</v>
      </c>
      <c r="M4335" s="3">
        <v>25523</v>
      </c>
      <c r="N4335" s="3">
        <v>514</v>
      </c>
    </row>
    <row r="4336" spans="1:14" x14ac:dyDescent="0.2">
      <c r="A4336" s="5" t="str">
        <f>HYPERLINK("http://www.ncbi.nlm.nih.gov/protein/122937363","Mark2")</f>
        <v>Mark2</v>
      </c>
      <c r="B4336" s="4"/>
      <c r="C4336" s="3">
        <v>2966</v>
      </c>
      <c r="D4336" s="3">
        <v>5200</v>
      </c>
      <c r="E4336" s="3">
        <v>18846</v>
      </c>
      <c r="F4336" s="3">
        <v>25523</v>
      </c>
      <c r="G4336" s="3">
        <v>514</v>
      </c>
      <c r="H4336" s="2">
        <f t="shared" si="134"/>
        <v>53049</v>
      </c>
      <c r="I4336" t="str">
        <f t="shared" si="135"/>
        <v>Mark2_53049</v>
      </c>
      <c r="J4336" s="3">
        <v>2966</v>
      </c>
      <c r="K4336" s="3">
        <v>5200</v>
      </c>
      <c r="L4336" s="3">
        <v>18846</v>
      </c>
      <c r="M4336" s="3">
        <v>25523</v>
      </c>
      <c r="N4336" s="3">
        <v>514</v>
      </c>
    </row>
    <row r="4337" spans="1:14" x14ac:dyDescent="0.2">
      <c r="A4337" s="5" t="str">
        <f>HYPERLINK("http://www.ncbi.nlm.nih.gov/protein/251823810","Mark3")</f>
        <v>Mark3</v>
      </c>
      <c r="B4337" s="4"/>
      <c r="C4337" s="3">
        <v>0</v>
      </c>
      <c r="D4337" s="3">
        <v>1570</v>
      </c>
      <c r="E4337" s="3">
        <v>7696</v>
      </c>
      <c r="F4337" s="3">
        <v>7457</v>
      </c>
      <c r="G4337" s="3">
        <v>0</v>
      </c>
      <c r="H4337" s="2">
        <f t="shared" si="134"/>
        <v>16723</v>
      </c>
      <c r="I4337" t="str">
        <f t="shared" si="135"/>
        <v>Mark3_16723</v>
      </c>
      <c r="J4337" s="3">
        <v>0</v>
      </c>
      <c r="K4337" s="3">
        <v>1570</v>
      </c>
      <c r="L4337" s="3">
        <v>7696</v>
      </c>
      <c r="M4337" s="3">
        <v>7457</v>
      </c>
      <c r="N4337" s="3">
        <v>0</v>
      </c>
    </row>
    <row r="4338" spans="1:14" x14ac:dyDescent="0.2">
      <c r="A4338" s="5" t="str">
        <f>HYPERLINK("http://www.ncbi.nlm.nih.gov/protein/251823812","Mark3")</f>
        <v>Mark3</v>
      </c>
      <c r="B4338" s="4"/>
      <c r="C4338" s="3">
        <v>0</v>
      </c>
      <c r="D4338" s="3">
        <v>1570</v>
      </c>
      <c r="E4338" s="3">
        <v>7696</v>
      </c>
      <c r="F4338" s="3">
        <v>7457</v>
      </c>
      <c r="G4338" s="3">
        <v>0</v>
      </c>
      <c r="H4338" s="2">
        <f t="shared" si="134"/>
        <v>16723</v>
      </c>
      <c r="I4338" t="str">
        <f t="shared" si="135"/>
        <v>Mark3_16723</v>
      </c>
      <c r="J4338" s="3">
        <v>0</v>
      </c>
      <c r="K4338" s="3">
        <v>1570</v>
      </c>
      <c r="L4338" s="3">
        <v>7696</v>
      </c>
      <c r="M4338" s="3">
        <v>7457</v>
      </c>
      <c r="N4338" s="3">
        <v>0</v>
      </c>
    </row>
    <row r="4339" spans="1:14" x14ac:dyDescent="0.2">
      <c r="A4339" s="5" t="str">
        <f>HYPERLINK("http://www.ncbi.nlm.nih.gov/protein/26986591","Mark4")</f>
        <v>Mark4</v>
      </c>
      <c r="B4339" s="4"/>
      <c r="C4339" s="3">
        <v>0</v>
      </c>
      <c r="D4339" s="3">
        <v>685</v>
      </c>
      <c r="E4339" s="3">
        <v>2041</v>
      </c>
      <c r="F4339" s="3">
        <v>2161</v>
      </c>
      <c r="G4339" s="3">
        <v>0</v>
      </c>
      <c r="H4339" s="2">
        <f t="shared" si="134"/>
        <v>4887</v>
      </c>
      <c r="I4339" t="str">
        <f t="shared" si="135"/>
        <v>Mark4_4887</v>
      </c>
      <c r="J4339" s="3">
        <v>0</v>
      </c>
      <c r="K4339" s="3">
        <v>685</v>
      </c>
      <c r="L4339" s="3">
        <v>2041</v>
      </c>
      <c r="M4339" s="3">
        <v>2161</v>
      </c>
      <c r="N4339" s="3">
        <v>0</v>
      </c>
    </row>
    <row r="4340" spans="1:14" x14ac:dyDescent="0.2">
      <c r="A4340" s="5" t="str">
        <f>HYPERLINK("http://www.ncbi.nlm.nih.gov/protein/284172357","Mars")</f>
        <v>Mars</v>
      </c>
      <c r="B4340" s="4"/>
      <c r="C4340" s="3">
        <v>0</v>
      </c>
      <c r="D4340" s="3">
        <v>3799</v>
      </c>
      <c r="E4340" s="3">
        <v>4838</v>
      </c>
      <c r="F4340" s="3">
        <v>292675</v>
      </c>
      <c r="G4340" s="3">
        <v>3384</v>
      </c>
      <c r="H4340" s="2">
        <f t="shared" si="134"/>
        <v>304696</v>
      </c>
      <c r="I4340" t="str">
        <f t="shared" si="135"/>
        <v>Mars_304696</v>
      </c>
      <c r="J4340" s="3">
        <v>0</v>
      </c>
      <c r="K4340" s="3">
        <v>3799</v>
      </c>
      <c r="L4340" s="3">
        <v>4838</v>
      </c>
      <c r="M4340" s="3">
        <v>292675</v>
      </c>
      <c r="N4340" s="3">
        <v>3384</v>
      </c>
    </row>
    <row r="4341" spans="1:14" x14ac:dyDescent="0.2">
      <c r="A4341" s="5" t="str">
        <f>HYPERLINK("http://www.ncbi.nlm.nih.gov/protein/51491852","Mars")</f>
        <v>Mars</v>
      </c>
      <c r="B4341" s="4"/>
      <c r="C4341" s="3">
        <v>0</v>
      </c>
      <c r="D4341" s="3">
        <v>3799</v>
      </c>
      <c r="E4341" s="3">
        <v>4838</v>
      </c>
      <c r="F4341" s="3">
        <v>292675</v>
      </c>
      <c r="G4341" s="3">
        <v>3384</v>
      </c>
      <c r="H4341" s="2">
        <f t="shared" si="134"/>
        <v>304696</v>
      </c>
      <c r="I4341" t="str">
        <f t="shared" si="135"/>
        <v>Mars_304696</v>
      </c>
      <c r="J4341" s="3">
        <v>0</v>
      </c>
      <c r="K4341" s="3">
        <v>3799</v>
      </c>
      <c r="L4341" s="3">
        <v>4838</v>
      </c>
      <c r="M4341" s="3">
        <v>292675</v>
      </c>
      <c r="N4341" s="3">
        <v>3384</v>
      </c>
    </row>
    <row r="4342" spans="1:14" x14ac:dyDescent="0.2">
      <c r="A4342" s="5" t="str">
        <f>HYPERLINK("http://www.ncbi.nlm.nih.gov/protein/30425166","Mars2")</f>
        <v>Mars2</v>
      </c>
      <c r="B4342" s="4"/>
      <c r="C4342" s="3">
        <v>0</v>
      </c>
      <c r="D4342" s="3">
        <v>539</v>
      </c>
      <c r="E4342" s="3">
        <v>0</v>
      </c>
      <c r="F4342" s="3">
        <v>0</v>
      </c>
      <c r="G4342" s="3">
        <v>0</v>
      </c>
      <c r="H4342" s="2">
        <f t="shared" si="134"/>
        <v>539</v>
      </c>
      <c r="I4342" t="str">
        <f t="shared" si="135"/>
        <v>Mars2_539</v>
      </c>
      <c r="J4342" s="3">
        <v>0</v>
      </c>
      <c r="K4342" s="3">
        <v>539</v>
      </c>
      <c r="L4342" s="3">
        <v>0</v>
      </c>
      <c r="M4342" s="3">
        <v>0</v>
      </c>
      <c r="N4342" s="3">
        <v>0</v>
      </c>
    </row>
    <row r="4343" spans="1:14" x14ac:dyDescent="0.2">
      <c r="A4343" s="5" t="str">
        <f>HYPERLINK("http://www.ncbi.nlm.nih.gov/protein/21704144","Mat2a")</f>
        <v>Mat2a</v>
      </c>
      <c r="B4343" s="4"/>
      <c r="C4343" s="3">
        <v>2069</v>
      </c>
      <c r="D4343" s="3">
        <v>6064</v>
      </c>
      <c r="E4343" s="3">
        <v>5164</v>
      </c>
      <c r="F4343" s="3">
        <v>31015</v>
      </c>
      <c r="G4343" s="3">
        <v>90335</v>
      </c>
      <c r="H4343" s="2">
        <f t="shared" si="134"/>
        <v>134647</v>
      </c>
      <c r="I4343" t="str">
        <f t="shared" si="135"/>
        <v>Mat2a_134647</v>
      </c>
      <c r="J4343" s="3">
        <v>2069</v>
      </c>
      <c r="K4343" s="3">
        <v>6064</v>
      </c>
      <c r="L4343" s="3">
        <v>5164</v>
      </c>
      <c r="M4343" s="3">
        <v>31015</v>
      </c>
      <c r="N4343" s="3">
        <v>90335</v>
      </c>
    </row>
    <row r="4344" spans="1:14" x14ac:dyDescent="0.2">
      <c r="A4344" s="5" t="str">
        <f>HYPERLINK("http://www.ncbi.nlm.nih.gov/protein/19527234","Mat2b")</f>
        <v>Mat2b</v>
      </c>
      <c r="B4344" s="4"/>
      <c r="C4344" s="3">
        <v>0</v>
      </c>
      <c r="D4344" s="3">
        <v>3298</v>
      </c>
      <c r="E4344" s="3">
        <v>3088</v>
      </c>
      <c r="F4344" s="3">
        <v>40207</v>
      </c>
      <c r="G4344" s="3">
        <v>66120</v>
      </c>
      <c r="H4344" s="2">
        <f t="shared" si="134"/>
        <v>112713</v>
      </c>
      <c r="I4344" t="str">
        <f t="shared" si="135"/>
        <v>Mat2b_112713</v>
      </c>
      <c r="J4344" s="3">
        <v>0</v>
      </c>
      <c r="K4344" s="3">
        <v>3298</v>
      </c>
      <c r="L4344" s="3">
        <v>3088</v>
      </c>
      <c r="M4344" s="3">
        <v>40207</v>
      </c>
      <c r="N4344" s="3">
        <v>66120</v>
      </c>
    </row>
    <row r="4345" spans="1:14" x14ac:dyDescent="0.2">
      <c r="A4345" s="5" t="str">
        <f>HYPERLINK("http://www.ncbi.nlm.nih.gov/protein/313482787","Mat2b")</f>
        <v>Mat2b</v>
      </c>
      <c r="B4345" s="4"/>
      <c r="C4345" s="3">
        <v>0</v>
      </c>
      <c r="D4345" s="3">
        <v>3298</v>
      </c>
      <c r="E4345" s="3">
        <v>3088</v>
      </c>
      <c r="F4345" s="3">
        <v>40207</v>
      </c>
      <c r="G4345" s="3">
        <v>66120</v>
      </c>
      <c r="H4345" s="2">
        <f t="shared" si="134"/>
        <v>112713</v>
      </c>
      <c r="I4345" t="str">
        <f t="shared" si="135"/>
        <v>Mat2b_112713</v>
      </c>
      <c r="J4345" s="3">
        <v>0</v>
      </c>
      <c r="K4345" s="3">
        <v>3298</v>
      </c>
      <c r="L4345" s="3">
        <v>3088</v>
      </c>
      <c r="M4345" s="3">
        <v>40207</v>
      </c>
      <c r="N4345" s="3">
        <v>66120</v>
      </c>
    </row>
    <row r="4346" spans="1:14" x14ac:dyDescent="0.2">
      <c r="A4346" s="5" t="str">
        <f>HYPERLINK("http://www.ncbi.nlm.nih.gov/protein/6754646","Matk")</f>
        <v>Matk</v>
      </c>
      <c r="B4346" s="4"/>
      <c r="C4346" s="3">
        <v>0</v>
      </c>
      <c r="D4346" s="3">
        <v>171</v>
      </c>
      <c r="E4346" s="3">
        <v>0</v>
      </c>
      <c r="F4346" s="3">
        <v>0</v>
      </c>
      <c r="G4346" s="3">
        <v>0</v>
      </c>
      <c r="H4346" s="2">
        <f t="shared" si="134"/>
        <v>171</v>
      </c>
      <c r="I4346" t="str">
        <f t="shared" si="135"/>
        <v>Matk_171</v>
      </c>
      <c r="J4346" s="3">
        <v>0</v>
      </c>
      <c r="K4346" s="3">
        <v>171</v>
      </c>
      <c r="L4346" s="3">
        <v>0</v>
      </c>
      <c r="M4346" s="3">
        <v>0</v>
      </c>
      <c r="N4346" s="3">
        <v>0</v>
      </c>
    </row>
    <row r="4347" spans="1:14" x14ac:dyDescent="0.2">
      <c r="A4347" s="5" t="str">
        <f>HYPERLINK("http://www.ncbi.nlm.nih.gov/protein/25141233","Matr3")</f>
        <v>Matr3</v>
      </c>
      <c r="B4347" s="4"/>
      <c r="C4347" s="3">
        <v>109799</v>
      </c>
      <c r="D4347" s="3">
        <v>0</v>
      </c>
      <c r="E4347" s="3">
        <v>3693</v>
      </c>
      <c r="F4347" s="3">
        <v>6246</v>
      </c>
      <c r="G4347" s="3">
        <v>0</v>
      </c>
      <c r="H4347" s="2">
        <f t="shared" si="134"/>
        <v>119738</v>
      </c>
      <c r="I4347" t="str">
        <f t="shared" si="135"/>
        <v>Matr3_119738</v>
      </c>
      <c r="J4347" s="3">
        <v>109799</v>
      </c>
      <c r="K4347" s="3">
        <v>0</v>
      </c>
      <c r="L4347" s="3">
        <v>3693</v>
      </c>
      <c r="M4347" s="3">
        <v>6246</v>
      </c>
      <c r="N4347" s="3">
        <v>0</v>
      </c>
    </row>
    <row r="4348" spans="1:14" x14ac:dyDescent="0.2">
      <c r="A4348" s="5" t="str">
        <f>HYPERLINK("http://www.ncbi.nlm.nih.gov/protein/269308211","Mau2")</f>
        <v>Mau2</v>
      </c>
      <c r="B4348" s="4"/>
      <c r="C4348" s="3">
        <v>0</v>
      </c>
      <c r="D4348" s="3">
        <v>0</v>
      </c>
      <c r="E4348" s="3">
        <v>57</v>
      </c>
      <c r="F4348" s="3">
        <v>0</v>
      </c>
      <c r="G4348" s="3">
        <v>0</v>
      </c>
      <c r="H4348" s="2">
        <f t="shared" si="134"/>
        <v>57</v>
      </c>
      <c r="I4348" t="str">
        <f t="shared" si="135"/>
        <v>Mau2_57</v>
      </c>
      <c r="J4348" s="3">
        <v>0</v>
      </c>
      <c r="K4348" s="3">
        <v>0</v>
      </c>
      <c r="L4348" s="3">
        <v>57</v>
      </c>
      <c r="M4348" s="3">
        <v>0</v>
      </c>
      <c r="N4348" s="3">
        <v>0</v>
      </c>
    </row>
    <row r="4349" spans="1:14" x14ac:dyDescent="0.2">
      <c r="A4349" s="5" t="str">
        <f>HYPERLINK("http://www.ncbi.nlm.nih.gov/protein/269308215","Mau2")</f>
        <v>Mau2</v>
      </c>
      <c r="B4349" s="4"/>
      <c r="C4349" s="3">
        <v>0</v>
      </c>
      <c r="D4349" s="3">
        <v>0</v>
      </c>
      <c r="E4349" s="3">
        <v>57</v>
      </c>
      <c r="F4349" s="3">
        <v>0</v>
      </c>
      <c r="G4349" s="3">
        <v>0</v>
      </c>
      <c r="H4349" s="2">
        <f t="shared" si="134"/>
        <v>57</v>
      </c>
      <c r="I4349" t="str">
        <f t="shared" si="135"/>
        <v>Mau2_57</v>
      </c>
      <c r="J4349" s="3">
        <v>0</v>
      </c>
      <c r="K4349" s="3">
        <v>0</v>
      </c>
      <c r="L4349" s="3">
        <v>57</v>
      </c>
      <c r="M4349" s="3">
        <v>0</v>
      </c>
      <c r="N4349" s="3">
        <v>0</v>
      </c>
    </row>
    <row r="4350" spans="1:14" x14ac:dyDescent="0.2">
      <c r="A4350" s="5" t="str">
        <f>HYPERLINK("http://www.ncbi.nlm.nih.gov/protein/21450263","Mavs")</f>
        <v>Mavs</v>
      </c>
      <c r="B4350" s="4"/>
      <c r="C4350" s="3">
        <v>3387</v>
      </c>
      <c r="D4350" s="3">
        <v>109</v>
      </c>
      <c r="E4350" s="3">
        <v>88</v>
      </c>
      <c r="F4350" s="3">
        <v>0</v>
      </c>
      <c r="G4350" s="3">
        <v>4059</v>
      </c>
      <c r="H4350" s="2">
        <f t="shared" si="134"/>
        <v>7643</v>
      </c>
      <c r="I4350" t="str">
        <f t="shared" si="135"/>
        <v>Mavs_7643</v>
      </c>
      <c r="J4350" s="3">
        <v>3387</v>
      </c>
      <c r="K4350" s="3">
        <v>109</v>
      </c>
      <c r="L4350" s="3">
        <v>88</v>
      </c>
      <c r="M4350" s="3">
        <v>0</v>
      </c>
      <c r="N4350" s="3">
        <v>4059</v>
      </c>
    </row>
    <row r="4351" spans="1:14" x14ac:dyDescent="0.2">
      <c r="A4351" s="5" t="str">
        <f>HYPERLINK("http://www.ncbi.nlm.nih.gov/protein/329755284","Mavs")</f>
        <v>Mavs</v>
      </c>
      <c r="B4351" s="4"/>
      <c r="C4351" s="3">
        <v>2563</v>
      </c>
      <c r="D4351" s="3">
        <v>77</v>
      </c>
      <c r="E4351" s="3">
        <v>88</v>
      </c>
      <c r="F4351" s="3">
        <v>0</v>
      </c>
      <c r="G4351" s="3">
        <v>4059</v>
      </c>
      <c r="H4351" s="2">
        <f t="shared" si="134"/>
        <v>6787</v>
      </c>
      <c r="I4351" t="str">
        <f t="shared" si="135"/>
        <v>Mavs_6787</v>
      </c>
      <c r="J4351" s="3">
        <v>2563</v>
      </c>
      <c r="K4351" s="3">
        <v>77</v>
      </c>
      <c r="L4351" s="3">
        <v>88</v>
      </c>
      <c r="M4351" s="3">
        <v>0</v>
      </c>
      <c r="N4351" s="3">
        <v>4059</v>
      </c>
    </row>
    <row r="4352" spans="1:14" x14ac:dyDescent="0.2">
      <c r="A4352" s="5" t="str">
        <f>HYPERLINK("http://www.ncbi.nlm.nih.gov/protein/226051832","Max")</f>
        <v>Max</v>
      </c>
      <c r="B4352" s="4"/>
      <c r="C4352" s="3">
        <v>0</v>
      </c>
      <c r="D4352" s="3">
        <v>0</v>
      </c>
      <c r="E4352" s="3">
        <v>0</v>
      </c>
      <c r="F4352" s="3">
        <v>0</v>
      </c>
      <c r="G4352" s="3">
        <v>1574</v>
      </c>
      <c r="H4352" s="2">
        <f t="shared" si="134"/>
        <v>1574</v>
      </c>
      <c r="I4352" t="str">
        <f t="shared" si="135"/>
        <v>Max_1574</v>
      </c>
      <c r="J4352" s="3">
        <v>0</v>
      </c>
      <c r="K4352" s="3">
        <v>0</v>
      </c>
      <c r="L4352" s="3">
        <v>0</v>
      </c>
      <c r="M4352" s="3">
        <v>0</v>
      </c>
      <c r="N4352" s="3">
        <v>1574</v>
      </c>
    </row>
    <row r="4353" spans="1:14" x14ac:dyDescent="0.2">
      <c r="A4353" s="5" t="str">
        <f>HYPERLINK("http://www.ncbi.nlm.nih.gov/protein/226051848","Max")</f>
        <v>Max</v>
      </c>
      <c r="B4353" s="4"/>
      <c r="C4353" s="3">
        <v>0</v>
      </c>
      <c r="D4353" s="3">
        <v>0</v>
      </c>
      <c r="E4353" s="3">
        <v>0</v>
      </c>
      <c r="F4353" s="3">
        <v>0</v>
      </c>
      <c r="G4353" s="3">
        <v>1574</v>
      </c>
      <c r="H4353" s="2">
        <f t="shared" si="134"/>
        <v>1574</v>
      </c>
      <c r="I4353" t="str">
        <f t="shared" si="135"/>
        <v>Max_1574</v>
      </c>
      <c r="J4353" s="3">
        <v>0</v>
      </c>
      <c r="K4353" s="3">
        <v>0</v>
      </c>
      <c r="L4353" s="3">
        <v>0</v>
      </c>
      <c r="M4353" s="3">
        <v>0</v>
      </c>
      <c r="N4353" s="3">
        <v>1574</v>
      </c>
    </row>
    <row r="4354" spans="1:14" x14ac:dyDescent="0.2">
      <c r="A4354" s="5" t="str">
        <f>HYPERLINK("http://www.ncbi.nlm.nih.gov/protein/116812912","Mb21d1")</f>
        <v>Mb21d1</v>
      </c>
      <c r="B4354" s="4"/>
      <c r="C4354" s="3">
        <v>0</v>
      </c>
      <c r="D4354" s="3">
        <v>0</v>
      </c>
      <c r="E4354" s="3">
        <v>0</v>
      </c>
      <c r="F4354" s="3">
        <v>1007</v>
      </c>
      <c r="G4354" s="3">
        <v>0</v>
      </c>
      <c r="H4354" s="2">
        <f t="shared" ref="H4354:H4417" si="136">SUM(C4354:G4354)</f>
        <v>1007</v>
      </c>
      <c r="I4354" t="str">
        <f t="shared" ref="I4354:I4417" si="137">A4354&amp;"_"&amp;H4354</f>
        <v>Mb21d1_1007</v>
      </c>
      <c r="J4354" s="3">
        <v>0</v>
      </c>
      <c r="K4354" s="3">
        <v>0</v>
      </c>
      <c r="L4354" s="3">
        <v>0</v>
      </c>
      <c r="M4354" s="3">
        <v>1007</v>
      </c>
      <c r="N4354" s="3">
        <v>0</v>
      </c>
    </row>
    <row r="4355" spans="1:14" x14ac:dyDescent="0.2">
      <c r="A4355" s="5" t="str">
        <f>HYPERLINK("http://www.ncbi.nlm.nih.gov/protein/7305261","Mbd3")</f>
        <v>Mbd3</v>
      </c>
      <c r="B4355" s="4"/>
      <c r="C4355" s="3">
        <v>1464</v>
      </c>
      <c r="D4355" s="3">
        <v>13</v>
      </c>
      <c r="E4355" s="3">
        <v>0</v>
      </c>
      <c r="F4355" s="3">
        <v>2341</v>
      </c>
      <c r="G4355" s="3">
        <v>0</v>
      </c>
      <c r="H4355" s="2">
        <f t="shared" si="136"/>
        <v>3818</v>
      </c>
      <c r="I4355" t="str">
        <f t="shared" si="137"/>
        <v>Mbd3_3818</v>
      </c>
      <c r="J4355" s="3">
        <v>1464</v>
      </c>
      <c r="K4355" s="3">
        <v>13</v>
      </c>
      <c r="L4355" s="3">
        <v>0</v>
      </c>
      <c r="M4355" s="3">
        <v>2341</v>
      </c>
      <c r="N4355" s="3">
        <v>0</v>
      </c>
    </row>
    <row r="4356" spans="1:14" x14ac:dyDescent="0.2">
      <c r="A4356" s="5" t="str">
        <f>HYPERLINK("http://www.ncbi.nlm.nih.gov/protein/29244490","Mblac1")</f>
        <v>Mblac1</v>
      </c>
      <c r="B4356" s="4"/>
      <c r="C4356" s="3">
        <v>0</v>
      </c>
      <c r="D4356" s="3">
        <v>0</v>
      </c>
      <c r="E4356" s="3">
        <v>0</v>
      </c>
      <c r="F4356" s="3">
        <v>0</v>
      </c>
      <c r="G4356" s="3">
        <v>9178</v>
      </c>
      <c r="H4356" s="2">
        <f t="shared" si="136"/>
        <v>9178</v>
      </c>
      <c r="I4356" t="str">
        <f t="shared" si="137"/>
        <v>Mblac1_9178</v>
      </c>
      <c r="J4356" s="3">
        <v>0</v>
      </c>
      <c r="K4356" s="3">
        <v>0</v>
      </c>
      <c r="L4356" s="3">
        <v>0</v>
      </c>
      <c r="M4356" s="3">
        <v>0</v>
      </c>
      <c r="N4356" s="3">
        <v>9178</v>
      </c>
    </row>
    <row r="4357" spans="1:14" x14ac:dyDescent="0.2">
      <c r="A4357" s="5" t="str">
        <f>HYPERLINK("http://www.ncbi.nlm.nih.gov/protein/358679352","Mbnl1")</f>
        <v>Mbnl1</v>
      </c>
      <c r="B4357" s="4"/>
      <c r="C4357" s="3">
        <v>0</v>
      </c>
      <c r="D4357" s="3">
        <v>0</v>
      </c>
      <c r="E4357" s="3">
        <v>540</v>
      </c>
      <c r="F4357" s="3">
        <v>0</v>
      </c>
      <c r="G4357" s="3">
        <v>0</v>
      </c>
      <c r="H4357" s="2">
        <f t="shared" si="136"/>
        <v>540</v>
      </c>
      <c r="I4357" t="str">
        <f t="shared" si="137"/>
        <v>Mbnl1_540</v>
      </c>
      <c r="J4357" s="3">
        <v>0</v>
      </c>
      <c r="K4357" s="3">
        <v>0</v>
      </c>
      <c r="L4357" s="3">
        <v>540</v>
      </c>
      <c r="M4357" s="3">
        <v>0</v>
      </c>
      <c r="N4357" s="3">
        <v>0</v>
      </c>
    </row>
    <row r="4358" spans="1:14" x14ac:dyDescent="0.2">
      <c r="A4358" s="5" t="str">
        <f>HYPERLINK("http://www.ncbi.nlm.nih.gov/protein/46411182","Mbnl1")</f>
        <v>Mbnl1</v>
      </c>
      <c r="B4358" s="4"/>
      <c r="C4358" s="3">
        <v>0</v>
      </c>
      <c r="D4358" s="3">
        <v>0</v>
      </c>
      <c r="E4358" s="3">
        <v>540</v>
      </c>
      <c r="F4358" s="3">
        <v>0</v>
      </c>
      <c r="G4358" s="3">
        <v>0</v>
      </c>
      <c r="H4358" s="2">
        <f t="shared" si="136"/>
        <v>540</v>
      </c>
      <c r="I4358" t="str">
        <f t="shared" si="137"/>
        <v>Mbnl1_540</v>
      </c>
      <c r="J4358" s="3">
        <v>0</v>
      </c>
      <c r="K4358" s="3">
        <v>0</v>
      </c>
      <c r="L4358" s="3">
        <v>540</v>
      </c>
      <c r="M4358" s="3">
        <v>0</v>
      </c>
      <c r="N4358" s="3">
        <v>0</v>
      </c>
    </row>
    <row r="4359" spans="1:14" x14ac:dyDescent="0.2">
      <c r="A4359" s="5" t="str">
        <f>HYPERLINK("http://www.ncbi.nlm.nih.gov/protein/30425032","Mbnl2")</f>
        <v>Mbnl2</v>
      </c>
      <c r="B4359" s="4"/>
      <c r="C4359" s="3">
        <v>0</v>
      </c>
      <c r="D4359" s="3">
        <v>0</v>
      </c>
      <c r="E4359" s="3">
        <v>795</v>
      </c>
      <c r="F4359" s="3">
        <v>0</v>
      </c>
      <c r="G4359" s="3">
        <v>0</v>
      </c>
      <c r="H4359" s="2">
        <f t="shared" si="136"/>
        <v>795</v>
      </c>
      <c r="I4359" t="str">
        <f t="shared" si="137"/>
        <v>Mbnl2_795</v>
      </c>
      <c r="J4359" s="3">
        <v>0</v>
      </c>
      <c r="K4359" s="3">
        <v>0</v>
      </c>
      <c r="L4359" s="3">
        <v>795</v>
      </c>
      <c r="M4359" s="3">
        <v>0</v>
      </c>
      <c r="N4359" s="3">
        <v>0</v>
      </c>
    </row>
    <row r="4360" spans="1:14" x14ac:dyDescent="0.2">
      <c r="A4360" s="5" t="str">
        <f>HYPERLINK("http://www.ncbi.nlm.nih.gov/protein/46411185","Mbnl2")</f>
        <v>Mbnl2</v>
      </c>
      <c r="B4360" s="4"/>
      <c r="C4360" s="3">
        <v>0</v>
      </c>
      <c r="D4360" s="3">
        <v>0</v>
      </c>
      <c r="E4360" s="3">
        <v>577</v>
      </c>
      <c r="F4360" s="3">
        <v>0</v>
      </c>
      <c r="G4360" s="3">
        <v>0</v>
      </c>
      <c r="H4360" s="2">
        <f t="shared" si="136"/>
        <v>577</v>
      </c>
      <c r="I4360" t="str">
        <f t="shared" si="137"/>
        <v>Mbnl2_577</v>
      </c>
      <c r="J4360" s="3">
        <v>0</v>
      </c>
      <c r="K4360" s="3">
        <v>0</v>
      </c>
      <c r="L4360" s="3">
        <v>577</v>
      </c>
      <c r="M4360" s="3">
        <v>0</v>
      </c>
      <c r="N4360" s="3">
        <v>0</v>
      </c>
    </row>
    <row r="4361" spans="1:14" x14ac:dyDescent="0.2">
      <c r="A4361" s="5" t="str">
        <f>HYPERLINK("http://www.ncbi.nlm.nih.gov/protein/19527398","Mbnl3")</f>
        <v>Mbnl3</v>
      </c>
      <c r="B4361" s="4"/>
      <c r="C4361" s="3">
        <v>0</v>
      </c>
      <c r="D4361" s="3">
        <v>0</v>
      </c>
      <c r="E4361" s="3">
        <v>247</v>
      </c>
      <c r="F4361" s="3">
        <v>0</v>
      </c>
      <c r="G4361" s="3">
        <v>0</v>
      </c>
      <c r="H4361" s="2">
        <f t="shared" si="136"/>
        <v>247</v>
      </c>
      <c r="I4361" t="str">
        <f t="shared" si="137"/>
        <v>Mbnl3_247</v>
      </c>
      <c r="J4361" s="3">
        <v>0</v>
      </c>
      <c r="K4361" s="3">
        <v>0</v>
      </c>
      <c r="L4361" s="3">
        <v>247</v>
      </c>
      <c r="M4361" s="3">
        <v>0</v>
      </c>
      <c r="N4361" s="3">
        <v>0</v>
      </c>
    </row>
    <row r="4362" spans="1:14" x14ac:dyDescent="0.2">
      <c r="A4362" s="5" t="str">
        <f>HYPERLINK("http://www.ncbi.nlm.nih.gov/protein/23956314","Mboat1")</f>
        <v>Mboat1</v>
      </c>
      <c r="B4362" s="4"/>
      <c r="C4362" s="3">
        <v>0</v>
      </c>
      <c r="D4362" s="3">
        <v>0</v>
      </c>
      <c r="E4362" s="3">
        <v>7</v>
      </c>
      <c r="F4362" s="3">
        <v>0</v>
      </c>
      <c r="G4362" s="3">
        <v>0</v>
      </c>
      <c r="H4362" s="2">
        <f t="shared" si="136"/>
        <v>7</v>
      </c>
      <c r="I4362" t="str">
        <f t="shared" si="137"/>
        <v>Mboat1_7</v>
      </c>
      <c r="J4362" s="3">
        <v>0</v>
      </c>
      <c r="K4362" s="3">
        <v>0</v>
      </c>
      <c r="L4362" s="3">
        <v>7</v>
      </c>
      <c r="M4362" s="3">
        <v>0</v>
      </c>
      <c r="N4362" s="3">
        <v>0</v>
      </c>
    </row>
    <row r="4363" spans="1:14" x14ac:dyDescent="0.2">
      <c r="A4363" s="5" t="str">
        <f>HYPERLINK("http://www.ncbi.nlm.nih.gov/protein/31542014","Mboat7")</f>
        <v>Mboat7</v>
      </c>
      <c r="B4363" s="4"/>
      <c r="C4363" s="3">
        <v>0</v>
      </c>
      <c r="D4363" s="3">
        <v>357</v>
      </c>
      <c r="E4363" s="3">
        <v>433</v>
      </c>
      <c r="F4363" s="3">
        <v>0</v>
      </c>
      <c r="G4363" s="3">
        <v>0</v>
      </c>
      <c r="H4363" s="2">
        <f t="shared" si="136"/>
        <v>790</v>
      </c>
      <c r="I4363" t="str">
        <f t="shared" si="137"/>
        <v>Mboat7_790</v>
      </c>
      <c r="J4363" s="3">
        <v>0</v>
      </c>
      <c r="K4363" s="3">
        <v>357</v>
      </c>
      <c r="L4363" s="3">
        <v>433</v>
      </c>
      <c r="M4363" s="3">
        <v>0</v>
      </c>
      <c r="N4363" s="3">
        <v>0</v>
      </c>
    </row>
    <row r="4364" spans="1:14" x14ac:dyDescent="0.2">
      <c r="A4364" s="5" t="str">
        <f>HYPERLINK("http://www.ncbi.nlm.nih.gov/protein/71725343","Mcat")</f>
        <v>Mcat</v>
      </c>
      <c r="B4364" s="4"/>
      <c r="C4364" s="3">
        <v>0</v>
      </c>
      <c r="D4364" s="3">
        <v>21</v>
      </c>
      <c r="E4364" s="3">
        <v>0</v>
      </c>
      <c r="F4364" s="3">
        <v>0</v>
      </c>
      <c r="G4364" s="3">
        <v>0</v>
      </c>
      <c r="H4364" s="2">
        <f t="shared" si="136"/>
        <v>21</v>
      </c>
      <c r="I4364" t="str">
        <f t="shared" si="137"/>
        <v>Mcat_21</v>
      </c>
      <c r="J4364" s="3">
        <v>0</v>
      </c>
      <c r="K4364" s="3">
        <v>21</v>
      </c>
      <c r="L4364" s="3">
        <v>0</v>
      </c>
      <c r="M4364" s="3">
        <v>0</v>
      </c>
      <c r="N4364" s="3">
        <v>0</v>
      </c>
    </row>
    <row r="4365" spans="1:14" x14ac:dyDescent="0.2">
      <c r="A4365" s="5" t="str">
        <f>HYPERLINK("http://www.ncbi.nlm.nih.gov/protein/186700620","Mccc1")</f>
        <v>Mccc1</v>
      </c>
      <c r="B4365" s="4"/>
      <c r="C4365" s="3">
        <v>5657</v>
      </c>
      <c r="D4365" s="3">
        <v>10139</v>
      </c>
      <c r="E4365" s="3">
        <v>0</v>
      </c>
      <c r="F4365" s="3">
        <v>1334</v>
      </c>
      <c r="G4365" s="3">
        <v>0</v>
      </c>
      <c r="H4365" s="2">
        <f t="shared" si="136"/>
        <v>17130</v>
      </c>
      <c r="I4365" t="str">
        <f t="shared" si="137"/>
        <v>Mccc1_17130</v>
      </c>
      <c r="J4365" s="3">
        <v>5657</v>
      </c>
      <c r="K4365" s="3">
        <v>10139</v>
      </c>
      <c r="L4365" s="3">
        <v>0</v>
      </c>
      <c r="M4365" s="3">
        <v>1334</v>
      </c>
      <c r="N4365" s="3">
        <v>0</v>
      </c>
    </row>
    <row r="4366" spans="1:14" x14ac:dyDescent="0.2">
      <c r="A4366" s="5" t="str">
        <f>HYPERLINK("http://www.ncbi.nlm.nih.gov/protein/73622267","Mccc2")</f>
        <v>Mccc2</v>
      </c>
      <c r="B4366" s="4"/>
      <c r="C4366" s="3">
        <v>1483</v>
      </c>
      <c r="D4366" s="3">
        <v>6018</v>
      </c>
      <c r="E4366" s="3">
        <v>0</v>
      </c>
      <c r="F4366" s="3">
        <v>1711</v>
      </c>
      <c r="G4366" s="3">
        <v>0</v>
      </c>
      <c r="H4366" s="2">
        <f t="shared" si="136"/>
        <v>9212</v>
      </c>
      <c r="I4366" t="str">
        <f t="shared" si="137"/>
        <v>Mccc2_9212</v>
      </c>
      <c r="J4366" s="3">
        <v>1483</v>
      </c>
      <c r="K4366" s="3">
        <v>6018</v>
      </c>
      <c r="L4366" s="3">
        <v>0</v>
      </c>
      <c r="M4366" s="3">
        <v>1711</v>
      </c>
      <c r="N4366" s="3">
        <v>0</v>
      </c>
    </row>
    <row r="4367" spans="1:14" x14ac:dyDescent="0.2">
      <c r="A4367" s="5" t="str">
        <f>HYPERLINK("http://www.ncbi.nlm.nih.gov/protein/165972319","Mcf2")</f>
        <v>Mcf2</v>
      </c>
      <c r="B4367" s="4"/>
      <c r="C4367" s="3">
        <v>29894</v>
      </c>
      <c r="D4367" s="3">
        <v>4296</v>
      </c>
      <c r="E4367" s="3">
        <v>18251</v>
      </c>
      <c r="F4367" s="3">
        <v>4355</v>
      </c>
      <c r="G4367" s="3">
        <v>82046</v>
      </c>
      <c r="H4367" s="2">
        <f t="shared" si="136"/>
        <v>138842</v>
      </c>
      <c r="I4367" t="str">
        <f t="shared" si="137"/>
        <v>Mcf2_138842</v>
      </c>
      <c r="J4367" s="3">
        <v>29894</v>
      </c>
      <c r="K4367" s="3">
        <v>4296</v>
      </c>
      <c r="L4367" s="3">
        <v>18251</v>
      </c>
      <c r="M4367" s="3">
        <v>4355</v>
      </c>
      <c r="N4367" s="3">
        <v>82046</v>
      </c>
    </row>
    <row r="4368" spans="1:14" x14ac:dyDescent="0.2">
      <c r="A4368" s="5" t="str">
        <f>HYPERLINK("http://www.ncbi.nlm.nih.gov/protein/21314834","Mcfd2")</f>
        <v>Mcfd2</v>
      </c>
      <c r="B4368" s="4"/>
      <c r="C4368" s="3">
        <v>0</v>
      </c>
      <c r="D4368" s="3">
        <v>601</v>
      </c>
      <c r="E4368" s="3">
        <v>329</v>
      </c>
      <c r="F4368" s="3">
        <v>0</v>
      </c>
      <c r="G4368" s="3">
        <v>0</v>
      </c>
      <c r="H4368" s="2">
        <f t="shared" si="136"/>
        <v>930</v>
      </c>
      <c r="I4368" t="str">
        <f t="shared" si="137"/>
        <v>Mcfd2_930</v>
      </c>
      <c r="J4368" s="3">
        <v>0</v>
      </c>
      <c r="K4368" s="3">
        <v>601</v>
      </c>
      <c r="L4368" s="3">
        <v>329</v>
      </c>
      <c r="M4368" s="3">
        <v>0</v>
      </c>
      <c r="N4368" s="3">
        <v>0</v>
      </c>
    </row>
    <row r="4369" spans="1:14" x14ac:dyDescent="0.2">
      <c r="A4369" s="5" t="str">
        <f>HYPERLINK("http://www.ncbi.nlm.nih.gov/protein/309262615","Mcg1038069")</f>
        <v>Mcg1038069</v>
      </c>
      <c r="B4369" s="4"/>
      <c r="C4369" s="3">
        <v>45857</v>
      </c>
      <c r="D4369" s="3">
        <v>47274</v>
      </c>
      <c r="E4369" s="3">
        <v>23859</v>
      </c>
      <c r="F4369" s="3">
        <v>135905</v>
      </c>
      <c r="G4369" s="3">
        <v>21290</v>
      </c>
      <c r="H4369" s="2">
        <f t="shared" si="136"/>
        <v>274185</v>
      </c>
      <c r="I4369" t="str">
        <f t="shared" si="137"/>
        <v>Mcg1038069_274185</v>
      </c>
      <c r="J4369" s="3">
        <v>45857</v>
      </c>
      <c r="K4369" s="3">
        <v>47274</v>
      </c>
      <c r="L4369" s="3">
        <v>23859</v>
      </c>
      <c r="M4369" s="3">
        <v>135905</v>
      </c>
      <c r="N4369" s="3">
        <v>21290</v>
      </c>
    </row>
    <row r="4370" spans="1:14" x14ac:dyDescent="0.2">
      <c r="A4370" s="5" t="str">
        <f>HYPERLINK("http://www.ncbi.nlm.nih.gov/protein/6678824","Mcl1")</f>
        <v>Mcl1</v>
      </c>
      <c r="B4370" s="4"/>
      <c r="C4370" s="3">
        <v>0</v>
      </c>
      <c r="D4370" s="3">
        <v>1576</v>
      </c>
      <c r="E4370" s="3">
        <v>0</v>
      </c>
      <c r="F4370" s="3">
        <v>0</v>
      </c>
      <c r="G4370" s="3">
        <v>0</v>
      </c>
      <c r="H4370" s="2">
        <f t="shared" si="136"/>
        <v>1576</v>
      </c>
      <c r="I4370" t="str">
        <f t="shared" si="137"/>
        <v>Mcl1_1576</v>
      </c>
      <c r="J4370" s="3">
        <v>0</v>
      </c>
      <c r="K4370" s="3">
        <v>1576</v>
      </c>
      <c r="L4370" s="3">
        <v>0</v>
      </c>
      <c r="M4370" s="3">
        <v>0</v>
      </c>
      <c r="N4370" s="3">
        <v>0</v>
      </c>
    </row>
    <row r="4371" spans="1:14" x14ac:dyDescent="0.2">
      <c r="A4371" s="5" t="str">
        <f>HYPERLINK("http://www.ncbi.nlm.nih.gov/protein/172088119","Mcm2")</f>
        <v>Mcm2</v>
      </c>
      <c r="B4371" s="4"/>
      <c r="C4371" s="3">
        <v>309060</v>
      </c>
      <c r="D4371" s="3">
        <v>12391</v>
      </c>
      <c r="E4371" s="3">
        <v>44274</v>
      </c>
      <c r="F4371" s="3">
        <v>655631</v>
      </c>
      <c r="G4371" s="3">
        <v>243491</v>
      </c>
      <c r="H4371" s="2">
        <f t="shared" si="136"/>
        <v>1264847</v>
      </c>
      <c r="I4371" t="str">
        <f t="shared" si="137"/>
        <v>Mcm2_1264847</v>
      </c>
      <c r="J4371" s="3">
        <v>309060</v>
      </c>
      <c r="K4371" s="3">
        <v>12391</v>
      </c>
      <c r="L4371" s="3">
        <v>44274</v>
      </c>
      <c r="M4371" s="3">
        <v>655631</v>
      </c>
      <c r="N4371" s="3">
        <v>243491</v>
      </c>
    </row>
    <row r="4372" spans="1:14" x14ac:dyDescent="0.2">
      <c r="A4372" s="5" t="str">
        <f>HYPERLINK("http://www.ncbi.nlm.nih.gov/protein/33859484","Mcm3")</f>
        <v>Mcm3</v>
      </c>
      <c r="B4372" s="4"/>
      <c r="C4372" s="3">
        <v>321051</v>
      </c>
      <c r="D4372" s="3">
        <v>20334</v>
      </c>
      <c r="E4372" s="3">
        <v>30725</v>
      </c>
      <c r="F4372" s="3">
        <v>666108</v>
      </c>
      <c r="G4372" s="3">
        <v>148123</v>
      </c>
      <c r="H4372" s="2">
        <f t="shared" si="136"/>
        <v>1186341</v>
      </c>
      <c r="I4372" t="str">
        <f t="shared" si="137"/>
        <v>Mcm3_1186341</v>
      </c>
      <c r="J4372" s="3">
        <v>321051</v>
      </c>
      <c r="K4372" s="3">
        <v>20334</v>
      </c>
      <c r="L4372" s="3">
        <v>30725</v>
      </c>
      <c r="M4372" s="3">
        <v>666108</v>
      </c>
      <c r="N4372" s="3">
        <v>148123</v>
      </c>
    </row>
    <row r="4373" spans="1:14" x14ac:dyDescent="0.2">
      <c r="A4373" s="5" t="str">
        <f>HYPERLINK("http://www.ncbi.nlm.nih.gov/protein/255918149","Mcm4")</f>
        <v>Mcm4</v>
      </c>
      <c r="B4373" s="4"/>
      <c r="C4373" s="3">
        <v>333865</v>
      </c>
      <c r="D4373" s="3">
        <v>12498</v>
      </c>
      <c r="E4373" s="3">
        <v>19423</v>
      </c>
      <c r="F4373" s="3">
        <v>508487</v>
      </c>
      <c r="G4373" s="3">
        <v>82270</v>
      </c>
      <c r="H4373" s="2">
        <f t="shared" si="136"/>
        <v>956543</v>
      </c>
      <c r="I4373" t="str">
        <f t="shared" si="137"/>
        <v>Mcm4_956543</v>
      </c>
      <c r="J4373" s="3">
        <v>333865</v>
      </c>
      <c r="K4373" s="3">
        <v>12498</v>
      </c>
      <c r="L4373" s="3">
        <v>19423</v>
      </c>
      <c r="M4373" s="3">
        <v>508487</v>
      </c>
      <c r="N4373" s="3">
        <v>82270</v>
      </c>
    </row>
    <row r="4374" spans="1:14" x14ac:dyDescent="0.2">
      <c r="A4374" s="5" t="str">
        <f>HYPERLINK("http://www.ncbi.nlm.nih.gov/protein/112293273","Mcm5")</f>
        <v>Mcm5</v>
      </c>
      <c r="B4374" s="4"/>
      <c r="C4374" s="3">
        <v>384554</v>
      </c>
      <c r="D4374" s="3">
        <v>12828</v>
      </c>
      <c r="E4374" s="3">
        <v>30166</v>
      </c>
      <c r="F4374" s="3">
        <v>703901</v>
      </c>
      <c r="G4374" s="3">
        <v>107309</v>
      </c>
      <c r="H4374" s="2">
        <f t="shared" si="136"/>
        <v>1238758</v>
      </c>
      <c r="I4374" t="str">
        <f t="shared" si="137"/>
        <v>Mcm5_1238758</v>
      </c>
      <c r="J4374" s="3">
        <v>384554</v>
      </c>
      <c r="K4374" s="3">
        <v>12828</v>
      </c>
      <c r="L4374" s="3">
        <v>30166</v>
      </c>
      <c r="M4374" s="3">
        <v>703901</v>
      </c>
      <c r="N4374" s="3">
        <v>107309</v>
      </c>
    </row>
    <row r="4375" spans="1:14" x14ac:dyDescent="0.2">
      <c r="A4375" s="5" t="str">
        <f>HYPERLINK("http://www.ncbi.nlm.nih.gov/protein/6678832","Mcm6")</f>
        <v>Mcm6</v>
      </c>
      <c r="B4375" s="4"/>
      <c r="C4375" s="3">
        <v>551121</v>
      </c>
      <c r="D4375" s="3">
        <v>20349</v>
      </c>
      <c r="E4375" s="3">
        <v>30136</v>
      </c>
      <c r="F4375" s="3">
        <v>658692</v>
      </c>
      <c r="G4375" s="3">
        <v>128193</v>
      </c>
      <c r="H4375" s="2">
        <f t="shared" si="136"/>
        <v>1388491</v>
      </c>
      <c r="I4375" t="str">
        <f t="shared" si="137"/>
        <v>Mcm6_1388491</v>
      </c>
      <c r="J4375" s="3">
        <v>551121</v>
      </c>
      <c r="K4375" s="3">
        <v>20349</v>
      </c>
      <c r="L4375" s="3">
        <v>30136</v>
      </c>
      <c r="M4375" s="3">
        <v>658692</v>
      </c>
      <c r="N4375" s="3">
        <v>128193</v>
      </c>
    </row>
    <row r="4376" spans="1:14" x14ac:dyDescent="0.2">
      <c r="A4376" s="5" t="str">
        <f>HYPERLINK("http://www.ncbi.nlm.nih.gov/protein/10242373","Mcm7")</f>
        <v>Mcm7</v>
      </c>
      <c r="B4376" s="4"/>
      <c r="C4376" s="3">
        <v>448534</v>
      </c>
      <c r="D4376" s="3">
        <v>8928</v>
      </c>
      <c r="E4376" s="3">
        <v>35793</v>
      </c>
      <c r="F4376" s="3">
        <v>662327</v>
      </c>
      <c r="G4376" s="3">
        <v>74452</v>
      </c>
      <c r="H4376" s="2">
        <f t="shared" si="136"/>
        <v>1230034</v>
      </c>
      <c r="I4376" t="str">
        <f t="shared" si="137"/>
        <v>Mcm7_1230034</v>
      </c>
      <c r="J4376" s="3">
        <v>448534</v>
      </c>
      <c r="K4376" s="3">
        <v>8928</v>
      </c>
      <c r="L4376" s="3">
        <v>35793</v>
      </c>
      <c r="M4376" s="3">
        <v>662327</v>
      </c>
      <c r="N4376" s="3">
        <v>74452</v>
      </c>
    </row>
    <row r="4377" spans="1:14" x14ac:dyDescent="0.2">
      <c r="A4377" s="5" t="str">
        <f>HYPERLINK("http://www.ncbi.nlm.nih.gov/protein/22122389","Mcmbp")</f>
        <v>Mcmbp</v>
      </c>
      <c r="B4377" s="4"/>
      <c r="C4377" s="3">
        <v>0</v>
      </c>
      <c r="D4377" s="3">
        <v>860</v>
      </c>
      <c r="E4377" s="3">
        <v>1696</v>
      </c>
      <c r="F4377" s="3">
        <v>10101</v>
      </c>
      <c r="G4377" s="3">
        <v>21537</v>
      </c>
      <c r="H4377" s="2">
        <f t="shared" si="136"/>
        <v>34194</v>
      </c>
      <c r="I4377" t="str">
        <f t="shared" si="137"/>
        <v>Mcmbp_34194</v>
      </c>
      <c r="J4377" s="3">
        <v>0</v>
      </c>
      <c r="K4377" s="3">
        <v>860</v>
      </c>
      <c r="L4377" s="3">
        <v>1696</v>
      </c>
      <c r="M4377" s="3">
        <v>10101</v>
      </c>
      <c r="N4377" s="3">
        <v>21537</v>
      </c>
    </row>
    <row r="4378" spans="1:14" x14ac:dyDescent="0.2">
      <c r="A4378" s="5" t="str">
        <f>HYPERLINK("http://www.ncbi.nlm.nih.gov/protein/21389327","Mcoln2")</f>
        <v>Mcoln2</v>
      </c>
      <c r="B4378" s="4"/>
      <c r="C4378" s="3">
        <v>60703</v>
      </c>
      <c r="D4378" s="3">
        <v>1367</v>
      </c>
      <c r="E4378" s="3">
        <v>421</v>
      </c>
      <c r="F4378" s="3">
        <v>1473</v>
      </c>
      <c r="G4378" s="3">
        <v>4712</v>
      </c>
      <c r="H4378" s="2">
        <f t="shared" si="136"/>
        <v>68676</v>
      </c>
      <c r="I4378" t="str">
        <f t="shared" si="137"/>
        <v>Mcoln2_68676</v>
      </c>
      <c r="J4378" s="3">
        <v>60703</v>
      </c>
      <c r="K4378" s="3">
        <v>1367</v>
      </c>
      <c r="L4378" s="3">
        <v>421</v>
      </c>
      <c r="M4378" s="3">
        <v>1473</v>
      </c>
      <c r="N4378" s="3">
        <v>4712</v>
      </c>
    </row>
    <row r="4379" spans="1:14" x14ac:dyDescent="0.2">
      <c r="A4379" s="5" t="str">
        <f>HYPERLINK("http://www.ncbi.nlm.nih.gov/protein/54292128","Mcoln2")</f>
        <v>Mcoln2</v>
      </c>
      <c r="B4379" s="4"/>
      <c r="C4379" s="3">
        <v>60703</v>
      </c>
      <c r="D4379" s="3">
        <v>1367</v>
      </c>
      <c r="E4379" s="3">
        <v>421</v>
      </c>
      <c r="F4379" s="3">
        <v>1473</v>
      </c>
      <c r="G4379" s="3">
        <v>4712</v>
      </c>
      <c r="H4379" s="2">
        <f t="shared" si="136"/>
        <v>68676</v>
      </c>
      <c r="I4379" t="str">
        <f t="shared" si="137"/>
        <v>Mcoln2_68676</v>
      </c>
      <c r="J4379" s="3">
        <v>60703</v>
      </c>
      <c r="K4379" s="3">
        <v>1367</v>
      </c>
      <c r="L4379" s="3">
        <v>421</v>
      </c>
      <c r="M4379" s="3">
        <v>1473</v>
      </c>
      <c r="N4379" s="3">
        <v>4712</v>
      </c>
    </row>
    <row r="4380" spans="1:14" x14ac:dyDescent="0.2">
      <c r="A4380" s="5" t="str">
        <f>HYPERLINK("http://www.ncbi.nlm.nih.gov/protein/21312175","Mcts1")</f>
        <v>Mcts1</v>
      </c>
      <c r="B4380" s="4"/>
      <c r="C4380" s="3">
        <v>0</v>
      </c>
      <c r="D4380" s="3">
        <v>887</v>
      </c>
      <c r="E4380" s="3">
        <v>221</v>
      </c>
      <c r="F4380" s="3">
        <v>8816</v>
      </c>
      <c r="G4380" s="3">
        <v>225</v>
      </c>
      <c r="H4380" s="2">
        <f t="shared" si="136"/>
        <v>10149</v>
      </c>
      <c r="I4380" t="str">
        <f t="shared" si="137"/>
        <v>Mcts1_10149</v>
      </c>
      <c r="J4380" s="3">
        <v>0</v>
      </c>
      <c r="K4380" s="3">
        <v>887</v>
      </c>
      <c r="L4380" s="3">
        <v>221</v>
      </c>
      <c r="M4380" s="3">
        <v>8816</v>
      </c>
      <c r="N4380" s="3">
        <v>225</v>
      </c>
    </row>
    <row r="4381" spans="1:14" x14ac:dyDescent="0.2">
      <c r="A4381" s="5" t="str">
        <f>HYPERLINK("http://www.ncbi.nlm.nih.gov/protein/13384966","Mcts2")</f>
        <v>Mcts2</v>
      </c>
      <c r="B4381" s="4"/>
      <c r="C4381" s="3">
        <v>0</v>
      </c>
      <c r="D4381" s="3">
        <v>729</v>
      </c>
      <c r="E4381" s="3">
        <v>221</v>
      </c>
      <c r="F4381" s="3">
        <v>7359</v>
      </c>
      <c r="G4381" s="3">
        <v>225</v>
      </c>
      <c r="H4381" s="2">
        <f t="shared" si="136"/>
        <v>8534</v>
      </c>
      <c r="I4381" t="str">
        <f t="shared" si="137"/>
        <v>Mcts2_8534</v>
      </c>
      <c r="J4381" s="3">
        <v>0</v>
      </c>
      <c r="K4381" s="3">
        <v>729</v>
      </c>
      <c r="L4381" s="3">
        <v>221</v>
      </c>
      <c r="M4381" s="3">
        <v>7359</v>
      </c>
      <c r="N4381" s="3">
        <v>225</v>
      </c>
    </row>
    <row r="4382" spans="1:14" x14ac:dyDescent="0.2">
      <c r="A4382" s="5" t="str">
        <f>HYPERLINK("http://www.ncbi.nlm.nih.gov/protein/168823441","Mcu")</f>
        <v>Mcu</v>
      </c>
      <c r="B4382" s="4"/>
      <c r="C4382" s="3">
        <v>36392</v>
      </c>
      <c r="D4382" s="3">
        <v>9874</v>
      </c>
      <c r="E4382" s="3">
        <v>48</v>
      </c>
      <c r="F4382" s="3">
        <v>0</v>
      </c>
      <c r="G4382" s="3">
        <v>0</v>
      </c>
      <c r="H4382" s="2">
        <f t="shared" si="136"/>
        <v>46314</v>
      </c>
      <c r="I4382" t="str">
        <f t="shared" si="137"/>
        <v>Mcu_46314</v>
      </c>
      <c r="J4382" s="3">
        <v>36392</v>
      </c>
      <c r="K4382" s="3">
        <v>9874</v>
      </c>
      <c r="L4382" s="3">
        <v>48</v>
      </c>
      <c r="M4382" s="3">
        <v>0</v>
      </c>
      <c r="N4382" s="3">
        <v>0</v>
      </c>
    </row>
    <row r="4383" spans="1:14" x14ac:dyDescent="0.2">
      <c r="A4383" s="5" t="str">
        <f>HYPERLINK("http://www.ncbi.nlm.nih.gov/protein/124486696","Mcur1")</f>
        <v>Mcur1</v>
      </c>
      <c r="B4383" s="4"/>
      <c r="C4383" s="3">
        <v>0</v>
      </c>
      <c r="D4383" s="3">
        <v>129</v>
      </c>
      <c r="E4383" s="3">
        <v>0</v>
      </c>
      <c r="F4383" s="3">
        <v>0</v>
      </c>
      <c r="G4383" s="3">
        <v>0</v>
      </c>
      <c r="H4383" s="2">
        <f t="shared" si="136"/>
        <v>129</v>
      </c>
      <c r="I4383" t="str">
        <f t="shared" si="137"/>
        <v>Mcur1_129</v>
      </c>
      <c r="J4383" s="3">
        <v>0</v>
      </c>
      <c r="K4383" s="3">
        <v>129</v>
      </c>
      <c r="L4383" s="3">
        <v>0</v>
      </c>
      <c r="M4383" s="3">
        <v>0</v>
      </c>
      <c r="N4383" s="3">
        <v>0</v>
      </c>
    </row>
    <row r="4384" spans="1:14" x14ac:dyDescent="0.2">
      <c r="A4384" s="5" t="str">
        <f>HYPERLINK("http://www.ncbi.nlm.nih.gov/protein/132626693","Mdc1")</f>
        <v>Mdc1</v>
      </c>
      <c r="B4384" s="4"/>
      <c r="C4384" s="3">
        <v>513</v>
      </c>
      <c r="D4384" s="3">
        <v>0</v>
      </c>
      <c r="E4384" s="3">
        <v>0</v>
      </c>
      <c r="F4384" s="3">
        <v>0</v>
      </c>
      <c r="G4384" s="3">
        <v>0</v>
      </c>
      <c r="H4384" s="2">
        <f t="shared" si="136"/>
        <v>513</v>
      </c>
      <c r="I4384" t="str">
        <f t="shared" si="137"/>
        <v>Mdc1_513</v>
      </c>
      <c r="J4384" s="3">
        <v>513</v>
      </c>
      <c r="K4384" s="3">
        <v>0</v>
      </c>
      <c r="L4384" s="3">
        <v>0</v>
      </c>
      <c r="M4384" s="3">
        <v>0</v>
      </c>
      <c r="N4384" s="3">
        <v>0</v>
      </c>
    </row>
    <row r="4385" spans="1:14" x14ac:dyDescent="0.2">
      <c r="A4385" s="5" t="str">
        <f>HYPERLINK("http://www.ncbi.nlm.nih.gov/protein/124487209","Mdga1")</f>
        <v>Mdga1</v>
      </c>
      <c r="B4385" s="4"/>
      <c r="C4385" s="3">
        <v>0</v>
      </c>
      <c r="D4385" s="3">
        <v>0</v>
      </c>
      <c r="E4385" s="3">
        <v>0</v>
      </c>
      <c r="F4385" s="3">
        <v>0</v>
      </c>
      <c r="G4385" s="3">
        <v>3020</v>
      </c>
      <c r="H4385" s="2">
        <f t="shared" si="136"/>
        <v>3020</v>
      </c>
      <c r="I4385" t="str">
        <f t="shared" si="137"/>
        <v>Mdga1_3020</v>
      </c>
      <c r="J4385" s="3">
        <v>0</v>
      </c>
      <c r="K4385" s="3">
        <v>0</v>
      </c>
      <c r="L4385" s="3">
        <v>0</v>
      </c>
      <c r="M4385" s="3">
        <v>0</v>
      </c>
      <c r="N4385" s="3">
        <v>3020</v>
      </c>
    </row>
    <row r="4386" spans="1:14" x14ac:dyDescent="0.2">
      <c r="A4386" s="5" t="str">
        <f>HYPERLINK("http://www.ncbi.nlm.nih.gov/protein/254540027","Mdh1")</f>
        <v>Mdh1</v>
      </c>
      <c r="B4386" s="4"/>
      <c r="C4386" s="3">
        <v>74963</v>
      </c>
      <c r="D4386" s="3">
        <v>32075</v>
      </c>
      <c r="E4386" s="3">
        <v>49983</v>
      </c>
      <c r="F4386" s="3">
        <v>65935</v>
      </c>
      <c r="G4386" s="3">
        <v>480086</v>
      </c>
      <c r="H4386" s="2">
        <f t="shared" si="136"/>
        <v>703042</v>
      </c>
      <c r="I4386" t="str">
        <f t="shared" si="137"/>
        <v>Mdh1_703042</v>
      </c>
      <c r="J4386" s="3">
        <v>74963</v>
      </c>
      <c r="K4386" s="3">
        <v>32075</v>
      </c>
      <c r="L4386" s="3">
        <v>49983</v>
      </c>
      <c r="M4386" s="3">
        <v>65935</v>
      </c>
      <c r="N4386" s="3">
        <v>480086</v>
      </c>
    </row>
    <row r="4387" spans="1:14" x14ac:dyDescent="0.2">
      <c r="A4387" s="5" t="str">
        <f>HYPERLINK("http://www.ncbi.nlm.nih.gov/protein/31982186","Mdh2")</f>
        <v>Mdh2</v>
      </c>
      <c r="B4387" s="4"/>
      <c r="C4387" s="3">
        <v>1699256</v>
      </c>
      <c r="D4387" s="3">
        <v>185156</v>
      </c>
      <c r="E4387" s="3">
        <v>31350</v>
      </c>
      <c r="F4387" s="3">
        <v>3274</v>
      </c>
      <c r="G4387" s="3">
        <v>208086</v>
      </c>
      <c r="H4387" s="2">
        <f t="shared" si="136"/>
        <v>2127122</v>
      </c>
      <c r="I4387" t="str">
        <f t="shared" si="137"/>
        <v>Mdh2_2127122</v>
      </c>
      <c r="J4387" s="3">
        <v>1699256</v>
      </c>
      <c r="K4387" s="3">
        <v>185156</v>
      </c>
      <c r="L4387" s="3">
        <v>31350</v>
      </c>
      <c r="M4387" s="3">
        <v>3274</v>
      </c>
      <c r="N4387" s="3">
        <v>208086</v>
      </c>
    </row>
    <row r="4388" spans="1:14" x14ac:dyDescent="0.2">
      <c r="A4388" s="5" t="str">
        <f>HYPERLINK("http://www.ncbi.nlm.nih.gov/protein/31543245","Mdm4")</f>
        <v>Mdm4</v>
      </c>
      <c r="B4388" s="4"/>
      <c r="C4388" s="3">
        <v>3661</v>
      </c>
      <c r="D4388" s="3">
        <v>668</v>
      </c>
      <c r="E4388" s="3">
        <v>5201</v>
      </c>
      <c r="F4388" s="3">
        <v>6917</v>
      </c>
      <c r="G4388" s="3">
        <v>17360</v>
      </c>
      <c r="H4388" s="2">
        <f t="shared" si="136"/>
        <v>33807</v>
      </c>
      <c r="I4388" t="str">
        <f t="shared" si="137"/>
        <v>Mdm4_33807</v>
      </c>
      <c r="J4388" s="3">
        <v>3661</v>
      </c>
      <c r="K4388" s="3">
        <v>668</v>
      </c>
      <c r="L4388" s="3">
        <v>5201</v>
      </c>
      <c r="M4388" s="3">
        <v>6917</v>
      </c>
      <c r="N4388" s="3">
        <v>17360</v>
      </c>
    </row>
    <row r="4389" spans="1:14" x14ac:dyDescent="0.2">
      <c r="A4389" s="5" t="str">
        <f>HYPERLINK("http://www.ncbi.nlm.nih.gov/protein/124487133","Mdn1")</f>
        <v>Mdn1</v>
      </c>
      <c r="B4389" s="4"/>
      <c r="C4389" s="3">
        <v>0</v>
      </c>
      <c r="D4389" s="3">
        <v>0</v>
      </c>
      <c r="E4389" s="3">
        <v>925</v>
      </c>
      <c r="F4389" s="3">
        <v>761</v>
      </c>
      <c r="G4389" s="3">
        <v>0</v>
      </c>
      <c r="H4389" s="2">
        <f t="shared" si="136"/>
        <v>1686</v>
      </c>
      <c r="I4389" t="str">
        <f t="shared" si="137"/>
        <v>Mdn1_1686</v>
      </c>
      <c r="J4389" s="3">
        <v>0</v>
      </c>
      <c r="K4389" s="3">
        <v>0</v>
      </c>
      <c r="L4389" s="3">
        <v>925</v>
      </c>
      <c r="M4389" s="3">
        <v>761</v>
      </c>
      <c r="N4389" s="3">
        <v>0</v>
      </c>
    </row>
    <row r="4390" spans="1:14" x14ac:dyDescent="0.2">
      <c r="A4390" s="5" t="str">
        <f>HYPERLINK("http://www.ncbi.nlm.nih.gov/protein/12963663","Mdp1")</f>
        <v>Mdp1</v>
      </c>
      <c r="B4390" s="4"/>
      <c r="C4390" s="3">
        <v>0</v>
      </c>
      <c r="D4390" s="3">
        <v>1328</v>
      </c>
      <c r="E4390" s="3">
        <v>146</v>
      </c>
      <c r="F4390" s="3">
        <v>139</v>
      </c>
      <c r="G4390" s="3">
        <v>31764</v>
      </c>
      <c r="H4390" s="2">
        <f t="shared" si="136"/>
        <v>33377</v>
      </c>
      <c r="I4390" t="str">
        <f t="shared" si="137"/>
        <v>Mdp1_33377</v>
      </c>
      <c r="J4390" s="3">
        <v>0</v>
      </c>
      <c r="K4390" s="3">
        <v>1328</v>
      </c>
      <c r="L4390" s="3">
        <v>146</v>
      </c>
      <c r="M4390" s="3">
        <v>139</v>
      </c>
      <c r="N4390" s="3">
        <v>31764</v>
      </c>
    </row>
    <row r="4391" spans="1:14" x14ac:dyDescent="0.2">
      <c r="A4391" s="5" t="str">
        <f>HYPERLINK("http://www.ncbi.nlm.nih.gov/protein/162139827","Me1")</f>
        <v>Me1</v>
      </c>
      <c r="B4391" s="4"/>
      <c r="C4391" s="3">
        <v>0</v>
      </c>
      <c r="D4391" s="3">
        <v>1536</v>
      </c>
      <c r="E4391" s="3">
        <v>1841</v>
      </c>
      <c r="F4391" s="3">
        <v>83853</v>
      </c>
      <c r="G4391" s="3">
        <v>17157</v>
      </c>
      <c r="H4391" s="2">
        <f t="shared" si="136"/>
        <v>104387</v>
      </c>
      <c r="I4391" t="str">
        <f t="shared" si="137"/>
        <v>Me1_104387</v>
      </c>
      <c r="J4391" s="3">
        <v>0</v>
      </c>
      <c r="K4391" s="3">
        <v>1536</v>
      </c>
      <c r="L4391" s="3">
        <v>1841</v>
      </c>
      <c r="M4391" s="3">
        <v>83853</v>
      </c>
      <c r="N4391" s="3">
        <v>17157</v>
      </c>
    </row>
    <row r="4392" spans="1:14" x14ac:dyDescent="0.2">
      <c r="A4392" s="5" t="str">
        <f>HYPERLINK("http://www.ncbi.nlm.nih.gov/protein/312147392","Me1")</f>
        <v>Me1</v>
      </c>
      <c r="B4392" s="4"/>
      <c r="C4392" s="3">
        <v>0</v>
      </c>
      <c r="D4392" s="3">
        <v>1536</v>
      </c>
      <c r="E4392" s="3">
        <v>1841</v>
      </c>
      <c r="F4392" s="3">
        <v>82396</v>
      </c>
      <c r="G4392" s="3">
        <v>17157</v>
      </c>
      <c r="H4392" s="2">
        <f t="shared" si="136"/>
        <v>102930</v>
      </c>
      <c r="I4392" t="str">
        <f t="shared" si="137"/>
        <v>Me1_102930</v>
      </c>
      <c r="J4392" s="3">
        <v>0</v>
      </c>
      <c r="K4392" s="3">
        <v>1536</v>
      </c>
      <c r="L4392" s="3">
        <v>1841</v>
      </c>
      <c r="M4392" s="3">
        <v>82396</v>
      </c>
      <c r="N4392" s="3">
        <v>17157</v>
      </c>
    </row>
    <row r="4393" spans="1:14" x14ac:dyDescent="0.2">
      <c r="A4393" s="5" t="str">
        <f>HYPERLINK("http://www.ncbi.nlm.nih.gov/protein/21703972","Me2")</f>
        <v>Me2</v>
      </c>
      <c r="B4393" s="4"/>
      <c r="C4393" s="3">
        <v>7231</v>
      </c>
      <c r="D4393" s="3">
        <v>6133</v>
      </c>
      <c r="E4393" s="3">
        <v>0</v>
      </c>
      <c r="F4393" s="3">
        <v>0</v>
      </c>
      <c r="G4393" s="3">
        <v>0</v>
      </c>
      <c r="H4393" s="2">
        <f t="shared" si="136"/>
        <v>13364</v>
      </c>
      <c r="I4393" t="str">
        <f t="shared" si="137"/>
        <v>Me2_13364</v>
      </c>
      <c r="J4393" s="3">
        <v>7231</v>
      </c>
      <c r="K4393" s="3">
        <v>6133</v>
      </c>
      <c r="L4393" s="3">
        <v>0</v>
      </c>
      <c r="M4393" s="3">
        <v>0</v>
      </c>
      <c r="N4393" s="3">
        <v>0</v>
      </c>
    </row>
    <row r="4394" spans="1:14" x14ac:dyDescent="0.2">
      <c r="A4394" s="5" t="str">
        <f>HYPERLINK("http://www.ncbi.nlm.nih.gov/protein/227116358","Mecr")</f>
        <v>Mecr</v>
      </c>
      <c r="B4394" s="4"/>
      <c r="C4394" s="3">
        <v>0</v>
      </c>
      <c r="D4394" s="3">
        <v>2188</v>
      </c>
      <c r="E4394" s="3">
        <v>0</v>
      </c>
      <c r="F4394" s="3">
        <v>0</v>
      </c>
      <c r="G4394" s="3">
        <v>0</v>
      </c>
      <c r="H4394" s="2">
        <f t="shared" si="136"/>
        <v>2188</v>
      </c>
      <c r="I4394" t="str">
        <f t="shared" si="137"/>
        <v>Mecr_2188</v>
      </c>
      <c r="J4394" s="3">
        <v>0</v>
      </c>
      <c r="K4394" s="3">
        <v>2188</v>
      </c>
      <c r="L4394" s="3">
        <v>0</v>
      </c>
      <c r="M4394" s="3">
        <v>0</v>
      </c>
      <c r="N4394" s="3">
        <v>0</v>
      </c>
    </row>
    <row r="4395" spans="1:14" x14ac:dyDescent="0.2">
      <c r="A4395" s="5" t="str">
        <f>HYPERLINK("http://www.ncbi.nlm.nih.gov/protein/121582398","Med1")</f>
        <v>Med1</v>
      </c>
      <c r="B4395" s="4"/>
      <c r="C4395" s="3">
        <v>0</v>
      </c>
      <c r="D4395" s="3">
        <v>0</v>
      </c>
      <c r="E4395" s="3">
        <v>143</v>
      </c>
      <c r="F4395" s="3">
        <v>0</v>
      </c>
      <c r="G4395" s="3">
        <v>0</v>
      </c>
      <c r="H4395" s="2">
        <f t="shared" si="136"/>
        <v>143</v>
      </c>
      <c r="I4395" t="str">
        <f t="shared" si="137"/>
        <v>Med1_143</v>
      </c>
      <c r="J4395" s="3">
        <v>0</v>
      </c>
      <c r="K4395" s="3">
        <v>0</v>
      </c>
      <c r="L4395" s="3">
        <v>143</v>
      </c>
      <c r="M4395" s="3">
        <v>0</v>
      </c>
      <c r="N4395" s="3">
        <v>0</v>
      </c>
    </row>
    <row r="4396" spans="1:14" x14ac:dyDescent="0.2">
      <c r="A4396" s="5" t="str">
        <f>HYPERLINK("http://www.ncbi.nlm.nih.gov/protein/121582430","Med1")</f>
        <v>Med1</v>
      </c>
      <c r="B4396" s="4"/>
      <c r="C4396" s="3">
        <v>0</v>
      </c>
      <c r="D4396" s="3">
        <v>0</v>
      </c>
      <c r="E4396" s="3">
        <v>143</v>
      </c>
      <c r="F4396" s="3">
        <v>0</v>
      </c>
      <c r="G4396" s="3">
        <v>0</v>
      </c>
      <c r="H4396" s="2">
        <f t="shared" si="136"/>
        <v>143</v>
      </c>
      <c r="I4396" t="str">
        <f t="shared" si="137"/>
        <v>Med1_143</v>
      </c>
      <c r="J4396" s="3">
        <v>0</v>
      </c>
      <c r="K4396" s="3">
        <v>0</v>
      </c>
      <c r="L4396" s="3">
        <v>143</v>
      </c>
      <c r="M4396" s="3">
        <v>0</v>
      </c>
      <c r="N4396" s="3">
        <v>0</v>
      </c>
    </row>
    <row r="4397" spans="1:14" x14ac:dyDescent="0.2">
      <c r="A4397" s="5" t="str">
        <f>HYPERLINK("http://www.ncbi.nlm.nih.gov/protein/121583906","Med1")</f>
        <v>Med1</v>
      </c>
      <c r="B4397" s="4"/>
      <c r="C4397" s="3">
        <v>0</v>
      </c>
      <c r="D4397" s="3">
        <v>0</v>
      </c>
      <c r="E4397" s="3">
        <v>143</v>
      </c>
      <c r="F4397" s="3">
        <v>0</v>
      </c>
      <c r="G4397" s="3">
        <v>0</v>
      </c>
      <c r="H4397" s="2">
        <f t="shared" si="136"/>
        <v>143</v>
      </c>
      <c r="I4397" t="str">
        <f t="shared" si="137"/>
        <v>Med1_143</v>
      </c>
      <c r="J4397" s="3">
        <v>0</v>
      </c>
      <c r="K4397" s="3">
        <v>0</v>
      </c>
      <c r="L4397" s="3">
        <v>143</v>
      </c>
      <c r="M4397" s="3">
        <v>0</v>
      </c>
      <c r="N4397" s="3">
        <v>0</v>
      </c>
    </row>
    <row r="4398" spans="1:14" x14ac:dyDescent="0.2">
      <c r="A4398" s="5" t="str">
        <f>HYPERLINK("http://www.ncbi.nlm.nih.gov/protein/125628662","Med12")</f>
        <v>Med12</v>
      </c>
      <c r="B4398" s="4"/>
      <c r="C4398" s="3">
        <v>0</v>
      </c>
      <c r="D4398" s="3">
        <v>38</v>
      </c>
      <c r="E4398" s="3">
        <v>212</v>
      </c>
      <c r="F4398" s="3">
        <v>0</v>
      </c>
      <c r="G4398" s="3">
        <v>0</v>
      </c>
      <c r="H4398" s="2">
        <f t="shared" si="136"/>
        <v>250</v>
      </c>
      <c r="I4398" t="str">
        <f t="shared" si="137"/>
        <v>Med12_250</v>
      </c>
      <c r="J4398" s="3">
        <v>0</v>
      </c>
      <c r="K4398" s="3">
        <v>38</v>
      </c>
      <c r="L4398" s="3">
        <v>212</v>
      </c>
      <c r="M4398" s="3">
        <v>0</v>
      </c>
      <c r="N4398" s="3">
        <v>0</v>
      </c>
    </row>
    <row r="4399" spans="1:14" x14ac:dyDescent="0.2">
      <c r="A4399" s="5" t="str">
        <f>HYPERLINK("http://www.ncbi.nlm.nih.gov/protein/242397421","Med12l")</f>
        <v>Med12l</v>
      </c>
      <c r="B4399" s="4"/>
      <c r="C4399" s="3">
        <v>0</v>
      </c>
      <c r="D4399" s="3">
        <v>0</v>
      </c>
      <c r="E4399" s="3">
        <v>26</v>
      </c>
      <c r="F4399" s="3">
        <v>0</v>
      </c>
      <c r="G4399" s="3">
        <v>0</v>
      </c>
      <c r="H4399" s="2">
        <f t="shared" si="136"/>
        <v>26</v>
      </c>
      <c r="I4399" t="str">
        <f t="shared" si="137"/>
        <v>Med12l_26</v>
      </c>
      <c r="J4399" s="3">
        <v>0</v>
      </c>
      <c r="K4399" s="3">
        <v>0</v>
      </c>
      <c r="L4399" s="3">
        <v>26</v>
      </c>
      <c r="M4399" s="3">
        <v>0</v>
      </c>
      <c r="N4399" s="3">
        <v>0</v>
      </c>
    </row>
    <row r="4400" spans="1:14" x14ac:dyDescent="0.2">
      <c r="A4400" s="5" t="str">
        <f>HYPERLINK("http://www.ncbi.nlm.nih.gov/protein/115270972","Med14")</f>
        <v>Med14</v>
      </c>
      <c r="B4400" s="4"/>
      <c r="C4400" s="3">
        <v>0</v>
      </c>
      <c r="D4400" s="3">
        <v>0</v>
      </c>
      <c r="E4400" s="3">
        <v>266</v>
      </c>
      <c r="F4400" s="3">
        <v>0</v>
      </c>
      <c r="G4400" s="3">
        <v>0</v>
      </c>
      <c r="H4400" s="2">
        <f t="shared" si="136"/>
        <v>266</v>
      </c>
      <c r="I4400" t="str">
        <f t="shared" si="137"/>
        <v>Med14_266</v>
      </c>
      <c r="J4400" s="3">
        <v>0</v>
      </c>
      <c r="K4400" s="3">
        <v>0</v>
      </c>
      <c r="L4400" s="3">
        <v>266</v>
      </c>
      <c r="M4400" s="3">
        <v>0</v>
      </c>
      <c r="N4400" s="3">
        <v>0</v>
      </c>
    </row>
    <row r="4401" spans="1:14" x14ac:dyDescent="0.2">
      <c r="A4401" s="5" t="str">
        <f>HYPERLINK("http://www.ncbi.nlm.nih.gov/protein/115270977","Med14")</f>
        <v>Med14</v>
      </c>
      <c r="B4401" s="4"/>
      <c r="C4401" s="3">
        <v>0</v>
      </c>
      <c r="D4401" s="3">
        <v>0</v>
      </c>
      <c r="E4401" s="3">
        <v>266</v>
      </c>
      <c r="F4401" s="3">
        <v>0</v>
      </c>
      <c r="G4401" s="3">
        <v>0</v>
      </c>
      <c r="H4401" s="2">
        <f t="shared" si="136"/>
        <v>266</v>
      </c>
      <c r="I4401" t="str">
        <f t="shared" si="137"/>
        <v>Med14_266</v>
      </c>
      <c r="J4401" s="3">
        <v>0</v>
      </c>
      <c r="K4401" s="3">
        <v>0</v>
      </c>
      <c r="L4401" s="3">
        <v>266</v>
      </c>
      <c r="M4401" s="3">
        <v>0</v>
      </c>
      <c r="N4401" s="3">
        <v>0</v>
      </c>
    </row>
    <row r="4402" spans="1:14" x14ac:dyDescent="0.2">
      <c r="A4402" s="5" t="str">
        <f>HYPERLINK("http://www.ncbi.nlm.nih.gov/protein/100816770","Med15")</f>
        <v>Med15</v>
      </c>
      <c r="B4402" s="4"/>
      <c r="C4402" s="3">
        <v>0</v>
      </c>
      <c r="D4402" s="3">
        <v>0</v>
      </c>
      <c r="E4402" s="3">
        <v>25</v>
      </c>
      <c r="F4402" s="3">
        <v>0</v>
      </c>
      <c r="G4402" s="3">
        <v>0</v>
      </c>
      <c r="H4402" s="2">
        <f t="shared" si="136"/>
        <v>25</v>
      </c>
      <c r="I4402" t="str">
        <f t="shared" si="137"/>
        <v>Med15_25</v>
      </c>
      <c r="J4402" s="3">
        <v>0</v>
      </c>
      <c r="K4402" s="3">
        <v>0</v>
      </c>
      <c r="L4402" s="3">
        <v>25</v>
      </c>
      <c r="M4402" s="3">
        <v>0</v>
      </c>
      <c r="N4402" s="3">
        <v>0</v>
      </c>
    </row>
    <row r="4403" spans="1:14" x14ac:dyDescent="0.2">
      <c r="A4403" s="5" t="str">
        <f>HYPERLINK("http://www.ncbi.nlm.nih.gov/protein/100817039","Med15")</f>
        <v>Med15</v>
      </c>
      <c r="B4403" s="4"/>
      <c r="C4403" s="3">
        <v>0</v>
      </c>
      <c r="D4403" s="3">
        <v>0</v>
      </c>
      <c r="E4403" s="3">
        <v>25</v>
      </c>
      <c r="F4403" s="3">
        <v>0</v>
      </c>
      <c r="G4403" s="3">
        <v>0</v>
      </c>
      <c r="H4403" s="2">
        <f t="shared" si="136"/>
        <v>25</v>
      </c>
      <c r="I4403" t="str">
        <f t="shared" si="137"/>
        <v>Med15_25</v>
      </c>
      <c r="J4403" s="3">
        <v>0</v>
      </c>
      <c r="K4403" s="3">
        <v>0</v>
      </c>
      <c r="L4403" s="3">
        <v>25</v>
      </c>
      <c r="M4403" s="3">
        <v>0</v>
      </c>
      <c r="N4403" s="3">
        <v>0</v>
      </c>
    </row>
    <row r="4404" spans="1:14" x14ac:dyDescent="0.2">
      <c r="A4404" s="5" t="str">
        <f>HYPERLINK("http://www.ncbi.nlm.nih.gov/protein/21450345","Med17")</f>
        <v>Med17</v>
      </c>
      <c r="B4404" s="4"/>
      <c r="C4404" s="3">
        <v>0</v>
      </c>
      <c r="D4404" s="3">
        <v>0</v>
      </c>
      <c r="E4404" s="3">
        <v>860</v>
      </c>
      <c r="F4404" s="3">
        <v>0</v>
      </c>
      <c r="G4404" s="3">
        <v>0</v>
      </c>
      <c r="H4404" s="2">
        <f t="shared" si="136"/>
        <v>860</v>
      </c>
      <c r="I4404" t="str">
        <f t="shared" si="137"/>
        <v>Med17_860</v>
      </c>
      <c r="J4404" s="3">
        <v>0</v>
      </c>
      <c r="K4404" s="3">
        <v>0</v>
      </c>
      <c r="L4404" s="3">
        <v>860</v>
      </c>
      <c r="M4404" s="3">
        <v>0</v>
      </c>
      <c r="N4404" s="3">
        <v>0</v>
      </c>
    </row>
    <row r="4405" spans="1:14" x14ac:dyDescent="0.2">
      <c r="A4405" s="5" t="str">
        <f>HYPERLINK("http://www.ncbi.nlm.nih.gov/protein/21313064","Med18")</f>
        <v>Med18</v>
      </c>
      <c r="B4405" s="4"/>
      <c r="C4405" s="3">
        <v>0</v>
      </c>
      <c r="D4405" s="3">
        <v>0</v>
      </c>
      <c r="E4405" s="3">
        <v>133</v>
      </c>
      <c r="F4405" s="3">
        <v>0</v>
      </c>
      <c r="G4405" s="3">
        <v>0</v>
      </c>
      <c r="H4405" s="2">
        <f t="shared" si="136"/>
        <v>133</v>
      </c>
      <c r="I4405" t="str">
        <f t="shared" si="137"/>
        <v>Med18_133</v>
      </c>
      <c r="J4405" s="3">
        <v>0</v>
      </c>
      <c r="K4405" s="3">
        <v>0</v>
      </c>
      <c r="L4405" s="3">
        <v>133</v>
      </c>
      <c r="M4405" s="3">
        <v>0</v>
      </c>
      <c r="N4405" s="3">
        <v>0</v>
      </c>
    </row>
    <row r="4406" spans="1:14" x14ac:dyDescent="0.2">
      <c r="A4406" s="5" t="str">
        <f>HYPERLINK("http://www.ncbi.nlm.nih.gov/protein/21313194","Med19")</f>
        <v>Med19</v>
      </c>
      <c r="B4406" s="4"/>
      <c r="C4406" s="3">
        <v>0</v>
      </c>
      <c r="D4406" s="3">
        <v>0</v>
      </c>
      <c r="E4406" s="3">
        <v>0</v>
      </c>
      <c r="F4406" s="3">
        <v>123</v>
      </c>
      <c r="G4406" s="3">
        <v>0</v>
      </c>
      <c r="H4406" s="2">
        <f t="shared" si="136"/>
        <v>123</v>
      </c>
      <c r="I4406" t="str">
        <f t="shared" si="137"/>
        <v>Med19_123</v>
      </c>
      <c r="J4406" s="3">
        <v>0</v>
      </c>
      <c r="K4406" s="3">
        <v>0</v>
      </c>
      <c r="L4406" s="3">
        <v>0</v>
      </c>
      <c r="M4406" s="3">
        <v>123</v>
      </c>
      <c r="N4406" s="3">
        <v>0</v>
      </c>
    </row>
    <row r="4407" spans="1:14" x14ac:dyDescent="0.2">
      <c r="A4407" s="5" t="str">
        <f>HYPERLINK("http://www.ncbi.nlm.nih.gov/protein/9910590","Med20")</f>
        <v>Med20</v>
      </c>
      <c r="B4407" s="4"/>
      <c r="C4407" s="3">
        <v>0</v>
      </c>
      <c r="D4407" s="3">
        <v>211</v>
      </c>
      <c r="E4407" s="3">
        <v>331</v>
      </c>
      <c r="F4407" s="3">
        <v>1310</v>
      </c>
      <c r="G4407" s="3">
        <v>996</v>
      </c>
      <c r="H4407" s="2">
        <f t="shared" si="136"/>
        <v>2848</v>
      </c>
      <c r="I4407" t="str">
        <f t="shared" si="137"/>
        <v>Med20_2848</v>
      </c>
      <c r="J4407" s="3">
        <v>0</v>
      </c>
      <c r="K4407" s="3">
        <v>211</v>
      </c>
      <c r="L4407" s="3">
        <v>331</v>
      </c>
      <c r="M4407" s="3">
        <v>1310</v>
      </c>
      <c r="N4407" s="3">
        <v>996</v>
      </c>
    </row>
    <row r="4408" spans="1:14" x14ac:dyDescent="0.2">
      <c r="A4408" s="5" t="str">
        <f>HYPERLINK("http://www.ncbi.nlm.nih.gov/protein/13384678","Med21")</f>
        <v>Med21</v>
      </c>
      <c r="B4408" s="4"/>
      <c r="C4408" s="3">
        <v>0</v>
      </c>
      <c r="D4408" s="3">
        <v>0</v>
      </c>
      <c r="E4408" s="3">
        <v>313</v>
      </c>
      <c r="F4408" s="3">
        <v>0</v>
      </c>
      <c r="G4408" s="3">
        <v>54</v>
      </c>
      <c r="H4408" s="2">
        <f t="shared" si="136"/>
        <v>367</v>
      </c>
      <c r="I4408" t="str">
        <f t="shared" si="137"/>
        <v>Med21_367</v>
      </c>
      <c r="J4408" s="3">
        <v>0</v>
      </c>
      <c r="K4408" s="3">
        <v>0</v>
      </c>
      <c r="L4408" s="3">
        <v>313</v>
      </c>
      <c r="M4408" s="3">
        <v>0</v>
      </c>
      <c r="N4408" s="3">
        <v>54</v>
      </c>
    </row>
    <row r="4409" spans="1:14" x14ac:dyDescent="0.2">
      <c r="A4409" s="5" t="str">
        <f>HYPERLINK("http://www.ncbi.nlm.nih.gov/protein/6755700","Med22")</f>
        <v>Med22</v>
      </c>
      <c r="B4409" s="4"/>
      <c r="C4409" s="3">
        <v>0</v>
      </c>
      <c r="D4409" s="3">
        <v>0</v>
      </c>
      <c r="E4409" s="3">
        <v>44</v>
      </c>
      <c r="F4409" s="3">
        <v>0</v>
      </c>
      <c r="G4409" s="3">
        <v>43</v>
      </c>
      <c r="H4409" s="2">
        <f t="shared" si="136"/>
        <v>87</v>
      </c>
      <c r="I4409" t="str">
        <f t="shared" si="137"/>
        <v>Med22_87</v>
      </c>
      <c r="J4409" s="3">
        <v>0</v>
      </c>
      <c r="K4409" s="3">
        <v>0</v>
      </c>
      <c r="L4409" s="3">
        <v>44</v>
      </c>
      <c r="M4409" s="3">
        <v>0</v>
      </c>
      <c r="N4409" s="3">
        <v>43</v>
      </c>
    </row>
    <row r="4410" spans="1:14" x14ac:dyDescent="0.2">
      <c r="A4410" s="5" t="str">
        <f>HYPERLINK("http://www.ncbi.nlm.nih.gov/protein/76781479","Med22")</f>
        <v>Med22</v>
      </c>
      <c r="B4410" s="4"/>
      <c r="C4410" s="3">
        <v>0</v>
      </c>
      <c r="D4410" s="3">
        <v>0</v>
      </c>
      <c r="E4410" s="3">
        <v>44</v>
      </c>
      <c r="F4410" s="3">
        <v>0</v>
      </c>
      <c r="G4410" s="3">
        <v>43</v>
      </c>
      <c r="H4410" s="2">
        <f t="shared" si="136"/>
        <v>87</v>
      </c>
      <c r="I4410" t="str">
        <f t="shared" si="137"/>
        <v>Med22_87</v>
      </c>
      <c r="J4410" s="3">
        <v>0</v>
      </c>
      <c r="K4410" s="3">
        <v>0</v>
      </c>
      <c r="L4410" s="3">
        <v>44</v>
      </c>
      <c r="M4410" s="3">
        <v>0</v>
      </c>
      <c r="N4410" s="3">
        <v>43</v>
      </c>
    </row>
    <row r="4411" spans="1:14" x14ac:dyDescent="0.2">
      <c r="A4411" s="5" t="str">
        <f>HYPERLINK("http://www.ncbi.nlm.nih.gov/protein/261878545","Med23")</f>
        <v>Med23</v>
      </c>
      <c r="B4411" s="4"/>
      <c r="C4411" s="3">
        <v>0</v>
      </c>
      <c r="D4411" s="3">
        <v>207</v>
      </c>
      <c r="E4411" s="3">
        <v>1381</v>
      </c>
      <c r="F4411" s="3">
        <v>106</v>
      </c>
      <c r="G4411" s="3">
        <v>107</v>
      </c>
      <c r="H4411" s="2">
        <f t="shared" si="136"/>
        <v>1801</v>
      </c>
      <c r="I4411" t="str">
        <f t="shared" si="137"/>
        <v>Med23_1801</v>
      </c>
      <c r="J4411" s="3">
        <v>0</v>
      </c>
      <c r="K4411" s="3">
        <v>207</v>
      </c>
      <c r="L4411" s="3">
        <v>1381</v>
      </c>
      <c r="M4411" s="3">
        <v>106</v>
      </c>
      <c r="N4411" s="3">
        <v>107</v>
      </c>
    </row>
    <row r="4412" spans="1:14" x14ac:dyDescent="0.2">
      <c r="A4412" s="5" t="str">
        <f>HYPERLINK("http://www.ncbi.nlm.nih.gov/protein/261878547","Med23")</f>
        <v>Med23</v>
      </c>
      <c r="B4412" s="4"/>
      <c r="C4412" s="3">
        <v>0</v>
      </c>
      <c r="D4412" s="3">
        <v>207</v>
      </c>
      <c r="E4412" s="3">
        <v>1381</v>
      </c>
      <c r="F4412" s="3">
        <v>106</v>
      </c>
      <c r="G4412" s="3">
        <v>107</v>
      </c>
      <c r="H4412" s="2">
        <f t="shared" si="136"/>
        <v>1801</v>
      </c>
      <c r="I4412" t="str">
        <f t="shared" si="137"/>
        <v>Med23_1801</v>
      </c>
      <c r="J4412" s="3">
        <v>0</v>
      </c>
      <c r="K4412" s="3">
        <v>207</v>
      </c>
      <c r="L4412" s="3">
        <v>1381</v>
      </c>
      <c r="M4412" s="3">
        <v>106</v>
      </c>
      <c r="N4412" s="3">
        <v>107</v>
      </c>
    </row>
    <row r="4413" spans="1:14" x14ac:dyDescent="0.2">
      <c r="A4413" s="5" t="str">
        <f>HYPERLINK("http://www.ncbi.nlm.nih.gov/protein/119220579","Med24")</f>
        <v>Med24</v>
      </c>
      <c r="B4413" s="4"/>
      <c r="C4413" s="3">
        <v>0</v>
      </c>
      <c r="D4413" s="3">
        <v>0</v>
      </c>
      <c r="E4413" s="3">
        <v>148</v>
      </c>
      <c r="F4413" s="3">
        <v>0</v>
      </c>
      <c r="G4413" s="3">
        <v>0</v>
      </c>
      <c r="H4413" s="2">
        <f t="shared" si="136"/>
        <v>148</v>
      </c>
      <c r="I4413" t="str">
        <f t="shared" si="137"/>
        <v>Med24_148</v>
      </c>
      <c r="J4413" s="3">
        <v>0</v>
      </c>
      <c r="K4413" s="3">
        <v>0</v>
      </c>
      <c r="L4413" s="3">
        <v>148</v>
      </c>
      <c r="M4413" s="3">
        <v>0</v>
      </c>
      <c r="N4413" s="3">
        <v>0</v>
      </c>
    </row>
    <row r="4414" spans="1:14" x14ac:dyDescent="0.2">
      <c r="A4414" s="5" t="str">
        <f>HYPERLINK("http://www.ncbi.nlm.nih.gov/protein/76253678","Med27")</f>
        <v>Med27</v>
      </c>
      <c r="B4414" s="4"/>
      <c r="C4414" s="3">
        <v>0</v>
      </c>
      <c r="D4414" s="3">
        <v>478</v>
      </c>
      <c r="E4414" s="3">
        <v>31</v>
      </c>
      <c r="F4414" s="3">
        <v>909</v>
      </c>
      <c r="G4414" s="3">
        <v>0</v>
      </c>
      <c r="H4414" s="2">
        <f t="shared" si="136"/>
        <v>1418</v>
      </c>
      <c r="I4414" t="str">
        <f t="shared" si="137"/>
        <v>Med27_1418</v>
      </c>
      <c r="J4414" s="3">
        <v>0</v>
      </c>
      <c r="K4414" s="3">
        <v>478</v>
      </c>
      <c r="L4414" s="3">
        <v>31</v>
      </c>
      <c r="M4414" s="3">
        <v>909</v>
      </c>
      <c r="N4414" s="3">
        <v>0</v>
      </c>
    </row>
    <row r="4415" spans="1:14" x14ac:dyDescent="0.2">
      <c r="A4415" s="5" t="str">
        <f>HYPERLINK("http://www.ncbi.nlm.nih.gov/protein/13385388","Med28")</f>
        <v>Med28</v>
      </c>
      <c r="B4415" s="4"/>
      <c r="C4415" s="3">
        <v>0</v>
      </c>
      <c r="D4415" s="3">
        <v>0</v>
      </c>
      <c r="E4415" s="3">
        <v>20</v>
      </c>
      <c r="F4415" s="3">
        <v>0</v>
      </c>
      <c r="G4415" s="3">
        <v>311</v>
      </c>
      <c r="H4415" s="2">
        <f t="shared" si="136"/>
        <v>331</v>
      </c>
      <c r="I4415" t="str">
        <f t="shared" si="137"/>
        <v>Med28_331</v>
      </c>
      <c r="J4415" s="3">
        <v>0</v>
      </c>
      <c r="K4415" s="3">
        <v>0</v>
      </c>
      <c r="L4415" s="3">
        <v>20</v>
      </c>
      <c r="M4415" s="3">
        <v>0</v>
      </c>
      <c r="N4415" s="3">
        <v>311</v>
      </c>
    </row>
    <row r="4416" spans="1:14" x14ac:dyDescent="0.2">
      <c r="A4416" s="5" t="str">
        <f>HYPERLINK("http://www.ncbi.nlm.nih.gov/protein/19882231","Med30")</f>
        <v>Med30</v>
      </c>
      <c r="B4416" s="4"/>
      <c r="C4416" s="3">
        <v>0</v>
      </c>
      <c r="D4416" s="3">
        <v>443</v>
      </c>
      <c r="E4416" s="3">
        <v>635</v>
      </c>
      <c r="F4416" s="3">
        <v>655</v>
      </c>
      <c r="G4416" s="3">
        <v>2495</v>
      </c>
      <c r="H4416" s="2">
        <f t="shared" si="136"/>
        <v>4228</v>
      </c>
      <c r="I4416" t="str">
        <f t="shared" si="137"/>
        <v>Med30_4228</v>
      </c>
      <c r="J4416" s="3">
        <v>0</v>
      </c>
      <c r="K4416" s="3">
        <v>443</v>
      </c>
      <c r="L4416" s="3">
        <v>635</v>
      </c>
      <c r="M4416" s="3">
        <v>655</v>
      </c>
      <c r="N4416" s="3">
        <v>2495</v>
      </c>
    </row>
    <row r="4417" spans="1:14" x14ac:dyDescent="0.2">
      <c r="A4417" s="5" t="str">
        <f>HYPERLINK("http://www.ncbi.nlm.nih.gov/protein/56119162","Med31")</f>
        <v>Med31</v>
      </c>
      <c r="B4417" s="4"/>
      <c r="C4417" s="3">
        <v>0</v>
      </c>
      <c r="D4417" s="3">
        <v>56</v>
      </c>
      <c r="E4417" s="3">
        <v>168</v>
      </c>
      <c r="F4417" s="3">
        <v>278</v>
      </c>
      <c r="G4417" s="3">
        <v>407</v>
      </c>
      <c r="H4417" s="2">
        <f t="shared" si="136"/>
        <v>909</v>
      </c>
      <c r="I4417" t="str">
        <f t="shared" si="137"/>
        <v>Med31_909</v>
      </c>
      <c r="J4417" s="3">
        <v>0</v>
      </c>
      <c r="K4417" s="3">
        <v>56</v>
      </c>
      <c r="L4417" s="3">
        <v>168</v>
      </c>
      <c r="M4417" s="3">
        <v>278</v>
      </c>
      <c r="N4417" s="3">
        <v>407</v>
      </c>
    </row>
    <row r="4418" spans="1:14" x14ac:dyDescent="0.2">
      <c r="A4418" s="5" t="str">
        <f>HYPERLINK("http://www.ncbi.nlm.nih.gov/protein/157266302;157266322","Med7")</f>
        <v>Med7</v>
      </c>
      <c r="B4418" s="4"/>
      <c r="C4418" s="3">
        <v>0</v>
      </c>
      <c r="D4418" s="3">
        <v>0</v>
      </c>
      <c r="E4418" s="3">
        <v>4</v>
      </c>
      <c r="F4418" s="3">
        <v>172</v>
      </c>
      <c r="G4418" s="3">
        <v>0</v>
      </c>
      <c r="H4418" s="2">
        <f t="shared" ref="H4418:H4481" si="138">SUM(C4418:G4418)</f>
        <v>176</v>
      </c>
      <c r="I4418" t="str">
        <f t="shared" ref="I4418:I4481" si="139">A4418&amp;"_"&amp;H4418</f>
        <v>Med7_176</v>
      </c>
      <c r="J4418" s="3">
        <v>0</v>
      </c>
      <c r="K4418" s="3">
        <v>0</v>
      </c>
      <c r="L4418" s="3">
        <v>4</v>
      </c>
      <c r="M4418" s="3">
        <v>172</v>
      </c>
      <c r="N4418" s="3">
        <v>0</v>
      </c>
    </row>
    <row r="4419" spans="1:14" x14ac:dyDescent="0.2">
      <c r="A4419" s="5" t="str">
        <f>HYPERLINK("http://www.ncbi.nlm.nih.gov/protein/255982602","Mei1")</f>
        <v>Mei1</v>
      </c>
      <c r="B4419" s="4"/>
      <c r="C4419" s="3">
        <v>0</v>
      </c>
      <c r="D4419" s="3">
        <v>0</v>
      </c>
      <c r="E4419" s="3">
        <v>878</v>
      </c>
      <c r="F4419" s="3">
        <v>0</v>
      </c>
      <c r="G4419" s="3">
        <v>0</v>
      </c>
      <c r="H4419" s="2">
        <f t="shared" si="138"/>
        <v>878</v>
      </c>
      <c r="I4419" t="str">
        <f t="shared" si="139"/>
        <v>Mei1_878</v>
      </c>
      <c r="J4419" s="3">
        <v>0</v>
      </c>
      <c r="K4419" s="3">
        <v>0</v>
      </c>
      <c r="L4419" s="3">
        <v>878</v>
      </c>
      <c r="M4419" s="3">
        <v>0</v>
      </c>
      <c r="N4419" s="3">
        <v>0</v>
      </c>
    </row>
    <row r="4420" spans="1:14" x14ac:dyDescent="0.2">
      <c r="A4420" s="5" t="str">
        <f>HYPERLINK("http://www.ncbi.nlm.nih.gov/protein/19526994","Memo1")</f>
        <v>Memo1</v>
      </c>
      <c r="B4420" s="4"/>
      <c r="C4420" s="3">
        <v>0</v>
      </c>
      <c r="D4420" s="3">
        <v>1019</v>
      </c>
      <c r="E4420" s="3">
        <v>243</v>
      </c>
      <c r="F4420" s="3">
        <v>0</v>
      </c>
      <c r="G4420" s="3">
        <v>15036</v>
      </c>
      <c r="H4420" s="2">
        <f t="shared" si="138"/>
        <v>16298</v>
      </c>
      <c r="I4420" t="str">
        <f t="shared" si="139"/>
        <v>Memo1_16298</v>
      </c>
      <c r="J4420" s="3">
        <v>0</v>
      </c>
      <c r="K4420" s="3">
        <v>1019</v>
      </c>
      <c r="L4420" s="3">
        <v>243</v>
      </c>
      <c r="M4420" s="3">
        <v>0</v>
      </c>
      <c r="N4420" s="3">
        <v>15036</v>
      </c>
    </row>
    <row r="4421" spans="1:14" x14ac:dyDescent="0.2">
      <c r="A4421" s="5" t="str">
        <f>HYPERLINK("http://www.ncbi.nlm.nih.gov/protein/119672920","Mepce")</f>
        <v>Mepce</v>
      </c>
      <c r="B4421" s="4"/>
      <c r="C4421" s="3">
        <v>0</v>
      </c>
      <c r="D4421" s="3">
        <v>0</v>
      </c>
      <c r="E4421" s="3">
        <v>18</v>
      </c>
      <c r="F4421" s="3">
        <v>4322</v>
      </c>
      <c r="G4421" s="3">
        <v>825</v>
      </c>
      <c r="H4421" s="2">
        <f t="shared" si="138"/>
        <v>5165</v>
      </c>
      <c r="I4421" t="str">
        <f t="shared" si="139"/>
        <v>Mepce_5165</v>
      </c>
      <c r="J4421" s="3">
        <v>0</v>
      </c>
      <c r="K4421" s="3">
        <v>0</v>
      </c>
      <c r="L4421" s="3">
        <v>18</v>
      </c>
      <c r="M4421" s="3">
        <v>4322</v>
      </c>
      <c r="N4421" s="3">
        <v>825</v>
      </c>
    </row>
    <row r="4422" spans="1:14" x14ac:dyDescent="0.2">
      <c r="A4422" s="5" t="str">
        <f>HYPERLINK("http://www.ncbi.nlm.nih.gov/protein/228480219","Mesdc2")</f>
        <v>Mesdc2</v>
      </c>
      <c r="B4422" s="4"/>
      <c r="C4422" s="3">
        <v>0</v>
      </c>
      <c r="D4422" s="3">
        <v>633</v>
      </c>
      <c r="E4422" s="3">
        <v>455</v>
      </c>
      <c r="F4422" s="3">
        <v>0</v>
      </c>
      <c r="G4422" s="3">
        <v>0</v>
      </c>
      <c r="H4422" s="2">
        <f t="shared" si="138"/>
        <v>1088</v>
      </c>
      <c r="I4422" t="str">
        <f t="shared" si="139"/>
        <v>Mesdc2_1088</v>
      </c>
      <c r="J4422" s="3">
        <v>0</v>
      </c>
      <c r="K4422" s="3">
        <v>633</v>
      </c>
      <c r="L4422" s="3">
        <v>455</v>
      </c>
      <c r="M4422" s="3">
        <v>0</v>
      </c>
      <c r="N4422" s="3">
        <v>0</v>
      </c>
    </row>
    <row r="4423" spans="1:14" x14ac:dyDescent="0.2">
      <c r="A4423" s="5" t="str">
        <f>HYPERLINK("http://www.ncbi.nlm.nih.gov/protein/146198696","Met")</f>
        <v>Met</v>
      </c>
      <c r="B4423" s="4"/>
      <c r="C4423" s="3">
        <v>0</v>
      </c>
      <c r="D4423" s="3">
        <v>1271</v>
      </c>
      <c r="E4423" s="3">
        <v>7879</v>
      </c>
      <c r="F4423" s="3">
        <v>0</v>
      </c>
      <c r="G4423" s="3">
        <v>2313</v>
      </c>
      <c r="H4423" s="2">
        <f t="shared" si="138"/>
        <v>11463</v>
      </c>
      <c r="I4423" t="str">
        <f t="shared" si="139"/>
        <v>Met_11463</v>
      </c>
      <c r="J4423" s="3">
        <v>0</v>
      </c>
      <c r="K4423" s="3">
        <v>1271</v>
      </c>
      <c r="L4423" s="3">
        <v>7879</v>
      </c>
      <c r="M4423" s="3">
        <v>0</v>
      </c>
      <c r="N4423" s="3">
        <v>2313</v>
      </c>
    </row>
    <row r="4424" spans="1:14" x14ac:dyDescent="0.2">
      <c r="A4424" s="5" t="str">
        <f>HYPERLINK("http://www.ncbi.nlm.nih.gov/protein/28202007","Metap1")</f>
        <v>Metap1</v>
      </c>
      <c r="B4424" s="4"/>
      <c r="C4424" s="3">
        <v>0</v>
      </c>
      <c r="D4424" s="3">
        <v>2620</v>
      </c>
      <c r="E4424" s="3">
        <v>43629</v>
      </c>
      <c r="F4424" s="3">
        <v>14136</v>
      </c>
      <c r="G4424" s="3">
        <v>10067</v>
      </c>
      <c r="H4424" s="2">
        <f t="shared" si="138"/>
        <v>70452</v>
      </c>
      <c r="I4424" t="str">
        <f t="shared" si="139"/>
        <v>Metap1_70452</v>
      </c>
      <c r="J4424" s="3">
        <v>0</v>
      </c>
      <c r="K4424" s="3">
        <v>2620</v>
      </c>
      <c r="L4424" s="3">
        <v>43629</v>
      </c>
      <c r="M4424" s="3">
        <v>14136</v>
      </c>
      <c r="N4424" s="3">
        <v>10067</v>
      </c>
    </row>
    <row r="4425" spans="1:14" x14ac:dyDescent="0.2">
      <c r="A4425" s="5" t="str">
        <f>HYPERLINK("http://www.ncbi.nlm.nih.gov/protein/17975502","Metap1d")</f>
        <v>Metap1d</v>
      </c>
      <c r="B4425" s="4"/>
      <c r="C4425" s="3">
        <v>0</v>
      </c>
      <c r="D4425" s="3">
        <v>338</v>
      </c>
      <c r="E4425" s="3">
        <v>0</v>
      </c>
      <c r="F4425" s="3">
        <v>0</v>
      </c>
      <c r="G4425" s="3">
        <v>0</v>
      </c>
      <c r="H4425" s="2">
        <f t="shared" si="138"/>
        <v>338</v>
      </c>
      <c r="I4425" t="str">
        <f t="shared" si="139"/>
        <v>Metap1d_338</v>
      </c>
      <c r="J4425" s="3">
        <v>0</v>
      </c>
      <c r="K4425" s="3">
        <v>338</v>
      </c>
      <c r="L4425" s="3">
        <v>0</v>
      </c>
      <c r="M4425" s="3">
        <v>0</v>
      </c>
      <c r="N4425" s="3">
        <v>0</v>
      </c>
    </row>
    <row r="4426" spans="1:14" x14ac:dyDescent="0.2">
      <c r="A4426" s="5" t="str">
        <f>HYPERLINK("http://www.ncbi.nlm.nih.gov/protein/9789873","Metap2")</f>
        <v>Metap2</v>
      </c>
      <c r="B4426" s="4"/>
      <c r="C4426" s="3">
        <v>696</v>
      </c>
      <c r="D4426" s="3">
        <v>2703</v>
      </c>
      <c r="E4426" s="3">
        <v>15444</v>
      </c>
      <c r="F4426" s="3">
        <v>79883</v>
      </c>
      <c r="G4426" s="3">
        <v>11</v>
      </c>
      <c r="H4426" s="2">
        <f t="shared" si="138"/>
        <v>98737</v>
      </c>
      <c r="I4426" t="str">
        <f t="shared" si="139"/>
        <v>Metap2_98737</v>
      </c>
      <c r="J4426" s="3">
        <v>696</v>
      </c>
      <c r="K4426" s="3">
        <v>2703</v>
      </c>
      <c r="L4426" s="3">
        <v>15444</v>
      </c>
      <c r="M4426" s="3">
        <v>79883</v>
      </c>
      <c r="N4426" s="3">
        <v>11</v>
      </c>
    </row>
    <row r="4427" spans="1:14" x14ac:dyDescent="0.2">
      <c r="A4427" s="5" t="str">
        <f>HYPERLINK("http://www.ncbi.nlm.nih.gov/protein/6754682","Mettl1")</f>
        <v>Mettl1</v>
      </c>
      <c r="B4427" s="4"/>
      <c r="C4427" s="3">
        <v>0</v>
      </c>
      <c r="D4427" s="3">
        <v>873</v>
      </c>
      <c r="E4427" s="3">
        <v>0</v>
      </c>
      <c r="F4427" s="3">
        <v>712</v>
      </c>
      <c r="G4427" s="3">
        <v>4776</v>
      </c>
      <c r="H4427" s="2">
        <f t="shared" si="138"/>
        <v>6361</v>
      </c>
      <c r="I4427" t="str">
        <f t="shared" si="139"/>
        <v>Mettl1_6361</v>
      </c>
      <c r="J4427" s="3">
        <v>0</v>
      </c>
      <c r="K4427" s="3">
        <v>873</v>
      </c>
      <c r="L4427" s="3">
        <v>0</v>
      </c>
      <c r="M4427" s="3">
        <v>712</v>
      </c>
      <c r="N4427" s="3">
        <v>4776</v>
      </c>
    </row>
    <row r="4428" spans="1:14" x14ac:dyDescent="0.2">
      <c r="A4428" s="5" t="str">
        <f>HYPERLINK("http://www.ncbi.nlm.nih.gov/protein/47059504","Mettl10")</f>
        <v>Mettl10</v>
      </c>
      <c r="B4428" s="4"/>
      <c r="C4428" s="3">
        <v>0</v>
      </c>
      <c r="D4428" s="3">
        <v>0</v>
      </c>
      <c r="E4428" s="3">
        <v>0</v>
      </c>
      <c r="F4428" s="3">
        <v>0</v>
      </c>
      <c r="G4428" s="3">
        <v>2206</v>
      </c>
      <c r="H4428" s="2">
        <f t="shared" si="138"/>
        <v>2206</v>
      </c>
      <c r="I4428" t="str">
        <f t="shared" si="139"/>
        <v>Mettl10_2206</v>
      </c>
      <c r="J4428" s="3">
        <v>0</v>
      </c>
      <c r="K4428" s="3">
        <v>0</v>
      </c>
      <c r="L4428" s="3">
        <v>0</v>
      </c>
      <c r="M4428" s="3">
        <v>0</v>
      </c>
      <c r="N4428" s="3">
        <v>2206</v>
      </c>
    </row>
    <row r="4429" spans="1:14" x14ac:dyDescent="0.2">
      <c r="A4429" s="5" t="str">
        <f>HYPERLINK("http://www.ncbi.nlm.nih.gov/protein/21536262","Mettl13")</f>
        <v>Mettl13</v>
      </c>
      <c r="B4429" s="4"/>
      <c r="C4429" s="3">
        <v>0</v>
      </c>
      <c r="D4429" s="3">
        <v>455</v>
      </c>
      <c r="E4429" s="3">
        <v>565</v>
      </c>
      <c r="F4429" s="3">
        <v>1162</v>
      </c>
      <c r="G4429" s="3">
        <v>942</v>
      </c>
      <c r="H4429" s="2">
        <f t="shared" si="138"/>
        <v>3124</v>
      </c>
      <c r="I4429" t="str">
        <f t="shared" si="139"/>
        <v>Mettl13_3124</v>
      </c>
      <c r="J4429" s="3">
        <v>0</v>
      </c>
      <c r="K4429" s="3">
        <v>455</v>
      </c>
      <c r="L4429" s="3">
        <v>565</v>
      </c>
      <c r="M4429" s="3">
        <v>1162</v>
      </c>
      <c r="N4429" s="3">
        <v>942</v>
      </c>
    </row>
    <row r="4430" spans="1:14" x14ac:dyDescent="0.2">
      <c r="A4430" s="5" t="str">
        <f>HYPERLINK("http://www.ncbi.nlm.nih.gov/protein/21312938","Mettl16")</f>
        <v>Mettl16</v>
      </c>
      <c r="B4430" s="4"/>
      <c r="C4430" s="3">
        <v>0</v>
      </c>
      <c r="D4430" s="3">
        <v>0</v>
      </c>
      <c r="E4430" s="3">
        <v>669</v>
      </c>
      <c r="F4430" s="3">
        <v>1645</v>
      </c>
      <c r="G4430" s="3">
        <v>1028</v>
      </c>
      <c r="H4430" s="2">
        <f t="shared" si="138"/>
        <v>3342</v>
      </c>
      <c r="I4430" t="str">
        <f t="shared" si="139"/>
        <v>Mettl16_3342</v>
      </c>
      <c r="J4430" s="3">
        <v>0</v>
      </c>
      <c r="K4430" s="3">
        <v>0</v>
      </c>
      <c r="L4430" s="3">
        <v>669</v>
      </c>
      <c r="M4430" s="3">
        <v>1645</v>
      </c>
      <c r="N4430" s="3">
        <v>1028</v>
      </c>
    </row>
    <row r="4431" spans="1:14" x14ac:dyDescent="0.2">
      <c r="A4431" s="5" t="str">
        <f>HYPERLINK("http://www.ncbi.nlm.nih.gov/protein/255683413","Mettl2")</f>
        <v>Mettl2</v>
      </c>
      <c r="B4431" s="4"/>
      <c r="C4431" s="3">
        <v>0</v>
      </c>
      <c r="D4431" s="3">
        <v>0</v>
      </c>
      <c r="E4431" s="3">
        <v>0</v>
      </c>
      <c r="F4431" s="3">
        <v>0</v>
      </c>
      <c r="G4431" s="3">
        <v>664</v>
      </c>
      <c r="H4431" s="2">
        <f t="shared" si="138"/>
        <v>664</v>
      </c>
      <c r="I4431" t="str">
        <f t="shared" si="139"/>
        <v>Mettl2_664</v>
      </c>
      <c r="J4431" s="3">
        <v>0</v>
      </c>
      <c r="K4431" s="3">
        <v>0</v>
      </c>
      <c r="L4431" s="3">
        <v>0</v>
      </c>
      <c r="M4431" s="3">
        <v>0</v>
      </c>
      <c r="N4431" s="3">
        <v>664</v>
      </c>
    </row>
    <row r="4432" spans="1:14" x14ac:dyDescent="0.2">
      <c r="A4432" s="5" t="str">
        <f>HYPERLINK("http://www.ncbi.nlm.nih.gov/protein/77627973","Mettl3")</f>
        <v>Mettl3</v>
      </c>
      <c r="B4432" s="4"/>
      <c r="C4432" s="3">
        <v>0</v>
      </c>
      <c r="D4432" s="3">
        <v>0</v>
      </c>
      <c r="E4432" s="3">
        <v>0</v>
      </c>
      <c r="F4432" s="3">
        <v>0</v>
      </c>
      <c r="G4432" s="3">
        <v>835</v>
      </c>
      <c r="H4432" s="2">
        <f t="shared" si="138"/>
        <v>835</v>
      </c>
      <c r="I4432" t="str">
        <f t="shared" si="139"/>
        <v>Mettl3_835</v>
      </c>
      <c r="J4432" s="3">
        <v>0</v>
      </c>
      <c r="K4432" s="3">
        <v>0</v>
      </c>
      <c r="L4432" s="3">
        <v>0</v>
      </c>
      <c r="M4432" s="3">
        <v>0</v>
      </c>
      <c r="N4432" s="3">
        <v>835</v>
      </c>
    </row>
    <row r="4433" spans="1:14" x14ac:dyDescent="0.2">
      <c r="A4433" s="5" t="str">
        <f>HYPERLINK("http://www.ncbi.nlm.nih.gov/protein/33563290","Mettl7a1")</f>
        <v>Mettl7a1</v>
      </c>
      <c r="B4433" s="4"/>
      <c r="C4433" s="3">
        <v>10709</v>
      </c>
      <c r="D4433" s="3">
        <v>8392</v>
      </c>
      <c r="E4433" s="3">
        <v>9948</v>
      </c>
      <c r="F4433" s="3">
        <v>1424</v>
      </c>
      <c r="G4433" s="3">
        <v>0</v>
      </c>
      <c r="H4433" s="2">
        <f t="shared" si="138"/>
        <v>30473</v>
      </c>
      <c r="I4433" t="str">
        <f t="shared" si="139"/>
        <v>Mettl7a1_30473</v>
      </c>
      <c r="J4433" s="3">
        <v>10709</v>
      </c>
      <c r="K4433" s="3">
        <v>8392</v>
      </c>
      <c r="L4433" s="3">
        <v>9948</v>
      </c>
      <c r="M4433" s="3">
        <v>1424</v>
      </c>
      <c r="N4433" s="3">
        <v>0</v>
      </c>
    </row>
    <row r="4434" spans="1:14" x14ac:dyDescent="0.2">
      <c r="A4434" s="5" t="str">
        <f>HYPERLINK("http://www.ncbi.nlm.nih.gov/protein/61098178","Mettl7a2")</f>
        <v>Mettl7a2</v>
      </c>
      <c r="B4434" s="4"/>
      <c r="C4434" s="3">
        <v>10709</v>
      </c>
      <c r="D4434" s="3">
        <v>6972</v>
      </c>
      <c r="E4434" s="3">
        <v>7870</v>
      </c>
      <c r="F4434" s="3">
        <v>1424</v>
      </c>
      <c r="G4434" s="3">
        <v>0</v>
      </c>
      <c r="H4434" s="2">
        <f t="shared" si="138"/>
        <v>26975</v>
      </c>
      <c r="I4434" t="str">
        <f t="shared" si="139"/>
        <v>Mettl7a2_26975</v>
      </c>
      <c r="J4434" s="3">
        <v>10709</v>
      </c>
      <c r="K4434" s="3">
        <v>6972</v>
      </c>
      <c r="L4434" s="3">
        <v>7870</v>
      </c>
      <c r="M4434" s="3">
        <v>1424</v>
      </c>
      <c r="N4434" s="3">
        <v>0</v>
      </c>
    </row>
    <row r="4435" spans="1:14" x14ac:dyDescent="0.2">
      <c r="A4435" s="5" t="str">
        <f>HYPERLINK("http://www.ncbi.nlm.nih.gov/protein/67003561","Mettl7a2Higd1c")</f>
        <v>Mettl7a2Higd1c</v>
      </c>
      <c r="B4435" s="4"/>
      <c r="C4435" s="3">
        <v>10709</v>
      </c>
      <c r="D4435" s="3">
        <v>6972</v>
      </c>
      <c r="E4435" s="3">
        <v>7870</v>
      </c>
      <c r="F4435" s="3">
        <v>1424</v>
      </c>
      <c r="G4435" s="3">
        <v>0</v>
      </c>
      <c r="H4435" s="2">
        <f t="shared" si="138"/>
        <v>26975</v>
      </c>
      <c r="I4435" t="str">
        <f t="shared" si="139"/>
        <v>Mettl7a2Higd1c_26975</v>
      </c>
      <c r="J4435" s="3">
        <v>10709</v>
      </c>
      <c r="K4435" s="3">
        <v>6972</v>
      </c>
      <c r="L4435" s="3">
        <v>7870</v>
      </c>
      <c r="M4435" s="3">
        <v>1424</v>
      </c>
      <c r="N4435" s="3">
        <v>0</v>
      </c>
    </row>
    <row r="4436" spans="1:14" x14ac:dyDescent="0.2">
      <c r="A4436" s="5" t="str">
        <f>HYPERLINK("http://www.ncbi.nlm.nih.gov/protein/125490373","Mettl7a3")</f>
        <v>Mettl7a3</v>
      </c>
      <c r="B4436" s="4"/>
      <c r="C4436" s="3">
        <v>879</v>
      </c>
      <c r="D4436" s="3">
        <v>4791</v>
      </c>
      <c r="E4436" s="3">
        <v>6442</v>
      </c>
      <c r="F4436" s="3">
        <v>966</v>
      </c>
      <c r="G4436" s="3">
        <v>0</v>
      </c>
      <c r="H4436" s="2">
        <f t="shared" si="138"/>
        <v>13078</v>
      </c>
      <c r="I4436" t="str">
        <f t="shared" si="139"/>
        <v>Mettl7a3_13078</v>
      </c>
      <c r="J4436" s="3">
        <v>879</v>
      </c>
      <c r="K4436" s="3">
        <v>4791</v>
      </c>
      <c r="L4436" s="3">
        <v>6442</v>
      </c>
      <c r="M4436" s="3">
        <v>966</v>
      </c>
      <c r="N4436" s="3">
        <v>0</v>
      </c>
    </row>
    <row r="4437" spans="1:14" x14ac:dyDescent="0.2">
      <c r="A4437" s="5" t="str">
        <f>HYPERLINK("http://www.ncbi.nlm.nih.gov/protein/34328259","Mettl9")</f>
        <v>Mettl9</v>
      </c>
      <c r="B4437" s="4"/>
      <c r="C4437" s="3">
        <v>0</v>
      </c>
      <c r="D4437" s="3">
        <v>132</v>
      </c>
      <c r="E4437" s="3">
        <v>22</v>
      </c>
      <c r="F4437" s="3">
        <v>0</v>
      </c>
      <c r="G4437" s="3">
        <v>0</v>
      </c>
      <c r="H4437" s="2">
        <f t="shared" si="138"/>
        <v>154</v>
      </c>
      <c r="I4437" t="str">
        <f t="shared" si="139"/>
        <v>Mettl9_154</v>
      </c>
      <c r="J4437" s="3">
        <v>0</v>
      </c>
      <c r="K4437" s="3">
        <v>132</v>
      </c>
      <c r="L4437" s="3">
        <v>22</v>
      </c>
      <c r="M4437" s="3">
        <v>0</v>
      </c>
      <c r="N4437" s="3">
        <v>0</v>
      </c>
    </row>
    <row r="4438" spans="1:14" x14ac:dyDescent="0.2">
      <c r="A4438" s="5" t="str">
        <f>HYPERLINK("http://www.ncbi.nlm.nih.gov/protein/126517472","Mfap1b")</f>
        <v>Mfap1b</v>
      </c>
      <c r="B4438" s="4"/>
      <c r="C4438" s="3">
        <v>0</v>
      </c>
      <c r="D4438" s="3">
        <v>27</v>
      </c>
      <c r="E4438" s="3">
        <v>1</v>
      </c>
      <c r="F4438" s="3">
        <v>0</v>
      </c>
      <c r="G4438" s="3">
        <v>0</v>
      </c>
      <c r="H4438" s="2">
        <f t="shared" si="138"/>
        <v>28</v>
      </c>
      <c r="I4438" t="str">
        <f t="shared" si="139"/>
        <v>Mfap1b_28</v>
      </c>
      <c r="J4438" s="3">
        <v>0</v>
      </c>
      <c r="K4438" s="3">
        <v>27</v>
      </c>
      <c r="L4438" s="3">
        <v>1</v>
      </c>
      <c r="M4438" s="3">
        <v>0</v>
      </c>
      <c r="N4438" s="3">
        <v>0</v>
      </c>
    </row>
    <row r="4439" spans="1:14" x14ac:dyDescent="0.2">
      <c r="A4439" s="5" t="str">
        <f>HYPERLINK("http://www.ncbi.nlm.nih.gov/protein/113865977","Mfge8")</f>
        <v>Mfge8</v>
      </c>
      <c r="B4439" s="4"/>
      <c r="C4439" s="3">
        <v>0</v>
      </c>
      <c r="D4439" s="3">
        <v>29110</v>
      </c>
      <c r="E4439" s="3">
        <v>66243</v>
      </c>
      <c r="F4439" s="3">
        <v>884</v>
      </c>
      <c r="G4439" s="3">
        <v>0</v>
      </c>
      <c r="H4439" s="2">
        <f t="shared" si="138"/>
        <v>96237</v>
      </c>
      <c r="I4439" t="str">
        <f t="shared" si="139"/>
        <v>Mfge8_96237</v>
      </c>
      <c r="J4439" s="3">
        <v>0</v>
      </c>
      <c r="K4439" s="3">
        <v>29110</v>
      </c>
      <c r="L4439" s="3">
        <v>66243</v>
      </c>
      <c r="M4439" s="3">
        <v>884</v>
      </c>
      <c r="N4439" s="3">
        <v>0</v>
      </c>
    </row>
    <row r="4440" spans="1:14" x14ac:dyDescent="0.2">
      <c r="A4440" s="5" t="str">
        <f>HYPERLINK("http://www.ncbi.nlm.nih.gov/protein/113865979","Mfge8")</f>
        <v>Mfge8</v>
      </c>
      <c r="B4440" s="4"/>
      <c r="C4440" s="3">
        <v>0</v>
      </c>
      <c r="D4440" s="3">
        <v>29110</v>
      </c>
      <c r="E4440" s="3">
        <v>66243</v>
      </c>
      <c r="F4440" s="3">
        <v>884</v>
      </c>
      <c r="G4440" s="3">
        <v>0</v>
      </c>
      <c r="H4440" s="2">
        <f t="shared" si="138"/>
        <v>96237</v>
      </c>
      <c r="I4440" t="str">
        <f t="shared" si="139"/>
        <v>Mfge8_96237</v>
      </c>
      <c r="J4440" s="3">
        <v>0</v>
      </c>
      <c r="K4440" s="3">
        <v>29110</v>
      </c>
      <c r="L4440" s="3">
        <v>66243</v>
      </c>
      <c r="M4440" s="3">
        <v>884</v>
      </c>
      <c r="N4440" s="3">
        <v>0</v>
      </c>
    </row>
    <row r="4441" spans="1:14" x14ac:dyDescent="0.2">
      <c r="A4441" s="5" t="str">
        <f>HYPERLINK("http://www.ncbi.nlm.nih.gov/protein/124486881","Mfhas1")</f>
        <v>Mfhas1</v>
      </c>
      <c r="B4441" s="4"/>
      <c r="C4441" s="3">
        <v>0</v>
      </c>
      <c r="D4441" s="3">
        <v>0</v>
      </c>
      <c r="E4441" s="3">
        <v>0</v>
      </c>
      <c r="F4441" s="3">
        <v>5239</v>
      </c>
      <c r="G4441" s="3">
        <v>72493</v>
      </c>
      <c r="H4441" s="2">
        <f t="shared" si="138"/>
        <v>77732</v>
      </c>
      <c r="I4441" t="str">
        <f t="shared" si="139"/>
        <v>Mfhas1_77732</v>
      </c>
      <c r="J4441" s="3">
        <v>0</v>
      </c>
      <c r="K4441" s="3">
        <v>0</v>
      </c>
      <c r="L4441" s="3">
        <v>0</v>
      </c>
      <c r="M4441" s="3">
        <v>5239</v>
      </c>
      <c r="N4441" s="3">
        <v>72493</v>
      </c>
    </row>
    <row r="4442" spans="1:14" x14ac:dyDescent="0.2">
      <c r="A4442" s="5" t="str">
        <f>HYPERLINK("http://www.ncbi.nlm.nih.gov/protein/244793488","Mfn1")</f>
        <v>Mfn1</v>
      </c>
      <c r="B4442" s="4"/>
      <c r="C4442" s="3">
        <v>2270</v>
      </c>
      <c r="D4442" s="3">
        <v>3682</v>
      </c>
      <c r="E4442" s="3">
        <v>199</v>
      </c>
      <c r="F4442" s="3">
        <v>0</v>
      </c>
      <c r="G4442" s="3">
        <v>0</v>
      </c>
      <c r="H4442" s="2">
        <f t="shared" si="138"/>
        <v>6151</v>
      </c>
      <c r="I4442" t="str">
        <f t="shared" si="139"/>
        <v>Mfn1_6151</v>
      </c>
      <c r="J4442" s="3">
        <v>2270</v>
      </c>
      <c r="K4442" s="3">
        <v>3682</v>
      </c>
      <c r="L4442" s="3">
        <v>199</v>
      </c>
      <c r="M4442" s="3">
        <v>0</v>
      </c>
      <c r="N4442" s="3">
        <v>0</v>
      </c>
    </row>
    <row r="4443" spans="1:14" x14ac:dyDescent="0.2">
      <c r="A4443" s="5" t="str">
        <f>HYPERLINK("http://www.ncbi.nlm.nih.gov/protein/21313266","Mfsd1")</f>
        <v>Mfsd1</v>
      </c>
      <c r="B4443" s="4"/>
      <c r="C4443" s="3">
        <v>0</v>
      </c>
      <c r="D4443" s="3">
        <v>1046</v>
      </c>
      <c r="E4443" s="3">
        <v>4172</v>
      </c>
      <c r="F4443" s="3">
        <v>0</v>
      </c>
      <c r="G4443" s="3">
        <v>0</v>
      </c>
      <c r="H4443" s="2">
        <f t="shared" si="138"/>
        <v>5218</v>
      </c>
      <c r="I4443" t="str">
        <f t="shared" si="139"/>
        <v>Mfsd1_5218</v>
      </c>
      <c r="J4443" s="3">
        <v>0</v>
      </c>
      <c r="K4443" s="3">
        <v>1046</v>
      </c>
      <c r="L4443" s="3">
        <v>4172</v>
      </c>
      <c r="M4443" s="3">
        <v>0</v>
      </c>
      <c r="N4443" s="3">
        <v>0</v>
      </c>
    </row>
    <row r="4444" spans="1:14" x14ac:dyDescent="0.2">
      <c r="A4444" s="5" t="str">
        <f>HYPERLINK("http://www.ncbi.nlm.nih.gov/protein/13386144","Mfsd10")</f>
        <v>Mfsd10</v>
      </c>
      <c r="B4444" s="4"/>
      <c r="C4444" s="3">
        <v>7066</v>
      </c>
      <c r="D4444" s="3">
        <v>1641</v>
      </c>
      <c r="E4444" s="3">
        <v>776</v>
      </c>
      <c r="F4444" s="3">
        <v>106</v>
      </c>
      <c r="G4444" s="3">
        <v>0</v>
      </c>
      <c r="H4444" s="2">
        <f t="shared" si="138"/>
        <v>9589</v>
      </c>
      <c r="I4444" t="str">
        <f t="shared" si="139"/>
        <v>Mfsd10_9589</v>
      </c>
      <c r="J4444" s="3">
        <v>7066</v>
      </c>
      <c r="K4444" s="3">
        <v>1641</v>
      </c>
      <c r="L4444" s="3">
        <v>776</v>
      </c>
      <c r="M4444" s="3">
        <v>106</v>
      </c>
      <c r="N4444" s="3">
        <v>0</v>
      </c>
    </row>
    <row r="4445" spans="1:14" x14ac:dyDescent="0.2">
      <c r="A4445" s="5" t="str">
        <f>HYPERLINK("http://www.ncbi.nlm.nih.gov/protein/148540196","Mfsd12")</f>
        <v>Mfsd12</v>
      </c>
      <c r="B4445" s="4"/>
      <c r="C4445" s="3">
        <v>0</v>
      </c>
      <c r="D4445" s="3">
        <v>2</v>
      </c>
      <c r="E4445" s="3">
        <v>18</v>
      </c>
      <c r="F4445" s="3">
        <v>0</v>
      </c>
      <c r="G4445" s="3">
        <v>0</v>
      </c>
      <c r="H4445" s="2">
        <f t="shared" si="138"/>
        <v>20</v>
      </c>
      <c r="I4445" t="str">
        <f t="shared" si="139"/>
        <v>Mfsd12_20</v>
      </c>
      <c r="J4445" s="3">
        <v>0</v>
      </c>
      <c r="K4445" s="3">
        <v>2</v>
      </c>
      <c r="L4445" s="3">
        <v>18</v>
      </c>
      <c r="M4445" s="3">
        <v>0</v>
      </c>
      <c r="N4445" s="3">
        <v>0</v>
      </c>
    </row>
    <row r="4446" spans="1:14" x14ac:dyDescent="0.2">
      <c r="A4446" s="5" t="str">
        <f>HYPERLINK("http://www.ncbi.nlm.nih.gov/protein/19527330","Mfsd5")</f>
        <v>Mfsd5</v>
      </c>
      <c r="B4446" s="4"/>
      <c r="C4446" s="3">
        <v>0</v>
      </c>
      <c r="D4446" s="3">
        <v>294</v>
      </c>
      <c r="E4446" s="3">
        <v>0</v>
      </c>
      <c r="F4446" s="3">
        <v>0</v>
      </c>
      <c r="G4446" s="3">
        <v>0</v>
      </c>
      <c r="H4446" s="2">
        <f t="shared" si="138"/>
        <v>294</v>
      </c>
      <c r="I4446" t="str">
        <f t="shared" si="139"/>
        <v>Mfsd5_294</v>
      </c>
      <c r="J4446" s="3">
        <v>0</v>
      </c>
      <c r="K4446" s="3">
        <v>294</v>
      </c>
      <c r="L4446" s="3">
        <v>0</v>
      </c>
      <c r="M4446" s="3">
        <v>0</v>
      </c>
      <c r="N4446" s="3">
        <v>0</v>
      </c>
    </row>
    <row r="4447" spans="1:14" x14ac:dyDescent="0.2">
      <c r="A4447" s="5" t="str">
        <f>HYPERLINK("http://www.ncbi.nlm.nih.gov/protein/160707919","Mfsd6")</f>
        <v>Mfsd6</v>
      </c>
      <c r="B4447" s="4"/>
      <c r="C4447" s="3">
        <v>0</v>
      </c>
      <c r="D4447" s="3">
        <v>27</v>
      </c>
      <c r="E4447" s="3">
        <v>0</v>
      </c>
      <c r="F4447" s="3">
        <v>246</v>
      </c>
      <c r="G4447" s="3">
        <v>0</v>
      </c>
      <c r="H4447" s="2">
        <f t="shared" si="138"/>
        <v>273</v>
      </c>
      <c r="I4447" t="str">
        <f t="shared" si="139"/>
        <v>Mfsd6_273</v>
      </c>
      <c r="J4447" s="3">
        <v>0</v>
      </c>
      <c r="K4447" s="3">
        <v>27</v>
      </c>
      <c r="L4447" s="3">
        <v>0</v>
      </c>
      <c r="M4447" s="3">
        <v>246</v>
      </c>
      <c r="N4447" s="3">
        <v>0</v>
      </c>
    </row>
    <row r="4448" spans="1:14" x14ac:dyDescent="0.2">
      <c r="A4448" s="5" t="str">
        <f>HYPERLINK("http://www.ncbi.nlm.nih.gov/protein/31541926","Mfsd8")</f>
        <v>Mfsd8</v>
      </c>
      <c r="B4448" s="4"/>
      <c r="C4448" s="3">
        <v>0</v>
      </c>
      <c r="D4448" s="3">
        <v>242</v>
      </c>
      <c r="E4448" s="3">
        <v>0</v>
      </c>
      <c r="F4448" s="3">
        <v>0</v>
      </c>
      <c r="G4448" s="3">
        <v>0</v>
      </c>
      <c r="H4448" s="2">
        <f t="shared" si="138"/>
        <v>242</v>
      </c>
      <c r="I4448" t="str">
        <f t="shared" si="139"/>
        <v>Mfsd8_242</v>
      </c>
      <c r="J4448" s="3">
        <v>0</v>
      </c>
      <c r="K4448" s="3">
        <v>242</v>
      </c>
      <c r="L4448" s="3">
        <v>0</v>
      </c>
      <c r="M4448" s="3">
        <v>0</v>
      </c>
      <c r="N4448" s="3">
        <v>0</v>
      </c>
    </row>
    <row r="4449" spans="1:14" x14ac:dyDescent="0.2">
      <c r="A4449" s="5" t="str">
        <f>HYPERLINK("http://www.ncbi.nlm.nih.gov/protein/158711696","Mgat1")</f>
        <v>Mgat1</v>
      </c>
      <c r="B4449" s="4"/>
      <c r="C4449" s="3">
        <v>0</v>
      </c>
      <c r="D4449" s="3">
        <v>0</v>
      </c>
      <c r="E4449" s="3">
        <v>0</v>
      </c>
      <c r="F4449" s="3">
        <v>442</v>
      </c>
      <c r="G4449" s="3">
        <v>0</v>
      </c>
      <c r="H4449" s="2">
        <f t="shared" si="138"/>
        <v>442</v>
      </c>
      <c r="I4449" t="str">
        <f t="shared" si="139"/>
        <v>Mgat1_442</v>
      </c>
      <c r="J4449" s="3">
        <v>0</v>
      </c>
      <c r="K4449" s="3">
        <v>0</v>
      </c>
      <c r="L4449" s="3">
        <v>0</v>
      </c>
      <c r="M4449" s="3">
        <v>442</v>
      </c>
      <c r="N4449" s="3">
        <v>0</v>
      </c>
    </row>
    <row r="4450" spans="1:14" x14ac:dyDescent="0.2">
      <c r="A4450" s="5" t="str">
        <f>HYPERLINK("http://www.ncbi.nlm.nih.gov/protein/22122521","Mgat2")</f>
        <v>Mgat2</v>
      </c>
      <c r="B4450" s="4"/>
      <c r="C4450" s="3">
        <v>0</v>
      </c>
      <c r="D4450" s="3">
        <v>1478</v>
      </c>
      <c r="E4450" s="3">
        <v>0</v>
      </c>
      <c r="F4450" s="3">
        <v>0</v>
      </c>
      <c r="G4450" s="3">
        <v>0</v>
      </c>
      <c r="H4450" s="2">
        <f t="shared" si="138"/>
        <v>1478</v>
      </c>
      <c r="I4450" t="str">
        <f t="shared" si="139"/>
        <v>Mgat2_1478</v>
      </c>
      <c r="J4450" s="3">
        <v>0</v>
      </c>
      <c r="K4450" s="3">
        <v>1478</v>
      </c>
      <c r="L4450" s="3">
        <v>0</v>
      </c>
      <c r="M4450" s="3">
        <v>0</v>
      </c>
      <c r="N4450" s="3">
        <v>0</v>
      </c>
    </row>
    <row r="4451" spans="1:14" x14ac:dyDescent="0.2">
      <c r="A4451" s="5" t="str">
        <f>HYPERLINK("http://www.ncbi.nlm.nih.gov/protein/253683470","Mgat4b")</f>
        <v>Mgat4b</v>
      </c>
      <c r="B4451" s="4"/>
      <c r="C4451" s="3">
        <v>0</v>
      </c>
      <c r="D4451" s="3">
        <v>58</v>
      </c>
      <c r="E4451" s="3">
        <v>0</v>
      </c>
      <c r="F4451" s="3">
        <v>0</v>
      </c>
      <c r="G4451" s="3">
        <v>0</v>
      </c>
      <c r="H4451" s="2">
        <f t="shared" si="138"/>
        <v>58</v>
      </c>
      <c r="I4451" t="str">
        <f t="shared" si="139"/>
        <v>Mgat4b_58</v>
      </c>
      <c r="J4451" s="3">
        <v>0</v>
      </c>
      <c r="K4451" s="3">
        <v>58</v>
      </c>
      <c r="L4451" s="3">
        <v>0</v>
      </c>
      <c r="M4451" s="3">
        <v>0</v>
      </c>
      <c r="N4451" s="3">
        <v>0</v>
      </c>
    </row>
    <row r="4452" spans="1:14" x14ac:dyDescent="0.2">
      <c r="A4452" s="5" t="str">
        <f>HYPERLINK("http://www.ncbi.nlm.nih.gov/protein/326633239","Mgat4c")</f>
        <v>Mgat4c</v>
      </c>
      <c r="B4452" s="4"/>
      <c r="C4452" s="3">
        <v>0</v>
      </c>
      <c r="D4452" s="3">
        <v>0</v>
      </c>
      <c r="E4452" s="3">
        <v>704</v>
      </c>
      <c r="F4452" s="3">
        <v>0</v>
      </c>
      <c r="G4452" s="3">
        <v>0</v>
      </c>
      <c r="H4452" s="2">
        <f t="shared" si="138"/>
        <v>704</v>
      </c>
      <c r="I4452" t="str">
        <f t="shared" si="139"/>
        <v>Mgat4c_704</v>
      </c>
      <c r="J4452" s="3">
        <v>0</v>
      </c>
      <c r="K4452" s="3">
        <v>0</v>
      </c>
      <c r="L4452" s="3">
        <v>704</v>
      </c>
      <c r="M4452" s="3">
        <v>0</v>
      </c>
      <c r="N4452" s="3">
        <v>0</v>
      </c>
    </row>
    <row r="4453" spans="1:14" x14ac:dyDescent="0.2">
      <c r="A4453" s="5" t="str">
        <f>HYPERLINK("http://www.ncbi.nlm.nih.gov/protein/15011884","Mgea5")</f>
        <v>Mgea5</v>
      </c>
      <c r="B4453" s="4"/>
      <c r="C4453" s="3">
        <v>0</v>
      </c>
      <c r="D4453" s="3">
        <v>0</v>
      </c>
      <c r="E4453" s="3">
        <v>837</v>
      </c>
      <c r="F4453" s="3">
        <v>188</v>
      </c>
      <c r="G4453" s="3">
        <v>40439</v>
      </c>
      <c r="H4453" s="2">
        <f t="shared" si="138"/>
        <v>41464</v>
      </c>
      <c r="I4453" t="str">
        <f t="shared" si="139"/>
        <v>Mgea5_41464</v>
      </c>
      <c r="J4453" s="3">
        <v>0</v>
      </c>
      <c r="K4453" s="3">
        <v>0</v>
      </c>
      <c r="L4453" s="3">
        <v>837</v>
      </c>
      <c r="M4453" s="3">
        <v>188</v>
      </c>
      <c r="N4453" s="3">
        <v>40439</v>
      </c>
    </row>
    <row r="4454" spans="1:14" x14ac:dyDescent="0.2">
      <c r="A4454" s="5" t="str">
        <f>HYPERLINK("http://www.ncbi.nlm.nih.gov/protein/21312780","Mgme1")</f>
        <v>Mgme1</v>
      </c>
      <c r="B4454" s="4"/>
      <c r="C4454" s="3">
        <v>0</v>
      </c>
      <c r="D4454" s="3">
        <v>432</v>
      </c>
      <c r="E4454" s="3">
        <v>0</v>
      </c>
      <c r="F4454" s="3">
        <v>0</v>
      </c>
      <c r="G4454" s="3">
        <v>0</v>
      </c>
      <c r="H4454" s="2">
        <f t="shared" si="138"/>
        <v>432</v>
      </c>
      <c r="I4454" t="str">
        <f t="shared" si="139"/>
        <v>Mgme1_432</v>
      </c>
      <c r="J4454" s="3">
        <v>0</v>
      </c>
      <c r="K4454" s="3">
        <v>432</v>
      </c>
      <c r="L4454" s="3">
        <v>0</v>
      </c>
      <c r="M4454" s="3">
        <v>0</v>
      </c>
      <c r="N4454" s="3">
        <v>0</v>
      </c>
    </row>
    <row r="4455" spans="1:14" x14ac:dyDescent="0.2">
      <c r="A4455" s="5" t="str">
        <f>HYPERLINK("http://www.ncbi.nlm.nih.gov/protein/27229238","Mgrn1")</f>
        <v>Mgrn1</v>
      </c>
      <c r="B4455" s="4"/>
      <c r="C4455" s="3">
        <v>0</v>
      </c>
      <c r="D4455" s="3">
        <v>0</v>
      </c>
      <c r="E4455" s="3">
        <v>6</v>
      </c>
      <c r="F4455" s="3">
        <v>1203</v>
      </c>
      <c r="G4455" s="3">
        <v>857</v>
      </c>
      <c r="H4455" s="2">
        <f t="shared" si="138"/>
        <v>2066</v>
      </c>
      <c r="I4455" t="str">
        <f t="shared" si="139"/>
        <v>Mgrn1_2066</v>
      </c>
      <c r="J4455" s="3">
        <v>0</v>
      </c>
      <c r="K4455" s="3">
        <v>0</v>
      </c>
      <c r="L4455" s="3">
        <v>6</v>
      </c>
      <c r="M4455" s="3">
        <v>1203</v>
      </c>
      <c r="N4455" s="3">
        <v>857</v>
      </c>
    </row>
    <row r="4456" spans="1:14" x14ac:dyDescent="0.2">
      <c r="A4456" s="5" t="str">
        <f>HYPERLINK("http://www.ncbi.nlm.nih.gov/protein/356995926","Mgrn1")</f>
        <v>Mgrn1</v>
      </c>
      <c r="B4456" s="4"/>
      <c r="C4456" s="3">
        <v>0</v>
      </c>
      <c r="D4456" s="3">
        <v>0</v>
      </c>
      <c r="E4456" s="3">
        <v>6</v>
      </c>
      <c r="F4456" s="3">
        <v>1203</v>
      </c>
      <c r="G4456" s="3">
        <v>857</v>
      </c>
      <c r="H4456" s="2">
        <f t="shared" si="138"/>
        <v>2066</v>
      </c>
      <c r="I4456" t="str">
        <f t="shared" si="139"/>
        <v>Mgrn1_2066</v>
      </c>
      <c r="J4456" s="3">
        <v>0</v>
      </c>
      <c r="K4456" s="3">
        <v>0</v>
      </c>
      <c r="L4456" s="3">
        <v>6</v>
      </c>
      <c r="M4456" s="3">
        <v>1203</v>
      </c>
      <c r="N4456" s="3">
        <v>857</v>
      </c>
    </row>
    <row r="4457" spans="1:14" x14ac:dyDescent="0.2">
      <c r="A4457" s="5" t="str">
        <f>HYPERLINK("http://www.ncbi.nlm.nih.gov/protein/31981068","Mgst1")</f>
        <v>Mgst1</v>
      </c>
      <c r="B4457" s="4"/>
      <c r="C4457" s="3">
        <v>12704</v>
      </c>
      <c r="D4457" s="3">
        <v>5870</v>
      </c>
      <c r="E4457" s="3">
        <v>1697</v>
      </c>
      <c r="F4457" s="3">
        <v>0</v>
      </c>
      <c r="G4457" s="3">
        <v>0</v>
      </c>
      <c r="H4457" s="2">
        <f t="shared" si="138"/>
        <v>20271</v>
      </c>
      <c r="I4457" t="str">
        <f t="shared" si="139"/>
        <v>Mgst1_20271</v>
      </c>
      <c r="J4457" s="3">
        <v>12704</v>
      </c>
      <c r="K4457" s="3">
        <v>5870</v>
      </c>
      <c r="L4457" s="3">
        <v>1697</v>
      </c>
      <c r="M4457" s="3">
        <v>0</v>
      </c>
      <c r="N4457" s="3">
        <v>0</v>
      </c>
    </row>
    <row r="4458" spans="1:14" x14ac:dyDescent="0.2">
      <c r="A4458" s="5" t="str">
        <f>HYPERLINK("http://www.ncbi.nlm.nih.gov/protein/13385010","Mgst3")</f>
        <v>Mgst3</v>
      </c>
      <c r="B4458" s="4"/>
      <c r="C4458" s="3">
        <v>7414</v>
      </c>
      <c r="D4458" s="3">
        <v>1889</v>
      </c>
      <c r="E4458" s="3">
        <v>1109</v>
      </c>
      <c r="F4458" s="3">
        <v>671</v>
      </c>
      <c r="G4458" s="3">
        <v>0</v>
      </c>
      <c r="H4458" s="2">
        <f t="shared" si="138"/>
        <v>11083</v>
      </c>
      <c r="I4458" t="str">
        <f t="shared" si="139"/>
        <v>Mgst3_11083</v>
      </c>
      <c r="J4458" s="3">
        <v>7414</v>
      </c>
      <c r="K4458" s="3">
        <v>1889</v>
      </c>
      <c r="L4458" s="3">
        <v>1109</v>
      </c>
      <c r="M4458" s="3">
        <v>671</v>
      </c>
      <c r="N4458" s="3">
        <v>0</v>
      </c>
    </row>
    <row r="4459" spans="1:14" x14ac:dyDescent="0.2">
      <c r="A4459" s="5" t="str">
        <f>HYPERLINK("http://www.ncbi.nlm.nih.gov/protein/124001582","Mia3")</f>
        <v>Mia3</v>
      </c>
      <c r="B4459" s="4"/>
      <c r="C4459" s="3">
        <v>0</v>
      </c>
      <c r="D4459" s="3">
        <v>511</v>
      </c>
      <c r="E4459" s="3">
        <v>0</v>
      </c>
      <c r="F4459" s="3">
        <v>0</v>
      </c>
      <c r="G4459" s="3">
        <v>0</v>
      </c>
      <c r="H4459" s="2">
        <f t="shared" si="138"/>
        <v>511</v>
      </c>
      <c r="I4459" t="str">
        <f t="shared" si="139"/>
        <v>Mia3_511</v>
      </c>
      <c r="J4459" s="3">
        <v>0</v>
      </c>
      <c r="K4459" s="3">
        <v>511</v>
      </c>
      <c r="L4459" s="3">
        <v>0</v>
      </c>
      <c r="M4459" s="3">
        <v>0</v>
      </c>
      <c r="N4459" s="3">
        <v>0</v>
      </c>
    </row>
    <row r="4460" spans="1:14" x14ac:dyDescent="0.2">
      <c r="A4460" s="5" t="str">
        <f>HYPERLINK("http://www.ncbi.nlm.nih.gov/protein/32189428","Mib1")</f>
        <v>Mib1</v>
      </c>
      <c r="B4460" s="4"/>
      <c r="C4460" s="3">
        <v>0</v>
      </c>
      <c r="D4460" s="3">
        <v>0</v>
      </c>
      <c r="E4460" s="3">
        <v>2488</v>
      </c>
      <c r="F4460" s="3">
        <v>0</v>
      </c>
      <c r="G4460" s="3">
        <v>1660</v>
      </c>
      <c r="H4460" s="2">
        <f t="shared" si="138"/>
        <v>4148</v>
      </c>
      <c r="I4460" t="str">
        <f t="shared" si="139"/>
        <v>Mib1_4148</v>
      </c>
      <c r="J4460" s="3">
        <v>0</v>
      </c>
      <c r="K4460" s="3">
        <v>0</v>
      </c>
      <c r="L4460" s="3">
        <v>2488</v>
      </c>
      <c r="M4460" s="3">
        <v>0</v>
      </c>
      <c r="N4460" s="3">
        <v>1660</v>
      </c>
    </row>
    <row r="4461" spans="1:14" x14ac:dyDescent="0.2">
      <c r="A4461" s="5" t="str">
        <f>HYPERLINK("http://www.ncbi.nlm.nih.gov/protein/170932490","Mical3")</f>
        <v>Mical3</v>
      </c>
      <c r="B4461" s="4"/>
      <c r="C4461" s="3">
        <v>0</v>
      </c>
      <c r="D4461" s="3">
        <v>0</v>
      </c>
      <c r="E4461" s="3">
        <v>0</v>
      </c>
      <c r="F4461" s="3">
        <v>794</v>
      </c>
      <c r="G4461" s="3">
        <v>2024</v>
      </c>
      <c r="H4461" s="2">
        <f t="shared" si="138"/>
        <v>2818</v>
      </c>
      <c r="I4461" t="str">
        <f t="shared" si="139"/>
        <v>Mical3_2818</v>
      </c>
      <c r="J4461" s="3">
        <v>0</v>
      </c>
      <c r="K4461" s="3">
        <v>0</v>
      </c>
      <c r="L4461" s="3">
        <v>0</v>
      </c>
      <c r="M4461" s="3">
        <v>794</v>
      </c>
      <c r="N4461" s="3">
        <v>2024</v>
      </c>
    </row>
    <row r="4462" spans="1:14" x14ac:dyDescent="0.2">
      <c r="A4462" s="5" t="str">
        <f>HYPERLINK("http://www.ncbi.nlm.nih.gov/protein/394582113","Mical3")</f>
        <v>Mical3</v>
      </c>
      <c r="B4462" s="4"/>
      <c r="C4462" s="3">
        <v>3094</v>
      </c>
      <c r="D4462" s="3">
        <v>0</v>
      </c>
      <c r="E4462" s="3">
        <v>0</v>
      </c>
      <c r="F4462" s="3">
        <v>794</v>
      </c>
      <c r="G4462" s="3">
        <v>2024</v>
      </c>
      <c r="H4462" s="2">
        <f t="shared" si="138"/>
        <v>5912</v>
      </c>
      <c r="I4462" t="str">
        <f t="shared" si="139"/>
        <v>Mical3_5912</v>
      </c>
      <c r="J4462" s="3">
        <v>3094</v>
      </c>
      <c r="K4462" s="3">
        <v>0</v>
      </c>
      <c r="L4462" s="3">
        <v>0</v>
      </c>
      <c r="M4462" s="3">
        <v>794</v>
      </c>
      <c r="N4462" s="3">
        <v>2024</v>
      </c>
    </row>
    <row r="4463" spans="1:14" x14ac:dyDescent="0.2">
      <c r="A4463" s="5" t="str">
        <f>HYPERLINK("http://www.ncbi.nlm.nih.gov/protein/168229165","Micall1")</f>
        <v>Micall1</v>
      </c>
      <c r="B4463" s="4"/>
      <c r="C4463" s="3">
        <v>0</v>
      </c>
      <c r="D4463" s="3">
        <v>0</v>
      </c>
      <c r="E4463" s="3">
        <v>0</v>
      </c>
      <c r="F4463" s="3">
        <v>0</v>
      </c>
      <c r="G4463" s="3">
        <v>332</v>
      </c>
      <c r="H4463" s="2">
        <f t="shared" si="138"/>
        <v>332</v>
      </c>
      <c r="I4463" t="str">
        <f t="shared" si="139"/>
        <v>Micall1_332</v>
      </c>
      <c r="J4463" s="3">
        <v>0</v>
      </c>
      <c r="K4463" s="3">
        <v>0</v>
      </c>
      <c r="L4463" s="3">
        <v>0</v>
      </c>
      <c r="M4463" s="3">
        <v>0</v>
      </c>
      <c r="N4463" s="3">
        <v>332</v>
      </c>
    </row>
    <row r="4464" spans="1:14" x14ac:dyDescent="0.2">
      <c r="A4464" s="5" t="str">
        <f>HYPERLINK("http://www.ncbi.nlm.nih.gov/protein/21450201","Micu1")</f>
        <v>Micu1</v>
      </c>
      <c r="B4464" s="4"/>
      <c r="C4464" s="3">
        <v>476</v>
      </c>
      <c r="D4464" s="3">
        <v>1616</v>
      </c>
      <c r="E4464" s="3">
        <v>28</v>
      </c>
      <c r="F4464" s="3">
        <v>0</v>
      </c>
      <c r="G4464" s="3">
        <v>0</v>
      </c>
      <c r="H4464" s="2">
        <f t="shared" si="138"/>
        <v>2120</v>
      </c>
      <c r="I4464" t="str">
        <f t="shared" si="139"/>
        <v>Micu1_2120</v>
      </c>
      <c r="J4464" s="3">
        <v>476</v>
      </c>
      <c r="K4464" s="3">
        <v>1616</v>
      </c>
      <c r="L4464" s="3">
        <v>28</v>
      </c>
      <c r="M4464" s="3">
        <v>0</v>
      </c>
      <c r="N4464" s="3">
        <v>0</v>
      </c>
    </row>
    <row r="4465" spans="1:14" x14ac:dyDescent="0.2">
      <c r="A4465" s="5" t="str">
        <f>HYPERLINK("http://www.ncbi.nlm.nih.gov/protein/27477043","Micu2")</f>
        <v>Micu2</v>
      </c>
      <c r="B4465" s="4"/>
      <c r="C4465" s="3">
        <v>6865</v>
      </c>
      <c r="D4465" s="3">
        <v>2014</v>
      </c>
      <c r="E4465" s="3">
        <v>70</v>
      </c>
      <c r="F4465" s="3">
        <v>0</v>
      </c>
      <c r="G4465" s="3">
        <v>0</v>
      </c>
      <c r="H4465" s="2">
        <f t="shared" si="138"/>
        <v>8949</v>
      </c>
      <c r="I4465" t="str">
        <f t="shared" si="139"/>
        <v>Micu2_8949</v>
      </c>
      <c r="J4465" s="3">
        <v>6865</v>
      </c>
      <c r="K4465" s="3">
        <v>2014</v>
      </c>
      <c r="L4465" s="3">
        <v>70</v>
      </c>
      <c r="M4465" s="3">
        <v>0</v>
      </c>
      <c r="N4465" s="3">
        <v>0</v>
      </c>
    </row>
    <row r="4466" spans="1:14" x14ac:dyDescent="0.2">
      <c r="A4466" s="5" t="str">
        <f>HYPERLINK("http://www.ncbi.nlm.nih.gov/protein/10947008","Midn")</f>
        <v>Midn</v>
      </c>
      <c r="B4466" s="4"/>
      <c r="C4466" s="3">
        <v>13327</v>
      </c>
      <c r="D4466" s="3">
        <v>0</v>
      </c>
      <c r="E4466" s="3">
        <v>1652</v>
      </c>
      <c r="F4466" s="3">
        <v>3749</v>
      </c>
      <c r="G4466" s="3">
        <v>0</v>
      </c>
      <c r="H4466" s="2">
        <f t="shared" si="138"/>
        <v>18728</v>
      </c>
      <c r="I4466" t="str">
        <f t="shared" si="139"/>
        <v>Midn_18728</v>
      </c>
      <c r="J4466" s="3">
        <v>13327</v>
      </c>
      <c r="K4466" s="3">
        <v>0</v>
      </c>
      <c r="L4466" s="3">
        <v>1652</v>
      </c>
      <c r="M4466" s="3">
        <v>3749</v>
      </c>
      <c r="N4466" s="3">
        <v>0</v>
      </c>
    </row>
    <row r="4467" spans="1:14" x14ac:dyDescent="0.2">
      <c r="A4467" s="5" t="str">
        <f>HYPERLINK("http://www.ncbi.nlm.nih.gov/protein/13384990","Mien1")</f>
        <v>Mien1</v>
      </c>
      <c r="B4467" s="4"/>
      <c r="C4467" s="3">
        <v>0</v>
      </c>
      <c r="D4467" s="3">
        <v>426</v>
      </c>
      <c r="E4467" s="3">
        <v>373</v>
      </c>
      <c r="F4467" s="3">
        <v>704</v>
      </c>
      <c r="G4467" s="3">
        <v>2249</v>
      </c>
      <c r="H4467" s="2">
        <f t="shared" si="138"/>
        <v>3752</v>
      </c>
      <c r="I4467" t="str">
        <f t="shared" si="139"/>
        <v>Mien1_3752</v>
      </c>
      <c r="J4467" s="3">
        <v>0</v>
      </c>
      <c r="K4467" s="3">
        <v>426</v>
      </c>
      <c r="L4467" s="3">
        <v>373</v>
      </c>
      <c r="M4467" s="3">
        <v>704</v>
      </c>
      <c r="N4467" s="3">
        <v>2249</v>
      </c>
    </row>
    <row r="4468" spans="1:14" x14ac:dyDescent="0.2">
      <c r="A4468" s="5" t="str">
        <f>HYPERLINK("http://www.ncbi.nlm.nih.gov/protein/555290129","Mier1")</f>
        <v>Mier1</v>
      </c>
      <c r="B4468" s="4"/>
      <c r="C4468" s="3">
        <v>604</v>
      </c>
      <c r="D4468" s="3">
        <v>0</v>
      </c>
      <c r="E4468" s="3">
        <v>0</v>
      </c>
      <c r="F4468" s="3">
        <v>0</v>
      </c>
      <c r="G4468" s="3">
        <v>0</v>
      </c>
      <c r="H4468" s="2">
        <f t="shared" si="138"/>
        <v>604</v>
      </c>
      <c r="I4468" t="str">
        <f t="shared" si="139"/>
        <v>Mier1_604</v>
      </c>
      <c r="J4468" s="3">
        <v>604</v>
      </c>
      <c r="K4468" s="3">
        <v>0</v>
      </c>
      <c r="L4468" s="3">
        <v>0</v>
      </c>
      <c r="M4468" s="3">
        <v>0</v>
      </c>
      <c r="N4468" s="3">
        <v>0</v>
      </c>
    </row>
    <row r="4469" spans="1:14" x14ac:dyDescent="0.2">
      <c r="A4469" s="5" t="str">
        <f>HYPERLINK("http://www.ncbi.nlm.nih.gov/protein/555290144","Mier1")</f>
        <v>Mier1</v>
      </c>
      <c r="B4469" s="4"/>
      <c r="C4469" s="3">
        <v>604</v>
      </c>
      <c r="D4469" s="3">
        <v>0</v>
      </c>
      <c r="E4469" s="3">
        <v>0</v>
      </c>
      <c r="F4469" s="3">
        <v>0</v>
      </c>
      <c r="G4469" s="3">
        <v>0</v>
      </c>
      <c r="H4469" s="2">
        <f t="shared" si="138"/>
        <v>604</v>
      </c>
      <c r="I4469" t="str">
        <f t="shared" si="139"/>
        <v>Mier1_604</v>
      </c>
      <c r="J4469" s="3">
        <v>604</v>
      </c>
      <c r="K4469" s="3">
        <v>0</v>
      </c>
      <c r="L4469" s="3">
        <v>0</v>
      </c>
      <c r="M4469" s="3">
        <v>0</v>
      </c>
      <c r="N4469" s="3">
        <v>0</v>
      </c>
    </row>
    <row r="4470" spans="1:14" x14ac:dyDescent="0.2">
      <c r="A4470" s="5" t="str">
        <f>HYPERLINK("http://www.ncbi.nlm.nih.gov/protein/84872225","Mier1")</f>
        <v>Mier1</v>
      </c>
      <c r="B4470" s="4"/>
      <c r="C4470" s="3">
        <v>604</v>
      </c>
      <c r="D4470" s="3">
        <v>420</v>
      </c>
      <c r="E4470" s="3">
        <v>0</v>
      </c>
      <c r="F4470" s="3">
        <v>0</v>
      </c>
      <c r="G4470" s="3">
        <v>278</v>
      </c>
      <c r="H4470" s="2">
        <f t="shared" si="138"/>
        <v>1302</v>
      </c>
      <c r="I4470" t="str">
        <f t="shared" si="139"/>
        <v>Mier1_1302</v>
      </c>
      <c r="J4470" s="3">
        <v>604</v>
      </c>
      <c r="K4470" s="3">
        <v>420</v>
      </c>
      <c r="L4470" s="3">
        <v>0</v>
      </c>
      <c r="M4470" s="3">
        <v>0</v>
      </c>
      <c r="N4470" s="3">
        <v>278</v>
      </c>
    </row>
    <row r="4471" spans="1:14" x14ac:dyDescent="0.2">
      <c r="A4471" s="5" t="str">
        <f>HYPERLINK("http://www.ncbi.nlm.nih.gov/protein/84872227","Mier1")</f>
        <v>Mier1</v>
      </c>
      <c r="B4471" s="4"/>
      <c r="C4471" s="3">
        <v>604</v>
      </c>
      <c r="D4471" s="3">
        <v>420</v>
      </c>
      <c r="E4471" s="3">
        <v>0</v>
      </c>
      <c r="F4471" s="3">
        <v>0</v>
      </c>
      <c r="G4471" s="3">
        <v>278</v>
      </c>
      <c r="H4471" s="2">
        <f t="shared" si="138"/>
        <v>1302</v>
      </c>
      <c r="I4471" t="str">
        <f t="shared" si="139"/>
        <v>Mier1_1302</v>
      </c>
      <c r="J4471" s="3">
        <v>604</v>
      </c>
      <c r="K4471" s="3">
        <v>420</v>
      </c>
      <c r="L4471" s="3">
        <v>0</v>
      </c>
      <c r="M4471" s="3">
        <v>0</v>
      </c>
      <c r="N4471" s="3">
        <v>278</v>
      </c>
    </row>
    <row r="4472" spans="1:14" x14ac:dyDescent="0.2">
      <c r="A4472" s="5" t="str">
        <f>HYPERLINK("http://www.ncbi.nlm.nih.gov/protein/6754696","Mif")</f>
        <v>Mif</v>
      </c>
      <c r="B4472" s="4"/>
      <c r="C4472" s="3">
        <v>62057</v>
      </c>
      <c r="D4472" s="3">
        <v>5561</v>
      </c>
      <c r="E4472" s="3">
        <v>32442</v>
      </c>
      <c r="F4472" s="3">
        <v>4461</v>
      </c>
      <c r="G4472" s="3">
        <v>16825</v>
      </c>
      <c r="H4472" s="2">
        <f t="shared" si="138"/>
        <v>121346</v>
      </c>
      <c r="I4472" t="str">
        <f t="shared" si="139"/>
        <v>Mif_121346</v>
      </c>
      <c r="J4472" s="3">
        <v>62057</v>
      </c>
      <c r="K4472" s="3">
        <v>5561</v>
      </c>
      <c r="L4472" s="3">
        <v>32442</v>
      </c>
      <c r="M4472" s="3">
        <v>4461</v>
      </c>
      <c r="N4472" s="3">
        <v>16825</v>
      </c>
    </row>
    <row r="4473" spans="1:14" x14ac:dyDescent="0.2">
      <c r="A4473" s="5" t="str">
        <f>HYPERLINK("http://www.ncbi.nlm.nih.gov/protein/343790914;262073012","Mif4gd")</f>
        <v>Mif4gd</v>
      </c>
      <c r="B4473" s="4"/>
      <c r="C4473" s="3">
        <v>0</v>
      </c>
      <c r="D4473" s="3">
        <v>0</v>
      </c>
      <c r="E4473" s="3">
        <v>0</v>
      </c>
      <c r="F4473" s="3">
        <v>0</v>
      </c>
      <c r="G4473" s="3">
        <v>750</v>
      </c>
      <c r="H4473" s="2">
        <f t="shared" si="138"/>
        <v>750</v>
      </c>
      <c r="I4473" t="str">
        <f t="shared" si="139"/>
        <v>Mif4gd_750</v>
      </c>
      <c r="J4473" s="3">
        <v>0</v>
      </c>
      <c r="K4473" s="3">
        <v>0</v>
      </c>
      <c r="L4473" s="3">
        <v>0</v>
      </c>
      <c r="M4473" s="3">
        <v>0</v>
      </c>
      <c r="N4473" s="3">
        <v>750</v>
      </c>
    </row>
    <row r="4474" spans="1:14" x14ac:dyDescent="0.2">
      <c r="A4474" s="5" t="str">
        <f>HYPERLINK("http://www.ncbi.nlm.nih.gov/protein/343790916","Mif4gd")</f>
        <v>Mif4gd</v>
      </c>
      <c r="B4474" s="4"/>
      <c r="C4474" s="3">
        <v>0</v>
      </c>
      <c r="D4474" s="3">
        <v>0</v>
      </c>
      <c r="E4474" s="3">
        <v>0</v>
      </c>
      <c r="F4474" s="3">
        <v>0</v>
      </c>
      <c r="G4474" s="3">
        <v>750</v>
      </c>
      <c r="H4474" s="2">
        <f t="shared" si="138"/>
        <v>750</v>
      </c>
      <c r="I4474" t="str">
        <f t="shared" si="139"/>
        <v>Mif4gd_750</v>
      </c>
      <c r="J4474" s="3">
        <v>0</v>
      </c>
      <c r="K4474" s="3">
        <v>0</v>
      </c>
      <c r="L4474" s="3">
        <v>0</v>
      </c>
      <c r="M4474" s="3">
        <v>0</v>
      </c>
      <c r="N4474" s="3">
        <v>750</v>
      </c>
    </row>
    <row r="4475" spans="1:14" x14ac:dyDescent="0.2">
      <c r="A4475" s="5" t="str">
        <f>HYPERLINK("http://www.ncbi.nlm.nih.gov/protein/256355182","Mina")</f>
        <v>Mina</v>
      </c>
      <c r="B4475" s="4"/>
      <c r="C4475" s="3">
        <v>0</v>
      </c>
      <c r="D4475" s="3">
        <v>0</v>
      </c>
      <c r="E4475" s="3">
        <v>1610</v>
      </c>
      <c r="F4475" s="3">
        <v>5730</v>
      </c>
      <c r="G4475" s="3">
        <v>0</v>
      </c>
      <c r="H4475" s="2">
        <f t="shared" si="138"/>
        <v>7340</v>
      </c>
      <c r="I4475" t="str">
        <f t="shared" si="139"/>
        <v>Mina_7340</v>
      </c>
      <c r="J4475" s="3">
        <v>0</v>
      </c>
      <c r="K4475" s="3">
        <v>0</v>
      </c>
      <c r="L4475" s="3">
        <v>1610</v>
      </c>
      <c r="M4475" s="3">
        <v>5730</v>
      </c>
      <c r="N4475" s="3">
        <v>0</v>
      </c>
    </row>
    <row r="4476" spans="1:14" x14ac:dyDescent="0.2">
      <c r="A4476" s="5" t="str">
        <f>HYPERLINK("http://www.ncbi.nlm.nih.gov/protein/114052104","Mink1")</f>
        <v>Mink1</v>
      </c>
      <c r="B4476" s="4"/>
      <c r="C4476" s="3">
        <v>0</v>
      </c>
      <c r="D4476" s="3">
        <v>0</v>
      </c>
      <c r="E4476" s="3">
        <v>247</v>
      </c>
      <c r="F4476" s="3">
        <v>0</v>
      </c>
      <c r="G4476" s="3">
        <v>0</v>
      </c>
      <c r="H4476" s="2">
        <f t="shared" si="138"/>
        <v>247</v>
      </c>
      <c r="I4476" t="str">
        <f t="shared" si="139"/>
        <v>Mink1_247</v>
      </c>
      <c r="J4476" s="3">
        <v>0</v>
      </c>
      <c r="K4476" s="3">
        <v>0</v>
      </c>
      <c r="L4476" s="3">
        <v>247</v>
      </c>
      <c r="M4476" s="3">
        <v>0</v>
      </c>
      <c r="N4476" s="3">
        <v>0</v>
      </c>
    </row>
    <row r="4477" spans="1:14" x14ac:dyDescent="0.2">
      <c r="A4477" s="5" t="str">
        <f>HYPERLINK("http://www.ncbi.nlm.nih.gov/protein/114052416","Mink1")</f>
        <v>Mink1</v>
      </c>
      <c r="B4477" s="4"/>
      <c r="C4477" s="3">
        <v>0</v>
      </c>
      <c r="D4477" s="3">
        <v>0</v>
      </c>
      <c r="E4477" s="3">
        <v>247</v>
      </c>
      <c r="F4477" s="3">
        <v>0</v>
      </c>
      <c r="G4477" s="3">
        <v>0</v>
      </c>
      <c r="H4477" s="2">
        <f t="shared" si="138"/>
        <v>247</v>
      </c>
      <c r="I4477" t="str">
        <f t="shared" si="139"/>
        <v>Mink1_247</v>
      </c>
      <c r="J4477" s="3">
        <v>0</v>
      </c>
      <c r="K4477" s="3">
        <v>0</v>
      </c>
      <c r="L4477" s="3">
        <v>247</v>
      </c>
      <c r="M4477" s="3">
        <v>0</v>
      </c>
      <c r="N4477" s="3">
        <v>0</v>
      </c>
    </row>
    <row r="4478" spans="1:14" x14ac:dyDescent="0.2">
      <c r="A4478" s="5" t="str">
        <f>HYPERLINK("http://www.ncbi.nlm.nih.gov/protein/114052442","Mink1")</f>
        <v>Mink1</v>
      </c>
      <c r="B4478" s="4"/>
      <c r="C4478" s="3">
        <v>0</v>
      </c>
      <c r="D4478" s="3">
        <v>0</v>
      </c>
      <c r="E4478" s="3">
        <v>247</v>
      </c>
      <c r="F4478" s="3">
        <v>0</v>
      </c>
      <c r="G4478" s="3">
        <v>0</v>
      </c>
      <c r="H4478" s="2">
        <f t="shared" si="138"/>
        <v>247</v>
      </c>
      <c r="I4478" t="str">
        <f t="shared" si="139"/>
        <v>Mink1_247</v>
      </c>
      <c r="J4478" s="3">
        <v>0</v>
      </c>
      <c r="K4478" s="3">
        <v>0</v>
      </c>
      <c r="L4478" s="3">
        <v>247</v>
      </c>
      <c r="M4478" s="3">
        <v>0</v>
      </c>
      <c r="N4478" s="3">
        <v>0</v>
      </c>
    </row>
    <row r="4479" spans="1:14" x14ac:dyDescent="0.2">
      <c r="A4479" s="5" t="str">
        <f>HYPERLINK("http://www.ncbi.nlm.nih.gov/protein/114052522","Mink1")</f>
        <v>Mink1</v>
      </c>
      <c r="B4479" s="4"/>
      <c r="C4479" s="3">
        <v>0</v>
      </c>
      <c r="D4479" s="3">
        <v>0</v>
      </c>
      <c r="E4479" s="3">
        <v>247</v>
      </c>
      <c r="F4479" s="3">
        <v>0</v>
      </c>
      <c r="G4479" s="3">
        <v>0</v>
      </c>
      <c r="H4479" s="2">
        <f t="shared" si="138"/>
        <v>247</v>
      </c>
      <c r="I4479" t="str">
        <f t="shared" si="139"/>
        <v>Mink1_247</v>
      </c>
      <c r="J4479" s="3">
        <v>0</v>
      </c>
      <c r="K4479" s="3">
        <v>0</v>
      </c>
      <c r="L4479" s="3">
        <v>247</v>
      </c>
      <c r="M4479" s="3">
        <v>0</v>
      </c>
      <c r="N4479" s="3">
        <v>0</v>
      </c>
    </row>
    <row r="4480" spans="1:14" x14ac:dyDescent="0.2">
      <c r="A4480" s="5" t="str">
        <f>HYPERLINK("http://www.ncbi.nlm.nih.gov/protein/244791232","Minos1")</f>
        <v>Minos1</v>
      </c>
      <c r="B4480" s="4"/>
      <c r="C4480" s="3">
        <v>952</v>
      </c>
      <c r="D4480" s="3">
        <v>253</v>
      </c>
      <c r="E4480" s="3">
        <v>417</v>
      </c>
      <c r="F4480" s="3">
        <v>0</v>
      </c>
      <c r="G4480" s="3">
        <v>0</v>
      </c>
      <c r="H4480" s="2">
        <f t="shared" si="138"/>
        <v>1622</v>
      </c>
      <c r="I4480" t="str">
        <f t="shared" si="139"/>
        <v>Minos1_1622</v>
      </c>
      <c r="J4480" s="3">
        <v>952</v>
      </c>
      <c r="K4480" s="3">
        <v>253</v>
      </c>
      <c r="L4480" s="3">
        <v>417</v>
      </c>
      <c r="M4480" s="3">
        <v>0</v>
      </c>
      <c r="N4480" s="3">
        <v>0</v>
      </c>
    </row>
    <row r="4481" spans="1:14" x14ac:dyDescent="0.2">
      <c r="A4481" s="5" t="str">
        <f>HYPERLINK("http://www.ncbi.nlm.nih.gov/protein/6754698","Minpp1")</f>
        <v>Minpp1</v>
      </c>
      <c r="B4481" s="4"/>
      <c r="C4481" s="3">
        <v>0</v>
      </c>
      <c r="D4481" s="3">
        <v>61</v>
      </c>
      <c r="E4481" s="3">
        <v>15</v>
      </c>
      <c r="F4481" s="3">
        <v>0</v>
      </c>
      <c r="G4481" s="3">
        <v>1124</v>
      </c>
      <c r="H4481" s="2">
        <f t="shared" si="138"/>
        <v>1200</v>
      </c>
      <c r="I4481" t="str">
        <f t="shared" si="139"/>
        <v>Minpp1_1200</v>
      </c>
      <c r="J4481" s="3">
        <v>0</v>
      </c>
      <c r="K4481" s="3">
        <v>61</v>
      </c>
      <c r="L4481" s="3">
        <v>15</v>
      </c>
      <c r="M4481" s="3">
        <v>0</v>
      </c>
      <c r="N4481" s="3">
        <v>1124</v>
      </c>
    </row>
    <row r="4482" spans="1:14" x14ac:dyDescent="0.2">
      <c r="A4482" s="5" t="str">
        <f>HYPERLINK("http://www.ncbi.nlm.nih.gov/protein/213021192","Mios")</f>
        <v>Mios</v>
      </c>
      <c r="B4482" s="4"/>
      <c r="C4482" s="3">
        <v>0</v>
      </c>
      <c r="D4482" s="3">
        <v>125</v>
      </c>
      <c r="E4482" s="3">
        <v>2893</v>
      </c>
      <c r="F4482" s="3">
        <v>0</v>
      </c>
      <c r="G4482" s="3">
        <v>0</v>
      </c>
      <c r="H4482" s="2">
        <f t="shared" ref="H4482:H4545" si="140">SUM(C4482:G4482)</f>
        <v>3018</v>
      </c>
      <c r="I4482" t="str">
        <f t="shared" ref="I4482:I4545" si="141">A4482&amp;"_"&amp;H4482</f>
        <v>Mios_3018</v>
      </c>
      <c r="J4482" s="3">
        <v>0</v>
      </c>
      <c r="K4482" s="3">
        <v>125</v>
      </c>
      <c r="L4482" s="3">
        <v>2893</v>
      </c>
      <c r="M4482" s="3">
        <v>0</v>
      </c>
      <c r="N4482" s="3">
        <v>0</v>
      </c>
    </row>
    <row r="4483" spans="1:14" x14ac:dyDescent="0.2">
      <c r="A4483" s="5" t="str">
        <f>HYPERLINK("http://www.ncbi.nlm.nih.gov/protein/256418961","Mipol1")</f>
        <v>Mipol1</v>
      </c>
      <c r="B4483" s="4"/>
      <c r="C4483" s="3">
        <v>0</v>
      </c>
      <c r="D4483" s="3">
        <v>0</v>
      </c>
      <c r="E4483" s="3">
        <v>70</v>
      </c>
      <c r="F4483" s="3">
        <v>8963</v>
      </c>
      <c r="G4483" s="3">
        <v>0</v>
      </c>
      <c r="H4483" s="2">
        <f t="shared" si="140"/>
        <v>9033</v>
      </c>
      <c r="I4483" t="str">
        <f t="shared" si="141"/>
        <v>Mipol1_9033</v>
      </c>
      <c r="J4483" s="3">
        <v>0</v>
      </c>
      <c r="K4483" s="3">
        <v>0</v>
      </c>
      <c r="L4483" s="3">
        <v>70</v>
      </c>
      <c r="M4483" s="3">
        <v>8963</v>
      </c>
      <c r="N4483" s="3">
        <v>0</v>
      </c>
    </row>
    <row r="4484" spans="1:14" x14ac:dyDescent="0.2">
      <c r="A4484" s="5" t="str">
        <f>HYPERLINK("http://www.ncbi.nlm.nih.gov/protein/70909369","Mis18a")</f>
        <v>Mis18a</v>
      </c>
      <c r="B4484" s="4"/>
      <c r="C4484" s="3">
        <v>0</v>
      </c>
      <c r="D4484" s="3">
        <v>10</v>
      </c>
      <c r="E4484" s="3">
        <v>0</v>
      </c>
      <c r="F4484" s="3">
        <v>8</v>
      </c>
      <c r="G4484" s="3">
        <v>321</v>
      </c>
      <c r="H4484" s="2">
        <f t="shared" si="140"/>
        <v>339</v>
      </c>
      <c r="I4484" t="str">
        <f t="shared" si="141"/>
        <v>Mis18a_339</v>
      </c>
      <c r="J4484" s="3">
        <v>0</v>
      </c>
      <c r="K4484" s="3">
        <v>10</v>
      </c>
      <c r="L4484" s="3">
        <v>0</v>
      </c>
      <c r="M4484" s="3">
        <v>8</v>
      </c>
      <c r="N4484" s="3">
        <v>321</v>
      </c>
    </row>
    <row r="4485" spans="1:14" x14ac:dyDescent="0.2">
      <c r="A4485" s="5" t="str">
        <f>HYPERLINK("http://www.ncbi.nlm.nih.gov/protein/110625710","Mitd1")</f>
        <v>Mitd1</v>
      </c>
      <c r="B4485" s="4"/>
      <c r="C4485" s="3">
        <v>0</v>
      </c>
      <c r="D4485" s="3">
        <v>0</v>
      </c>
      <c r="E4485" s="3">
        <v>75</v>
      </c>
      <c r="F4485" s="3">
        <v>876</v>
      </c>
      <c r="G4485" s="3">
        <v>0</v>
      </c>
      <c r="H4485" s="2">
        <f t="shared" si="140"/>
        <v>951</v>
      </c>
      <c r="I4485" t="str">
        <f t="shared" si="141"/>
        <v>Mitd1_951</v>
      </c>
      <c r="J4485" s="3">
        <v>0</v>
      </c>
      <c r="K4485" s="3">
        <v>0</v>
      </c>
      <c r="L4485" s="3">
        <v>75</v>
      </c>
      <c r="M4485" s="3">
        <v>876</v>
      </c>
      <c r="N4485" s="3">
        <v>0</v>
      </c>
    </row>
    <row r="4486" spans="1:14" x14ac:dyDescent="0.2">
      <c r="A4486" s="5" t="str">
        <f>HYPERLINK("http://www.ncbi.nlm.nih.gov/protein/127138894","Mkl1")</f>
        <v>Mkl1</v>
      </c>
      <c r="B4486" s="4"/>
      <c r="C4486" s="3">
        <v>0</v>
      </c>
      <c r="D4486" s="3">
        <v>1000</v>
      </c>
      <c r="E4486" s="3">
        <v>0</v>
      </c>
      <c r="F4486" s="3">
        <v>41</v>
      </c>
      <c r="G4486" s="3">
        <v>5719</v>
      </c>
      <c r="H4486" s="2">
        <f t="shared" si="140"/>
        <v>6760</v>
      </c>
      <c r="I4486" t="str">
        <f t="shared" si="141"/>
        <v>Mkl1_6760</v>
      </c>
      <c r="J4486" s="3">
        <v>0</v>
      </c>
      <c r="K4486" s="3">
        <v>1000</v>
      </c>
      <c r="L4486" s="3">
        <v>0</v>
      </c>
      <c r="M4486" s="3">
        <v>41</v>
      </c>
      <c r="N4486" s="3">
        <v>5719</v>
      </c>
    </row>
    <row r="4487" spans="1:14" x14ac:dyDescent="0.2">
      <c r="A4487" s="5" t="str">
        <f>HYPERLINK("http://www.ncbi.nlm.nih.gov/protein/127139379","Mkl1")</f>
        <v>Mkl1</v>
      </c>
      <c r="B4487" s="4"/>
      <c r="C4487" s="3">
        <v>0</v>
      </c>
      <c r="D4487" s="3">
        <v>1000</v>
      </c>
      <c r="E4487" s="3">
        <v>0</v>
      </c>
      <c r="F4487" s="3">
        <v>41</v>
      </c>
      <c r="G4487" s="3">
        <v>5719</v>
      </c>
      <c r="H4487" s="2">
        <f t="shared" si="140"/>
        <v>6760</v>
      </c>
      <c r="I4487" t="str">
        <f t="shared" si="141"/>
        <v>Mkl1_6760</v>
      </c>
      <c r="J4487" s="3">
        <v>0</v>
      </c>
      <c r="K4487" s="3">
        <v>1000</v>
      </c>
      <c r="L4487" s="3">
        <v>0</v>
      </c>
      <c r="M4487" s="3">
        <v>41</v>
      </c>
      <c r="N4487" s="3">
        <v>5719</v>
      </c>
    </row>
    <row r="4488" spans="1:14" x14ac:dyDescent="0.2">
      <c r="A4488" s="5" t="str">
        <f>HYPERLINK("http://www.ncbi.nlm.nih.gov/protein/169881261","Mkl2")</f>
        <v>Mkl2</v>
      </c>
      <c r="B4488" s="4"/>
      <c r="C4488" s="3">
        <v>0</v>
      </c>
      <c r="D4488" s="3">
        <v>0</v>
      </c>
      <c r="E4488" s="3">
        <v>0</v>
      </c>
      <c r="F4488" s="3">
        <v>835</v>
      </c>
      <c r="G4488" s="3">
        <v>8054</v>
      </c>
      <c r="H4488" s="2">
        <f t="shared" si="140"/>
        <v>8889</v>
      </c>
      <c r="I4488" t="str">
        <f t="shared" si="141"/>
        <v>Mkl2_8889</v>
      </c>
      <c r="J4488" s="3">
        <v>0</v>
      </c>
      <c r="K4488" s="3">
        <v>0</v>
      </c>
      <c r="L4488" s="3">
        <v>0</v>
      </c>
      <c r="M4488" s="3">
        <v>835</v>
      </c>
      <c r="N4488" s="3">
        <v>8054</v>
      </c>
    </row>
    <row r="4489" spans="1:14" x14ac:dyDescent="0.2">
      <c r="A4489" s="5" t="str">
        <f>HYPERLINK("http://www.ncbi.nlm.nih.gov/protein/237820633","Mkl2")</f>
        <v>Mkl2</v>
      </c>
      <c r="B4489" s="4"/>
      <c r="C4489" s="3">
        <v>0</v>
      </c>
      <c r="D4489" s="3">
        <v>0</v>
      </c>
      <c r="E4489" s="3">
        <v>0</v>
      </c>
      <c r="F4489" s="3">
        <v>835</v>
      </c>
      <c r="G4489" s="3">
        <v>8054</v>
      </c>
      <c r="H4489" s="2">
        <f t="shared" si="140"/>
        <v>8889</v>
      </c>
      <c r="I4489" t="str">
        <f t="shared" si="141"/>
        <v>Mkl2_8889</v>
      </c>
      <c r="J4489" s="3">
        <v>0</v>
      </c>
      <c r="K4489" s="3">
        <v>0</v>
      </c>
      <c r="L4489" s="3">
        <v>0</v>
      </c>
      <c r="M4489" s="3">
        <v>835</v>
      </c>
      <c r="N4489" s="3">
        <v>8054</v>
      </c>
    </row>
    <row r="4490" spans="1:14" x14ac:dyDescent="0.2">
      <c r="A4490" s="5" t="str">
        <f>HYPERLINK("http://www.ncbi.nlm.nih.gov/protein/7305271","Mkln1")</f>
        <v>Mkln1</v>
      </c>
      <c r="B4490" s="4"/>
      <c r="C4490" s="3">
        <v>0</v>
      </c>
      <c r="D4490" s="3">
        <v>0</v>
      </c>
      <c r="E4490" s="3">
        <v>0</v>
      </c>
      <c r="F4490" s="3">
        <v>2939</v>
      </c>
      <c r="G4490" s="3">
        <v>139</v>
      </c>
      <c r="H4490" s="2">
        <f t="shared" si="140"/>
        <v>3078</v>
      </c>
      <c r="I4490" t="str">
        <f t="shared" si="141"/>
        <v>Mkln1_3078</v>
      </c>
      <c r="J4490" s="3">
        <v>0</v>
      </c>
      <c r="K4490" s="3">
        <v>0</v>
      </c>
      <c r="L4490" s="3">
        <v>0</v>
      </c>
      <c r="M4490" s="3">
        <v>2939</v>
      </c>
      <c r="N4490" s="3">
        <v>139</v>
      </c>
    </row>
    <row r="4491" spans="1:14" x14ac:dyDescent="0.2">
      <c r="A4491" s="5" t="str">
        <f>HYPERLINK("http://www.ncbi.nlm.nih.gov/protein/10946852","Mknk2")</f>
        <v>Mknk2</v>
      </c>
      <c r="B4491" s="4"/>
      <c r="C4491" s="3">
        <v>0</v>
      </c>
      <c r="D4491" s="3">
        <v>0</v>
      </c>
      <c r="E4491" s="3">
        <v>130</v>
      </c>
      <c r="F4491" s="3">
        <v>622</v>
      </c>
      <c r="G4491" s="3">
        <v>0</v>
      </c>
      <c r="H4491" s="2">
        <f t="shared" si="140"/>
        <v>752</v>
      </c>
      <c r="I4491" t="str">
        <f t="shared" si="141"/>
        <v>Mknk2_752</v>
      </c>
      <c r="J4491" s="3">
        <v>0</v>
      </c>
      <c r="K4491" s="3">
        <v>0</v>
      </c>
      <c r="L4491" s="3">
        <v>130</v>
      </c>
      <c r="M4491" s="3">
        <v>622</v>
      </c>
      <c r="N4491" s="3">
        <v>0</v>
      </c>
    </row>
    <row r="4492" spans="1:14" x14ac:dyDescent="0.2">
      <c r="A4492" s="5" t="str">
        <f>HYPERLINK("http://www.ncbi.nlm.nih.gov/protein/88853570","Mkrn2")</f>
        <v>Mkrn2</v>
      </c>
      <c r="B4492" s="4"/>
      <c r="C4492" s="3">
        <v>604</v>
      </c>
      <c r="D4492" s="3">
        <v>0</v>
      </c>
      <c r="E4492" s="3">
        <v>0</v>
      </c>
      <c r="F4492" s="3">
        <v>0</v>
      </c>
      <c r="G4492" s="3">
        <v>0</v>
      </c>
      <c r="H4492" s="2">
        <f t="shared" si="140"/>
        <v>604</v>
      </c>
      <c r="I4492" t="str">
        <f t="shared" si="141"/>
        <v>Mkrn2_604</v>
      </c>
      <c r="J4492" s="3">
        <v>604</v>
      </c>
      <c r="K4492" s="3">
        <v>0</v>
      </c>
      <c r="L4492" s="3">
        <v>0</v>
      </c>
      <c r="M4492" s="3">
        <v>0</v>
      </c>
      <c r="N4492" s="3">
        <v>0</v>
      </c>
    </row>
    <row r="4493" spans="1:14" x14ac:dyDescent="0.2">
      <c r="A4493" s="5" t="str">
        <f>HYPERLINK("http://www.ncbi.nlm.nih.gov/protein/188497650","Mlec")</f>
        <v>Mlec</v>
      </c>
      <c r="B4493" s="4"/>
      <c r="C4493" s="3">
        <v>63796</v>
      </c>
      <c r="D4493" s="3">
        <v>15381</v>
      </c>
      <c r="E4493" s="3">
        <v>5370</v>
      </c>
      <c r="F4493" s="3">
        <v>1383</v>
      </c>
      <c r="G4493" s="3">
        <v>0</v>
      </c>
      <c r="H4493" s="2">
        <f t="shared" si="140"/>
        <v>85930</v>
      </c>
      <c r="I4493" t="str">
        <f t="shared" si="141"/>
        <v>Mlec_85930</v>
      </c>
      <c r="J4493" s="3">
        <v>63796</v>
      </c>
      <c r="K4493" s="3">
        <v>15381</v>
      </c>
      <c r="L4493" s="3">
        <v>5370</v>
      </c>
      <c r="M4493" s="3">
        <v>1383</v>
      </c>
      <c r="N4493" s="3">
        <v>0</v>
      </c>
    </row>
    <row r="4494" spans="1:14" x14ac:dyDescent="0.2">
      <c r="A4494" s="5" t="str">
        <f>HYPERLINK("http://www.ncbi.nlm.nih.gov/protein/21703770","Mlf2")</f>
        <v>Mlf2</v>
      </c>
      <c r="B4494" s="4"/>
      <c r="C4494" s="3">
        <v>0</v>
      </c>
      <c r="D4494" s="3">
        <v>33</v>
      </c>
      <c r="E4494" s="3">
        <v>0</v>
      </c>
      <c r="F4494" s="3">
        <v>417</v>
      </c>
      <c r="G4494" s="3">
        <v>2784</v>
      </c>
      <c r="H4494" s="2">
        <f t="shared" si="140"/>
        <v>3234</v>
      </c>
      <c r="I4494" t="str">
        <f t="shared" si="141"/>
        <v>Mlf2_3234</v>
      </c>
      <c r="J4494" s="3">
        <v>0</v>
      </c>
      <c r="K4494" s="3">
        <v>33</v>
      </c>
      <c r="L4494" s="3">
        <v>0</v>
      </c>
      <c r="M4494" s="3">
        <v>417</v>
      </c>
      <c r="N4494" s="3">
        <v>2784</v>
      </c>
    </row>
    <row r="4495" spans="1:14" x14ac:dyDescent="0.2">
      <c r="A4495" s="5" t="str">
        <f>HYPERLINK("http://www.ncbi.nlm.nih.gov/protein/110626037","Mlkl")</f>
        <v>Mlkl</v>
      </c>
      <c r="B4495" s="4"/>
      <c r="C4495" s="3">
        <v>0</v>
      </c>
      <c r="D4495" s="3">
        <v>0</v>
      </c>
      <c r="E4495" s="3">
        <v>0</v>
      </c>
      <c r="F4495" s="3">
        <v>589</v>
      </c>
      <c r="G4495" s="3">
        <v>7689</v>
      </c>
      <c r="H4495" s="2">
        <f t="shared" si="140"/>
        <v>8278</v>
      </c>
      <c r="I4495" t="str">
        <f t="shared" si="141"/>
        <v>Mlkl_8278</v>
      </c>
      <c r="J4495" s="3">
        <v>0</v>
      </c>
      <c r="K4495" s="3">
        <v>0</v>
      </c>
      <c r="L4495" s="3">
        <v>0</v>
      </c>
      <c r="M4495" s="3">
        <v>589</v>
      </c>
      <c r="N4495" s="3">
        <v>7689</v>
      </c>
    </row>
    <row r="4496" spans="1:14" x14ac:dyDescent="0.2">
      <c r="A4496" s="5" t="str">
        <f>HYPERLINK("http://www.ncbi.nlm.nih.gov/protein/11612511","Mllt1")</f>
        <v>Mllt1</v>
      </c>
      <c r="B4496" s="4"/>
      <c r="C4496" s="3">
        <v>0</v>
      </c>
      <c r="D4496" s="3">
        <v>261</v>
      </c>
      <c r="E4496" s="3">
        <v>0</v>
      </c>
      <c r="F4496" s="3">
        <v>0</v>
      </c>
      <c r="G4496" s="3">
        <v>0</v>
      </c>
      <c r="H4496" s="2">
        <f t="shared" si="140"/>
        <v>261</v>
      </c>
      <c r="I4496" t="str">
        <f t="shared" si="141"/>
        <v>Mllt1_261</v>
      </c>
      <c r="J4496" s="3">
        <v>0</v>
      </c>
      <c r="K4496" s="3">
        <v>261</v>
      </c>
      <c r="L4496" s="3">
        <v>0</v>
      </c>
      <c r="M4496" s="3">
        <v>0</v>
      </c>
      <c r="N4496" s="3">
        <v>0</v>
      </c>
    </row>
    <row r="4497" spans="1:14" x14ac:dyDescent="0.2">
      <c r="A4497" s="5" t="str">
        <f>HYPERLINK("http://www.ncbi.nlm.nih.gov/protein/145587092","Mllt4")</f>
        <v>Mllt4</v>
      </c>
      <c r="B4497" s="4"/>
      <c r="C4497" s="3">
        <v>7030</v>
      </c>
      <c r="D4497" s="3">
        <v>4501</v>
      </c>
      <c r="E4497" s="3">
        <v>5000</v>
      </c>
      <c r="F4497" s="3">
        <v>11845</v>
      </c>
      <c r="G4497" s="3">
        <v>47732</v>
      </c>
      <c r="H4497" s="2">
        <f t="shared" si="140"/>
        <v>76108</v>
      </c>
      <c r="I4497" t="str">
        <f t="shared" si="141"/>
        <v>Mllt4_76108</v>
      </c>
      <c r="J4497" s="3">
        <v>7030</v>
      </c>
      <c r="K4497" s="3">
        <v>4501</v>
      </c>
      <c r="L4497" s="3">
        <v>5000</v>
      </c>
      <c r="M4497" s="3">
        <v>11845</v>
      </c>
      <c r="N4497" s="3">
        <v>47732</v>
      </c>
    </row>
    <row r="4498" spans="1:14" x14ac:dyDescent="0.2">
      <c r="A4498" s="5" t="str">
        <f>HYPERLINK("http://www.ncbi.nlm.nih.gov/protein/357197121;357197118","Mlst8")</f>
        <v>Mlst8</v>
      </c>
      <c r="B4498" s="4"/>
      <c r="C4498" s="3">
        <v>0</v>
      </c>
      <c r="D4498" s="3">
        <v>0</v>
      </c>
      <c r="E4498" s="3">
        <v>1397</v>
      </c>
      <c r="F4498" s="3">
        <v>0</v>
      </c>
      <c r="G4498" s="3">
        <v>0</v>
      </c>
      <c r="H4498" s="2">
        <f t="shared" si="140"/>
        <v>1397</v>
      </c>
      <c r="I4498" t="str">
        <f t="shared" si="141"/>
        <v>Mlst8_1397</v>
      </c>
      <c r="J4498" s="3">
        <v>0</v>
      </c>
      <c r="K4498" s="3">
        <v>0</v>
      </c>
      <c r="L4498" s="3">
        <v>1397</v>
      </c>
      <c r="M4498" s="3">
        <v>0</v>
      </c>
      <c r="N4498" s="3">
        <v>0</v>
      </c>
    </row>
    <row r="4499" spans="1:14" x14ac:dyDescent="0.2">
      <c r="A4499" s="5" t="str">
        <f>HYPERLINK("http://www.ncbi.nlm.nih.gov/protein/357197118","Mlst8")</f>
        <v>Mlst8</v>
      </c>
      <c r="B4499" s="4"/>
      <c r="C4499" s="3">
        <v>0</v>
      </c>
      <c r="D4499" s="3">
        <v>524</v>
      </c>
      <c r="E4499" s="3">
        <v>0</v>
      </c>
      <c r="F4499" s="3">
        <v>3553</v>
      </c>
      <c r="G4499" s="3">
        <v>0</v>
      </c>
      <c r="H4499" s="2">
        <f t="shared" si="140"/>
        <v>4077</v>
      </c>
      <c r="I4499" t="str">
        <f t="shared" si="141"/>
        <v>Mlst8_4077</v>
      </c>
      <c r="J4499" s="3">
        <v>0</v>
      </c>
      <c r="K4499" s="3">
        <v>524</v>
      </c>
      <c r="L4499" s="3">
        <v>0</v>
      </c>
      <c r="M4499" s="3">
        <v>3553</v>
      </c>
      <c r="N4499" s="3">
        <v>0</v>
      </c>
    </row>
    <row r="4500" spans="1:14" x14ac:dyDescent="0.2">
      <c r="A4500" s="5" t="str">
        <f>HYPERLINK("http://www.ncbi.nlm.nih.gov/protein/357197123","Mlst8")</f>
        <v>Mlst8</v>
      </c>
      <c r="B4500" s="4"/>
      <c r="C4500" s="3">
        <v>0</v>
      </c>
      <c r="D4500" s="3">
        <v>524</v>
      </c>
      <c r="E4500" s="3">
        <v>1299</v>
      </c>
      <c r="F4500" s="3">
        <v>2734</v>
      </c>
      <c r="G4500" s="3">
        <v>0</v>
      </c>
      <c r="H4500" s="2">
        <f t="shared" si="140"/>
        <v>4557</v>
      </c>
      <c r="I4500" t="str">
        <f t="shared" si="141"/>
        <v>Mlst8_4557</v>
      </c>
      <c r="J4500" s="3">
        <v>0</v>
      </c>
      <c r="K4500" s="3">
        <v>524</v>
      </c>
      <c r="L4500" s="3">
        <v>1299</v>
      </c>
      <c r="M4500" s="3">
        <v>2734</v>
      </c>
      <c r="N4500" s="3">
        <v>0</v>
      </c>
    </row>
    <row r="4501" spans="1:14" x14ac:dyDescent="0.2">
      <c r="A4501" s="5" t="str">
        <f>HYPERLINK("http://www.ncbi.nlm.nih.gov/protein/56797739","Mlycd")</f>
        <v>Mlycd</v>
      </c>
      <c r="B4501" s="4"/>
      <c r="C4501" s="3">
        <v>0</v>
      </c>
      <c r="D4501" s="3">
        <v>134</v>
      </c>
      <c r="E4501" s="3">
        <v>0</v>
      </c>
      <c r="F4501" s="3">
        <v>0</v>
      </c>
      <c r="G4501" s="3">
        <v>0</v>
      </c>
      <c r="H4501" s="2">
        <f t="shared" si="140"/>
        <v>134</v>
      </c>
      <c r="I4501" t="str">
        <f t="shared" si="141"/>
        <v>Mlycd_134</v>
      </c>
      <c r="J4501" s="3">
        <v>0</v>
      </c>
      <c r="K4501" s="3">
        <v>134</v>
      </c>
      <c r="L4501" s="3">
        <v>0</v>
      </c>
      <c r="M4501" s="3">
        <v>0</v>
      </c>
      <c r="N4501" s="3">
        <v>0</v>
      </c>
    </row>
    <row r="4502" spans="1:14" x14ac:dyDescent="0.2">
      <c r="A4502" s="5" t="str">
        <f>HYPERLINK("http://www.ncbi.nlm.nih.gov/protein/21313396","Mmab")</f>
        <v>Mmab</v>
      </c>
      <c r="B4502" s="4"/>
      <c r="C4502" s="3">
        <v>0</v>
      </c>
      <c r="D4502" s="3">
        <v>628</v>
      </c>
      <c r="E4502" s="3">
        <v>0</v>
      </c>
      <c r="F4502" s="3">
        <v>0</v>
      </c>
      <c r="G4502" s="3">
        <v>0</v>
      </c>
      <c r="H4502" s="2">
        <f t="shared" si="140"/>
        <v>628</v>
      </c>
      <c r="I4502" t="str">
        <f t="shared" si="141"/>
        <v>Mmab_628</v>
      </c>
      <c r="J4502" s="3">
        <v>0</v>
      </c>
      <c r="K4502" s="3">
        <v>628</v>
      </c>
      <c r="L4502" s="3">
        <v>0</v>
      </c>
      <c r="M4502" s="3">
        <v>0</v>
      </c>
      <c r="N4502" s="3">
        <v>0</v>
      </c>
    </row>
    <row r="4503" spans="1:14" x14ac:dyDescent="0.2">
      <c r="A4503" s="5" t="str">
        <f>HYPERLINK("http://www.ncbi.nlm.nih.gov/protein/31543255","Mme")</f>
        <v>Mme</v>
      </c>
      <c r="B4503" s="4"/>
      <c r="C4503" s="3">
        <v>0</v>
      </c>
      <c r="D4503" s="3">
        <v>209</v>
      </c>
      <c r="E4503" s="3">
        <v>2971</v>
      </c>
      <c r="F4503" s="3">
        <v>0</v>
      </c>
      <c r="G4503" s="3">
        <v>0</v>
      </c>
      <c r="H4503" s="2">
        <f t="shared" si="140"/>
        <v>3180</v>
      </c>
      <c r="I4503" t="str">
        <f t="shared" si="141"/>
        <v>Mme_3180</v>
      </c>
      <c r="J4503" s="3">
        <v>0</v>
      </c>
      <c r="K4503" s="3">
        <v>209</v>
      </c>
      <c r="L4503" s="3">
        <v>2971</v>
      </c>
      <c r="M4503" s="3">
        <v>0</v>
      </c>
      <c r="N4503" s="3">
        <v>0</v>
      </c>
    </row>
    <row r="4504" spans="1:14" x14ac:dyDescent="0.2">
      <c r="A4504" s="5" t="str">
        <f>HYPERLINK("http://www.ncbi.nlm.nih.gov/protein/22122803","Mmgt1")</f>
        <v>Mmgt1</v>
      </c>
      <c r="B4504" s="4"/>
      <c r="C4504" s="3">
        <v>0</v>
      </c>
      <c r="D4504" s="3">
        <v>228</v>
      </c>
      <c r="E4504" s="3">
        <v>67</v>
      </c>
      <c r="F4504" s="3">
        <v>0</v>
      </c>
      <c r="G4504" s="3">
        <v>0</v>
      </c>
      <c r="H4504" s="2">
        <f t="shared" si="140"/>
        <v>295</v>
      </c>
      <c r="I4504" t="str">
        <f t="shared" si="141"/>
        <v>Mmgt1_295</v>
      </c>
      <c r="J4504" s="3">
        <v>0</v>
      </c>
      <c r="K4504" s="3">
        <v>228</v>
      </c>
      <c r="L4504" s="3">
        <v>67</v>
      </c>
      <c r="M4504" s="3">
        <v>0</v>
      </c>
      <c r="N4504" s="3">
        <v>0</v>
      </c>
    </row>
    <row r="4505" spans="1:14" x14ac:dyDescent="0.2">
      <c r="A4505" s="5" t="str">
        <f>HYPERLINK("http://www.ncbi.nlm.nih.gov/protein/188528637","Mmp14")</f>
        <v>Mmp14</v>
      </c>
      <c r="B4505" s="4"/>
      <c r="C4505" s="3">
        <v>0</v>
      </c>
      <c r="D4505" s="3">
        <v>4</v>
      </c>
      <c r="E4505" s="3">
        <v>9</v>
      </c>
      <c r="F4505" s="3">
        <v>0</v>
      </c>
      <c r="G4505" s="3">
        <v>0</v>
      </c>
      <c r="H4505" s="2">
        <f t="shared" si="140"/>
        <v>13</v>
      </c>
      <c r="I4505" t="str">
        <f t="shared" si="141"/>
        <v>Mmp14_13</v>
      </c>
      <c r="J4505" s="3">
        <v>0</v>
      </c>
      <c r="K4505" s="3">
        <v>4</v>
      </c>
      <c r="L4505" s="3">
        <v>9</v>
      </c>
      <c r="M4505" s="3">
        <v>0</v>
      </c>
      <c r="N4505" s="3">
        <v>0</v>
      </c>
    </row>
    <row r="4506" spans="1:14" x14ac:dyDescent="0.2">
      <c r="A4506" s="5" t="str">
        <f>HYPERLINK("http://www.ncbi.nlm.nih.gov/protein/23308683","Mmp21")</f>
        <v>Mmp21</v>
      </c>
      <c r="B4506" s="4"/>
      <c r="C4506" s="3">
        <v>0</v>
      </c>
      <c r="D4506" s="3">
        <v>0</v>
      </c>
      <c r="E4506" s="3">
        <v>890</v>
      </c>
      <c r="F4506" s="3">
        <v>0</v>
      </c>
      <c r="G4506" s="3">
        <v>0</v>
      </c>
      <c r="H4506" s="2">
        <f t="shared" si="140"/>
        <v>890</v>
      </c>
      <c r="I4506" t="str">
        <f t="shared" si="141"/>
        <v>Mmp21_890</v>
      </c>
      <c r="J4506" s="3">
        <v>0</v>
      </c>
      <c r="K4506" s="3">
        <v>0</v>
      </c>
      <c r="L4506" s="3">
        <v>890</v>
      </c>
      <c r="M4506" s="3">
        <v>0</v>
      </c>
      <c r="N4506" s="3">
        <v>0</v>
      </c>
    </row>
    <row r="4507" spans="1:14" x14ac:dyDescent="0.2">
      <c r="A4507" s="5" t="str">
        <f>HYPERLINK("http://www.ncbi.nlm.nih.gov/protein/15100156","Mms19")</f>
        <v>Mms19</v>
      </c>
      <c r="B4507" s="4"/>
      <c r="C4507" s="3">
        <v>0</v>
      </c>
      <c r="D4507" s="3">
        <v>1115</v>
      </c>
      <c r="E4507" s="3">
        <v>689</v>
      </c>
      <c r="F4507" s="3">
        <v>29550</v>
      </c>
      <c r="G4507" s="3">
        <v>4605</v>
      </c>
      <c r="H4507" s="2">
        <f t="shared" si="140"/>
        <v>35959</v>
      </c>
      <c r="I4507" t="str">
        <f t="shared" si="141"/>
        <v>Mms19_35959</v>
      </c>
      <c r="J4507" s="3">
        <v>0</v>
      </c>
      <c r="K4507" s="3">
        <v>1115</v>
      </c>
      <c r="L4507" s="3">
        <v>689</v>
      </c>
      <c r="M4507" s="3">
        <v>29550</v>
      </c>
      <c r="N4507" s="3">
        <v>4605</v>
      </c>
    </row>
    <row r="4508" spans="1:14" x14ac:dyDescent="0.2">
      <c r="A4508" s="5" t="str">
        <f>HYPERLINK("http://www.ncbi.nlm.nih.gov/protein/253970429","Mms22l")</f>
        <v>Mms22l</v>
      </c>
      <c r="B4508" s="4"/>
      <c r="C4508" s="3">
        <v>0</v>
      </c>
      <c r="D4508" s="3">
        <v>0</v>
      </c>
      <c r="E4508" s="3">
        <v>15</v>
      </c>
      <c r="F4508" s="3">
        <v>16</v>
      </c>
      <c r="G4508" s="3">
        <v>0</v>
      </c>
      <c r="H4508" s="2">
        <f t="shared" si="140"/>
        <v>31</v>
      </c>
      <c r="I4508" t="str">
        <f t="shared" si="141"/>
        <v>Mms22l_31</v>
      </c>
      <c r="J4508" s="3">
        <v>0</v>
      </c>
      <c r="K4508" s="3">
        <v>0</v>
      </c>
      <c r="L4508" s="3">
        <v>15</v>
      </c>
      <c r="M4508" s="3">
        <v>16</v>
      </c>
      <c r="N4508" s="3">
        <v>0</v>
      </c>
    </row>
    <row r="4509" spans="1:14" x14ac:dyDescent="0.2">
      <c r="A4509" s="5" t="str">
        <f>HYPERLINK("http://www.ncbi.nlm.nih.gov/protein/89363038","Mnat1")</f>
        <v>Mnat1</v>
      </c>
      <c r="B4509" s="4"/>
      <c r="C4509" s="3">
        <v>0</v>
      </c>
      <c r="D4509" s="3">
        <v>0</v>
      </c>
      <c r="E4509" s="3">
        <v>0</v>
      </c>
      <c r="F4509" s="3">
        <v>0</v>
      </c>
      <c r="G4509" s="3">
        <v>3341</v>
      </c>
      <c r="H4509" s="2">
        <f t="shared" si="140"/>
        <v>3341</v>
      </c>
      <c r="I4509" t="str">
        <f t="shared" si="141"/>
        <v>Mnat1_3341</v>
      </c>
      <c r="J4509" s="3">
        <v>0</v>
      </c>
      <c r="K4509" s="3">
        <v>0</v>
      </c>
      <c r="L4509" s="3">
        <v>0</v>
      </c>
      <c r="M4509" s="3">
        <v>0</v>
      </c>
      <c r="N4509" s="3">
        <v>3341</v>
      </c>
    </row>
    <row r="4510" spans="1:14" x14ac:dyDescent="0.2">
      <c r="A4510" s="5" t="str">
        <f>HYPERLINK("http://www.ncbi.nlm.nih.gov/protein/84781795","Mnda")</f>
        <v>Mnda</v>
      </c>
      <c r="B4510" s="4"/>
      <c r="C4510" s="3">
        <v>29894</v>
      </c>
      <c r="D4510" s="3">
        <v>4296</v>
      </c>
      <c r="E4510" s="3">
        <v>18251</v>
      </c>
      <c r="F4510" s="3">
        <v>4355</v>
      </c>
      <c r="G4510" s="3">
        <v>82046</v>
      </c>
      <c r="H4510" s="2">
        <f t="shared" si="140"/>
        <v>138842</v>
      </c>
      <c r="I4510" t="str">
        <f t="shared" si="141"/>
        <v>Mnda_138842</v>
      </c>
      <c r="J4510" s="3">
        <v>29894</v>
      </c>
      <c r="K4510" s="3">
        <v>4296</v>
      </c>
      <c r="L4510" s="3">
        <v>18251</v>
      </c>
      <c r="M4510" s="3">
        <v>4355</v>
      </c>
      <c r="N4510" s="3">
        <v>82046</v>
      </c>
    </row>
    <row r="4511" spans="1:14" x14ac:dyDescent="0.2">
      <c r="A4511" s="5" t="str">
        <f>HYPERLINK("http://www.ncbi.nlm.nih.gov/protein/21704148","Mob1a")</f>
        <v>Mob1a</v>
      </c>
      <c r="B4511" s="4"/>
      <c r="C4511" s="3">
        <v>0</v>
      </c>
      <c r="D4511" s="3">
        <v>4586</v>
      </c>
      <c r="E4511" s="3">
        <v>2136</v>
      </c>
      <c r="F4511" s="3">
        <v>6295</v>
      </c>
      <c r="G4511" s="3">
        <v>9692</v>
      </c>
      <c r="H4511" s="2">
        <f t="shared" si="140"/>
        <v>22709</v>
      </c>
      <c r="I4511" t="str">
        <f t="shared" si="141"/>
        <v>Mob1a_22709</v>
      </c>
      <c r="J4511" s="3">
        <v>0</v>
      </c>
      <c r="K4511" s="3">
        <v>4586</v>
      </c>
      <c r="L4511" s="3">
        <v>2136</v>
      </c>
      <c r="M4511" s="3">
        <v>6295</v>
      </c>
      <c r="N4511" s="3">
        <v>9692</v>
      </c>
    </row>
    <row r="4512" spans="1:14" x14ac:dyDescent="0.2">
      <c r="A4512" s="5" t="str">
        <f>HYPERLINK("http://www.ncbi.nlm.nih.gov/protein/62412947","Mob1b")</f>
        <v>Mob1b</v>
      </c>
      <c r="B4512" s="4"/>
      <c r="C4512" s="3">
        <v>0</v>
      </c>
      <c r="D4512" s="3">
        <v>4586</v>
      </c>
      <c r="E4512" s="3">
        <v>2136</v>
      </c>
      <c r="F4512" s="3">
        <v>6295</v>
      </c>
      <c r="G4512" s="3">
        <v>9692</v>
      </c>
      <c r="H4512" s="2">
        <f t="shared" si="140"/>
        <v>22709</v>
      </c>
      <c r="I4512" t="str">
        <f t="shared" si="141"/>
        <v>Mob1b_22709</v>
      </c>
      <c r="J4512" s="3">
        <v>0</v>
      </c>
      <c r="K4512" s="3">
        <v>4586</v>
      </c>
      <c r="L4512" s="3">
        <v>2136</v>
      </c>
      <c r="M4512" s="3">
        <v>6295</v>
      </c>
      <c r="N4512" s="3">
        <v>9692</v>
      </c>
    </row>
    <row r="4513" spans="1:14" x14ac:dyDescent="0.2">
      <c r="A4513" s="5" t="str">
        <f>HYPERLINK("http://www.ncbi.nlm.nih.gov/protein/20149310","Mob2")</f>
        <v>Mob2</v>
      </c>
      <c r="B4513" s="4"/>
      <c r="C4513" s="3">
        <v>0</v>
      </c>
      <c r="D4513" s="3">
        <v>0</v>
      </c>
      <c r="E4513" s="3">
        <v>0</v>
      </c>
      <c r="F4513" s="3">
        <v>0</v>
      </c>
      <c r="G4513" s="3">
        <v>1692</v>
      </c>
      <c r="H4513" s="2">
        <f t="shared" si="140"/>
        <v>1692</v>
      </c>
      <c r="I4513" t="str">
        <f t="shared" si="141"/>
        <v>Mob2_1692</v>
      </c>
      <c r="J4513" s="3">
        <v>0</v>
      </c>
      <c r="K4513" s="3">
        <v>0</v>
      </c>
      <c r="L4513" s="3">
        <v>0</v>
      </c>
      <c r="M4513" s="3">
        <v>0</v>
      </c>
      <c r="N4513" s="3">
        <v>1692</v>
      </c>
    </row>
    <row r="4514" spans="1:14" x14ac:dyDescent="0.2">
      <c r="A4514" s="5" t="str">
        <f>HYPERLINK("http://www.ncbi.nlm.nih.gov/protein/40254521","Mob4")</f>
        <v>Mob4</v>
      </c>
      <c r="B4514" s="4"/>
      <c r="C4514" s="3">
        <v>0</v>
      </c>
      <c r="D4514" s="3">
        <v>1342</v>
      </c>
      <c r="E4514" s="3">
        <v>231</v>
      </c>
      <c r="F4514" s="3">
        <v>11992</v>
      </c>
      <c r="G4514" s="3">
        <v>3159</v>
      </c>
      <c r="H4514" s="2">
        <f t="shared" si="140"/>
        <v>16724</v>
      </c>
      <c r="I4514" t="str">
        <f t="shared" si="141"/>
        <v>Mob4_16724</v>
      </c>
      <c r="J4514" s="3">
        <v>0</v>
      </c>
      <c r="K4514" s="3">
        <v>1342</v>
      </c>
      <c r="L4514" s="3">
        <v>231</v>
      </c>
      <c r="M4514" s="3">
        <v>11992</v>
      </c>
      <c r="N4514" s="3">
        <v>3159</v>
      </c>
    </row>
    <row r="4515" spans="1:14" x14ac:dyDescent="0.2">
      <c r="A4515" s="5" t="str">
        <f>HYPERLINK("http://www.ncbi.nlm.nih.gov/protein/161484628","Mocs1")</f>
        <v>Mocs1</v>
      </c>
      <c r="B4515" s="4"/>
      <c r="C4515" s="3">
        <v>0</v>
      </c>
      <c r="D4515" s="3">
        <v>96</v>
      </c>
      <c r="E4515" s="3">
        <v>0</v>
      </c>
      <c r="F4515" s="3">
        <v>0</v>
      </c>
      <c r="G4515" s="3">
        <v>0</v>
      </c>
      <c r="H4515" s="2">
        <f t="shared" si="140"/>
        <v>96</v>
      </c>
      <c r="I4515" t="str">
        <f t="shared" si="141"/>
        <v>Mocs1_96</v>
      </c>
      <c r="J4515" s="3">
        <v>0</v>
      </c>
      <c r="K4515" s="3">
        <v>96</v>
      </c>
      <c r="L4515" s="3">
        <v>0</v>
      </c>
      <c r="M4515" s="3">
        <v>0</v>
      </c>
      <c r="N4515" s="3">
        <v>0</v>
      </c>
    </row>
    <row r="4516" spans="1:14" x14ac:dyDescent="0.2">
      <c r="A4516" s="5" t="str">
        <f>HYPERLINK("http://www.ncbi.nlm.nih.gov/protein/237820699","Mocs3")</f>
        <v>Mocs3</v>
      </c>
      <c r="B4516" s="4"/>
      <c r="C4516" s="3">
        <v>0</v>
      </c>
      <c r="D4516" s="3">
        <v>0</v>
      </c>
      <c r="E4516" s="3">
        <v>509</v>
      </c>
      <c r="F4516" s="3">
        <v>17419</v>
      </c>
      <c r="G4516" s="3">
        <v>27052</v>
      </c>
      <c r="H4516" s="2">
        <f t="shared" si="140"/>
        <v>44980</v>
      </c>
      <c r="I4516" t="str">
        <f t="shared" si="141"/>
        <v>Mocs3_44980</v>
      </c>
      <c r="J4516" s="3">
        <v>0</v>
      </c>
      <c r="K4516" s="3">
        <v>0</v>
      </c>
      <c r="L4516" s="3">
        <v>509</v>
      </c>
      <c r="M4516" s="3">
        <v>17419</v>
      </c>
      <c r="N4516" s="3">
        <v>27052</v>
      </c>
    </row>
    <row r="4517" spans="1:14" x14ac:dyDescent="0.2">
      <c r="A4517" s="5" t="str">
        <f>HYPERLINK("http://www.ncbi.nlm.nih.gov/protein/31981106","Mogs")</f>
        <v>Mogs</v>
      </c>
      <c r="B4517" s="4"/>
      <c r="C4517" s="3">
        <v>21821</v>
      </c>
      <c r="D4517" s="3">
        <v>3764</v>
      </c>
      <c r="E4517" s="3">
        <v>1220</v>
      </c>
      <c r="F4517" s="3">
        <v>0</v>
      </c>
      <c r="G4517" s="3">
        <v>0</v>
      </c>
      <c r="H4517" s="2">
        <f t="shared" si="140"/>
        <v>26805</v>
      </c>
      <c r="I4517" t="str">
        <f t="shared" si="141"/>
        <v>Mogs_26805</v>
      </c>
      <c r="J4517" s="3">
        <v>21821</v>
      </c>
      <c r="K4517" s="3">
        <v>3764</v>
      </c>
      <c r="L4517" s="3">
        <v>1220</v>
      </c>
      <c r="M4517" s="3">
        <v>0</v>
      </c>
      <c r="N4517" s="3">
        <v>0</v>
      </c>
    </row>
    <row r="4518" spans="1:14" x14ac:dyDescent="0.2">
      <c r="A4518" s="5" t="str">
        <f>HYPERLINK("http://www.ncbi.nlm.nih.gov/protein/21312179","Mon1a")</f>
        <v>Mon1a</v>
      </c>
      <c r="B4518" s="4"/>
      <c r="C4518" s="3">
        <v>0</v>
      </c>
      <c r="D4518" s="3">
        <v>0</v>
      </c>
      <c r="E4518" s="3">
        <v>29</v>
      </c>
      <c r="F4518" s="3">
        <v>0</v>
      </c>
      <c r="G4518" s="3">
        <v>0</v>
      </c>
      <c r="H4518" s="2">
        <f t="shared" si="140"/>
        <v>29</v>
      </c>
      <c r="I4518" t="str">
        <f t="shared" si="141"/>
        <v>Mon1a_29</v>
      </c>
      <c r="J4518" s="3">
        <v>0</v>
      </c>
      <c r="K4518" s="3">
        <v>0</v>
      </c>
      <c r="L4518" s="3">
        <v>29</v>
      </c>
      <c r="M4518" s="3">
        <v>0</v>
      </c>
      <c r="N4518" s="3">
        <v>0</v>
      </c>
    </row>
    <row r="4519" spans="1:14" x14ac:dyDescent="0.2">
      <c r="A4519" s="5" t="str">
        <f>HYPERLINK("http://www.ncbi.nlm.nih.gov/protein/27370524","Mon1b")</f>
        <v>Mon1b</v>
      </c>
      <c r="B4519" s="4"/>
      <c r="C4519" s="3">
        <v>0</v>
      </c>
      <c r="D4519" s="3">
        <v>61</v>
      </c>
      <c r="E4519" s="3">
        <v>20</v>
      </c>
      <c r="F4519" s="3">
        <v>0</v>
      </c>
      <c r="G4519" s="3">
        <v>0</v>
      </c>
      <c r="H4519" s="2">
        <f t="shared" si="140"/>
        <v>81</v>
      </c>
      <c r="I4519" t="str">
        <f t="shared" si="141"/>
        <v>Mon1b_81</v>
      </c>
      <c r="J4519" s="3">
        <v>0</v>
      </c>
      <c r="K4519" s="3">
        <v>61</v>
      </c>
      <c r="L4519" s="3">
        <v>20</v>
      </c>
      <c r="M4519" s="3">
        <v>0</v>
      </c>
      <c r="N4519" s="3">
        <v>0</v>
      </c>
    </row>
    <row r="4520" spans="1:14" x14ac:dyDescent="0.2">
      <c r="A4520" s="5" t="str">
        <f>HYPERLINK("http://www.ncbi.nlm.nih.gov/protein/253683420","Mon2")</f>
        <v>Mon2</v>
      </c>
      <c r="B4520" s="4"/>
      <c r="C4520" s="3">
        <v>128</v>
      </c>
      <c r="D4520" s="3">
        <v>1357</v>
      </c>
      <c r="E4520" s="3">
        <v>4309</v>
      </c>
      <c r="F4520" s="3">
        <v>47010</v>
      </c>
      <c r="G4520" s="3">
        <v>49756</v>
      </c>
      <c r="H4520" s="2">
        <f t="shared" si="140"/>
        <v>102560</v>
      </c>
      <c r="I4520" t="str">
        <f t="shared" si="141"/>
        <v>Mon2_102560</v>
      </c>
      <c r="J4520" s="3">
        <v>128</v>
      </c>
      <c r="K4520" s="3">
        <v>1357</v>
      </c>
      <c r="L4520" s="3">
        <v>4309</v>
      </c>
      <c r="M4520" s="3">
        <v>47010</v>
      </c>
      <c r="N4520" s="3">
        <v>49756</v>
      </c>
    </row>
    <row r="4521" spans="1:14" x14ac:dyDescent="0.2">
      <c r="A4521" s="5" t="str">
        <f>HYPERLINK("http://www.ncbi.nlm.nih.gov/protein/253683422","Mon2")</f>
        <v>Mon2</v>
      </c>
      <c r="B4521" s="4"/>
      <c r="C4521" s="3">
        <v>128</v>
      </c>
      <c r="D4521" s="3">
        <v>1357</v>
      </c>
      <c r="E4521" s="3">
        <v>4309</v>
      </c>
      <c r="F4521" s="3">
        <v>45299</v>
      </c>
      <c r="G4521" s="3">
        <v>49756</v>
      </c>
      <c r="H4521" s="2">
        <f t="shared" si="140"/>
        <v>100849</v>
      </c>
      <c r="I4521" t="str">
        <f t="shared" si="141"/>
        <v>Mon2_100849</v>
      </c>
      <c r="J4521" s="3">
        <v>128</v>
      </c>
      <c r="K4521" s="3">
        <v>1357</v>
      </c>
      <c r="L4521" s="3">
        <v>4309</v>
      </c>
      <c r="M4521" s="3">
        <v>45299</v>
      </c>
      <c r="N4521" s="3">
        <v>49756</v>
      </c>
    </row>
    <row r="4522" spans="1:14" x14ac:dyDescent="0.2">
      <c r="A4522" s="5" t="str">
        <f>HYPERLINK("http://www.ncbi.nlm.nih.gov/protein/253683424","Mon2")</f>
        <v>Mon2</v>
      </c>
      <c r="B4522" s="4"/>
      <c r="C4522" s="3">
        <v>128</v>
      </c>
      <c r="D4522" s="3">
        <v>1357</v>
      </c>
      <c r="E4522" s="3">
        <v>4309</v>
      </c>
      <c r="F4522" s="3">
        <v>47010</v>
      </c>
      <c r="G4522" s="3">
        <v>48825</v>
      </c>
      <c r="H4522" s="2">
        <f t="shared" si="140"/>
        <v>101629</v>
      </c>
      <c r="I4522" t="str">
        <f t="shared" si="141"/>
        <v>Mon2_101629</v>
      </c>
      <c r="J4522" s="3">
        <v>128</v>
      </c>
      <c r="K4522" s="3">
        <v>1357</v>
      </c>
      <c r="L4522" s="3">
        <v>4309</v>
      </c>
      <c r="M4522" s="3">
        <v>47010</v>
      </c>
      <c r="N4522" s="3">
        <v>48825</v>
      </c>
    </row>
    <row r="4523" spans="1:14" x14ac:dyDescent="0.2">
      <c r="A4523" s="5" t="str">
        <f>HYPERLINK("http://www.ncbi.nlm.nih.gov/protein/13277348","Morf4l1")</f>
        <v>Morf4l1</v>
      </c>
      <c r="B4523" s="4"/>
      <c r="C4523" s="3">
        <v>0</v>
      </c>
      <c r="D4523" s="3">
        <v>0</v>
      </c>
      <c r="E4523" s="3">
        <v>186</v>
      </c>
      <c r="F4523" s="3">
        <v>33</v>
      </c>
      <c r="G4523" s="3">
        <v>21</v>
      </c>
      <c r="H4523" s="2">
        <f t="shared" si="140"/>
        <v>240</v>
      </c>
      <c r="I4523" t="str">
        <f t="shared" si="141"/>
        <v>Morf4l1_240</v>
      </c>
      <c r="J4523" s="3">
        <v>0</v>
      </c>
      <c r="K4523" s="3">
        <v>0</v>
      </c>
      <c r="L4523" s="3">
        <v>186</v>
      </c>
      <c r="M4523" s="3">
        <v>33</v>
      </c>
      <c r="N4523" s="3">
        <v>21</v>
      </c>
    </row>
    <row r="4524" spans="1:14" x14ac:dyDescent="0.2">
      <c r="A4524" s="5" t="str">
        <f>HYPERLINK("http://www.ncbi.nlm.nih.gov/protein/85540473","Morf4l1")</f>
        <v>Morf4l1</v>
      </c>
      <c r="B4524" s="4"/>
      <c r="C4524" s="3">
        <v>0</v>
      </c>
      <c r="D4524" s="3">
        <v>0</v>
      </c>
      <c r="E4524" s="3">
        <v>186</v>
      </c>
      <c r="F4524" s="3">
        <v>33</v>
      </c>
      <c r="G4524" s="3">
        <v>21</v>
      </c>
      <c r="H4524" s="2">
        <f t="shared" si="140"/>
        <v>240</v>
      </c>
      <c r="I4524" t="str">
        <f t="shared" si="141"/>
        <v>Morf4l1_240</v>
      </c>
      <c r="J4524" s="3">
        <v>0</v>
      </c>
      <c r="K4524" s="3">
        <v>0</v>
      </c>
      <c r="L4524" s="3">
        <v>186</v>
      </c>
      <c r="M4524" s="3">
        <v>33</v>
      </c>
      <c r="N4524" s="3">
        <v>21</v>
      </c>
    </row>
    <row r="4525" spans="1:14" x14ac:dyDescent="0.2">
      <c r="A4525" s="5" t="str">
        <f>HYPERLINK("http://www.ncbi.nlm.nih.gov/protein/167234396","Mospd2")</f>
        <v>Mospd2</v>
      </c>
      <c r="B4525" s="4"/>
      <c r="C4525" s="3">
        <v>0</v>
      </c>
      <c r="D4525" s="3">
        <v>1123</v>
      </c>
      <c r="E4525" s="3">
        <v>306</v>
      </c>
      <c r="F4525" s="3">
        <v>0</v>
      </c>
      <c r="G4525" s="3">
        <v>0</v>
      </c>
      <c r="H4525" s="2">
        <f t="shared" si="140"/>
        <v>1429</v>
      </c>
      <c r="I4525" t="str">
        <f t="shared" si="141"/>
        <v>Mospd2_1429</v>
      </c>
      <c r="J4525" s="3">
        <v>0</v>
      </c>
      <c r="K4525" s="3">
        <v>1123</v>
      </c>
      <c r="L4525" s="3">
        <v>306</v>
      </c>
      <c r="M4525" s="3">
        <v>0</v>
      </c>
      <c r="N4525" s="3">
        <v>0</v>
      </c>
    </row>
    <row r="4526" spans="1:14" x14ac:dyDescent="0.2">
      <c r="A4526" s="5" t="str">
        <f>HYPERLINK("http://www.ncbi.nlm.nih.gov/protein/254540179","Mov10")</f>
        <v>Mov10</v>
      </c>
      <c r="B4526" s="4"/>
      <c r="C4526" s="3">
        <v>0</v>
      </c>
      <c r="D4526" s="3">
        <v>0</v>
      </c>
      <c r="E4526" s="3">
        <v>19409</v>
      </c>
      <c r="F4526" s="3">
        <v>19302</v>
      </c>
      <c r="G4526" s="3">
        <v>0</v>
      </c>
      <c r="H4526" s="2">
        <f t="shared" si="140"/>
        <v>38711</v>
      </c>
      <c r="I4526" t="str">
        <f t="shared" si="141"/>
        <v>Mov10_38711</v>
      </c>
      <c r="J4526" s="3">
        <v>0</v>
      </c>
      <c r="K4526" s="3">
        <v>0</v>
      </c>
      <c r="L4526" s="3">
        <v>19409</v>
      </c>
      <c r="M4526" s="3">
        <v>19302</v>
      </c>
      <c r="N4526" s="3">
        <v>0</v>
      </c>
    </row>
    <row r="4527" spans="1:14" x14ac:dyDescent="0.2">
      <c r="A4527" s="5" t="str">
        <f>HYPERLINK("http://www.ncbi.nlm.nih.gov/protein/254540181","Mov10")</f>
        <v>Mov10</v>
      </c>
      <c r="B4527" s="4"/>
      <c r="C4527" s="3">
        <v>0</v>
      </c>
      <c r="D4527" s="3">
        <v>0</v>
      </c>
      <c r="E4527" s="3">
        <v>19409</v>
      </c>
      <c r="F4527" s="3">
        <v>19302</v>
      </c>
      <c r="G4527" s="3">
        <v>0</v>
      </c>
      <c r="H4527" s="2">
        <f t="shared" si="140"/>
        <v>38711</v>
      </c>
      <c r="I4527" t="str">
        <f t="shared" si="141"/>
        <v>Mov10_38711</v>
      </c>
      <c r="J4527" s="3">
        <v>0</v>
      </c>
      <c r="K4527" s="3">
        <v>0</v>
      </c>
      <c r="L4527" s="3">
        <v>19409</v>
      </c>
      <c r="M4527" s="3">
        <v>19302</v>
      </c>
      <c r="N4527" s="3">
        <v>0</v>
      </c>
    </row>
    <row r="4528" spans="1:14" x14ac:dyDescent="0.2">
      <c r="A4528" s="5" t="str">
        <f>HYPERLINK("http://www.ncbi.nlm.nih.gov/protein/9055178","Mpc1")</f>
        <v>Mpc1</v>
      </c>
      <c r="B4528" s="4"/>
      <c r="C4528" s="3">
        <v>805</v>
      </c>
      <c r="D4528" s="3">
        <v>0</v>
      </c>
      <c r="E4528" s="3">
        <v>0</v>
      </c>
      <c r="F4528" s="3">
        <v>0</v>
      </c>
      <c r="G4528" s="3">
        <v>0</v>
      </c>
      <c r="H4528" s="2">
        <f t="shared" si="140"/>
        <v>805</v>
      </c>
      <c r="I4528" t="str">
        <f t="shared" si="141"/>
        <v>Mpc1_805</v>
      </c>
      <c r="J4528" s="3">
        <v>805</v>
      </c>
      <c r="K4528" s="3">
        <v>0</v>
      </c>
      <c r="L4528" s="3">
        <v>0</v>
      </c>
      <c r="M4528" s="3">
        <v>0</v>
      </c>
      <c r="N4528" s="3">
        <v>0</v>
      </c>
    </row>
    <row r="4529" spans="1:14" x14ac:dyDescent="0.2">
      <c r="A4529" s="5" t="str">
        <f>HYPERLINK("http://www.ncbi.nlm.nih.gov/protein/21312594","Mpc2")</f>
        <v>Mpc2</v>
      </c>
      <c r="B4529" s="4"/>
      <c r="C4529" s="3">
        <v>952</v>
      </c>
      <c r="D4529" s="3">
        <v>2179</v>
      </c>
      <c r="E4529" s="3">
        <v>111</v>
      </c>
      <c r="F4529" s="3">
        <v>0</v>
      </c>
      <c r="G4529" s="3">
        <v>0</v>
      </c>
      <c r="H4529" s="2">
        <f t="shared" si="140"/>
        <v>3242</v>
      </c>
      <c r="I4529" t="str">
        <f t="shared" si="141"/>
        <v>Mpc2_3242</v>
      </c>
      <c r="J4529" s="3">
        <v>952</v>
      </c>
      <c r="K4529" s="3">
        <v>2179</v>
      </c>
      <c r="L4529" s="3">
        <v>111</v>
      </c>
      <c r="M4529" s="3">
        <v>0</v>
      </c>
      <c r="N4529" s="3">
        <v>0</v>
      </c>
    </row>
    <row r="4530" spans="1:14" x14ac:dyDescent="0.2">
      <c r="A4530" s="5" t="str">
        <f>HYPERLINK("http://www.ncbi.nlm.nih.gov/protein/31981340","Mpdu1")</f>
        <v>Mpdu1</v>
      </c>
      <c r="B4530" s="4"/>
      <c r="C4530" s="3">
        <v>2215</v>
      </c>
      <c r="D4530" s="3">
        <v>4117</v>
      </c>
      <c r="E4530" s="3">
        <v>3231</v>
      </c>
      <c r="F4530" s="3">
        <v>90</v>
      </c>
      <c r="G4530" s="3">
        <v>0</v>
      </c>
      <c r="H4530" s="2">
        <f t="shared" si="140"/>
        <v>9653</v>
      </c>
      <c r="I4530" t="str">
        <f t="shared" si="141"/>
        <v>Mpdu1_9653</v>
      </c>
      <c r="J4530" s="3">
        <v>2215</v>
      </c>
      <c r="K4530" s="3">
        <v>4117</v>
      </c>
      <c r="L4530" s="3">
        <v>3231</v>
      </c>
      <c r="M4530" s="3">
        <v>90</v>
      </c>
      <c r="N4530" s="3">
        <v>0</v>
      </c>
    </row>
    <row r="4531" spans="1:14" x14ac:dyDescent="0.2">
      <c r="A4531" s="5" t="str">
        <f>HYPERLINK("http://www.ncbi.nlm.nih.gov/protein/124053457","Mpdz")</f>
        <v>Mpdz</v>
      </c>
      <c r="B4531" s="4"/>
      <c r="C4531" s="3">
        <v>0</v>
      </c>
      <c r="D4531" s="3">
        <v>0</v>
      </c>
      <c r="E4531" s="3">
        <v>102</v>
      </c>
      <c r="F4531" s="3">
        <v>24082</v>
      </c>
      <c r="G4531" s="3">
        <v>0</v>
      </c>
      <c r="H4531" s="2">
        <f t="shared" si="140"/>
        <v>24184</v>
      </c>
      <c r="I4531" t="str">
        <f t="shared" si="141"/>
        <v>Mpdz_24184</v>
      </c>
      <c r="J4531" s="3">
        <v>0</v>
      </c>
      <c r="K4531" s="3">
        <v>0</v>
      </c>
      <c r="L4531" s="3">
        <v>102</v>
      </c>
      <c r="M4531" s="3">
        <v>24082</v>
      </c>
      <c r="N4531" s="3">
        <v>0</v>
      </c>
    </row>
    <row r="4532" spans="1:14" x14ac:dyDescent="0.2">
      <c r="A4532" s="5" t="str">
        <f>HYPERLINK("http://www.ncbi.nlm.nih.gov/protein/268370034","Mpg")</f>
        <v>Mpg</v>
      </c>
      <c r="B4532" s="4"/>
      <c r="C4532" s="3">
        <v>0</v>
      </c>
      <c r="D4532" s="3">
        <v>0</v>
      </c>
      <c r="E4532" s="3">
        <v>0</v>
      </c>
      <c r="F4532" s="3">
        <v>25</v>
      </c>
      <c r="G4532" s="3">
        <v>0</v>
      </c>
      <c r="H4532" s="2">
        <f t="shared" si="140"/>
        <v>25</v>
      </c>
      <c r="I4532" t="str">
        <f t="shared" si="141"/>
        <v>Mpg_25</v>
      </c>
      <c r="J4532" s="3">
        <v>0</v>
      </c>
      <c r="K4532" s="3">
        <v>0</v>
      </c>
      <c r="L4532" s="3">
        <v>0</v>
      </c>
      <c r="M4532" s="3">
        <v>25</v>
      </c>
      <c r="N4532" s="3">
        <v>0</v>
      </c>
    </row>
    <row r="4533" spans="1:14" x14ac:dyDescent="0.2">
      <c r="A4533" s="5" t="str">
        <f>HYPERLINK("http://www.ncbi.nlm.nih.gov/protein/21312048","Mphosph6")</f>
        <v>Mphosph6</v>
      </c>
      <c r="B4533" s="4"/>
      <c r="C4533" s="3">
        <v>0</v>
      </c>
      <c r="D4533" s="3">
        <v>0</v>
      </c>
      <c r="E4533" s="3">
        <v>0</v>
      </c>
      <c r="F4533" s="3">
        <v>2775</v>
      </c>
      <c r="G4533" s="3">
        <v>64</v>
      </c>
      <c r="H4533" s="2">
        <f t="shared" si="140"/>
        <v>2839</v>
      </c>
      <c r="I4533" t="str">
        <f t="shared" si="141"/>
        <v>Mphosph6_2839</v>
      </c>
      <c r="J4533" s="3">
        <v>0</v>
      </c>
      <c r="K4533" s="3">
        <v>0</v>
      </c>
      <c r="L4533" s="3">
        <v>0</v>
      </c>
      <c r="M4533" s="3">
        <v>2775</v>
      </c>
      <c r="N4533" s="3">
        <v>64</v>
      </c>
    </row>
    <row r="4534" spans="1:14" x14ac:dyDescent="0.2">
      <c r="A4534" s="5" t="str">
        <f>HYPERLINK("http://www.ncbi.nlm.nih.gov/protein/91206392","Mpi")</f>
        <v>Mpi</v>
      </c>
      <c r="B4534" s="4"/>
      <c r="C4534" s="3">
        <v>0</v>
      </c>
      <c r="D4534" s="3">
        <v>115</v>
      </c>
      <c r="E4534" s="3">
        <v>40</v>
      </c>
      <c r="F4534" s="3">
        <v>0</v>
      </c>
      <c r="G4534" s="3">
        <v>59320</v>
      </c>
      <c r="H4534" s="2">
        <f t="shared" si="140"/>
        <v>59475</v>
      </c>
      <c r="I4534" t="str">
        <f t="shared" si="141"/>
        <v>Mpi_59475</v>
      </c>
      <c r="J4534" s="3">
        <v>0</v>
      </c>
      <c r="K4534" s="3">
        <v>115</v>
      </c>
      <c r="L4534" s="3">
        <v>40</v>
      </c>
      <c r="M4534" s="3">
        <v>0</v>
      </c>
      <c r="N4534" s="3">
        <v>59320</v>
      </c>
    </row>
    <row r="4535" spans="1:14" x14ac:dyDescent="0.2">
      <c r="A4535" s="5" t="str">
        <f>HYPERLINK("http://www.ncbi.nlm.nih.gov/protein/7710062","Mpp2")</f>
        <v>Mpp2</v>
      </c>
      <c r="B4535" s="4"/>
      <c r="C4535" s="3">
        <v>0</v>
      </c>
      <c r="D4535" s="3">
        <v>0</v>
      </c>
      <c r="E4535" s="3">
        <v>1430</v>
      </c>
      <c r="F4535" s="3">
        <v>0</v>
      </c>
      <c r="G4535" s="3">
        <v>0</v>
      </c>
      <c r="H4535" s="2">
        <f t="shared" si="140"/>
        <v>1430</v>
      </c>
      <c r="I4535" t="str">
        <f t="shared" si="141"/>
        <v>Mpp2_1430</v>
      </c>
      <c r="J4535" s="3">
        <v>0</v>
      </c>
      <c r="K4535" s="3">
        <v>0</v>
      </c>
      <c r="L4535" s="3">
        <v>1430</v>
      </c>
      <c r="M4535" s="3">
        <v>0</v>
      </c>
      <c r="N4535" s="3">
        <v>0</v>
      </c>
    </row>
    <row r="4536" spans="1:14" x14ac:dyDescent="0.2">
      <c r="A4536" s="5" t="str">
        <f>HYPERLINK("http://www.ncbi.nlm.nih.gov/protein/118026923","Mpp3")</f>
        <v>Mpp3</v>
      </c>
      <c r="B4536" s="4"/>
      <c r="C4536" s="3">
        <v>0</v>
      </c>
      <c r="D4536" s="3">
        <v>0</v>
      </c>
      <c r="E4536" s="3">
        <v>334</v>
      </c>
      <c r="F4536" s="3">
        <v>0</v>
      </c>
      <c r="G4536" s="3">
        <v>0</v>
      </c>
      <c r="H4536" s="2">
        <f t="shared" si="140"/>
        <v>334</v>
      </c>
      <c r="I4536" t="str">
        <f t="shared" si="141"/>
        <v>Mpp3_334</v>
      </c>
      <c r="J4536" s="3">
        <v>0</v>
      </c>
      <c r="K4536" s="3">
        <v>0</v>
      </c>
      <c r="L4536" s="3">
        <v>334</v>
      </c>
      <c r="M4536" s="3">
        <v>0</v>
      </c>
      <c r="N4536" s="3">
        <v>0</v>
      </c>
    </row>
    <row r="4537" spans="1:14" x14ac:dyDescent="0.2">
      <c r="A4537" s="5" t="str">
        <f>HYPERLINK("http://www.ncbi.nlm.nih.gov/protein/9625023","Mpp5")</f>
        <v>Mpp5</v>
      </c>
      <c r="B4537" s="4"/>
      <c r="C4537" s="3">
        <v>0</v>
      </c>
      <c r="D4537" s="3">
        <v>0</v>
      </c>
      <c r="E4537" s="3">
        <v>9573</v>
      </c>
      <c r="F4537" s="3">
        <v>0</v>
      </c>
      <c r="G4537" s="3">
        <v>0</v>
      </c>
      <c r="H4537" s="2">
        <f t="shared" si="140"/>
        <v>9573</v>
      </c>
      <c r="I4537" t="str">
        <f t="shared" si="141"/>
        <v>Mpp5_9573</v>
      </c>
      <c r="J4537" s="3">
        <v>0</v>
      </c>
      <c r="K4537" s="3">
        <v>0</v>
      </c>
      <c r="L4537" s="3">
        <v>9573</v>
      </c>
      <c r="M4537" s="3">
        <v>0</v>
      </c>
      <c r="N4537" s="3">
        <v>0</v>
      </c>
    </row>
    <row r="4538" spans="1:14" x14ac:dyDescent="0.2">
      <c r="A4538" s="5" t="str">
        <f>HYPERLINK("http://www.ncbi.nlm.nih.gov/protein/257900522","Mpp6")</f>
        <v>Mpp6</v>
      </c>
      <c r="B4538" s="4"/>
      <c r="C4538" s="3">
        <v>0</v>
      </c>
      <c r="D4538" s="3">
        <v>4233</v>
      </c>
      <c r="E4538" s="3">
        <v>0</v>
      </c>
      <c r="F4538" s="3">
        <v>0</v>
      </c>
      <c r="G4538" s="3">
        <v>0</v>
      </c>
      <c r="H4538" s="2">
        <f t="shared" si="140"/>
        <v>4233</v>
      </c>
      <c r="I4538" t="str">
        <f t="shared" si="141"/>
        <v>Mpp6_4233</v>
      </c>
      <c r="J4538" s="3">
        <v>0</v>
      </c>
      <c r="K4538" s="3">
        <v>4233</v>
      </c>
      <c r="L4538" s="3">
        <v>0</v>
      </c>
      <c r="M4538" s="3">
        <v>0</v>
      </c>
      <c r="N4538" s="3">
        <v>0</v>
      </c>
    </row>
    <row r="4539" spans="1:14" x14ac:dyDescent="0.2">
      <c r="A4539" s="5" t="str">
        <f>HYPERLINK("http://www.ncbi.nlm.nih.gov/protein/257900524;257900522","Mpp6")</f>
        <v>Mpp6</v>
      </c>
      <c r="B4539" s="4"/>
      <c r="C4539" s="3">
        <v>0</v>
      </c>
      <c r="D4539" s="3">
        <v>0</v>
      </c>
      <c r="E4539" s="3">
        <v>13742</v>
      </c>
      <c r="F4539" s="3">
        <v>0</v>
      </c>
      <c r="G4539" s="3">
        <v>0</v>
      </c>
      <c r="H4539" s="2">
        <f t="shared" si="140"/>
        <v>13742</v>
      </c>
      <c r="I4539" t="str">
        <f t="shared" si="141"/>
        <v>Mpp6_13742</v>
      </c>
      <c r="J4539" s="3">
        <v>0</v>
      </c>
      <c r="K4539" s="3">
        <v>0</v>
      </c>
      <c r="L4539" s="3">
        <v>13742</v>
      </c>
      <c r="M4539" s="3">
        <v>0</v>
      </c>
      <c r="N4539" s="3">
        <v>0</v>
      </c>
    </row>
    <row r="4540" spans="1:14" x14ac:dyDescent="0.2">
      <c r="A4540" s="5" t="str">
        <f>HYPERLINK("http://www.ncbi.nlm.nih.gov/protein/257900520","Mpp6")</f>
        <v>Mpp6</v>
      </c>
      <c r="B4540" s="4"/>
      <c r="C4540" s="3">
        <v>0</v>
      </c>
      <c r="D4540" s="3">
        <v>4233</v>
      </c>
      <c r="E4540" s="3">
        <v>13742</v>
      </c>
      <c r="F4540" s="3">
        <v>0</v>
      </c>
      <c r="G4540" s="3">
        <v>0</v>
      </c>
      <c r="H4540" s="2">
        <f t="shared" si="140"/>
        <v>17975</v>
      </c>
      <c r="I4540" t="str">
        <f t="shared" si="141"/>
        <v>Mpp6_17975</v>
      </c>
      <c r="J4540" s="3">
        <v>0</v>
      </c>
      <c r="K4540" s="3">
        <v>4233</v>
      </c>
      <c r="L4540" s="3">
        <v>13742</v>
      </c>
      <c r="M4540" s="3">
        <v>0</v>
      </c>
      <c r="N4540" s="3">
        <v>0</v>
      </c>
    </row>
    <row r="4541" spans="1:14" x14ac:dyDescent="0.2">
      <c r="A4541" s="5" t="str">
        <f>HYPERLINK("http://www.ncbi.nlm.nih.gov/protein/239051572","Mpp7")</f>
        <v>Mpp7</v>
      </c>
      <c r="B4541" s="4"/>
      <c r="C4541" s="3">
        <v>8256</v>
      </c>
      <c r="D4541" s="3">
        <v>13776</v>
      </c>
      <c r="E4541" s="3">
        <v>21679</v>
      </c>
      <c r="F4541" s="3">
        <v>598</v>
      </c>
      <c r="G4541" s="3">
        <v>0</v>
      </c>
      <c r="H4541" s="2">
        <f t="shared" si="140"/>
        <v>44309</v>
      </c>
      <c r="I4541" t="str">
        <f t="shared" si="141"/>
        <v>Mpp7_44309</v>
      </c>
      <c r="J4541" s="3">
        <v>8256</v>
      </c>
      <c r="K4541" s="3">
        <v>13776</v>
      </c>
      <c r="L4541" s="3">
        <v>21679</v>
      </c>
      <c r="M4541" s="3">
        <v>598</v>
      </c>
      <c r="N4541" s="3">
        <v>0</v>
      </c>
    </row>
    <row r="4542" spans="1:14" x14ac:dyDescent="0.2">
      <c r="A4542" s="5" t="str">
        <f>HYPERLINK("http://www.ncbi.nlm.nih.gov/protein/239051602","Mpp7")</f>
        <v>Mpp7</v>
      </c>
      <c r="B4542" s="4"/>
      <c r="C4542" s="3">
        <v>8256</v>
      </c>
      <c r="D4542" s="3">
        <v>3870</v>
      </c>
      <c r="E4542" s="3">
        <v>6841</v>
      </c>
      <c r="F4542" s="3">
        <v>598</v>
      </c>
      <c r="G4542" s="3">
        <v>0</v>
      </c>
      <c r="H4542" s="2">
        <f t="shared" si="140"/>
        <v>19565</v>
      </c>
      <c r="I4542" t="str">
        <f t="shared" si="141"/>
        <v>Mpp7_19565</v>
      </c>
      <c r="J4542" s="3">
        <v>8256</v>
      </c>
      <c r="K4542" s="3">
        <v>3870</v>
      </c>
      <c r="L4542" s="3">
        <v>6841</v>
      </c>
      <c r="M4542" s="3">
        <v>598</v>
      </c>
      <c r="N4542" s="3">
        <v>0</v>
      </c>
    </row>
    <row r="4543" spans="1:14" x14ac:dyDescent="0.2">
      <c r="A4543" s="5" t="str">
        <f>HYPERLINK("http://www.ncbi.nlm.nih.gov/protein/244789999","Mpst")</f>
        <v>Mpst</v>
      </c>
      <c r="B4543" s="4"/>
      <c r="C4543" s="3">
        <v>31248</v>
      </c>
      <c r="D4543" s="3">
        <v>3841</v>
      </c>
      <c r="E4543" s="3">
        <v>29</v>
      </c>
      <c r="F4543" s="3">
        <v>0</v>
      </c>
      <c r="G4543" s="3">
        <v>3513</v>
      </c>
      <c r="H4543" s="2">
        <f t="shared" si="140"/>
        <v>38631</v>
      </c>
      <c r="I4543" t="str">
        <f t="shared" si="141"/>
        <v>Mpst_38631</v>
      </c>
      <c r="J4543" s="3">
        <v>31248</v>
      </c>
      <c r="K4543" s="3">
        <v>3841</v>
      </c>
      <c r="L4543" s="3">
        <v>29</v>
      </c>
      <c r="M4543" s="3">
        <v>0</v>
      </c>
      <c r="N4543" s="3">
        <v>3513</v>
      </c>
    </row>
    <row r="4544" spans="1:14" x14ac:dyDescent="0.2">
      <c r="A4544" s="5" t="str">
        <f>HYPERLINK("http://www.ncbi.nlm.nih.gov/protein/6678926","Mpv17")</f>
        <v>Mpv17</v>
      </c>
      <c r="B4544" s="4"/>
      <c r="C4544" s="3">
        <v>0</v>
      </c>
      <c r="D4544" s="3">
        <v>472</v>
      </c>
      <c r="E4544" s="3">
        <v>0</v>
      </c>
      <c r="F4544" s="3">
        <v>0</v>
      </c>
      <c r="G4544" s="3">
        <v>0</v>
      </c>
      <c r="H4544" s="2">
        <f t="shared" si="140"/>
        <v>472</v>
      </c>
      <c r="I4544" t="str">
        <f t="shared" si="141"/>
        <v>Mpv17_472</v>
      </c>
      <c r="J4544" s="3">
        <v>0</v>
      </c>
      <c r="K4544" s="3">
        <v>472</v>
      </c>
      <c r="L4544" s="3">
        <v>0</v>
      </c>
      <c r="M4544" s="3">
        <v>0</v>
      </c>
      <c r="N4544" s="3">
        <v>0</v>
      </c>
    </row>
    <row r="4545" spans="1:14" x14ac:dyDescent="0.2">
      <c r="A4545" s="5" t="str">
        <f>HYPERLINK("http://www.ncbi.nlm.nih.gov/protein/31542623","Mpzl2")</f>
        <v>Mpzl2</v>
      </c>
      <c r="B4545" s="4"/>
      <c r="C4545" s="3">
        <v>0</v>
      </c>
      <c r="D4545" s="3">
        <v>1173</v>
      </c>
      <c r="E4545" s="3">
        <v>391</v>
      </c>
      <c r="F4545" s="3">
        <v>0</v>
      </c>
      <c r="G4545" s="3">
        <v>0</v>
      </c>
      <c r="H4545" s="2">
        <f t="shared" si="140"/>
        <v>1564</v>
      </c>
      <c r="I4545" t="str">
        <f t="shared" si="141"/>
        <v>Mpzl2_1564</v>
      </c>
      <c r="J4545" s="3">
        <v>0</v>
      </c>
      <c r="K4545" s="3">
        <v>1173</v>
      </c>
      <c r="L4545" s="3">
        <v>391</v>
      </c>
      <c r="M4545" s="3">
        <v>0</v>
      </c>
      <c r="N4545" s="3">
        <v>0</v>
      </c>
    </row>
    <row r="4546" spans="1:14" x14ac:dyDescent="0.2">
      <c r="A4546" s="5" t="str">
        <f>HYPERLINK("http://www.ncbi.nlm.nih.gov/protein/6678930","Mras")</f>
        <v>Mras</v>
      </c>
      <c r="B4546" s="4"/>
      <c r="C4546" s="3">
        <v>0</v>
      </c>
      <c r="D4546" s="3">
        <v>0</v>
      </c>
      <c r="E4546" s="3">
        <v>670</v>
      </c>
      <c r="F4546" s="3">
        <v>0</v>
      </c>
      <c r="G4546" s="3">
        <v>0</v>
      </c>
      <c r="H4546" s="2">
        <f t="shared" ref="H4546:H4609" si="142">SUM(C4546:G4546)</f>
        <v>670</v>
      </c>
      <c r="I4546" t="str">
        <f t="shared" ref="I4546:I4609" si="143">A4546&amp;"_"&amp;H4546</f>
        <v>Mras_670</v>
      </c>
      <c r="J4546" s="3">
        <v>0</v>
      </c>
      <c r="K4546" s="3">
        <v>0</v>
      </c>
      <c r="L4546" s="3">
        <v>670</v>
      </c>
      <c r="M4546" s="3">
        <v>0</v>
      </c>
      <c r="N4546" s="3">
        <v>0</v>
      </c>
    </row>
    <row r="4547" spans="1:14" x14ac:dyDescent="0.2">
      <c r="A4547" s="5" t="str">
        <f>HYPERLINK("http://www.ncbi.nlm.nih.gov/protein/9055282","Mre11a")</f>
        <v>Mre11a</v>
      </c>
      <c r="B4547" s="4"/>
      <c r="C4547" s="3">
        <v>696</v>
      </c>
      <c r="D4547" s="3">
        <v>0</v>
      </c>
      <c r="E4547" s="3">
        <v>47</v>
      </c>
      <c r="F4547" s="3">
        <v>2210</v>
      </c>
      <c r="G4547" s="3">
        <v>814</v>
      </c>
      <c r="H4547" s="2">
        <f t="shared" si="142"/>
        <v>3767</v>
      </c>
      <c r="I4547" t="str">
        <f t="shared" si="143"/>
        <v>Mre11a_3767</v>
      </c>
      <c r="J4547" s="3">
        <v>696</v>
      </c>
      <c r="K4547" s="3">
        <v>0</v>
      </c>
      <c r="L4547" s="3">
        <v>47</v>
      </c>
      <c r="M4547" s="3">
        <v>2210</v>
      </c>
      <c r="N4547" s="3">
        <v>814</v>
      </c>
    </row>
    <row r="4548" spans="1:14" x14ac:dyDescent="0.2">
      <c r="A4548" s="5" t="str">
        <f>HYPERLINK("http://www.ncbi.nlm.nih.gov/protein/13385746","Mrfap1")</f>
        <v>Mrfap1</v>
      </c>
      <c r="B4548" s="4"/>
      <c r="C4548" s="3">
        <v>0</v>
      </c>
      <c r="D4548" s="3">
        <v>0</v>
      </c>
      <c r="E4548" s="3">
        <v>0</v>
      </c>
      <c r="F4548" s="3">
        <v>0</v>
      </c>
      <c r="G4548" s="3">
        <v>782</v>
      </c>
      <c r="H4548" s="2">
        <f t="shared" si="142"/>
        <v>782</v>
      </c>
      <c r="I4548" t="str">
        <f t="shared" si="143"/>
        <v>Mrfap1_782</v>
      </c>
      <c r="J4548" s="3">
        <v>0</v>
      </c>
      <c r="K4548" s="3">
        <v>0</v>
      </c>
      <c r="L4548" s="3">
        <v>0</v>
      </c>
      <c r="M4548" s="3">
        <v>0</v>
      </c>
      <c r="N4548" s="3">
        <v>782</v>
      </c>
    </row>
    <row r="4549" spans="1:14" x14ac:dyDescent="0.2">
      <c r="A4549" s="5" t="str">
        <f>HYPERLINK("http://www.ncbi.nlm.nih.gov/protein/268838020","Mri1")</f>
        <v>Mri1</v>
      </c>
      <c r="B4549" s="4"/>
      <c r="C4549" s="3">
        <v>0</v>
      </c>
      <c r="D4549" s="3">
        <v>672</v>
      </c>
      <c r="E4549" s="3">
        <v>2783</v>
      </c>
      <c r="F4549" s="3">
        <v>5673</v>
      </c>
      <c r="G4549" s="3">
        <v>47090</v>
      </c>
      <c r="H4549" s="2">
        <f t="shared" si="142"/>
        <v>56218</v>
      </c>
      <c r="I4549" t="str">
        <f t="shared" si="143"/>
        <v>Mri1_56218</v>
      </c>
      <c r="J4549" s="3">
        <v>0</v>
      </c>
      <c r="K4549" s="3">
        <v>672</v>
      </c>
      <c r="L4549" s="3">
        <v>2783</v>
      </c>
      <c r="M4549" s="3">
        <v>5673</v>
      </c>
      <c r="N4549" s="3">
        <v>47090</v>
      </c>
    </row>
    <row r="4550" spans="1:14" x14ac:dyDescent="0.2">
      <c r="A4550" s="5" t="str">
        <f>HYPERLINK("http://www.ncbi.nlm.nih.gov/protein/89337263","Mrm1")</f>
        <v>Mrm1</v>
      </c>
      <c r="B4550" s="4"/>
      <c r="C4550" s="3">
        <v>0</v>
      </c>
      <c r="D4550" s="3">
        <v>511</v>
      </c>
      <c r="E4550" s="3">
        <v>0</v>
      </c>
      <c r="F4550" s="3">
        <v>0</v>
      </c>
      <c r="G4550" s="3">
        <v>0</v>
      </c>
      <c r="H4550" s="2">
        <f t="shared" si="142"/>
        <v>511</v>
      </c>
      <c r="I4550" t="str">
        <f t="shared" si="143"/>
        <v>Mrm1_511</v>
      </c>
      <c r="J4550" s="3">
        <v>0</v>
      </c>
      <c r="K4550" s="3">
        <v>511</v>
      </c>
      <c r="L4550" s="3">
        <v>0</v>
      </c>
      <c r="M4550" s="3">
        <v>0</v>
      </c>
      <c r="N4550" s="3">
        <v>0</v>
      </c>
    </row>
    <row r="4551" spans="1:14" x14ac:dyDescent="0.2">
      <c r="A4551" s="5" t="str">
        <f>HYPERLINK("http://www.ncbi.nlm.nih.gov/protein/241982824","Mroh1")</f>
        <v>Mroh1</v>
      </c>
      <c r="B4551" s="4"/>
      <c r="C4551" s="3">
        <v>0</v>
      </c>
      <c r="D4551" s="3">
        <v>192</v>
      </c>
      <c r="E4551" s="3">
        <v>7198</v>
      </c>
      <c r="F4551" s="3">
        <v>9307</v>
      </c>
      <c r="G4551" s="3">
        <v>7497</v>
      </c>
      <c r="H4551" s="2">
        <f t="shared" si="142"/>
        <v>24194</v>
      </c>
      <c r="I4551" t="str">
        <f t="shared" si="143"/>
        <v>Mroh1_24194</v>
      </c>
      <c r="J4551" s="3">
        <v>0</v>
      </c>
      <c r="K4551" s="3">
        <v>192</v>
      </c>
      <c r="L4551" s="3">
        <v>7198</v>
      </c>
      <c r="M4551" s="3">
        <v>9307</v>
      </c>
      <c r="N4551" s="3">
        <v>7497</v>
      </c>
    </row>
    <row r="4552" spans="1:14" x14ac:dyDescent="0.2">
      <c r="A4552" s="5" t="str">
        <f>HYPERLINK("http://www.ncbi.nlm.nih.gov/protein/283046757","Mroh1")</f>
        <v>Mroh1</v>
      </c>
      <c r="B4552" s="4"/>
      <c r="C4552" s="3">
        <v>0</v>
      </c>
      <c r="D4552" s="3">
        <v>273</v>
      </c>
      <c r="E4552" s="3">
        <v>13277</v>
      </c>
      <c r="F4552" s="3">
        <v>11091</v>
      </c>
      <c r="G4552" s="3">
        <v>13730</v>
      </c>
      <c r="H4552" s="2">
        <f t="shared" si="142"/>
        <v>38371</v>
      </c>
      <c r="I4552" t="str">
        <f t="shared" si="143"/>
        <v>Mroh1_38371</v>
      </c>
      <c r="J4552" s="3">
        <v>0</v>
      </c>
      <c r="K4552" s="3">
        <v>273</v>
      </c>
      <c r="L4552" s="3">
        <v>13277</v>
      </c>
      <c r="M4552" s="3">
        <v>11091</v>
      </c>
      <c r="N4552" s="3">
        <v>13730</v>
      </c>
    </row>
    <row r="4553" spans="1:14" x14ac:dyDescent="0.2">
      <c r="A4553" s="5" t="str">
        <f>HYPERLINK("http://www.ncbi.nlm.nih.gov/protein/527317377","Mroh2a")</f>
        <v>Mroh2a</v>
      </c>
      <c r="B4553" s="4"/>
      <c r="C4553" s="3">
        <v>1831</v>
      </c>
      <c r="D4553" s="3">
        <v>0</v>
      </c>
      <c r="E4553" s="3">
        <v>0</v>
      </c>
      <c r="F4553" s="3">
        <v>0</v>
      </c>
      <c r="G4553" s="3">
        <v>0</v>
      </c>
      <c r="H4553" s="2">
        <f t="shared" si="142"/>
        <v>1831</v>
      </c>
      <c r="I4553" t="str">
        <f t="shared" si="143"/>
        <v>Mroh2a_1831</v>
      </c>
      <c r="J4553" s="3">
        <v>1831</v>
      </c>
      <c r="K4553" s="3">
        <v>0</v>
      </c>
      <c r="L4553" s="3">
        <v>0</v>
      </c>
      <c r="M4553" s="3">
        <v>0</v>
      </c>
      <c r="N4553" s="3">
        <v>0</v>
      </c>
    </row>
    <row r="4554" spans="1:14" x14ac:dyDescent="0.2">
      <c r="A4554" s="5" t="str">
        <f>HYPERLINK("http://www.ncbi.nlm.nih.gov/protein/294460010","Mroh4")</f>
        <v>Mroh4</v>
      </c>
      <c r="B4554" s="4"/>
      <c r="C4554" s="3">
        <v>0</v>
      </c>
      <c r="D4554" s="3">
        <v>6567</v>
      </c>
      <c r="E4554" s="3">
        <v>0</v>
      </c>
      <c r="F4554" s="3">
        <v>0</v>
      </c>
      <c r="G4554" s="3">
        <v>102747</v>
      </c>
      <c r="H4554" s="2">
        <f t="shared" si="142"/>
        <v>109314</v>
      </c>
      <c r="I4554" t="str">
        <f t="shared" si="143"/>
        <v>Mroh4_109314</v>
      </c>
      <c r="J4554" s="3">
        <v>0</v>
      </c>
      <c r="K4554" s="3">
        <v>6567</v>
      </c>
      <c r="L4554" s="3">
        <v>0</v>
      </c>
      <c r="M4554" s="3">
        <v>0</v>
      </c>
      <c r="N4554" s="3">
        <v>102747</v>
      </c>
    </row>
    <row r="4555" spans="1:14" x14ac:dyDescent="0.2">
      <c r="A4555" s="5" t="str">
        <f>HYPERLINK("http://www.ncbi.nlm.nih.gov/protein/254692919","Mroh9")</f>
        <v>Mroh9</v>
      </c>
      <c r="B4555" s="4"/>
      <c r="C4555" s="3">
        <v>3661</v>
      </c>
      <c r="D4555" s="3">
        <v>668</v>
      </c>
      <c r="E4555" s="3">
        <v>5201</v>
      </c>
      <c r="F4555" s="3">
        <v>6917</v>
      </c>
      <c r="G4555" s="3">
        <v>17360</v>
      </c>
      <c r="H4555" s="2">
        <f t="shared" si="142"/>
        <v>33807</v>
      </c>
      <c r="I4555" t="str">
        <f t="shared" si="143"/>
        <v>Mroh9_33807</v>
      </c>
      <c r="J4555" s="3">
        <v>3661</v>
      </c>
      <c r="K4555" s="3">
        <v>668</v>
      </c>
      <c r="L4555" s="3">
        <v>5201</v>
      </c>
      <c r="M4555" s="3">
        <v>6917</v>
      </c>
      <c r="N4555" s="3">
        <v>17360</v>
      </c>
    </row>
    <row r="4556" spans="1:14" x14ac:dyDescent="0.2">
      <c r="A4556" s="5" t="str">
        <f>HYPERLINK("http://www.ncbi.nlm.nih.gov/protein/13385888","Mrp63")</f>
        <v>Mrp63</v>
      </c>
      <c r="B4556" s="4"/>
      <c r="C4556" s="3">
        <v>0</v>
      </c>
      <c r="D4556" s="3">
        <v>566</v>
      </c>
      <c r="E4556" s="3">
        <v>0</v>
      </c>
      <c r="F4556" s="3">
        <v>0</v>
      </c>
      <c r="G4556" s="3">
        <v>0</v>
      </c>
      <c r="H4556" s="2">
        <f t="shared" si="142"/>
        <v>566</v>
      </c>
      <c r="I4556" t="str">
        <f t="shared" si="143"/>
        <v>Mrp63_566</v>
      </c>
      <c r="J4556" s="3">
        <v>0</v>
      </c>
      <c r="K4556" s="3">
        <v>566</v>
      </c>
      <c r="L4556" s="3">
        <v>0</v>
      </c>
      <c r="M4556" s="3">
        <v>0</v>
      </c>
      <c r="N4556" s="3">
        <v>0</v>
      </c>
    </row>
    <row r="4557" spans="1:14" x14ac:dyDescent="0.2">
      <c r="A4557" s="5" t="str">
        <f>HYPERLINK("http://www.ncbi.nlm.nih.gov/protein/84875528","Mrpl1")</f>
        <v>Mrpl1</v>
      </c>
      <c r="B4557" s="4"/>
      <c r="C4557" s="3">
        <v>0</v>
      </c>
      <c r="D4557" s="3">
        <v>5745</v>
      </c>
      <c r="E4557" s="3">
        <v>0</v>
      </c>
      <c r="F4557" s="3">
        <v>352</v>
      </c>
      <c r="G4557" s="3">
        <v>0</v>
      </c>
      <c r="H4557" s="2">
        <f t="shared" si="142"/>
        <v>6097</v>
      </c>
      <c r="I4557" t="str">
        <f t="shared" si="143"/>
        <v>Mrpl1_6097</v>
      </c>
      <c r="J4557" s="3">
        <v>0</v>
      </c>
      <c r="K4557" s="3">
        <v>5745</v>
      </c>
      <c r="L4557" s="3">
        <v>0</v>
      </c>
      <c r="M4557" s="3">
        <v>352</v>
      </c>
      <c r="N4557" s="3">
        <v>0</v>
      </c>
    </row>
    <row r="4558" spans="1:14" x14ac:dyDescent="0.2">
      <c r="A4558" s="5" t="str">
        <f>HYPERLINK("http://www.ncbi.nlm.nih.gov/protein/84875532","Mrpl1")</f>
        <v>Mrpl1</v>
      </c>
      <c r="B4558" s="4"/>
      <c r="C4558" s="3">
        <v>0</v>
      </c>
      <c r="D4558" s="3">
        <v>5745</v>
      </c>
      <c r="E4558" s="3">
        <v>0</v>
      </c>
      <c r="F4558" s="3">
        <v>352</v>
      </c>
      <c r="G4558" s="3">
        <v>0</v>
      </c>
      <c r="H4558" s="2">
        <f t="shared" si="142"/>
        <v>6097</v>
      </c>
      <c r="I4558" t="str">
        <f t="shared" si="143"/>
        <v>Mrpl1_6097</v>
      </c>
      <c r="J4558" s="3">
        <v>0</v>
      </c>
      <c r="K4558" s="3">
        <v>5745</v>
      </c>
      <c r="L4558" s="3">
        <v>0</v>
      </c>
      <c r="M4558" s="3">
        <v>352</v>
      </c>
      <c r="N4558" s="3">
        <v>0</v>
      </c>
    </row>
    <row r="4559" spans="1:14" x14ac:dyDescent="0.2">
      <c r="A4559" s="5" t="str">
        <f>HYPERLINK("http://www.ncbi.nlm.nih.gov/protein/13385658","Mrpl10")</f>
        <v>Mrpl10</v>
      </c>
      <c r="B4559" s="4"/>
      <c r="C4559" s="3">
        <v>0</v>
      </c>
      <c r="D4559" s="3">
        <v>257</v>
      </c>
      <c r="E4559" s="3">
        <v>1</v>
      </c>
      <c r="F4559" s="3">
        <v>0</v>
      </c>
      <c r="G4559" s="3">
        <v>0</v>
      </c>
      <c r="H4559" s="2">
        <f t="shared" si="142"/>
        <v>258</v>
      </c>
      <c r="I4559" t="str">
        <f t="shared" si="143"/>
        <v>Mrpl10_258</v>
      </c>
      <c r="J4559" s="3">
        <v>0</v>
      </c>
      <c r="K4559" s="3">
        <v>257</v>
      </c>
      <c r="L4559" s="3">
        <v>1</v>
      </c>
      <c r="M4559" s="3">
        <v>0</v>
      </c>
      <c r="N4559" s="3">
        <v>0</v>
      </c>
    </row>
    <row r="4560" spans="1:14" x14ac:dyDescent="0.2">
      <c r="A4560" s="5" t="str">
        <f>HYPERLINK("http://www.ncbi.nlm.nih.gov/protein/13384980","Mrpl11")</f>
        <v>Mrpl11</v>
      </c>
      <c r="B4560" s="4"/>
      <c r="C4560" s="3">
        <v>6389</v>
      </c>
      <c r="D4560" s="3">
        <v>3722</v>
      </c>
      <c r="E4560" s="3">
        <v>0</v>
      </c>
      <c r="F4560" s="3">
        <v>1162</v>
      </c>
      <c r="G4560" s="3">
        <v>0</v>
      </c>
      <c r="H4560" s="2">
        <f t="shared" si="142"/>
        <v>11273</v>
      </c>
      <c r="I4560" t="str">
        <f t="shared" si="143"/>
        <v>Mrpl11_11273</v>
      </c>
      <c r="J4560" s="3">
        <v>6389</v>
      </c>
      <c r="K4560" s="3">
        <v>3722</v>
      </c>
      <c r="L4560" s="3">
        <v>0</v>
      </c>
      <c r="M4560" s="3">
        <v>1162</v>
      </c>
      <c r="N4560" s="3">
        <v>0</v>
      </c>
    </row>
    <row r="4561" spans="1:14" x14ac:dyDescent="0.2">
      <c r="A4561" s="5" t="str">
        <f>HYPERLINK("http://www.ncbi.nlm.nih.gov/protein/22164792","Mrpl12")</f>
        <v>Mrpl12</v>
      </c>
      <c r="B4561" s="4"/>
      <c r="C4561" s="3">
        <v>36539</v>
      </c>
      <c r="D4561" s="3">
        <v>9571</v>
      </c>
      <c r="E4561" s="3">
        <v>1241</v>
      </c>
      <c r="F4561" s="3">
        <v>1072</v>
      </c>
      <c r="G4561" s="3">
        <v>589</v>
      </c>
      <c r="H4561" s="2">
        <f t="shared" si="142"/>
        <v>49012</v>
      </c>
      <c r="I4561" t="str">
        <f t="shared" si="143"/>
        <v>Mrpl12_49012</v>
      </c>
      <c r="J4561" s="3">
        <v>36539</v>
      </c>
      <c r="K4561" s="3">
        <v>9571</v>
      </c>
      <c r="L4561" s="3">
        <v>1241</v>
      </c>
      <c r="M4561" s="3">
        <v>1072</v>
      </c>
      <c r="N4561" s="3">
        <v>589</v>
      </c>
    </row>
    <row r="4562" spans="1:14" x14ac:dyDescent="0.2">
      <c r="A4562" s="5" t="str">
        <f>HYPERLINK("http://www.ncbi.nlm.nih.gov/protein/21312936","Mrpl13")</f>
        <v>Mrpl13</v>
      </c>
      <c r="B4562" s="4"/>
      <c r="C4562" s="3">
        <v>1574</v>
      </c>
      <c r="D4562" s="3">
        <v>3858</v>
      </c>
      <c r="E4562" s="3">
        <v>0</v>
      </c>
      <c r="F4562" s="3">
        <v>426</v>
      </c>
      <c r="G4562" s="3">
        <v>0</v>
      </c>
      <c r="H4562" s="2">
        <f t="shared" si="142"/>
        <v>5858</v>
      </c>
      <c r="I4562" t="str">
        <f t="shared" si="143"/>
        <v>Mrpl13_5858</v>
      </c>
      <c r="J4562" s="3">
        <v>1574</v>
      </c>
      <c r="K4562" s="3">
        <v>3858</v>
      </c>
      <c r="L4562" s="3">
        <v>0</v>
      </c>
      <c r="M4562" s="3">
        <v>426</v>
      </c>
      <c r="N4562" s="3">
        <v>0</v>
      </c>
    </row>
    <row r="4563" spans="1:14" x14ac:dyDescent="0.2">
      <c r="A4563" s="5" t="str">
        <f>HYPERLINK("http://www.ncbi.nlm.nih.gov/protein/21312028","Mrpl14")</f>
        <v>Mrpl14</v>
      </c>
      <c r="B4563" s="4"/>
      <c r="C4563" s="3">
        <v>0</v>
      </c>
      <c r="D4563" s="3">
        <v>113</v>
      </c>
      <c r="E4563" s="3">
        <v>16</v>
      </c>
      <c r="F4563" s="3">
        <v>254</v>
      </c>
      <c r="G4563" s="3">
        <v>0</v>
      </c>
      <c r="H4563" s="2">
        <f t="shared" si="142"/>
        <v>383</v>
      </c>
      <c r="I4563" t="str">
        <f t="shared" si="143"/>
        <v>Mrpl14_383</v>
      </c>
      <c r="J4563" s="3">
        <v>0</v>
      </c>
      <c r="K4563" s="3">
        <v>113</v>
      </c>
      <c r="L4563" s="3">
        <v>16</v>
      </c>
      <c r="M4563" s="3">
        <v>254</v>
      </c>
      <c r="N4563" s="3">
        <v>0</v>
      </c>
    </row>
    <row r="4564" spans="1:14" x14ac:dyDescent="0.2">
      <c r="A4564" s="5" t="str">
        <f>HYPERLINK("http://www.ncbi.nlm.nih.gov/protein/295054166","Mrpl15")</f>
        <v>Mrpl15</v>
      </c>
      <c r="B4564" s="4"/>
      <c r="C4564" s="3">
        <v>330</v>
      </c>
      <c r="D4564" s="3">
        <v>3879</v>
      </c>
      <c r="E4564" s="3">
        <v>0</v>
      </c>
      <c r="F4564" s="3">
        <v>82</v>
      </c>
      <c r="G4564" s="3">
        <v>0</v>
      </c>
      <c r="H4564" s="2">
        <f t="shared" si="142"/>
        <v>4291</v>
      </c>
      <c r="I4564" t="str">
        <f t="shared" si="143"/>
        <v>Mrpl15_4291</v>
      </c>
      <c r="J4564" s="3">
        <v>330</v>
      </c>
      <c r="K4564" s="3">
        <v>3879</v>
      </c>
      <c r="L4564" s="3">
        <v>0</v>
      </c>
      <c r="M4564" s="3">
        <v>82</v>
      </c>
      <c r="N4564" s="3">
        <v>0</v>
      </c>
    </row>
    <row r="4565" spans="1:14" x14ac:dyDescent="0.2">
      <c r="A4565" s="5" t="str">
        <f>HYPERLINK("http://www.ncbi.nlm.nih.gov/protein/33468983","Mrpl15")</f>
        <v>Mrpl15</v>
      </c>
      <c r="B4565" s="4"/>
      <c r="C4565" s="3">
        <v>330</v>
      </c>
      <c r="D4565" s="3">
        <v>3484</v>
      </c>
      <c r="E4565" s="3">
        <v>0</v>
      </c>
      <c r="F4565" s="3">
        <v>82</v>
      </c>
      <c r="G4565" s="3">
        <v>0</v>
      </c>
      <c r="H4565" s="2">
        <f t="shared" si="142"/>
        <v>3896</v>
      </c>
      <c r="I4565" t="str">
        <f t="shared" si="143"/>
        <v>Mrpl15_3896</v>
      </c>
      <c r="J4565" s="3">
        <v>330</v>
      </c>
      <c r="K4565" s="3">
        <v>3484</v>
      </c>
      <c r="L4565" s="3">
        <v>0</v>
      </c>
      <c r="M4565" s="3">
        <v>82</v>
      </c>
      <c r="N4565" s="3">
        <v>0</v>
      </c>
    </row>
    <row r="4566" spans="1:14" x14ac:dyDescent="0.2">
      <c r="A4566" s="5" t="str">
        <f>HYPERLINK("http://www.ncbi.nlm.nih.gov/protein/19424352","Mrpl16")</f>
        <v>Mrpl16</v>
      </c>
      <c r="B4566" s="4"/>
      <c r="C4566" s="3">
        <v>732</v>
      </c>
      <c r="D4566" s="3">
        <v>428</v>
      </c>
      <c r="E4566" s="3">
        <v>0</v>
      </c>
      <c r="F4566" s="3">
        <v>0</v>
      </c>
      <c r="G4566" s="3">
        <v>0</v>
      </c>
      <c r="H4566" s="2">
        <f t="shared" si="142"/>
        <v>1160</v>
      </c>
      <c r="I4566" t="str">
        <f t="shared" si="143"/>
        <v>Mrpl16_1160</v>
      </c>
      <c r="J4566" s="3">
        <v>732</v>
      </c>
      <c r="K4566" s="3">
        <v>428</v>
      </c>
      <c r="L4566" s="3">
        <v>0</v>
      </c>
      <c r="M4566" s="3">
        <v>0</v>
      </c>
      <c r="N4566" s="3">
        <v>0</v>
      </c>
    </row>
    <row r="4567" spans="1:14" x14ac:dyDescent="0.2">
      <c r="A4567" s="5" t="str">
        <f>HYPERLINK("http://www.ncbi.nlm.nih.gov/protein/13384658","Mrpl17")</f>
        <v>Mrpl17</v>
      </c>
      <c r="B4567" s="4"/>
      <c r="C4567" s="3">
        <v>0</v>
      </c>
      <c r="D4567" s="3">
        <v>870</v>
      </c>
      <c r="E4567" s="3">
        <v>0</v>
      </c>
      <c r="F4567" s="3">
        <v>0</v>
      </c>
      <c r="G4567" s="3">
        <v>0</v>
      </c>
      <c r="H4567" s="2">
        <f t="shared" si="142"/>
        <v>870</v>
      </c>
      <c r="I4567" t="str">
        <f t="shared" si="143"/>
        <v>Mrpl17_870</v>
      </c>
      <c r="J4567" s="3">
        <v>0</v>
      </c>
      <c r="K4567" s="3">
        <v>870</v>
      </c>
      <c r="L4567" s="3">
        <v>0</v>
      </c>
      <c r="M4567" s="3">
        <v>0</v>
      </c>
      <c r="N4567" s="3">
        <v>0</v>
      </c>
    </row>
    <row r="4568" spans="1:14" x14ac:dyDescent="0.2">
      <c r="A4568" s="5" t="str">
        <f>HYPERLINK("http://www.ncbi.nlm.nih.gov/protein/13385808","Mrpl18")</f>
        <v>Mrpl18</v>
      </c>
      <c r="B4568" s="4"/>
      <c r="C4568" s="3">
        <v>3332</v>
      </c>
      <c r="D4568" s="3">
        <v>5240</v>
      </c>
      <c r="E4568" s="3">
        <v>31</v>
      </c>
      <c r="F4568" s="3">
        <v>655</v>
      </c>
      <c r="G4568" s="3">
        <v>0</v>
      </c>
      <c r="H4568" s="2">
        <f t="shared" si="142"/>
        <v>9258</v>
      </c>
      <c r="I4568" t="str">
        <f t="shared" si="143"/>
        <v>Mrpl18_9258</v>
      </c>
      <c r="J4568" s="3">
        <v>3332</v>
      </c>
      <c r="K4568" s="3">
        <v>5240</v>
      </c>
      <c r="L4568" s="3">
        <v>31</v>
      </c>
      <c r="M4568" s="3">
        <v>655</v>
      </c>
      <c r="N4568" s="3">
        <v>0</v>
      </c>
    </row>
    <row r="4569" spans="1:14" x14ac:dyDescent="0.2">
      <c r="A4569" s="5" t="str">
        <f>HYPERLINK("http://www.ncbi.nlm.nih.gov/protein/13385976","Mrpl19")</f>
        <v>Mrpl19</v>
      </c>
      <c r="B4569" s="4"/>
      <c r="C4569" s="3">
        <v>0</v>
      </c>
      <c r="D4569" s="3">
        <v>2599</v>
      </c>
      <c r="E4569" s="3">
        <v>0</v>
      </c>
      <c r="F4569" s="3">
        <v>0</v>
      </c>
      <c r="G4569" s="3">
        <v>0</v>
      </c>
      <c r="H4569" s="2">
        <f t="shared" si="142"/>
        <v>2599</v>
      </c>
      <c r="I4569" t="str">
        <f t="shared" si="143"/>
        <v>Mrpl19_2599</v>
      </c>
      <c r="J4569" s="3">
        <v>0</v>
      </c>
      <c r="K4569" s="3">
        <v>2599</v>
      </c>
      <c r="L4569" s="3">
        <v>0</v>
      </c>
      <c r="M4569" s="3">
        <v>0</v>
      </c>
      <c r="N4569" s="3">
        <v>0</v>
      </c>
    </row>
    <row r="4570" spans="1:14" x14ac:dyDescent="0.2">
      <c r="A4570" s="5" t="str">
        <f>HYPERLINK("http://www.ncbi.nlm.nih.gov/protein/13384660","Mrpl2")</f>
        <v>Mrpl2</v>
      </c>
      <c r="B4570" s="4"/>
      <c r="C4570" s="3">
        <v>14132</v>
      </c>
      <c r="D4570" s="3">
        <v>1779</v>
      </c>
      <c r="E4570" s="3">
        <v>0</v>
      </c>
      <c r="F4570" s="3">
        <v>0</v>
      </c>
      <c r="G4570" s="3">
        <v>3727</v>
      </c>
      <c r="H4570" s="2">
        <f t="shared" si="142"/>
        <v>19638</v>
      </c>
      <c r="I4570" t="str">
        <f t="shared" si="143"/>
        <v>Mrpl2_19638</v>
      </c>
      <c r="J4570" s="3">
        <v>14132</v>
      </c>
      <c r="K4570" s="3">
        <v>1779</v>
      </c>
      <c r="L4570" s="3">
        <v>0</v>
      </c>
      <c r="M4570" s="3">
        <v>0</v>
      </c>
      <c r="N4570" s="3">
        <v>3727</v>
      </c>
    </row>
    <row r="4571" spans="1:14" x14ac:dyDescent="0.2">
      <c r="A4571" s="5" t="str">
        <f>HYPERLINK("http://www.ncbi.nlm.nih.gov/protein/20270194","Mrpl20")</f>
        <v>Mrpl20</v>
      </c>
      <c r="B4571" s="4"/>
      <c r="C4571" s="3">
        <v>0</v>
      </c>
      <c r="D4571" s="3">
        <v>960</v>
      </c>
      <c r="E4571" s="3">
        <v>3</v>
      </c>
      <c r="F4571" s="3">
        <v>303</v>
      </c>
      <c r="G4571" s="3">
        <v>0</v>
      </c>
      <c r="H4571" s="2">
        <f t="shared" si="142"/>
        <v>1266</v>
      </c>
      <c r="I4571" t="str">
        <f t="shared" si="143"/>
        <v>Mrpl20_1266</v>
      </c>
      <c r="J4571" s="3">
        <v>0</v>
      </c>
      <c r="K4571" s="3">
        <v>960</v>
      </c>
      <c r="L4571" s="3">
        <v>3</v>
      </c>
      <c r="M4571" s="3">
        <v>303</v>
      </c>
      <c r="N4571" s="3">
        <v>0</v>
      </c>
    </row>
    <row r="4572" spans="1:14" x14ac:dyDescent="0.2">
      <c r="A4572" s="5" t="str">
        <f>HYPERLINK("http://www.ncbi.nlm.nih.gov/protein/31982032","Mrpl21")</f>
        <v>Mrpl21</v>
      </c>
      <c r="B4572" s="4"/>
      <c r="C4572" s="3">
        <v>2014</v>
      </c>
      <c r="D4572" s="3">
        <v>2171</v>
      </c>
      <c r="E4572" s="3">
        <v>15</v>
      </c>
      <c r="F4572" s="3">
        <v>516</v>
      </c>
      <c r="G4572" s="3">
        <v>0</v>
      </c>
      <c r="H4572" s="2">
        <f t="shared" si="142"/>
        <v>4716</v>
      </c>
      <c r="I4572" t="str">
        <f t="shared" si="143"/>
        <v>Mrpl21_4716</v>
      </c>
      <c r="J4572" s="3">
        <v>2014</v>
      </c>
      <c r="K4572" s="3">
        <v>2171</v>
      </c>
      <c r="L4572" s="3">
        <v>15</v>
      </c>
      <c r="M4572" s="3">
        <v>516</v>
      </c>
      <c r="N4572" s="3">
        <v>0</v>
      </c>
    </row>
    <row r="4573" spans="1:14" x14ac:dyDescent="0.2">
      <c r="A4573" s="5" t="str">
        <f>HYPERLINK("http://www.ncbi.nlm.nih.gov/protein/262263310","Mrpl22")</f>
        <v>Mrpl22</v>
      </c>
      <c r="B4573" s="4"/>
      <c r="C4573" s="3">
        <v>6865</v>
      </c>
      <c r="D4573" s="3">
        <v>4611</v>
      </c>
      <c r="E4573" s="3">
        <v>0</v>
      </c>
      <c r="F4573" s="3">
        <v>2685</v>
      </c>
      <c r="G4573" s="3">
        <v>0</v>
      </c>
      <c r="H4573" s="2">
        <f t="shared" si="142"/>
        <v>14161</v>
      </c>
      <c r="I4573" t="str">
        <f t="shared" si="143"/>
        <v>Mrpl22_14161</v>
      </c>
      <c r="J4573" s="3">
        <v>6865</v>
      </c>
      <c r="K4573" s="3">
        <v>4611</v>
      </c>
      <c r="L4573" s="3">
        <v>0</v>
      </c>
      <c r="M4573" s="3">
        <v>2685</v>
      </c>
      <c r="N4573" s="3">
        <v>0</v>
      </c>
    </row>
    <row r="4574" spans="1:14" x14ac:dyDescent="0.2">
      <c r="A4574" s="5" t="str">
        <f>HYPERLINK("http://www.ncbi.nlm.nih.gov/protein/6755352","Mrpl23")</f>
        <v>Mrpl23</v>
      </c>
      <c r="B4574" s="4"/>
      <c r="C4574" s="3">
        <v>3734</v>
      </c>
      <c r="D4574" s="3">
        <v>1286</v>
      </c>
      <c r="E4574" s="3">
        <v>0</v>
      </c>
      <c r="F4574" s="3">
        <v>1490</v>
      </c>
      <c r="G4574" s="3">
        <v>0</v>
      </c>
      <c r="H4574" s="2">
        <f t="shared" si="142"/>
        <v>6510</v>
      </c>
      <c r="I4574" t="str">
        <f t="shared" si="143"/>
        <v>Mrpl23_6510</v>
      </c>
      <c r="J4574" s="3">
        <v>3734</v>
      </c>
      <c r="K4574" s="3">
        <v>1286</v>
      </c>
      <c r="L4574" s="3">
        <v>0</v>
      </c>
      <c r="M4574" s="3">
        <v>1490</v>
      </c>
      <c r="N4574" s="3">
        <v>0</v>
      </c>
    </row>
    <row r="4575" spans="1:14" x14ac:dyDescent="0.2">
      <c r="A4575" s="5" t="str">
        <f>HYPERLINK("http://www.ncbi.nlm.nih.gov/protein/153792729","Mrpl24")</f>
        <v>Mrpl24</v>
      </c>
      <c r="B4575" s="4"/>
      <c r="C4575" s="3">
        <v>714</v>
      </c>
      <c r="D4575" s="3">
        <v>1768</v>
      </c>
      <c r="E4575" s="3">
        <v>0</v>
      </c>
      <c r="F4575" s="3">
        <v>0</v>
      </c>
      <c r="G4575" s="3">
        <v>0</v>
      </c>
      <c r="H4575" s="2">
        <f t="shared" si="142"/>
        <v>2482</v>
      </c>
      <c r="I4575" t="str">
        <f t="shared" si="143"/>
        <v>Mrpl24_2482</v>
      </c>
      <c r="J4575" s="3">
        <v>714</v>
      </c>
      <c r="K4575" s="3">
        <v>1768</v>
      </c>
      <c r="L4575" s="3">
        <v>0</v>
      </c>
      <c r="M4575" s="3">
        <v>0</v>
      </c>
      <c r="N4575" s="3">
        <v>0</v>
      </c>
    </row>
    <row r="4576" spans="1:14" x14ac:dyDescent="0.2">
      <c r="A4576" s="5" t="str">
        <f>HYPERLINK("http://www.ncbi.nlm.nih.gov/protein/16716447","Mrpl27")</f>
        <v>Mrpl27</v>
      </c>
      <c r="B4576" s="4"/>
      <c r="C4576" s="3">
        <v>1190</v>
      </c>
      <c r="D4576" s="3">
        <v>879</v>
      </c>
      <c r="E4576" s="3">
        <v>70</v>
      </c>
      <c r="F4576" s="3">
        <v>941</v>
      </c>
      <c r="G4576" s="3">
        <v>0</v>
      </c>
      <c r="H4576" s="2">
        <f t="shared" si="142"/>
        <v>3080</v>
      </c>
      <c r="I4576" t="str">
        <f t="shared" si="143"/>
        <v>Mrpl27_3080</v>
      </c>
      <c r="J4576" s="3">
        <v>1190</v>
      </c>
      <c r="K4576" s="3">
        <v>879</v>
      </c>
      <c r="L4576" s="3">
        <v>70</v>
      </c>
      <c r="M4576" s="3">
        <v>941</v>
      </c>
      <c r="N4576" s="3">
        <v>0</v>
      </c>
    </row>
    <row r="4577" spans="1:14" x14ac:dyDescent="0.2">
      <c r="A4577" s="5" t="str">
        <f>HYPERLINK("http://www.ncbi.nlm.nih.gov/protein/26787989","Mrpl28")</f>
        <v>Mrpl28</v>
      </c>
      <c r="B4577" s="4"/>
      <c r="C4577" s="3">
        <v>0</v>
      </c>
      <c r="D4577" s="3">
        <v>3014</v>
      </c>
      <c r="E4577" s="3">
        <v>0</v>
      </c>
      <c r="F4577" s="3">
        <v>0</v>
      </c>
      <c r="G4577" s="3">
        <v>0</v>
      </c>
      <c r="H4577" s="2">
        <f t="shared" si="142"/>
        <v>3014</v>
      </c>
      <c r="I4577" t="str">
        <f t="shared" si="143"/>
        <v>Mrpl28_3014</v>
      </c>
      <c r="J4577" s="3">
        <v>0</v>
      </c>
      <c r="K4577" s="3">
        <v>3014</v>
      </c>
      <c r="L4577" s="3">
        <v>0</v>
      </c>
      <c r="M4577" s="3">
        <v>0</v>
      </c>
      <c r="N4577" s="3">
        <v>0</v>
      </c>
    </row>
    <row r="4578" spans="1:14" x14ac:dyDescent="0.2">
      <c r="A4578" s="5" t="str">
        <f>HYPERLINK("http://www.ncbi.nlm.nih.gov/protein/31981470","Mrpl3")</f>
        <v>Mrpl3</v>
      </c>
      <c r="B4578" s="4"/>
      <c r="C4578" s="3">
        <v>0</v>
      </c>
      <c r="D4578" s="3">
        <v>6233</v>
      </c>
      <c r="E4578" s="3">
        <v>0</v>
      </c>
      <c r="F4578" s="3">
        <v>712</v>
      </c>
      <c r="G4578" s="3">
        <v>0</v>
      </c>
      <c r="H4578" s="2">
        <f t="shared" si="142"/>
        <v>6945</v>
      </c>
      <c r="I4578" t="str">
        <f t="shared" si="143"/>
        <v>Mrpl3_6945</v>
      </c>
      <c r="J4578" s="3">
        <v>0</v>
      </c>
      <c r="K4578" s="3">
        <v>6233</v>
      </c>
      <c r="L4578" s="3">
        <v>0</v>
      </c>
      <c r="M4578" s="3">
        <v>712</v>
      </c>
      <c r="N4578" s="3">
        <v>0</v>
      </c>
    </row>
    <row r="4579" spans="1:14" x14ac:dyDescent="0.2">
      <c r="A4579" s="5" t="str">
        <f>HYPERLINK("http://www.ncbi.nlm.nih.gov/protein/21312302","Mrpl30")</f>
        <v>Mrpl30</v>
      </c>
      <c r="B4579" s="4"/>
      <c r="C4579" s="3">
        <v>0</v>
      </c>
      <c r="D4579" s="3">
        <v>904</v>
      </c>
      <c r="E4579" s="3">
        <v>0</v>
      </c>
      <c r="F4579" s="3">
        <v>295</v>
      </c>
      <c r="G4579" s="3">
        <v>0</v>
      </c>
      <c r="H4579" s="2">
        <f t="shared" si="142"/>
        <v>1199</v>
      </c>
      <c r="I4579" t="str">
        <f t="shared" si="143"/>
        <v>Mrpl30_1199</v>
      </c>
      <c r="J4579" s="3">
        <v>0</v>
      </c>
      <c r="K4579" s="3">
        <v>904</v>
      </c>
      <c r="L4579" s="3">
        <v>0</v>
      </c>
      <c r="M4579" s="3">
        <v>295</v>
      </c>
      <c r="N4579" s="3">
        <v>0</v>
      </c>
    </row>
    <row r="4580" spans="1:14" x14ac:dyDescent="0.2">
      <c r="A4580" s="5" t="str">
        <f>HYPERLINK("http://www.ncbi.nlm.nih.gov/protein/21312948","Mrpl32")</f>
        <v>Mrpl32</v>
      </c>
      <c r="B4580" s="4"/>
      <c r="C4580" s="3">
        <v>201</v>
      </c>
      <c r="D4580" s="3">
        <v>69</v>
      </c>
      <c r="E4580" s="3">
        <v>0</v>
      </c>
      <c r="F4580" s="3">
        <v>0</v>
      </c>
      <c r="G4580" s="3">
        <v>0</v>
      </c>
      <c r="H4580" s="2">
        <f t="shared" si="142"/>
        <v>270</v>
      </c>
      <c r="I4580" t="str">
        <f t="shared" si="143"/>
        <v>Mrpl32_270</v>
      </c>
      <c r="J4580" s="3">
        <v>201</v>
      </c>
      <c r="K4580" s="3">
        <v>69</v>
      </c>
      <c r="L4580" s="3">
        <v>0</v>
      </c>
      <c r="M4580" s="3">
        <v>0</v>
      </c>
      <c r="N4580" s="3">
        <v>0</v>
      </c>
    </row>
    <row r="4581" spans="1:14" x14ac:dyDescent="0.2">
      <c r="A4581" s="5" t="str">
        <f>HYPERLINK("http://www.ncbi.nlm.nih.gov/protein/269784741","Mrpl33")</f>
        <v>Mrpl33</v>
      </c>
      <c r="B4581" s="4"/>
      <c r="C4581" s="3">
        <v>0</v>
      </c>
      <c r="D4581" s="3">
        <v>697</v>
      </c>
      <c r="E4581" s="3">
        <v>0</v>
      </c>
      <c r="F4581" s="3">
        <v>0</v>
      </c>
      <c r="G4581" s="3">
        <v>0</v>
      </c>
      <c r="H4581" s="2">
        <f t="shared" si="142"/>
        <v>697</v>
      </c>
      <c r="I4581" t="str">
        <f t="shared" si="143"/>
        <v>Mrpl33_697</v>
      </c>
      <c r="J4581" s="3">
        <v>0</v>
      </c>
      <c r="K4581" s="3">
        <v>697</v>
      </c>
      <c r="L4581" s="3">
        <v>0</v>
      </c>
      <c r="M4581" s="3">
        <v>0</v>
      </c>
      <c r="N4581" s="3">
        <v>0</v>
      </c>
    </row>
    <row r="4582" spans="1:14" x14ac:dyDescent="0.2">
      <c r="A4582" s="5" t="str">
        <f>HYPERLINK("http://www.ncbi.nlm.nih.gov/protein/16716449","Mrpl34")</f>
        <v>Mrpl34</v>
      </c>
      <c r="B4582" s="4"/>
      <c r="C4582" s="3">
        <v>0</v>
      </c>
      <c r="D4582" s="3">
        <v>1411</v>
      </c>
      <c r="E4582" s="3">
        <v>7</v>
      </c>
      <c r="F4582" s="3">
        <v>90</v>
      </c>
      <c r="G4582" s="3">
        <v>0</v>
      </c>
      <c r="H4582" s="2">
        <f t="shared" si="142"/>
        <v>1508</v>
      </c>
      <c r="I4582" t="str">
        <f t="shared" si="143"/>
        <v>Mrpl34_1508</v>
      </c>
      <c r="J4582" s="3">
        <v>0</v>
      </c>
      <c r="K4582" s="3">
        <v>1411</v>
      </c>
      <c r="L4582" s="3">
        <v>7</v>
      </c>
      <c r="M4582" s="3">
        <v>90</v>
      </c>
      <c r="N4582" s="3">
        <v>0</v>
      </c>
    </row>
    <row r="4583" spans="1:14" x14ac:dyDescent="0.2">
      <c r="A4583" s="5" t="str">
        <f>HYPERLINK("http://www.ncbi.nlm.nih.gov/protein/22128625","Mrpl37")</f>
        <v>Mrpl37</v>
      </c>
      <c r="B4583" s="4"/>
      <c r="C4583" s="3">
        <v>4503</v>
      </c>
      <c r="D4583" s="3">
        <v>6732</v>
      </c>
      <c r="E4583" s="3">
        <v>0</v>
      </c>
      <c r="F4583" s="3">
        <v>0</v>
      </c>
      <c r="G4583" s="3">
        <v>0</v>
      </c>
      <c r="H4583" s="2">
        <f t="shared" si="142"/>
        <v>11235</v>
      </c>
      <c r="I4583" t="str">
        <f t="shared" si="143"/>
        <v>Mrpl37_11235</v>
      </c>
      <c r="J4583" s="3">
        <v>4503</v>
      </c>
      <c r="K4583" s="3">
        <v>6732</v>
      </c>
      <c r="L4583" s="3">
        <v>0</v>
      </c>
      <c r="M4583" s="3">
        <v>0</v>
      </c>
      <c r="N4583" s="3">
        <v>0</v>
      </c>
    </row>
    <row r="4584" spans="1:14" x14ac:dyDescent="0.2">
      <c r="A4584" s="5" t="str">
        <f>HYPERLINK("http://www.ncbi.nlm.nih.gov/protein/124430535","Mrpl38")</f>
        <v>Mrpl38</v>
      </c>
      <c r="B4584" s="4"/>
      <c r="C4584" s="3">
        <v>3698</v>
      </c>
      <c r="D4584" s="3">
        <v>2</v>
      </c>
      <c r="E4584" s="3">
        <v>0</v>
      </c>
      <c r="F4584" s="3">
        <v>0</v>
      </c>
      <c r="G4584" s="3">
        <v>0</v>
      </c>
      <c r="H4584" s="2">
        <f t="shared" si="142"/>
        <v>3700</v>
      </c>
      <c r="I4584" t="str">
        <f t="shared" si="143"/>
        <v>Mrpl38_3700</v>
      </c>
      <c r="J4584" s="3">
        <v>3698</v>
      </c>
      <c r="K4584" s="3">
        <v>2</v>
      </c>
      <c r="L4584" s="3">
        <v>0</v>
      </c>
      <c r="M4584" s="3">
        <v>0</v>
      </c>
      <c r="N4584" s="3">
        <v>0</v>
      </c>
    </row>
    <row r="4585" spans="1:14" x14ac:dyDescent="0.2">
      <c r="A4585" s="5" t="str">
        <f>HYPERLINK("http://www.ncbi.nlm.nih.gov/protein/364023817","Mrpl39")</f>
        <v>Mrpl39</v>
      </c>
      <c r="B4585" s="4"/>
      <c r="C4585" s="3">
        <v>0</v>
      </c>
      <c r="D4585" s="3">
        <v>641</v>
      </c>
      <c r="E4585" s="3">
        <v>0</v>
      </c>
      <c r="F4585" s="3">
        <v>0</v>
      </c>
      <c r="G4585" s="3">
        <v>0</v>
      </c>
      <c r="H4585" s="2">
        <f t="shared" si="142"/>
        <v>641</v>
      </c>
      <c r="I4585" t="str">
        <f t="shared" si="143"/>
        <v>Mrpl39_641</v>
      </c>
      <c r="J4585" s="3">
        <v>0</v>
      </c>
      <c r="K4585" s="3">
        <v>641</v>
      </c>
      <c r="L4585" s="3">
        <v>0</v>
      </c>
      <c r="M4585" s="3">
        <v>0</v>
      </c>
      <c r="N4585" s="3">
        <v>0</v>
      </c>
    </row>
    <row r="4586" spans="1:14" x14ac:dyDescent="0.2">
      <c r="A4586" s="5" t="str">
        <f>HYPERLINK("http://www.ncbi.nlm.nih.gov/protein/119508437","Mrpl4")</f>
        <v>Mrpl4</v>
      </c>
      <c r="B4586" s="4"/>
      <c r="C4586" s="3">
        <v>0</v>
      </c>
      <c r="D4586" s="3">
        <v>3083</v>
      </c>
      <c r="E4586" s="3">
        <v>0</v>
      </c>
      <c r="F4586" s="3">
        <v>589</v>
      </c>
      <c r="G4586" s="3">
        <v>0</v>
      </c>
      <c r="H4586" s="2">
        <f t="shared" si="142"/>
        <v>3672</v>
      </c>
      <c r="I4586" t="str">
        <f t="shared" si="143"/>
        <v>Mrpl4_3672</v>
      </c>
      <c r="J4586" s="3">
        <v>0</v>
      </c>
      <c r="K4586" s="3">
        <v>3083</v>
      </c>
      <c r="L4586" s="3">
        <v>0</v>
      </c>
      <c r="M4586" s="3">
        <v>589</v>
      </c>
      <c r="N4586" s="3">
        <v>0</v>
      </c>
    </row>
    <row r="4587" spans="1:14" x14ac:dyDescent="0.2">
      <c r="A4587" s="5" t="str">
        <f>HYPERLINK("http://www.ncbi.nlm.nih.gov/protein/255003746","Mrpl40")</f>
        <v>Mrpl40</v>
      </c>
      <c r="B4587" s="4"/>
      <c r="C4587" s="3">
        <v>1172</v>
      </c>
      <c r="D4587" s="3">
        <v>582</v>
      </c>
      <c r="E4587" s="3">
        <v>0</v>
      </c>
      <c r="F4587" s="3">
        <v>8</v>
      </c>
      <c r="G4587" s="3">
        <v>0</v>
      </c>
      <c r="H4587" s="2">
        <f t="shared" si="142"/>
        <v>1762</v>
      </c>
      <c r="I4587" t="str">
        <f t="shared" si="143"/>
        <v>Mrpl40_1762</v>
      </c>
      <c r="J4587" s="3">
        <v>1172</v>
      </c>
      <c r="K4587" s="3">
        <v>582</v>
      </c>
      <c r="L4587" s="3">
        <v>0</v>
      </c>
      <c r="M4587" s="3">
        <v>8</v>
      </c>
      <c r="N4587" s="3">
        <v>0</v>
      </c>
    </row>
    <row r="4588" spans="1:14" x14ac:dyDescent="0.2">
      <c r="A4588" s="5" t="str">
        <f>HYPERLINK("http://www.ncbi.nlm.nih.gov/protein/113461980","Mrpl41")</f>
        <v>Mrpl41</v>
      </c>
      <c r="B4588" s="4"/>
      <c r="C4588" s="3">
        <v>366</v>
      </c>
      <c r="D4588" s="3">
        <v>4140</v>
      </c>
      <c r="E4588" s="3">
        <v>0</v>
      </c>
      <c r="F4588" s="3">
        <v>0</v>
      </c>
      <c r="G4588" s="3">
        <v>0</v>
      </c>
      <c r="H4588" s="2">
        <f t="shared" si="142"/>
        <v>4506</v>
      </c>
      <c r="I4588" t="str">
        <f t="shared" si="143"/>
        <v>Mrpl41_4506</v>
      </c>
      <c r="J4588" s="3">
        <v>366</v>
      </c>
      <c r="K4588" s="3">
        <v>4140</v>
      </c>
      <c r="L4588" s="3">
        <v>0</v>
      </c>
      <c r="M4588" s="3">
        <v>0</v>
      </c>
      <c r="N4588" s="3">
        <v>0</v>
      </c>
    </row>
    <row r="4589" spans="1:14" x14ac:dyDescent="0.2">
      <c r="A4589" s="5" t="str">
        <f>HYPERLINK("http://www.ncbi.nlm.nih.gov/protein/13385564","Mrpl42")</f>
        <v>Mrpl42</v>
      </c>
      <c r="B4589" s="4"/>
      <c r="C4589" s="3">
        <v>0</v>
      </c>
      <c r="D4589" s="3">
        <v>434</v>
      </c>
      <c r="E4589" s="3">
        <v>0</v>
      </c>
      <c r="F4589" s="3">
        <v>0</v>
      </c>
      <c r="G4589" s="3">
        <v>0</v>
      </c>
      <c r="H4589" s="2">
        <f t="shared" si="142"/>
        <v>434</v>
      </c>
      <c r="I4589" t="str">
        <f t="shared" si="143"/>
        <v>Mrpl42_434</v>
      </c>
      <c r="J4589" s="3">
        <v>0</v>
      </c>
      <c r="K4589" s="3">
        <v>434</v>
      </c>
      <c r="L4589" s="3">
        <v>0</v>
      </c>
      <c r="M4589" s="3">
        <v>0</v>
      </c>
      <c r="N4589" s="3">
        <v>0</v>
      </c>
    </row>
    <row r="4590" spans="1:14" x14ac:dyDescent="0.2">
      <c r="A4590" s="5" t="str">
        <f>HYPERLINK("http://www.ncbi.nlm.nih.gov/protein/17298676","Mrpl43")</f>
        <v>Mrpl43</v>
      </c>
      <c r="B4590" s="4"/>
      <c r="C4590" s="3">
        <v>586</v>
      </c>
      <c r="D4590" s="3">
        <v>2555</v>
      </c>
      <c r="E4590" s="3">
        <v>0</v>
      </c>
      <c r="F4590" s="3">
        <v>0</v>
      </c>
      <c r="G4590" s="3">
        <v>0</v>
      </c>
      <c r="H4590" s="2">
        <f t="shared" si="142"/>
        <v>3141</v>
      </c>
      <c r="I4590" t="str">
        <f t="shared" si="143"/>
        <v>Mrpl43_3141</v>
      </c>
      <c r="J4590" s="3">
        <v>586</v>
      </c>
      <c r="K4590" s="3">
        <v>2555</v>
      </c>
      <c r="L4590" s="3">
        <v>0</v>
      </c>
      <c r="M4590" s="3">
        <v>0</v>
      </c>
      <c r="N4590" s="3">
        <v>0</v>
      </c>
    </row>
    <row r="4591" spans="1:14" x14ac:dyDescent="0.2">
      <c r="A4591" s="5" t="str">
        <f>HYPERLINK("http://www.ncbi.nlm.nih.gov/protein/124487075","Mrpl44")</f>
        <v>Mrpl44</v>
      </c>
      <c r="B4591" s="4"/>
      <c r="C4591" s="3">
        <v>128</v>
      </c>
      <c r="D4591" s="3">
        <v>4085</v>
      </c>
      <c r="E4591" s="3">
        <v>108</v>
      </c>
      <c r="F4591" s="3">
        <v>0</v>
      </c>
      <c r="G4591" s="3">
        <v>0</v>
      </c>
      <c r="H4591" s="2">
        <f t="shared" si="142"/>
        <v>4321</v>
      </c>
      <c r="I4591" t="str">
        <f t="shared" si="143"/>
        <v>Mrpl44_4321</v>
      </c>
      <c r="J4591" s="3">
        <v>128</v>
      </c>
      <c r="K4591" s="3">
        <v>4085</v>
      </c>
      <c r="L4591" s="3">
        <v>108</v>
      </c>
      <c r="M4591" s="3">
        <v>0</v>
      </c>
      <c r="N4591" s="3">
        <v>0</v>
      </c>
    </row>
    <row r="4592" spans="1:14" x14ac:dyDescent="0.2">
      <c r="A4592" s="5" t="str">
        <f>HYPERLINK("http://www.ncbi.nlm.nih.gov/protein/13385418","Mrpl45")</f>
        <v>Mrpl45</v>
      </c>
      <c r="B4592" s="4"/>
      <c r="C4592" s="3">
        <v>0</v>
      </c>
      <c r="D4592" s="3">
        <v>1705</v>
      </c>
      <c r="E4592" s="3">
        <v>0</v>
      </c>
      <c r="F4592" s="3">
        <v>0</v>
      </c>
      <c r="G4592" s="3">
        <v>0</v>
      </c>
      <c r="H4592" s="2">
        <f t="shared" si="142"/>
        <v>1705</v>
      </c>
      <c r="I4592" t="str">
        <f t="shared" si="143"/>
        <v>Mrpl45_1705</v>
      </c>
      <c r="J4592" s="3">
        <v>0</v>
      </c>
      <c r="K4592" s="3">
        <v>1705</v>
      </c>
      <c r="L4592" s="3">
        <v>0</v>
      </c>
      <c r="M4592" s="3">
        <v>0</v>
      </c>
      <c r="N4592" s="3">
        <v>0</v>
      </c>
    </row>
    <row r="4593" spans="1:14" x14ac:dyDescent="0.2">
      <c r="A4593" s="5" t="str">
        <f>HYPERLINK("http://www.ncbi.nlm.nih.gov/protein/12963643","Mrpl46")</f>
        <v>Mrpl46</v>
      </c>
      <c r="B4593" s="4"/>
      <c r="C4593" s="3">
        <v>5016</v>
      </c>
      <c r="D4593" s="3">
        <v>3856</v>
      </c>
      <c r="E4593" s="3">
        <v>117</v>
      </c>
      <c r="F4593" s="3">
        <v>688</v>
      </c>
      <c r="G4593" s="3">
        <v>0</v>
      </c>
      <c r="H4593" s="2">
        <f t="shared" si="142"/>
        <v>9677</v>
      </c>
      <c r="I4593" t="str">
        <f t="shared" si="143"/>
        <v>Mrpl46_9677</v>
      </c>
      <c r="J4593" s="3">
        <v>5016</v>
      </c>
      <c r="K4593" s="3">
        <v>3856</v>
      </c>
      <c r="L4593" s="3">
        <v>117</v>
      </c>
      <c r="M4593" s="3">
        <v>688</v>
      </c>
      <c r="N4593" s="3">
        <v>0</v>
      </c>
    </row>
    <row r="4594" spans="1:14" x14ac:dyDescent="0.2">
      <c r="A4594" s="5" t="str">
        <f>HYPERLINK("http://www.ncbi.nlm.nih.gov/protein/29826332","Mrpl47")</f>
        <v>Mrpl47</v>
      </c>
      <c r="B4594" s="4"/>
      <c r="C4594" s="3">
        <v>2947</v>
      </c>
      <c r="D4594" s="3">
        <v>1100</v>
      </c>
      <c r="E4594" s="3">
        <v>0</v>
      </c>
      <c r="F4594" s="3">
        <v>0</v>
      </c>
      <c r="G4594" s="3">
        <v>0</v>
      </c>
      <c r="H4594" s="2">
        <f t="shared" si="142"/>
        <v>4047</v>
      </c>
      <c r="I4594" t="str">
        <f t="shared" si="143"/>
        <v>Mrpl47_4047</v>
      </c>
      <c r="J4594" s="3">
        <v>2947</v>
      </c>
      <c r="K4594" s="3">
        <v>1100</v>
      </c>
      <c r="L4594" s="3">
        <v>0</v>
      </c>
      <c r="M4594" s="3">
        <v>0</v>
      </c>
      <c r="N4594" s="3">
        <v>0</v>
      </c>
    </row>
    <row r="4595" spans="1:14" x14ac:dyDescent="0.2">
      <c r="A4595" s="5" t="str">
        <f>HYPERLINK("http://www.ncbi.nlm.nih.gov/protein/148368964","Mrpl48")</f>
        <v>Mrpl48</v>
      </c>
      <c r="B4595" s="4"/>
      <c r="C4595" s="3">
        <v>1281</v>
      </c>
      <c r="D4595" s="3">
        <v>2762</v>
      </c>
      <c r="E4595" s="3">
        <v>25</v>
      </c>
      <c r="F4595" s="3">
        <v>237</v>
      </c>
      <c r="G4595" s="3">
        <v>0</v>
      </c>
      <c r="H4595" s="2">
        <f t="shared" si="142"/>
        <v>4305</v>
      </c>
      <c r="I4595" t="str">
        <f t="shared" si="143"/>
        <v>Mrpl48_4305</v>
      </c>
      <c r="J4595" s="3">
        <v>1281</v>
      </c>
      <c r="K4595" s="3">
        <v>2762</v>
      </c>
      <c r="L4595" s="3">
        <v>25</v>
      </c>
      <c r="M4595" s="3">
        <v>237</v>
      </c>
      <c r="N4595" s="3">
        <v>0</v>
      </c>
    </row>
    <row r="4596" spans="1:14" x14ac:dyDescent="0.2">
      <c r="A4596" s="5" t="str">
        <f>HYPERLINK("http://www.ncbi.nlm.nih.gov/protein/13385752","Mrpl49")</f>
        <v>Mrpl49</v>
      </c>
      <c r="B4596" s="4"/>
      <c r="C4596" s="3">
        <v>4540</v>
      </c>
      <c r="D4596" s="3">
        <v>2480</v>
      </c>
      <c r="E4596" s="3">
        <v>0</v>
      </c>
      <c r="F4596" s="3">
        <v>761</v>
      </c>
      <c r="G4596" s="3">
        <v>0</v>
      </c>
      <c r="H4596" s="2">
        <f t="shared" si="142"/>
        <v>7781</v>
      </c>
      <c r="I4596" t="str">
        <f t="shared" si="143"/>
        <v>Mrpl49_7781</v>
      </c>
      <c r="J4596" s="3">
        <v>4540</v>
      </c>
      <c r="K4596" s="3">
        <v>2480</v>
      </c>
      <c r="L4596" s="3">
        <v>0</v>
      </c>
      <c r="M4596" s="3">
        <v>761</v>
      </c>
      <c r="N4596" s="3">
        <v>0</v>
      </c>
    </row>
    <row r="4597" spans="1:14" x14ac:dyDescent="0.2">
      <c r="A4597" s="5" t="str">
        <f>HYPERLINK("http://www.ncbi.nlm.nih.gov/protein/30519921","Mrpl50")</f>
        <v>Mrpl50</v>
      </c>
      <c r="B4597" s="4"/>
      <c r="C4597" s="3">
        <v>0</v>
      </c>
      <c r="D4597" s="3">
        <v>92</v>
      </c>
      <c r="E4597" s="3">
        <v>0</v>
      </c>
      <c r="F4597" s="3">
        <v>0</v>
      </c>
      <c r="G4597" s="3">
        <v>0</v>
      </c>
      <c r="H4597" s="2">
        <f t="shared" si="142"/>
        <v>92</v>
      </c>
      <c r="I4597" t="str">
        <f t="shared" si="143"/>
        <v>Mrpl50_92</v>
      </c>
      <c r="J4597" s="3">
        <v>0</v>
      </c>
      <c r="K4597" s="3">
        <v>92</v>
      </c>
      <c r="L4597" s="3">
        <v>0</v>
      </c>
      <c r="M4597" s="3">
        <v>0</v>
      </c>
      <c r="N4597" s="3">
        <v>0</v>
      </c>
    </row>
    <row r="4598" spans="1:14" x14ac:dyDescent="0.2">
      <c r="A4598" s="5" t="str">
        <f>HYPERLINK("http://www.ncbi.nlm.nih.gov/protein/13385050","Mrpl51")</f>
        <v>Mrpl51</v>
      </c>
      <c r="B4598" s="4"/>
      <c r="C4598" s="3">
        <v>0</v>
      </c>
      <c r="D4598" s="3">
        <v>173</v>
      </c>
      <c r="E4598" s="3">
        <v>0</v>
      </c>
      <c r="F4598" s="3">
        <v>0</v>
      </c>
      <c r="G4598" s="3">
        <v>0</v>
      </c>
      <c r="H4598" s="2">
        <f t="shared" si="142"/>
        <v>173</v>
      </c>
      <c r="I4598" t="str">
        <f t="shared" si="143"/>
        <v>Mrpl51_173</v>
      </c>
      <c r="J4598" s="3">
        <v>0</v>
      </c>
      <c r="K4598" s="3">
        <v>173</v>
      </c>
      <c r="L4598" s="3">
        <v>0</v>
      </c>
      <c r="M4598" s="3">
        <v>0</v>
      </c>
      <c r="N4598" s="3">
        <v>0</v>
      </c>
    </row>
    <row r="4599" spans="1:14" x14ac:dyDescent="0.2">
      <c r="A4599" s="5" t="str">
        <f>HYPERLINK("http://www.ncbi.nlm.nih.gov/protein/21313040","Mrpl53")</f>
        <v>Mrpl53</v>
      </c>
      <c r="B4599" s="4"/>
      <c r="C4599" s="3">
        <v>1574</v>
      </c>
      <c r="D4599" s="3">
        <v>2854</v>
      </c>
      <c r="E4599" s="3">
        <v>18</v>
      </c>
      <c r="F4599" s="3">
        <v>0</v>
      </c>
      <c r="G4599" s="3">
        <v>0</v>
      </c>
      <c r="H4599" s="2">
        <f t="shared" si="142"/>
        <v>4446</v>
      </c>
      <c r="I4599" t="str">
        <f t="shared" si="143"/>
        <v>Mrpl53_4446</v>
      </c>
      <c r="J4599" s="3">
        <v>1574</v>
      </c>
      <c r="K4599" s="3">
        <v>2854</v>
      </c>
      <c r="L4599" s="3">
        <v>18</v>
      </c>
      <c r="M4599" s="3">
        <v>0</v>
      </c>
      <c r="N4599" s="3">
        <v>0</v>
      </c>
    </row>
    <row r="4600" spans="1:14" x14ac:dyDescent="0.2">
      <c r="A4600" s="5" t="str">
        <f>HYPERLINK("http://www.ncbi.nlm.nih.gov/protein/21313400","Mrpl55")</f>
        <v>Mrpl55</v>
      </c>
      <c r="B4600" s="4"/>
      <c r="C4600" s="3">
        <v>0</v>
      </c>
      <c r="D4600" s="3">
        <v>1687</v>
      </c>
      <c r="E4600" s="3">
        <v>0</v>
      </c>
      <c r="F4600" s="3">
        <v>0</v>
      </c>
      <c r="G4600" s="3">
        <v>0</v>
      </c>
      <c r="H4600" s="2">
        <f t="shared" si="142"/>
        <v>1687</v>
      </c>
      <c r="I4600" t="str">
        <f t="shared" si="143"/>
        <v>Mrpl55_1687</v>
      </c>
      <c r="J4600" s="3">
        <v>0</v>
      </c>
      <c r="K4600" s="3">
        <v>1687</v>
      </c>
      <c r="L4600" s="3">
        <v>0</v>
      </c>
      <c r="M4600" s="3">
        <v>0</v>
      </c>
      <c r="N4600" s="3">
        <v>0</v>
      </c>
    </row>
    <row r="4601" spans="1:14" x14ac:dyDescent="0.2">
      <c r="A4601" s="5" t="str">
        <f>HYPERLINK("http://www.ncbi.nlm.nih.gov/protein/29789253","Mrpl9")</f>
        <v>Mrpl9</v>
      </c>
      <c r="B4601" s="4"/>
      <c r="C4601" s="3">
        <v>4393</v>
      </c>
      <c r="D4601" s="3">
        <v>1401</v>
      </c>
      <c r="E4601" s="3">
        <v>0</v>
      </c>
      <c r="F4601" s="3">
        <v>0</v>
      </c>
      <c r="G4601" s="3">
        <v>0</v>
      </c>
      <c r="H4601" s="2">
        <f t="shared" si="142"/>
        <v>5794</v>
      </c>
      <c r="I4601" t="str">
        <f t="shared" si="143"/>
        <v>Mrpl9_5794</v>
      </c>
      <c r="J4601" s="3">
        <v>4393</v>
      </c>
      <c r="K4601" s="3">
        <v>1401</v>
      </c>
      <c r="L4601" s="3">
        <v>0</v>
      </c>
      <c r="M4601" s="3">
        <v>0</v>
      </c>
      <c r="N4601" s="3">
        <v>0</v>
      </c>
    </row>
    <row r="4602" spans="1:14" x14ac:dyDescent="0.2">
      <c r="A4602" s="5" t="str">
        <f>HYPERLINK("http://www.ncbi.nlm.nih.gov/protein/226246598","Mrps10")</f>
        <v>Mrps10</v>
      </c>
      <c r="B4602" s="4"/>
      <c r="C4602" s="3">
        <v>586</v>
      </c>
      <c r="D4602" s="3">
        <v>3313</v>
      </c>
      <c r="E4602" s="3">
        <v>0</v>
      </c>
      <c r="F4602" s="3">
        <v>65</v>
      </c>
      <c r="G4602" s="3">
        <v>0</v>
      </c>
      <c r="H4602" s="2">
        <f t="shared" si="142"/>
        <v>3964</v>
      </c>
      <c r="I4602" t="str">
        <f t="shared" si="143"/>
        <v>Mrps10_3964</v>
      </c>
      <c r="J4602" s="3">
        <v>586</v>
      </c>
      <c r="K4602" s="3">
        <v>3313</v>
      </c>
      <c r="L4602" s="3">
        <v>0</v>
      </c>
      <c r="M4602" s="3">
        <v>65</v>
      </c>
      <c r="N4602" s="3">
        <v>0</v>
      </c>
    </row>
    <row r="4603" spans="1:14" x14ac:dyDescent="0.2">
      <c r="A4603" s="5" t="str">
        <f>HYPERLINK("http://www.ncbi.nlm.nih.gov/protein/226246600","Mrps10")</f>
        <v>Mrps10</v>
      </c>
      <c r="B4603" s="4"/>
      <c r="C4603" s="3">
        <v>586</v>
      </c>
      <c r="D4603" s="3">
        <v>3313</v>
      </c>
      <c r="E4603" s="3">
        <v>0</v>
      </c>
      <c r="F4603" s="3">
        <v>65</v>
      </c>
      <c r="G4603" s="3">
        <v>0</v>
      </c>
      <c r="H4603" s="2">
        <f t="shared" si="142"/>
        <v>3964</v>
      </c>
      <c r="I4603" t="str">
        <f t="shared" si="143"/>
        <v>Mrps10_3964</v>
      </c>
      <c r="J4603" s="3">
        <v>586</v>
      </c>
      <c r="K4603" s="3">
        <v>3313</v>
      </c>
      <c r="L4603" s="3">
        <v>0</v>
      </c>
      <c r="M4603" s="3">
        <v>65</v>
      </c>
      <c r="N4603" s="3">
        <v>0</v>
      </c>
    </row>
    <row r="4604" spans="1:14" x14ac:dyDescent="0.2">
      <c r="A4604" s="5" t="str">
        <f>HYPERLINK("http://www.ncbi.nlm.nih.gov/protein/226246602","Mrps10")</f>
        <v>Mrps10</v>
      </c>
      <c r="B4604" s="4"/>
      <c r="C4604" s="3">
        <v>586</v>
      </c>
      <c r="D4604" s="3">
        <v>3313</v>
      </c>
      <c r="E4604" s="3">
        <v>0</v>
      </c>
      <c r="F4604" s="3">
        <v>65</v>
      </c>
      <c r="G4604" s="3">
        <v>0</v>
      </c>
      <c r="H4604" s="2">
        <f t="shared" si="142"/>
        <v>3964</v>
      </c>
      <c r="I4604" t="str">
        <f t="shared" si="143"/>
        <v>Mrps10_3964</v>
      </c>
      <c r="J4604" s="3">
        <v>586</v>
      </c>
      <c r="K4604" s="3">
        <v>3313</v>
      </c>
      <c r="L4604" s="3">
        <v>0</v>
      </c>
      <c r="M4604" s="3">
        <v>65</v>
      </c>
      <c r="N4604" s="3">
        <v>0</v>
      </c>
    </row>
    <row r="4605" spans="1:14" x14ac:dyDescent="0.2">
      <c r="A4605" s="5" t="str">
        <f>HYPERLINK("http://www.ncbi.nlm.nih.gov/protein/170650663","Mrps11")</f>
        <v>Mrps11</v>
      </c>
      <c r="B4605" s="4"/>
      <c r="C4605" s="3">
        <v>0</v>
      </c>
      <c r="D4605" s="3">
        <v>1488</v>
      </c>
      <c r="E4605" s="3">
        <v>0</v>
      </c>
      <c r="F4605" s="3">
        <v>819</v>
      </c>
      <c r="G4605" s="3">
        <v>0</v>
      </c>
      <c r="H4605" s="2">
        <f t="shared" si="142"/>
        <v>2307</v>
      </c>
      <c r="I4605" t="str">
        <f t="shared" si="143"/>
        <v>Mrps11_2307</v>
      </c>
      <c r="J4605" s="3">
        <v>0</v>
      </c>
      <c r="K4605" s="3">
        <v>1488</v>
      </c>
      <c r="L4605" s="3">
        <v>0</v>
      </c>
      <c r="M4605" s="3">
        <v>819</v>
      </c>
      <c r="N4605" s="3">
        <v>0</v>
      </c>
    </row>
    <row r="4606" spans="1:14" x14ac:dyDescent="0.2">
      <c r="A4606" s="5" t="str">
        <f>HYPERLINK("http://www.ncbi.nlm.nih.gov/protein/6755360","Mrps12")</f>
        <v>Mrps12</v>
      </c>
      <c r="B4606" s="4"/>
      <c r="C4606" s="3">
        <v>0</v>
      </c>
      <c r="D4606" s="3">
        <v>88</v>
      </c>
      <c r="E4606" s="3">
        <v>0</v>
      </c>
      <c r="F4606" s="3">
        <v>0</v>
      </c>
      <c r="G4606" s="3">
        <v>0</v>
      </c>
      <c r="H4606" s="2">
        <f t="shared" si="142"/>
        <v>88</v>
      </c>
      <c r="I4606" t="str">
        <f t="shared" si="143"/>
        <v>Mrps12_88</v>
      </c>
      <c r="J4606" s="3">
        <v>0</v>
      </c>
      <c r="K4606" s="3">
        <v>88</v>
      </c>
      <c r="L4606" s="3">
        <v>0</v>
      </c>
      <c r="M4606" s="3">
        <v>0</v>
      </c>
      <c r="N4606" s="3">
        <v>0</v>
      </c>
    </row>
    <row r="4607" spans="1:14" x14ac:dyDescent="0.2">
      <c r="A4607" s="5" t="str">
        <f>HYPERLINK("http://www.ncbi.nlm.nih.gov/protein/13384894","Mrps14")</f>
        <v>Mrps14</v>
      </c>
      <c r="B4607" s="4"/>
      <c r="C4607" s="3">
        <v>0</v>
      </c>
      <c r="D4607" s="3">
        <v>574</v>
      </c>
      <c r="E4607" s="3">
        <v>0</v>
      </c>
      <c r="F4607" s="3">
        <v>778</v>
      </c>
      <c r="G4607" s="3">
        <v>0</v>
      </c>
      <c r="H4607" s="2">
        <f t="shared" si="142"/>
        <v>1352</v>
      </c>
      <c r="I4607" t="str">
        <f t="shared" si="143"/>
        <v>Mrps14_1352</v>
      </c>
      <c r="J4607" s="3">
        <v>0</v>
      </c>
      <c r="K4607" s="3">
        <v>574</v>
      </c>
      <c r="L4607" s="3">
        <v>0</v>
      </c>
      <c r="M4607" s="3">
        <v>778</v>
      </c>
      <c r="N4607" s="3">
        <v>0</v>
      </c>
    </row>
    <row r="4608" spans="1:14" x14ac:dyDescent="0.2">
      <c r="A4608" s="5" t="str">
        <f>HYPERLINK("http://www.ncbi.nlm.nih.gov/protein/48526512","Mrps15")</f>
        <v>Mrps15</v>
      </c>
      <c r="B4608" s="4"/>
      <c r="C4608" s="3">
        <v>1574</v>
      </c>
      <c r="D4608" s="3">
        <v>2142</v>
      </c>
      <c r="E4608" s="3">
        <v>0</v>
      </c>
      <c r="F4608" s="3">
        <v>0</v>
      </c>
      <c r="G4608" s="3">
        <v>0</v>
      </c>
      <c r="H4608" s="2">
        <f t="shared" si="142"/>
        <v>3716</v>
      </c>
      <c r="I4608" t="str">
        <f t="shared" si="143"/>
        <v>Mrps15_3716</v>
      </c>
      <c r="J4608" s="3">
        <v>1574</v>
      </c>
      <c r="K4608" s="3">
        <v>2142</v>
      </c>
      <c r="L4608" s="3">
        <v>0</v>
      </c>
      <c r="M4608" s="3">
        <v>0</v>
      </c>
      <c r="N4608" s="3">
        <v>0</v>
      </c>
    </row>
    <row r="4609" spans="1:14" x14ac:dyDescent="0.2">
      <c r="A4609" s="5" t="str">
        <f>HYPERLINK("http://www.ncbi.nlm.nih.gov/protein/13384844","Mrps16")</f>
        <v>Mrps16</v>
      </c>
      <c r="B4609" s="4"/>
      <c r="C4609" s="3">
        <v>0</v>
      </c>
      <c r="D4609" s="3">
        <v>2705</v>
      </c>
      <c r="E4609" s="3">
        <v>0</v>
      </c>
      <c r="F4609" s="3">
        <v>0</v>
      </c>
      <c r="G4609" s="3">
        <v>0</v>
      </c>
      <c r="H4609" s="2">
        <f t="shared" si="142"/>
        <v>2705</v>
      </c>
      <c r="I4609" t="str">
        <f t="shared" si="143"/>
        <v>Mrps16_2705</v>
      </c>
      <c r="J4609" s="3">
        <v>0</v>
      </c>
      <c r="K4609" s="3">
        <v>2705</v>
      </c>
      <c r="L4609" s="3">
        <v>0</v>
      </c>
      <c r="M4609" s="3">
        <v>0</v>
      </c>
      <c r="N4609" s="3">
        <v>0</v>
      </c>
    </row>
    <row r="4610" spans="1:14" x14ac:dyDescent="0.2">
      <c r="A4610" s="5" t="str">
        <f>HYPERLINK("http://www.ncbi.nlm.nih.gov/protein/13384854","Mrps17")</f>
        <v>Mrps17</v>
      </c>
      <c r="B4610" s="4"/>
      <c r="C4610" s="3">
        <v>1318</v>
      </c>
      <c r="D4610" s="3">
        <v>3108</v>
      </c>
      <c r="E4610" s="3">
        <v>0</v>
      </c>
      <c r="F4610" s="3">
        <v>622</v>
      </c>
      <c r="G4610" s="3">
        <v>0</v>
      </c>
      <c r="H4610" s="2">
        <f t="shared" ref="H4610:H4673" si="144">SUM(C4610:G4610)</f>
        <v>5048</v>
      </c>
      <c r="I4610" t="str">
        <f t="shared" ref="I4610:I4673" si="145">A4610&amp;"_"&amp;H4610</f>
        <v>Mrps17_5048</v>
      </c>
      <c r="J4610" s="3">
        <v>1318</v>
      </c>
      <c r="K4610" s="3">
        <v>3108</v>
      </c>
      <c r="L4610" s="3">
        <v>0</v>
      </c>
      <c r="M4610" s="3">
        <v>622</v>
      </c>
      <c r="N4610" s="3">
        <v>0</v>
      </c>
    </row>
    <row r="4611" spans="1:14" x14ac:dyDescent="0.2">
      <c r="A4611" s="5" t="str">
        <f>HYPERLINK("http://www.ncbi.nlm.nih.gov/protein/17505206","Mrps18a")</f>
        <v>Mrps18a</v>
      </c>
      <c r="B4611" s="4"/>
      <c r="C4611" s="3">
        <v>531</v>
      </c>
      <c r="D4611" s="3">
        <v>985</v>
      </c>
      <c r="E4611" s="3">
        <v>0</v>
      </c>
      <c r="F4611" s="3">
        <v>262</v>
      </c>
      <c r="G4611" s="3">
        <v>0</v>
      </c>
      <c r="H4611" s="2">
        <f t="shared" si="144"/>
        <v>1778</v>
      </c>
      <c r="I4611" t="str">
        <f t="shared" si="145"/>
        <v>Mrps18a_1778</v>
      </c>
      <c r="J4611" s="3">
        <v>531</v>
      </c>
      <c r="K4611" s="3">
        <v>985</v>
      </c>
      <c r="L4611" s="3">
        <v>0</v>
      </c>
      <c r="M4611" s="3">
        <v>262</v>
      </c>
      <c r="N4611" s="3">
        <v>0</v>
      </c>
    </row>
    <row r="4612" spans="1:14" x14ac:dyDescent="0.2">
      <c r="A4612" s="5" t="str">
        <f>HYPERLINK("http://www.ncbi.nlm.nih.gov/protein/23956152","Mrps18b")</f>
        <v>Mrps18b</v>
      </c>
      <c r="B4612" s="4"/>
      <c r="C4612" s="3">
        <v>0</v>
      </c>
      <c r="D4612" s="3">
        <v>357</v>
      </c>
      <c r="E4612" s="3">
        <v>0</v>
      </c>
      <c r="F4612" s="3">
        <v>0</v>
      </c>
      <c r="G4612" s="3">
        <v>0</v>
      </c>
      <c r="H4612" s="2">
        <f t="shared" si="144"/>
        <v>357</v>
      </c>
      <c r="I4612" t="str">
        <f t="shared" si="145"/>
        <v>Mrps18b_357</v>
      </c>
      <c r="J4612" s="3">
        <v>0</v>
      </c>
      <c r="K4612" s="3">
        <v>357</v>
      </c>
      <c r="L4612" s="3">
        <v>0</v>
      </c>
      <c r="M4612" s="3">
        <v>0</v>
      </c>
      <c r="N4612" s="3">
        <v>0</v>
      </c>
    </row>
    <row r="4613" spans="1:14" x14ac:dyDescent="0.2">
      <c r="A4613" s="5" t="str">
        <f>HYPERLINK("http://www.ncbi.nlm.nih.gov/protein/260593696","Mrps2")</f>
        <v>Mrps2</v>
      </c>
      <c r="B4613" s="4"/>
      <c r="C4613" s="3">
        <v>5309</v>
      </c>
      <c r="D4613" s="3">
        <v>2257</v>
      </c>
      <c r="E4613" s="3">
        <v>0</v>
      </c>
      <c r="F4613" s="3">
        <v>303</v>
      </c>
      <c r="G4613" s="3">
        <v>0</v>
      </c>
      <c r="H4613" s="2">
        <f t="shared" si="144"/>
        <v>7869</v>
      </c>
      <c r="I4613" t="str">
        <f t="shared" si="145"/>
        <v>Mrps2_7869</v>
      </c>
      <c r="J4613" s="3">
        <v>5309</v>
      </c>
      <c r="K4613" s="3">
        <v>2257</v>
      </c>
      <c r="L4613" s="3">
        <v>0</v>
      </c>
      <c r="M4613" s="3">
        <v>303</v>
      </c>
      <c r="N4613" s="3">
        <v>0</v>
      </c>
    </row>
    <row r="4614" spans="1:14" x14ac:dyDescent="0.2">
      <c r="A4614" s="5" t="str">
        <f>HYPERLINK("http://www.ncbi.nlm.nih.gov/protein/260593698","Mrps2")</f>
        <v>Mrps2</v>
      </c>
      <c r="B4614" s="4"/>
      <c r="C4614" s="3">
        <v>5309</v>
      </c>
      <c r="D4614" s="3">
        <v>1240</v>
      </c>
      <c r="E4614" s="3">
        <v>0</v>
      </c>
      <c r="F4614" s="3">
        <v>303</v>
      </c>
      <c r="G4614" s="3">
        <v>0</v>
      </c>
      <c r="H4614" s="2">
        <f t="shared" si="144"/>
        <v>6852</v>
      </c>
      <c r="I4614" t="str">
        <f t="shared" si="145"/>
        <v>Mrps2_6852</v>
      </c>
      <c r="J4614" s="3">
        <v>5309</v>
      </c>
      <c r="K4614" s="3">
        <v>1240</v>
      </c>
      <c r="L4614" s="3">
        <v>0</v>
      </c>
      <c r="M4614" s="3">
        <v>303</v>
      </c>
      <c r="N4614" s="3">
        <v>0</v>
      </c>
    </row>
    <row r="4615" spans="1:14" x14ac:dyDescent="0.2">
      <c r="A4615" s="5" t="str">
        <f>HYPERLINK("http://www.ncbi.nlm.nih.gov/protein/17505220","Mrps21")</f>
        <v>Mrps21</v>
      </c>
      <c r="B4615" s="4"/>
      <c r="C4615" s="3">
        <v>787</v>
      </c>
      <c r="D4615" s="3">
        <v>1428</v>
      </c>
      <c r="E4615" s="3">
        <v>0</v>
      </c>
      <c r="F4615" s="3">
        <v>278</v>
      </c>
      <c r="G4615" s="3">
        <v>0</v>
      </c>
      <c r="H4615" s="2">
        <f t="shared" si="144"/>
        <v>2493</v>
      </c>
      <c r="I4615" t="str">
        <f t="shared" si="145"/>
        <v>Mrps21_2493</v>
      </c>
      <c r="J4615" s="3">
        <v>787</v>
      </c>
      <c r="K4615" s="3">
        <v>1428</v>
      </c>
      <c r="L4615" s="3">
        <v>0</v>
      </c>
      <c r="M4615" s="3">
        <v>278</v>
      </c>
      <c r="N4615" s="3">
        <v>0</v>
      </c>
    </row>
    <row r="4616" spans="1:14" x14ac:dyDescent="0.2">
      <c r="A4616" s="5" t="str">
        <f>HYPERLINK("http://www.ncbi.nlm.nih.gov/protein/13384904","Mrps22")</f>
        <v>Mrps22</v>
      </c>
      <c r="B4616" s="4"/>
      <c r="C4616" s="3">
        <v>4265</v>
      </c>
      <c r="D4616" s="3">
        <v>188</v>
      </c>
      <c r="E4616" s="3">
        <v>0</v>
      </c>
      <c r="F4616" s="3">
        <v>2840</v>
      </c>
      <c r="G4616" s="3">
        <v>0</v>
      </c>
      <c r="H4616" s="2">
        <f t="shared" si="144"/>
        <v>7293</v>
      </c>
      <c r="I4616" t="str">
        <f t="shared" si="145"/>
        <v>Mrps22_7293</v>
      </c>
      <c r="J4616" s="3">
        <v>4265</v>
      </c>
      <c r="K4616" s="3">
        <v>188</v>
      </c>
      <c r="L4616" s="3">
        <v>0</v>
      </c>
      <c r="M4616" s="3">
        <v>2840</v>
      </c>
      <c r="N4616" s="3">
        <v>0</v>
      </c>
    </row>
    <row r="4617" spans="1:14" x14ac:dyDescent="0.2">
      <c r="A4617" s="5" t="str">
        <f>HYPERLINK("http://www.ncbi.nlm.nih.gov/protein/27228982","Mrps23")</f>
        <v>Mrps23</v>
      </c>
      <c r="B4617" s="4"/>
      <c r="C4617" s="3">
        <v>4961</v>
      </c>
      <c r="D4617" s="3">
        <v>4649</v>
      </c>
      <c r="E4617" s="3">
        <v>0</v>
      </c>
      <c r="F4617" s="3">
        <v>3978</v>
      </c>
      <c r="G4617" s="3">
        <v>0</v>
      </c>
      <c r="H4617" s="2">
        <f t="shared" si="144"/>
        <v>13588</v>
      </c>
      <c r="I4617" t="str">
        <f t="shared" si="145"/>
        <v>Mrps23_13588</v>
      </c>
      <c r="J4617" s="3">
        <v>4961</v>
      </c>
      <c r="K4617" s="3">
        <v>4649</v>
      </c>
      <c r="L4617" s="3">
        <v>0</v>
      </c>
      <c r="M4617" s="3">
        <v>3978</v>
      </c>
      <c r="N4617" s="3">
        <v>0</v>
      </c>
    </row>
    <row r="4618" spans="1:14" x14ac:dyDescent="0.2">
      <c r="A4618" s="5" t="str">
        <f>HYPERLINK("http://www.ncbi.nlm.nih.gov/protein/13385578","Mrps24")</f>
        <v>Mrps24</v>
      </c>
      <c r="B4618" s="4"/>
      <c r="C4618" s="3">
        <v>641</v>
      </c>
      <c r="D4618" s="3">
        <v>2209</v>
      </c>
      <c r="E4618" s="3">
        <v>0</v>
      </c>
      <c r="F4618" s="3">
        <v>254</v>
      </c>
      <c r="G4618" s="3">
        <v>0</v>
      </c>
      <c r="H4618" s="2">
        <f t="shared" si="144"/>
        <v>3104</v>
      </c>
      <c r="I4618" t="str">
        <f t="shared" si="145"/>
        <v>Mrps24_3104</v>
      </c>
      <c r="J4618" s="3">
        <v>641</v>
      </c>
      <c r="K4618" s="3">
        <v>2209</v>
      </c>
      <c r="L4618" s="3">
        <v>0</v>
      </c>
      <c r="M4618" s="3">
        <v>254</v>
      </c>
      <c r="N4618" s="3">
        <v>0</v>
      </c>
    </row>
    <row r="4619" spans="1:14" x14ac:dyDescent="0.2">
      <c r="A4619" s="5" t="str">
        <f>HYPERLINK("http://www.ncbi.nlm.nih.gov/protein/31981257","Mrps25")</f>
        <v>Mrps25</v>
      </c>
      <c r="B4619" s="4"/>
      <c r="C4619" s="3">
        <v>275</v>
      </c>
      <c r="D4619" s="3">
        <v>100</v>
      </c>
      <c r="E4619" s="3">
        <v>0</v>
      </c>
      <c r="F4619" s="3">
        <v>0</v>
      </c>
      <c r="G4619" s="3">
        <v>0</v>
      </c>
      <c r="H4619" s="2">
        <f t="shared" si="144"/>
        <v>375</v>
      </c>
      <c r="I4619" t="str">
        <f t="shared" si="145"/>
        <v>Mrps25_375</v>
      </c>
      <c r="J4619" s="3">
        <v>275</v>
      </c>
      <c r="K4619" s="3">
        <v>100</v>
      </c>
      <c r="L4619" s="3">
        <v>0</v>
      </c>
      <c r="M4619" s="3">
        <v>0</v>
      </c>
      <c r="N4619" s="3">
        <v>0</v>
      </c>
    </row>
    <row r="4620" spans="1:14" x14ac:dyDescent="0.2">
      <c r="A4620" s="5" t="str">
        <f>HYPERLINK("http://www.ncbi.nlm.nih.gov/protein/46402169","Mrps26")</f>
        <v>Mrps26</v>
      </c>
      <c r="B4620" s="4"/>
      <c r="C4620" s="3">
        <v>1574</v>
      </c>
      <c r="D4620" s="3">
        <v>3004</v>
      </c>
      <c r="E4620" s="3">
        <v>0</v>
      </c>
      <c r="F4620" s="3">
        <v>0</v>
      </c>
      <c r="G4620" s="3">
        <v>0</v>
      </c>
      <c r="H4620" s="2">
        <f t="shared" si="144"/>
        <v>4578</v>
      </c>
      <c r="I4620" t="str">
        <f t="shared" si="145"/>
        <v>Mrps26_4578</v>
      </c>
      <c r="J4620" s="3">
        <v>1574</v>
      </c>
      <c r="K4620" s="3">
        <v>3004</v>
      </c>
      <c r="L4620" s="3">
        <v>0</v>
      </c>
      <c r="M4620" s="3">
        <v>0</v>
      </c>
      <c r="N4620" s="3">
        <v>0</v>
      </c>
    </row>
    <row r="4621" spans="1:14" x14ac:dyDescent="0.2">
      <c r="A4621" s="5" t="str">
        <f>HYPERLINK("http://www.ncbi.nlm.nih.gov/protein/50980303","Mrps27")</f>
        <v>Mrps27</v>
      </c>
      <c r="B4621" s="4"/>
      <c r="C4621" s="3">
        <v>4284</v>
      </c>
      <c r="D4621" s="3">
        <v>4770</v>
      </c>
      <c r="E4621" s="3">
        <v>0</v>
      </c>
      <c r="F4621" s="3">
        <v>0</v>
      </c>
      <c r="G4621" s="3">
        <v>0</v>
      </c>
      <c r="H4621" s="2">
        <f t="shared" si="144"/>
        <v>9054</v>
      </c>
      <c r="I4621" t="str">
        <f t="shared" si="145"/>
        <v>Mrps27_9054</v>
      </c>
      <c r="J4621" s="3">
        <v>4284</v>
      </c>
      <c r="K4621" s="3">
        <v>4770</v>
      </c>
      <c r="L4621" s="3">
        <v>0</v>
      </c>
      <c r="M4621" s="3">
        <v>0</v>
      </c>
      <c r="N4621" s="3">
        <v>0</v>
      </c>
    </row>
    <row r="4622" spans="1:14" x14ac:dyDescent="0.2">
      <c r="A4622" s="5" t="str">
        <f>HYPERLINK("http://www.ncbi.nlm.nih.gov/protein/254587936","Mrps28")</f>
        <v>Mrps28</v>
      </c>
      <c r="B4622" s="4"/>
      <c r="C4622" s="3">
        <v>787</v>
      </c>
      <c r="D4622" s="3">
        <v>1476</v>
      </c>
      <c r="E4622" s="3">
        <v>0</v>
      </c>
      <c r="F4622" s="3">
        <v>65</v>
      </c>
      <c r="G4622" s="3">
        <v>0</v>
      </c>
      <c r="H4622" s="2">
        <f t="shared" si="144"/>
        <v>2328</v>
      </c>
      <c r="I4622" t="str">
        <f t="shared" si="145"/>
        <v>Mrps28_2328</v>
      </c>
      <c r="J4622" s="3">
        <v>787</v>
      </c>
      <c r="K4622" s="3">
        <v>1476</v>
      </c>
      <c r="L4622" s="3">
        <v>0</v>
      </c>
      <c r="M4622" s="3">
        <v>65</v>
      </c>
      <c r="N4622" s="3">
        <v>0</v>
      </c>
    </row>
    <row r="4623" spans="1:14" x14ac:dyDescent="0.2">
      <c r="A4623" s="5" t="str">
        <f>HYPERLINK("http://www.ncbi.nlm.nih.gov/protein/29789128","Mrps30")</f>
        <v>Mrps30</v>
      </c>
      <c r="B4623" s="4"/>
      <c r="C4623" s="3">
        <v>989</v>
      </c>
      <c r="D4623" s="3">
        <v>6269</v>
      </c>
      <c r="E4623" s="3">
        <v>0</v>
      </c>
      <c r="F4623" s="3">
        <v>0</v>
      </c>
      <c r="G4623" s="3">
        <v>0</v>
      </c>
      <c r="H4623" s="2">
        <f t="shared" si="144"/>
        <v>7258</v>
      </c>
      <c r="I4623" t="str">
        <f t="shared" si="145"/>
        <v>Mrps30_7258</v>
      </c>
      <c r="J4623" s="3">
        <v>989</v>
      </c>
      <c r="K4623" s="3">
        <v>6269</v>
      </c>
      <c r="L4623" s="3">
        <v>0</v>
      </c>
      <c r="M4623" s="3">
        <v>0</v>
      </c>
      <c r="N4623" s="3">
        <v>0</v>
      </c>
    </row>
    <row r="4624" spans="1:14" x14ac:dyDescent="0.2">
      <c r="A4624" s="5" t="str">
        <f>HYPERLINK("http://www.ncbi.nlm.nih.gov/protein/10181116","Mrps31")</f>
        <v>Mrps31</v>
      </c>
      <c r="B4624" s="4"/>
      <c r="C4624" s="3">
        <v>1245</v>
      </c>
      <c r="D4624" s="3">
        <v>0</v>
      </c>
      <c r="E4624" s="3">
        <v>0</v>
      </c>
      <c r="F4624" s="3">
        <v>0</v>
      </c>
      <c r="G4624" s="3">
        <v>0</v>
      </c>
      <c r="H4624" s="2">
        <f t="shared" si="144"/>
        <v>1245</v>
      </c>
      <c r="I4624" t="str">
        <f t="shared" si="145"/>
        <v>Mrps31_1245</v>
      </c>
      <c r="J4624" s="3">
        <v>1245</v>
      </c>
      <c r="K4624" s="3">
        <v>0</v>
      </c>
      <c r="L4624" s="3">
        <v>0</v>
      </c>
      <c r="M4624" s="3">
        <v>0</v>
      </c>
      <c r="N4624" s="3">
        <v>0</v>
      </c>
    </row>
    <row r="4625" spans="1:14" x14ac:dyDescent="0.2">
      <c r="A4625" s="5" t="str">
        <f>HYPERLINK("http://www.ncbi.nlm.nih.gov/protein/33859564","Mrps33")</f>
        <v>Mrps33</v>
      </c>
      <c r="B4625" s="4"/>
      <c r="C4625" s="3">
        <v>2014</v>
      </c>
      <c r="D4625" s="3">
        <v>0</v>
      </c>
      <c r="E4625" s="3">
        <v>0</v>
      </c>
      <c r="F4625" s="3">
        <v>696</v>
      </c>
      <c r="G4625" s="3">
        <v>0</v>
      </c>
      <c r="H4625" s="2">
        <f t="shared" si="144"/>
        <v>2710</v>
      </c>
      <c r="I4625" t="str">
        <f t="shared" si="145"/>
        <v>Mrps33_2710</v>
      </c>
      <c r="J4625" s="3">
        <v>2014</v>
      </c>
      <c r="K4625" s="3">
        <v>0</v>
      </c>
      <c r="L4625" s="3">
        <v>0</v>
      </c>
      <c r="M4625" s="3">
        <v>696</v>
      </c>
      <c r="N4625" s="3">
        <v>0</v>
      </c>
    </row>
    <row r="4626" spans="1:14" x14ac:dyDescent="0.2">
      <c r="A4626" s="5" t="str">
        <f>HYPERLINK("http://www.ncbi.nlm.nih.gov/protein/13385670","Mrps34")</f>
        <v>Mrps34</v>
      </c>
      <c r="B4626" s="4"/>
      <c r="C4626" s="3">
        <v>5986</v>
      </c>
      <c r="D4626" s="3">
        <v>9262</v>
      </c>
      <c r="E4626" s="3">
        <v>0</v>
      </c>
      <c r="F4626" s="3">
        <v>2046</v>
      </c>
      <c r="G4626" s="3">
        <v>0</v>
      </c>
      <c r="H4626" s="2">
        <f t="shared" si="144"/>
        <v>17294</v>
      </c>
      <c r="I4626" t="str">
        <f t="shared" si="145"/>
        <v>Mrps34_17294</v>
      </c>
      <c r="J4626" s="3">
        <v>5986</v>
      </c>
      <c r="K4626" s="3">
        <v>9262</v>
      </c>
      <c r="L4626" s="3">
        <v>0</v>
      </c>
      <c r="M4626" s="3">
        <v>2046</v>
      </c>
      <c r="N4626" s="3">
        <v>0</v>
      </c>
    </row>
    <row r="4627" spans="1:14" x14ac:dyDescent="0.2">
      <c r="A4627" s="5" t="str">
        <f>HYPERLINK("http://www.ncbi.nlm.nih.gov/protein/148235701","Mrps35")</f>
        <v>Mrps35</v>
      </c>
      <c r="B4627" s="4"/>
      <c r="C4627" s="3">
        <v>1355</v>
      </c>
      <c r="D4627" s="3">
        <v>273</v>
      </c>
      <c r="E4627" s="3">
        <v>0</v>
      </c>
      <c r="F4627" s="3">
        <v>336</v>
      </c>
      <c r="G4627" s="3">
        <v>0</v>
      </c>
      <c r="H4627" s="2">
        <f t="shared" si="144"/>
        <v>1964</v>
      </c>
      <c r="I4627" t="str">
        <f t="shared" si="145"/>
        <v>Mrps35_1964</v>
      </c>
      <c r="J4627" s="3">
        <v>1355</v>
      </c>
      <c r="K4627" s="3">
        <v>273</v>
      </c>
      <c r="L4627" s="3">
        <v>0</v>
      </c>
      <c r="M4627" s="3">
        <v>336</v>
      </c>
      <c r="N4627" s="3">
        <v>0</v>
      </c>
    </row>
    <row r="4628" spans="1:14" x14ac:dyDescent="0.2">
      <c r="A4628" s="5" t="str">
        <f>HYPERLINK("http://www.ncbi.nlm.nih.gov/protein/13384742","Mrps36")</f>
        <v>Mrps36</v>
      </c>
      <c r="B4628" s="4"/>
      <c r="C4628" s="3">
        <v>0</v>
      </c>
      <c r="D4628" s="3">
        <v>219</v>
      </c>
      <c r="E4628" s="3">
        <v>0</v>
      </c>
      <c r="F4628" s="3">
        <v>0</v>
      </c>
      <c r="G4628" s="3">
        <v>0</v>
      </c>
      <c r="H4628" s="2">
        <f t="shared" si="144"/>
        <v>219</v>
      </c>
      <c r="I4628" t="str">
        <f t="shared" si="145"/>
        <v>Mrps36_219</v>
      </c>
      <c r="J4628" s="3">
        <v>0</v>
      </c>
      <c r="K4628" s="3">
        <v>219</v>
      </c>
      <c r="L4628" s="3">
        <v>0</v>
      </c>
      <c r="M4628" s="3">
        <v>0</v>
      </c>
      <c r="N4628" s="3">
        <v>0</v>
      </c>
    </row>
    <row r="4629" spans="1:14" x14ac:dyDescent="0.2">
      <c r="A4629" s="5" t="str">
        <f>HYPERLINK("http://www.ncbi.nlm.nih.gov/protein/298286543","Mrps36")</f>
        <v>Mrps36</v>
      </c>
      <c r="B4629" s="4"/>
      <c r="C4629" s="3">
        <v>0</v>
      </c>
      <c r="D4629" s="3">
        <v>48</v>
      </c>
      <c r="E4629" s="3">
        <v>0</v>
      </c>
      <c r="F4629" s="3">
        <v>0</v>
      </c>
      <c r="G4629" s="3">
        <v>0</v>
      </c>
      <c r="H4629" s="2">
        <f t="shared" si="144"/>
        <v>48</v>
      </c>
      <c r="I4629" t="str">
        <f t="shared" si="145"/>
        <v>Mrps36_48</v>
      </c>
      <c r="J4629" s="3">
        <v>0</v>
      </c>
      <c r="K4629" s="3">
        <v>48</v>
      </c>
      <c r="L4629" s="3">
        <v>0</v>
      </c>
      <c r="M4629" s="3">
        <v>0</v>
      </c>
      <c r="N4629" s="3">
        <v>0</v>
      </c>
    </row>
    <row r="4630" spans="1:14" x14ac:dyDescent="0.2">
      <c r="A4630" s="5" t="str">
        <f>HYPERLINK("http://www.ncbi.nlm.nih.gov/protein/17157985","Mrps5")</f>
        <v>Mrps5</v>
      </c>
      <c r="B4630" s="4"/>
      <c r="C4630" s="3">
        <v>3039</v>
      </c>
      <c r="D4630" s="3">
        <v>221</v>
      </c>
      <c r="E4630" s="3">
        <v>0</v>
      </c>
      <c r="F4630" s="3">
        <v>450</v>
      </c>
      <c r="G4630" s="3">
        <v>0</v>
      </c>
      <c r="H4630" s="2">
        <f t="shared" si="144"/>
        <v>3710</v>
      </c>
      <c r="I4630" t="str">
        <f t="shared" si="145"/>
        <v>Mrps5_3710</v>
      </c>
      <c r="J4630" s="3">
        <v>3039</v>
      </c>
      <c r="K4630" s="3">
        <v>221</v>
      </c>
      <c r="L4630" s="3">
        <v>0</v>
      </c>
      <c r="M4630" s="3">
        <v>450</v>
      </c>
      <c r="N4630" s="3">
        <v>0</v>
      </c>
    </row>
    <row r="4631" spans="1:14" x14ac:dyDescent="0.2">
      <c r="A4631" s="5" t="str">
        <f>HYPERLINK("http://www.ncbi.nlm.nih.gov/protein/23956244","Mrps6")</f>
        <v>Mrps6</v>
      </c>
      <c r="B4631" s="4"/>
      <c r="C4631" s="3">
        <v>2673</v>
      </c>
      <c r="D4631" s="3">
        <v>612</v>
      </c>
      <c r="E4631" s="3">
        <v>0</v>
      </c>
      <c r="F4631" s="3">
        <v>0</v>
      </c>
      <c r="G4631" s="3">
        <v>0</v>
      </c>
      <c r="H4631" s="2">
        <f t="shared" si="144"/>
        <v>3285</v>
      </c>
      <c r="I4631" t="str">
        <f t="shared" si="145"/>
        <v>Mrps6_3285</v>
      </c>
      <c r="J4631" s="3">
        <v>2673</v>
      </c>
      <c r="K4631" s="3">
        <v>612</v>
      </c>
      <c r="L4631" s="3">
        <v>0</v>
      </c>
      <c r="M4631" s="3">
        <v>0</v>
      </c>
      <c r="N4631" s="3">
        <v>0</v>
      </c>
    </row>
    <row r="4632" spans="1:14" x14ac:dyDescent="0.2">
      <c r="A4632" s="5" t="str">
        <f>HYPERLINK("http://www.ncbi.nlm.nih.gov/protein/30794474","Mrps7")</f>
        <v>Mrps7</v>
      </c>
      <c r="B4632" s="4"/>
      <c r="C4632" s="3">
        <v>12357</v>
      </c>
      <c r="D4632" s="3">
        <v>6288</v>
      </c>
      <c r="E4632" s="3">
        <v>82</v>
      </c>
      <c r="F4632" s="3">
        <v>1244</v>
      </c>
      <c r="G4632" s="3">
        <v>0</v>
      </c>
      <c r="H4632" s="2">
        <f t="shared" si="144"/>
        <v>19971</v>
      </c>
      <c r="I4632" t="str">
        <f t="shared" si="145"/>
        <v>Mrps7_19971</v>
      </c>
      <c r="J4632" s="3">
        <v>12357</v>
      </c>
      <c r="K4632" s="3">
        <v>6288</v>
      </c>
      <c r="L4632" s="3">
        <v>82</v>
      </c>
      <c r="M4632" s="3">
        <v>1244</v>
      </c>
      <c r="N4632" s="3">
        <v>0</v>
      </c>
    </row>
    <row r="4633" spans="1:14" x14ac:dyDescent="0.2">
      <c r="A4633" s="5" t="str">
        <f>HYPERLINK("http://www.ncbi.nlm.nih.gov/protein/169790909","Mrps9")</f>
        <v>Mrps9</v>
      </c>
      <c r="B4633" s="4"/>
      <c r="C4633" s="3">
        <v>16530</v>
      </c>
      <c r="D4633" s="3">
        <v>1628</v>
      </c>
      <c r="E4633" s="3">
        <v>0</v>
      </c>
      <c r="F4633" s="3">
        <v>720</v>
      </c>
      <c r="G4633" s="3">
        <v>0</v>
      </c>
      <c r="H4633" s="2">
        <f t="shared" si="144"/>
        <v>18878</v>
      </c>
      <c r="I4633" t="str">
        <f t="shared" si="145"/>
        <v>Mrps9_18878</v>
      </c>
      <c r="J4633" s="3">
        <v>16530</v>
      </c>
      <c r="K4633" s="3">
        <v>1628</v>
      </c>
      <c r="L4633" s="3">
        <v>0</v>
      </c>
      <c r="M4633" s="3">
        <v>720</v>
      </c>
      <c r="N4633" s="3">
        <v>0</v>
      </c>
    </row>
    <row r="4634" spans="1:14" x14ac:dyDescent="0.2">
      <c r="A4634" s="5" t="str">
        <f>HYPERLINK("http://www.ncbi.nlm.nih.gov/protein/21312752","Mrrf")</f>
        <v>Mrrf</v>
      </c>
      <c r="B4634" s="4"/>
      <c r="C4634" s="3">
        <v>531</v>
      </c>
      <c r="D4634" s="3">
        <v>4131</v>
      </c>
      <c r="E4634" s="3">
        <v>0</v>
      </c>
      <c r="F4634" s="3">
        <v>0</v>
      </c>
      <c r="G4634" s="3">
        <v>0</v>
      </c>
      <c r="H4634" s="2">
        <f t="shared" si="144"/>
        <v>4662</v>
      </c>
      <c r="I4634" t="str">
        <f t="shared" si="145"/>
        <v>Mrrf_4662</v>
      </c>
      <c r="J4634" s="3">
        <v>531</v>
      </c>
      <c r="K4634" s="3">
        <v>4131</v>
      </c>
      <c r="L4634" s="3">
        <v>0</v>
      </c>
      <c r="M4634" s="3">
        <v>0</v>
      </c>
      <c r="N4634" s="3">
        <v>0</v>
      </c>
    </row>
    <row r="4635" spans="1:14" x14ac:dyDescent="0.2">
      <c r="A4635" s="5" t="str">
        <f>HYPERLINK("http://www.ncbi.nlm.nih.gov/protein/37537520","Mrto4")</f>
        <v>Mrto4</v>
      </c>
      <c r="B4635" s="4"/>
      <c r="C4635" s="3">
        <v>494</v>
      </c>
      <c r="D4635" s="3">
        <v>342</v>
      </c>
      <c r="E4635" s="3">
        <v>604</v>
      </c>
      <c r="F4635" s="3">
        <v>8652</v>
      </c>
      <c r="G4635" s="3">
        <v>0</v>
      </c>
      <c r="H4635" s="2">
        <f t="shared" si="144"/>
        <v>10092</v>
      </c>
      <c r="I4635" t="str">
        <f t="shared" si="145"/>
        <v>Mrto4_10092</v>
      </c>
      <c r="J4635" s="3">
        <v>494</v>
      </c>
      <c r="K4635" s="3">
        <v>342</v>
      </c>
      <c r="L4635" s="3">
        <v>604</v>
      </c>
      <c r="M4635" s="3">
        <v>8652</v>
      </c>
      <c r="N4635" s="3">
        <v>0</v>
      </c>
    </row>
    <row r="4636" spans="1:14" x14ac:dyDescent="0.2">
      <c r="A4636" s="5" t="str">
        <f>HYPERLINK("http://www.ncbi.nlm.nih.gov/protein/6678938","Msh2")</f>
        <v>Msh2</v>
      </c>
      <c r="B4636" s="4"/>
      <c r="C4636" s="3">
        <v>8128</v>
      </c>
      <c r="D4636" s="3">
        <v>3532</v>
      </c>
      <c r="E4636" s="3">
        <v>5524</v>
      </c>
      <c r="F4636" s="3">
        <v>104980</v>
      </c>
      <c r="G4636" s="3">
        <v>61194</v>
      </c>
      <c r="H4636" s="2">
        <f t="shared" si="144"/>
        <v>183358</v>
      </c>
      <c r="I4636" t="str">
        <f t="shared" si="145"/>
        <v>Msh2_183358</v>
      </c>
      <c r="J4636" s="3">
        <v>8128</v>
      </c>
      <c r="K4636" s="3">
        <v>3532</v>
      </c>
      <c r="L4636" s="3">
        <v>5524</v>
      </c>
      <c r="M4636" s="3">
        <v>104980</v>
      </c>
      <c r="N4636" s="3">
        <v>61194</v>
      </c>
    </row>
    <row r="4637" spans="1:14" x14ac:dyDescent="0.2">
      <c r="A4637" s="5" t="str">
        <f>HYPERLINK("http://www.ncbi.nlm.nih.gov/protein/6754744","Msh6")</f>
        <v>Msh6</v>
      </c>
      <c r="B4637" s="4"/>
      <c r="C4637" s="3">
        <v>5455</v>
      </c>
      <c r="D4637" s="3">
        <v>0</v>
      </c>
      <c r="E4637" s="3">
        <v>5631</v>
      </c>
      <c r="F4637" s="3">
        <v>152653</v>
      </c>
      <c r="G4637" s="3">
        <v>76369</v>
      </c>
      <c r="H4637" s="2">
        <f t="shared" si="144"/>
        <v>240108</v>
      </c>
      <c r="I4637" t="str">
        <f t="shared" si="145"/>
        <v>Msh6_240108</v>
      </c>
      <c r="J4637" s="3">
        <v>5455</v>
      </c>
      <c r="K4637" s="3">
        <v>0</v>
      </c>
      <c r="L4637" s="3">
        <v>5631</v>
      </c>
      <c r="M4637" s="3">
        <v>152653</v>
      </c>
      <c r="N4637" s="3">
        <v>76369</v>
      </c>
    </row>
    <row r="4638" spans="1:14" x14ac:dyDescent="0.2">
      <c r="A4638" s="5" t="str">
        <f>HYPERLINK("http://www.ncbi.nlm.nih.gov/protein/6678940","Msi1")</f>
        <v>Msi1</v>
      </c>
      <c r="B4638" s="4"/>
      <c r="C4638" s="3">
        <v>0</v>
      </c>
      <c r="D4638" s="3">
        <v>0</v>
      </c>
      <c r="E4638" s="3">
        <v>152</v>
      </c>
      <c r="F4638" s="3">
        <v>5337</v>
      </c>
      <c r="G4638" s="3">
        <v>0</v>
      </c>
      <c r="H4638" s="2">
        <f t="shared" si="144"/>
        <v>5489</v>
      </c>
      <c r="I4638" t="str">
        <f t="shared" si="145"/>
        <v>Msi1_5489</v>
      </c>
      <c r="J4638" s="3">
        <v>0</v>
      </c>
      <c r="K4638" s="3">
        <v>0</v>
      </c>
      <c r="L4638" s="3">
        <v>152</v>
      </c>
      <c r="M4638" s="3">
        <v>5337</v>
      </c>
      <c r="N4638" s="3">
        <v>0</v>
      </c>
    </row>
    <row r="4639" spans="1:14" x14ac:dyDescent="0.2">
      <c r="A4639" s="5" t="str">
        <f>HYPERLINK("http://www.ncbi.nlm.nih.gov/protein/17157989","Msi2")</f>
        <v>Msi2</v>
      </c>
      <c r="B4639" s="4"/>
      <c r="C4639" s="3">
        <v>12119</v>
      </c>
      <c r="D4639" s="3">
        <v>1566</v>
      </c>
      <c r="E4639" s="3">
        <v>13533</v>
      </c>
      <c r="F4639" s="3">
        <v>22911</v>
      </c>
      <c r="G4639" s="3">
        <v>857</v>
      </c>
      <c r="H4639" s="2">
        <f t="shared" si="144"/>
        <v>50986</v>
      </c>
      <c r="I4639" t="str">
        <f t="shared" si="145"/>
        <v>Msi2_50986</v>
      </c>
      <c r="J4639" s="3">
        <v>12119</v>
      </c>
      <c r="K4639" s="3">
        <v>1566</v>
      </c>
      <c r="L4639" s="3">
        <v>13533</v>
      </c>
      <c r="M4639" s="3">
        <v>22911</v>
      </c>
      <c r="N4639" s="3">
        <v>857</v>
      </c>
    </row>
    <row r="4640" spans="1:14" x14ac:dyDescent="0.2">
      <c r="A4640" s="5" t="str">
        <f>HYPERLINK("http://www.ncbi.nlm.nih.gov/protein/318843692","Msi2")</f>
        <v>Msi2</v>
      </c>
      <c r="B4640" s="4"/>
      <c r="C4640" s="3">
        <v>12119</v>
      </c>
      <c r="D4640" s="3">
        <v>800</v>
      </c>
      <c r="E4640" s="3">
        <v>4744</v>
      </c>
      <c r="F4640" s="3">
        <v>9561</v>
      </c>
      <c r="G4640" s="3">
        <v>857</v>
      </c>
      <c r="H4640" s="2">
        <f t="shared" si="144"/>
        <v>28081</v>
      </c>
      <c r="I4640" t="str">
        <f t="shared" si="145"/>
        <v>Msi2_28081</v>
      </c>
      <c r="J4640" s="3">
        <v>12119</v>
      </c>
      <c r="K4640" s="3">
        <v>800</v>
      </c>
      <c r="L4640" s="3">
        <v>4744</v>
      </c>
      <c r="M4640" s="3">
        <v>9561</v>
      </c>
      <c r="N4640" s="3">
        <v>857</v>
      </c>
    </row>
    <row r="4641" spans="1:14" x14ac:dyDescent="0.2">
      <c r="A4641" s="5" t="str">
        <f>HYPERLINK("http://www.ncbi.nlm.nih.gov/protein/70778915","Msn")</f>
        <v>Msn</v>
      </c>
      <c r="B4641" s="4"/>
      <c r="C4641" s="3">
        <v>719243</v>
      </c>
      <c r="D4641" s="3">
        <v>110956</v>
      </c>
      <c r="E4641" s="3">
        <v>284550</v>
      </c>
      <c r="F4641" s="3">
        <v>162704</v>
      </c>
      <c r="G4641" s="3">
        <v>257596</v>
      </c>
      <c r="H4641" s="2">
        <f t="shared" si="144"/>
        <v>1535049</v>
      </c>
      <c r="I4641" t="str">
        <f t="shared" si="145"/>
        <v>Msn_1535049</v>
      </c>
      <c r="J4641" s="3">
        <v>719243</v>
      </c>
      <c r="K4641" s="3">
        <v>110956</v>
      </c>
      <c r="L4641" s="3">
        <v>284550</v>
      </c>
      <c r="M4641" s="3">
        <v>162704</v>
      </c>
      <c r="N4641" s="3">
        <v>257596</v>
      </c>
    </row>
    <row r="4642" spans="1:14" x14ac:dyDescent="0.2">
      <c r="A4642" s="5" t="str">
        <f>HYPERLINK("http://www.ncbi.nlm.nih.gov/protein/31981013","Msra")</f>
        <v>Msra</v>
      </c>
      <c r="B4642" s="4"/>
      <c r="C4642" s="3">
        <v>0</v>
      </c>
      <c r="D4642" s="3">
        <v>0</v>
      </c>
      <c r="E4642" s="3">
        <v>0</v>
      </c>
      <c r="F4642" s="3">
        <v>0</v>
      </c>
      <c r="G4642" s="3">
        <v>8418</v>
      </c>
      <c r="H4642" s="2">
        <f t="shared" si="144"/>
        <v>8418</v>
      </c>
      <c r="I4642" t="str">
        <f t="shared" si="145"/>
        <v>Msra_8418</v>
      </c>
      <c r="J4642" s="3">
        <v>0</v>
      </c>
      <c r="K4642" s="3">
        <v>0</v>
      </c>
      <c r="L4642" s="3">
        <v>0</v>
      </c>
      <c r="M4642" s="3">
        <v>0</v>
      </c>
      <c r="N4642" s="3">
        <v>8418</v>
      </c>
    </row>
    <row r="4643" spans="1:14" x14ac:dyDescent="0.2">
      <c r="A4643" s="5" t="str">
        <f>HYPERLINK("http://www.ncbi.nlm.nih.gov/protein/358679363","Msra")</f>
        <v>Msra</v>
      </c>
      <c r="B4643" s="4"/>
      <c r="C4643" s="3">
        <v>0</v>
      </c>
      <c r="D4643" s="3">
        <v>0</v>
      </c>
      <c r="E4643" s="3">
        <v>0</v>
      </c>
      <c r="F4643" s="3">
        <v>0</v>
      </c>
      <c r="G4643" s="3">
        <v>8418</v>
      </c>
      <c r="H4643" s="2">
        <f t="shared" si="144"/>
        <v>8418</v>
      </c>
      <c r="I4643" t="str">
        <f t="shared" si="145"/>
        <v>Msra_8418</v>
      </c>
      <c r="J4643" s="3">
        <v>0</v>
      </c>
      <c r="K4643" s="3">
        <v>0</v>
      </c>
      <c r="L4643" s="3">
        <v>0</v>
      </c>
      <c r="M4643" s="3">
        <v>0</v>
      </c>
      <c r="N4643" s="3">
        <v>8418</v>
      </c>
    </row>
    <row r="4644" spans="1:14" x14ac:dyDescent="0.2">
      <c r="A4644" s="5" t="str">
        <f>HYPERLINK("http://www.ncbi.nlm.nih.gov/protein/358679365","Msra")</f>
        <v>Msra</v>
      </c>
      <c r="B4644" s="4"/>
      <c r="C4644" s="3">
        <v>0</v>
      </c>
      <c r="D4644" s="3">
        <v>0</v>
      </c>
      <c r="E4644" s="3">
        <v>0</v>
      </c>
      <c r="F4644" s="3">
        <v>0</v>
      </c>
      <c r="G4644" s="3">
        <v>8418</v>
      </c>
      <c r="H4644" s="2">
        <f t="shared" si="144"/>
        <v>8418</v>
      </c>
      <c r="I4644" t="str">
        <f t="shared" si="145"/>
        <v>Msra_8418</v>
      </c>
      <c r="J4644" s="3">
        <v>0</v>
      </c>
      <c r="K4644" s="3">
        <v>0</v>
      </c>
      <c r="L4644" s="3">
        <v>0</v>
      </c>
      <c r="M4644" s="3">
        <v>0</v>
      </c>
      <c r="N4644" s="3">
        <v>8418</v>
      </c>
    </row>
    <row r="4645" spans="1:14" x14ac:dyDescent="0.2">
      <c r="A4645" s="5" t="str">
        <f>HYPERLINK("http://www.ncbi.nlm.nih.gov/protein/358679367","Msra")</f>
        <v>Msra</v>
      </c>
      <c r="B4645" s="4"/>
      <c r="C4645" s="3">
        <v>0</v>
      </c>
      <c r="D4645" s="3">
        <v>0</v>
      </c>
      <c r="E4645" s="3">
        <v>0</v>
      </c>
      <c r="F4645" s="3">
        <v>0</v>
      </c>
      <c r="G4645" s="3">
        <v>2228</v>
      </c>
      <c r="H4645" s="2">
        <f t="shared" si="144"/>
        <v>2228</v>
      </c>
      <c r="I4645" t="str">
        <f t="shared" si="145"/>
        <v>Msra_2228</v>
      </c>
      <c r="J4645" s="3">
        <v>0</v>
      </c>
      <c r="K4645" s="3">
        <v>0</v>
      </c>
      <c r="L4645" s="3">
        <v>0</v>
      </c>
      <c r="M4645" s="3">
        <v>0</v>
      </c>
      <c r="N4645" s="3">
        <v>2228</v>
      </c>
    </row>
    <row r="4646" spans="1:14" x14ac:dyDescent="0.2">
      <c r="A4646" s="5" t="str">
        <f>HYPERLINK("http://www.ncbi.nlm.nih.gov/protein/254826769","Mst1r")</f>
        <v>Mst1r</v>
      </c>
      <c r="B4646" s="4"/>
      <c r="C4646" s="3">
        <v>0</v>
      </c>
      <c r="D4646" s="3">
        <v>1271</v>
      </c>
      <c r="E4646" s="3">
        <v>7879</v>
      </c>
      <c r="F4646" s="3">
        <v>0</v>
      </c>
      <c r="G4646" s="3">
        <v>2313</v>
      </c>
      <c r="H4646" s="2">
        <f t="shared" si="144"/>
        <v>11463</v>
      </c>
      <c r="I4646" t="str">
        <f t="shared" si="145"/>
        <v>Mst1r_11463</v>
      </c>
      <c r="J4646" s="3">
        <v>0</v>
      </c>
      <c r="K4646" s="3">
        <v>1271</v>
      </c>
      <c r="L4646" s="3">
        <v>7879</v>
      </c>
      <c r="M4646" s="3">
        <v>0</v>
      </c>
      <c r="N4646" s="3">
        <v>2313</v>
      </c>
    </row>
    <row r="4647" spans="1:14" x14ac:dyDescent="0.2">
      <c r="A4647" s="5" t="str">
        <f>HYPERLINK("http://www.ncbi.nlm.nih.gov/protein/254692960","Msto1")</f>
        <v>Msto1</v>
      </c>
      <c r="B4647" s="4"/>
      <c r="C4647" s="3">
        <v>0</v>
      </c>
      <c r="D4647" s="3">
        <v>2841</v>
      </c>
      <c r="E4647" s="3">
        <v>1311</v>
      </c>
      <c r="F4647" s="3">
        <v>26988</v>
      </c>
      <c r="G4647" s="3">
        <v>38544</v>
      </c>
      <c r="H4647" s="2">
        <f t="shared" si="144"/>
        <v>69684</v>
      </c>
      <c r="I4647" t="str">
        <f t="shared" si="145"/>
        <v>Msto1_69684</v>
      </c>
      <c r="J4647" s="3">
        <v>0</v>
      </c>
      <c r="K4647" s="3">
        <v>2841</v>
      </c>
      <c r="L4647" s="3">
        <v>1311</v>
      </c>
      <c r="M4647" s="3">
        <v>26988</v>
      </c>
      <c r="N4647" s="3">
        <v>38544</v>
      </c>
    </row>
    <row r="4648" spans="1:14" x14ac:dyDescent="0.2">
      <c r="A4648" s="5" t="str">
        <f>HYPERLINK("http://www.ncbi.nlm.nih.gov/protein/7305285","Mt1")</f>
        <v>Mt1</v>
      </c>
      <c r="B4648" s="4"/>
      <c r="C4648" s="3">
        <v>7872</v>
      </c>
      <c r="D4648" s="3">
        <v>6</v>
      </c>
      <c r="E4648" s="3">
        <v>701</v>
      </c>
      <c r="F4648" s="3">
        <v>0</v>
      </c>
      <c r="G4648" s="3">
        <v>2581</v>
      </c>
      <c r="H4648" s="2">
        <f t="shared" si="144"/>
        <v>11160</v>
      </c>
      <c r="I4648" t="str">
        <f t="shared" si="145"/>
        <v>Mt1_11160</v>
      </c>
      <c r="J4648" s="3">
        <v>7872</v>
      </c>
      <c r="K4648" s="3">
        <v>6</v>
      </c>
      <c r="L4648" s="3">
        <v>701</v>
      </c>
      <c r="M4648" s="3">
        <v>0</v>
      </c>
      <c r="N4648" s="3">
        <v>2581</v>
      </c>
    </row>
    <row r="4649" spans="1:14" x14ac:dyDescent="0.2">
      <c r="A4649" s="5" t="str">
        <f>HYPERLINK("http://www.ncbi.nlm.nih.gov/protein/33468863","Mt2")</f>
        <v>Mt2</v>
      </c>
      <c r="B4649" s="4"/>
      <c r="C4649" s="3">
        <v>9629</v>
      </c>
      <c r="D4649" s="3">
        <v>8</v>
      </c>
      <c r="E4649" s="3">
        <v>958</v>
      </c>
      <c r="F4649" s="3">
        <v>0</v>
      </c>
      <c r="G4649" s="3">
        <v>2067</v>
      </c>
      <c r="H4649" s="2">
        <f t="shared" si="144"/>
        <v>12662</v>
      </c>
      <c r="I4649" t="str">
        <f t="shared" si="145"/>
        <v>Mt2_12662</v>
      </c>
      <c r="J4649" s="3">
        <v>9629</v>
      </c>
      <c r="K4649" s="3">
        <v>8</v>
      </c>
      <c r="L4649" s="3">
        <v>958</v>
      </c>
      <c r="M4649" s="3">
        <v>0</v>
      </c>
      <c r="N4649" s="3">
        <v>2067</v>
      </c>
    </row>
    <row r="4650" spans="1:14" x14ac:dyDescent="0.2">
      <c r="A4650" s="5" t="str">
        <f>HYPERLINK("http://www.ncbi.nlm.nih.gov/protein/51491880","Mta2")</f>
        <v>Mta2</v>
      </c>
      <c r="B4650" s="4"/>
      <c r="C4650" s="3">
        <v>259067</v>
      </c>
      <c r="D4650" s="3">
        <v>0</v>
      </c>
      <c r="E4650" s="3">
        <v>214</v>
      </c>
      <c r="F4650" s="3">
        <v>9610</v>
      </c>
      <c r="G4650" s="3">
        <v>739</v>
      </c>
      <c r="H4650" s="2">
        <f t="shared" si="144"/>
        <v>269630</v>
      </c>
      <c r="I4650" t="str">
        <f t="shared" si="145"/>
        <v>Mta2_269630</v>
      </c>
      <c r="J4650" s="3">
        <v>259067</v>
      </c>
      <c r="K4650" s="3">
        <v>0</v>
      </c>
      <c r="L4650" s="3">
        <v>214</v>
      </c>
      <c r="M4650" s="3">
        <v>9610</v>
      </c>
      <c r="N4650" s="3">
        <v>739</v>
      </c>
    </row>
    <row r="4651" spans="1:14" x14ac:dyDescent="0.2">
      <c r="A4651" s="5" t="str">
        <f>HYPERLINK("http://www.ncbi.nlm.nih.gov/protein/45544618","Mtap")</f>
        <v>Mtap</v>
      </c>
      <c r="B4651" s="4"/>
      <c r="C4651" s="3">
        <v>0</v>
      </c>
      <c r="D4651" s="3">
        <v>2568</v>
      </c>
      <c r="E4651" s="3">
        <v>2114</v>
      </c>
      <c r="F4651" s="3">
        <v>9111</v>
      </c>
      <c r="G4651" s="3">
        <v>39529</v>
      </c>
      <c r="H4651" s="2">
        <f t="shared" si="144"/>
        <v>53322</v>
      </c>
      <c r="I4651" t="str">
        <f t="shared" si="145"/>
        <v>Mtap_53322</v>
      </c>
      <c r="J4651" s="3">
        <v>0</v>
      </c>
      <c r="K4651" s="3">
        <v>2568</v>
      </c>
      <c r="L4651" s="3">
        <v>2114</v>
      </c>
      <c r="M4651" s="3">
        <v>9111</v>
      </c>
      <c r="N4651" s="3">
        <v>39529</v>
      </c>
    </row>
    <row r="4652" spans="1:14" x14ac:dyDescent="0.2">
      <c r="A4652" s="5" t="str">
        <f>HYPERLINK("http://www.ncbi.nlm.nih.gov/protein/9845273","Mtch1")</f>
        <v>Mtch1</v>
      </c>
      <c r="B4652" s="4"/>
      <c r="C4652" s="3">
        <v>0</v>
      </c>
      <c r="D4652" s="3">
        <v>5041</v>
      </c>
      <c r="E4652" s="3">
        <v>88</v>
      </c>
      <c r="F4652" s="3">
        <v>0</v>
      </c>
      <c r="G4652" s="3">
        <v>0</v>
      </c>
      <c r="H4652" s="2">
        <f t="shared" si="144"/>
        <v>5129</v>
      </c>
      <c r="I4652" t="str">
        <f t="shared" si="145"/>
        <v>Mtch1_5129</v>
      </c>
      <c r="J4652" s="3">
        <v>0</v>
      </c>
      <c r="K4652" s="3">
        <v>5041</v>
      </c>
      <c r="L4652" s="3">
        <v>88</v>
      </c>
      <c r="M4652" s="3">
        <v>0</v>
      </c>
      <c r="N4652" s="3">
        <v>0</v>
      </c>
    </row>
    <row r="4653" spans="1:14" x14ac:dyDescent="0.2">
      <c r="A4653" s="5" t="str">
        <f>HYPERLINK("http://www.ncbi.nlm.nih.gov/protein/9790055","Mtch2")</f>
        <v>Mtch2</v>
      </c>
      <c r="B4653" s="4"/>
      <c r="C4653" s="3">
        <v>39047</v>
      </c>
      <c r="D4653" s="3">
        <v>41494</v>
      </c>
      <c r="E4653" s="3">
        <v>615</v>
      </c>
      <c r="F4653" s="3">
        <v>0</v>
      </c>
      <c r="G4653" s="3">
        <v>0</v>
      </c>
      <c r="H4653" s="2">
        <f t="shared" si="144"/>
        <v>81156</v>
      </c>
      <c r="I4653" t="str">
        <f t="shared" si="145"/>
        <v>Mtch2_81156</v>
      </c>
      <c r="J4653" s="3">
        <v>39047</v>
      </c>
      <c r="K4653" s="3">
        <v>41494</v>
      </c>
      <c r="L4653" s="3">
        <v>615</v>
      </c>
      <c r="M4653" s="3">
        <v>0</v>
      </c>
      <c r="N4653" s="3">
        <v>0</v>
      </c>
    </row>
    <row r="4654" spans="1:14" x14ac:dyDescent="0.2">
      <c r="A4654" s="5" t="str">
        <f>HYPERLINK("http://www.ncbi.nlm.nih.gov/protein/31982233","Mtdh")</f>
        <v>Mtdh</v>
      </c>
      <c r="B4654" s="4"/>
      <c r="C4654" s="3">
        <v>5126</v>
      </c>
      <c r="D4654" s="3">
        <v>1319</v>
      </c>
      <c r="E4654" s="3">
        <v>0</v>
      </c>
      <c r="F4654" s="3">
        <v>0</v>
      </c>
      <c r="G4654" s="3">
        <v>0</v>
      </c>
      <c r="H4654" s="2">
        <f t="shared" si="144"/>
        <v>6445</v>
      </c>
      <c r="I4654" t="str">
        <f t="shared" si="145"/>
        <v>Mtdh_6445</v>
      </c>
      <c r="J4654" s="3">
        <v>5126</v>
      </c>
      <c r="K4654" s="3">
        <v>1319</v>
      </c>
      <c r="L4654" s="3">
        <v>0</v>
      </c>
      <c r="M4654" s="3">
        <v>0</v>
      </c>
      <c r="N4654" s="3">
        <v>0</v>
      </c>
    </row>
    <row r="4655" spans="1:14" x14ac:dyDescent="0.2">
      <c r="A4655" s="5" t="str">
        <f>HYPERLINK("http://www.ncbi.nlm.nih.gov/protein/46518496","Mterfd3")</f>
        <v>Mterfd3</v>
      </c>
      <c r="B4655" s="4"/>
      <c r="C4655" s="3">
        <v>0</v>
      </c>
      <c r="D4655" s="3">
        <v>372</v>
      </c>
      <c r="E4655" s="3">
        <v>0</v>
      </c>
      <c r="F4655" s="3">
        <v>4355</v>
      </c>
      <c r="G4655" s="3">
        <v>0</v>
      </c>
      <c r="H4655" s="2">
        <f t="shared" si="144"/>
        <v>4727</v>
      </c>
      <c r="I4655" t="str">
        <f t="shared" si="145"/>
        <v>Mterfd3_4727</v>
      </c>
      <c r="J4655" s="3">
        <v>0</v>
      </c>
      <c r="K4655" s="3">
        <v>372</v>
      </c>
      <c r="L4655" s="3">
        <v>0</v>
      </c>
      <c r="M4655" s="3">
        <v>4355</v>
      </c>
      <c r="N4655" s="3">
        <v>0</v>
      </c>
    </row>
    <row r="4656" spans="1:14" x14ac:dyDescent="0.2">
      <c r="A4656" s="5" t="str">
        <f>HYPERLINK("http://www.ncbi.nlm.nih.gov/protein/70887769","Mtf2")</f>
        <v>Mtf2</v>
      </c>
      <c r="B4656" s="4"/>
      <c r="C4656" s="3">
        <v>4503</v>
      </c>
      <c r="D4656" s="3">
        <v>524</v>
      </c>
      <c r="E4656" s="3">
        <v>17863</v>
      </c>
      <c r="F4656" s="3">
        <v>0</v>
      </c>
      <c r="G4656" s="3">
        <v>0</v>
      </c>
      <c r="H4656" s="2">
        <f t="shared" si="144"/>
        <v>22890</v>
      </c>
      <c r="I4656" t="str">
        <f t="shared" si="145"/>
        <v>Mtf2_22890</v>
      </c>
      <c r="J4656" s="3">
        <v>4503</v>
      </c>
      <c r="K4656" s="3">
        <v>524</v>
      </c>
      <c r="L4656" s="3">
        <v>17863</v>
      </c>
      <c r="M4656" s="3">
        <v>0</v>
      </c>
      <c r="N4656" s="3">
        <v>0</v>
      </c>
    </row>
    <row r="4657" spans="1:14" x14ac:dyDescent="0.2">
      <c r="A4657" s="5" t="str">
        <f>HYPERLINK("http://www.ncbi.nlm.nih.gov/protein/261878543","Mthfd1")</f>
        <v>Mthfd1</v>
      </c>
      <c r="B4657" s="4"/>
      <c r="C4657" s="3">
        <v>28136</v>
      </c>
      <c r="D4657" s="3">
        <v>23075</v>
      </c>
      <c r="E4657" s="3">
        <v>134365</v>
      </c>
      <c r="F4657" s="3">
        <v>520970</v>
      </c>
      <c r="G4657" s="3">
        <v>282699</v>
      </c>
      <c r="H4657" s="2">
        <f t="shared" si="144"/>
        <v>989245</v>
      </c>
      <c r="I4657" t="str">
        <f t="shared" si="145"/>
        <v>Mthfd1_989245</v>
      </c>
      <c r="J4657" s="3">
        <v>28136</v>
      </c>
      <c r="K4657" s="3">
        <v>23075</v>
      </c>
      <c r="L4657" s="3">
        <v>134365</v>
      </c>
      <c r="M4657" s="3">
        <v>520970</v>
      </c>
      <c r="N4657" s="3">
        <v>282699</v>
      </c>
    </row>
    <row r="4658" spans="1:14" x14ac:dyDescent="0.2">
      <c r="A4658" s="5" t="str">
        <f>HYPERLINK("http://www.ncbi.nlm.nih.gov/protein/283135110","Mthfd1l")</f>
        <v>Mthfd1l</v>
      </c>
      <c r="B4658" s="4"/>
      <c r="C4658" s="3">
        <v>54680</v>
      </c>
      <c r="D4658" s="3">
        <v>13796</v>
      </c>
      <c r="E4658" s="3">
        <v>743</v>
      </c>
      <c r="F4658" s="3">
        <v>0</v>
      </c>
      <c r="G4658" s="3">
        <v>5537</v>
      </c>
      <c r="H4658" s="2">
        <f t="shared" si="144"/>
        <v>74756</v>
      </c>
      <c r="I4658" t="str">
        <f t="shared" si="145"/>
        <v>Mthfd1l_74756</v>
      </c>
      <c r="J4658" s="3">
        <v>54680</v>
      </c>
      <c r="K4658" s="3">
        <v>13796</v>
      </c>
      <c r="L4658" s="3">
        <v>743</v>
      </c>
      <c r="M4658" s="3">
        <v>0</v>
      </c>
      <c r="N4658" s="3">
        <v>5537</v>
      </c>
    </row>
    <row r="4659" spans="1:14" x14ac:dyDescent="0.2">
      <c r="A4659" s="5" t="str">
        <f>HYPERLINK("http://www.ncbi.nlm.nih.gov/protein/262050633","Mthfsd")</f>
        <v>Mthfsd</v>
      </c>
      <c r="B4659" s="4"/>
      <c r="C4659" s="3">
        <v>0</v>
      </c>
      <c r="D4659" s="3">
        <v>0</v>
      </c>
      <c r="E4659" s="3">
        <v>101</v>
      </c>
      <c r="F4659" s="3">
        <v>1580</v>
      </c>
      <c r="G4659" s="3">
        <v>0</v>
      </c>
      <c r="H4659" s="2">
        <f t="shared" si="144"/>
        <v>1681</v>
      </c>
      <c r="I4659" t="str">
        <f t="shared" si="145"/>
        <v>Mthfsd_1681</v>
      </c>
      <c r="J4659" s="3">
        <v>0</v>
      </c>
      <c r="K4659" s="3">
        <v>0</v>
      </c>
      <c r="L4659" s="3">
        <v>101</v>
      </c>
      <c r="M4659" s="3">
        <v>1580</v>
      </c>
      <c r="N4659" s="3">
        <v>0</v>
      </c>
    </row>
    <row r="4660" spans="1:14" x14ac:dyDescent="0.2">
      <c r="A4660" s="5" t="str">
        <f>HYPERLINK("http://www.ncbi.nlm.nih.gov/protein/27370130","Mthfsd")</f>
        <v>Mthfsd</v>
      </c>
      <c r="B4660" s="4"/>
      <c r="C4660" s="3">
        <v>0</v>
      </c>
      <c r="D4660" s="3">
        <v>0</v>
      </c>
      <c r="E4660" s="3">
        <v>101</v>
      </c>
      <c r="F4660" s="3">
        <v>1580</v>
      </c>
      <c r="G4660" s="3">
        <v>0</v>
      </c>
      <c r="H4660" s="2">
        <f t="shared" si="144"/>
        <v>1681</v>
      </c>
      <c r="I4660" t="str">
        <f t="shared" si="145"/>
        <v>Mthfsd_1681</v>
      </c>
      <c r="J4660" s="3">
        <v>0</v>
      </c>
      <c r="K4660" s="3">
        <v>0</v>
      </c>
      <c r="L4660" s="3">
        <v>101</v>
      </c>
      <c r="M4660" s="3">
        <v>1580</v>
      </c>
      <c r="N4660" s="3">
        <v>0</v>
      </c>
    </row>
    <row r="4661" spans="1:14" x14ac:dyDescent="0.2">
      <c r="A4661" s="5" t="str">
        <f>HYPERLINK("http://www.ncbi.nlm.nih.gov/protein/110625866","Mtif2")</f>
        <v>Mtif2</v>
      </c>
      <c r="B4661" s="4"/>
      <c r="C4661" s="3">
        <v>0</v>
      </c>
      <c r="D4661" s="3">
        <v>714</v>
      </c>
      <c r="E4661" s="3">
        <v>0</v>
      </c>
      <c r="F4661" s="3">
        <v>0</v>
      </c>
      <c r="G4661" s="3">
        <v>0</v>
      </c>
      <c r="H4661" s="2">
        <f t="shared" si="144"/>
        <v>714</v>
      </c>
      <c r="I4661" t="str">
        <f t="shared" si="145"/>
        <v>Mtif2_714</v>
      </c>
      <c r="J4661" s="3">
        <v>0</v>
      </c>
      <c r="K4661" s="3">
        <v>714</v>
      </c>
      <c r="L4661" s="3">
        <v>0</v>
      </c>
      <c r="M4661" s="3">
        <v>0</v>
      </c>
      <c r="N4661" s="3">
        <v>0</v>
      </c>
    </row>
    <row r="4662" spans="1:14" x14ac:dyDescent="0.2">
      <c r="A4662" s="5" t="str">
        <f>HYPERLINK("http://www.ncbi.nlm.nih.gov/protein/255958296","Mtm1")</f>
        <v>Mtm1</v>
      </c>
      <c r="B4662" s="4"/>
      <c r="C4662" s="3">
        <v>0</v>
      </c>
      <c r="D4662" s="3">
        <v>0</v>
      </c>
      <c r="E4662" s="3">
        <v>23</v>
      </c>
      <c r="F4662" s="3">
        <v>0</v>
      </c>
      <c r="G4662" s="3">
        <v>0</v>
      </c>
      <c r="H4662" s="2">
        <f t="shared" si="144"/>
        <v>23</v>
      </c>
      <c r="I4662" t="str">
        <f t="shared" si="145"/>
        <v>Mtm1_23</v>
      </c>
      <c r="J4662" s="3">
        <v>0</v>
      </c>
      <c r="K4662" s="3">
        <v>0</v>
      </c>
      <c r="L4662" s="3">
        <v>23</v>
      </c>
      <c r="M4662" s="3">
        <v>0</v>
      </c>
      <c r="N4662" s="3">
        <v>0</v>
      </c>
    </row>
    <row r="4663" spans="1:14" x14ac:dyDescent="0.2">
      <c r="A4663" s="5" t="str">
        <f>HYPERLINK("http://www.ncbi.nlm.nih.gov/protein/255958302","Mtm1")</f>
        <v>Mtm1</v>
      </c>
      <c r="B4663" s="4"/>
      <c r="C4663" s="3">
        <v>0</v>
      </c>
      <c r="D4663" s="3">
        <v>0</v>
      </c>
      <c r="E4663" s="3">
        <v>23</v>
      </c>
      <c r="F4663" s="3">
        <v>0</v>
      </c>
      <c r="G4663" s="3">
        <v>0</v>
      </c>
      <c r="H4663" s="2">
        <f t="shared" si="144"/>
        <v>23</v>
      </c>
      <c r="I4663" t="str">
        <f t="shared" si="145"/>
        <v>Mtm1_23</v>
      </c>
      <c r="J4663" s="3">
        <v>0</v>
      </c>
      <c r="K4663" s="3">
        <v>0</v>
      </c>
      <c r="L4663" s="3">
        <v>23</v>
      </c>
      <c r="M4663" s="3">
        <v>0</v>
      </c>
      <c r="N4663" s="3">
        <v>0</v>
      </c>
    </row>
    <row r="4664" spans="1:14" x14ac:dyDescent="0.2">
      <c r="A4664" s="5" t="str">
        <f>HYPERLINK("http://www.ncbi.nlm.nih.gov/protein/124028523","Mtmr10")</f>
        <v>Mtmr10</v>
      </c>
      <c r="B4664" s="4"/>
      <c r="C4664" s="3">
        <v>0</v>
      </c>
      <c r="D4664" s="3">
        <v>0</v>
      </c>
      <c r="E4664" s="3">
        <v>54</v>
      </c>
      <c r="F4664" s="3">
        <v>0</v>
      </c>
      <c r="G4664" s="3">
        <v>0</v>
      </c>
      <c r="H4664" s="2">
        <f t="shared" si="144"/>
        <v>54</v>
      </c>
      <c r="I4664" t="str">
        <f t="shared" si="145"/>
        <v>Mtmr10_54</v>
      </c>
      <c r="J4664" s="3">
        <v>0</v>
      </c>
      <c r="K4664" s="3">
        <v>0</v>
      </c>
      <c r="L4664" s="3">
        <v>54</v>
      </c>
      <c r="M4664" s="3">
        <v>0</v>
      </c>
      <c r="N4664" s="3">
        <v>0</v>
      </c>
    </row>
    <row r="4665" spans="1:14" x14ac:dyDescent="0.2">
      <c r="A4665" s="5" t="str">
        <f>HYPERLINK("http://www.ncbi.nlm.nih.gov/protein/27370470","Mtmr12")</f>
        <v>Mtmr12</v>
      </c>
      <c r="B4665" s="4"/>
      <c r="C4665" s="3">
        <v>0</v>
      </c>
      <c r="D4665" s="3">
        <v>0</v>
      </c>
      <c r="E4665" s="3">
        <v>0</v>
      </c>
      <c r="F4665" s="3">
        <v>3921</v>
      </c>
      <c r="G4665" s="3">
        <v>0</v>
      </c>
      <c r="H4665" s="2">
        <f t="shared" si="144"/>
        <v>3921</v>
      </c>
      <c r="I4665" t="str">
        <f t="shared" si="145"/>
        <v>Mtmr12_3921</v>
      </c>
      <c r="J4665" s="3">
        <v>0</v>
      </c>
      <c r="K4665" s="3">
        <v>0</v>
      </c>
      <c r="L4665" s="3">
        <v>0</v>
      </c>
      <c r="M4665" s="3">
        <v>3921</v>
      </c>
      <c r="N4665" s="3">
        <v>0</v>
      </c>
    </row>
    <row r="4666" spans="1:14" x14ac:dyDescent="0.2">
      <c r="A4666" s="5" t="str">
        <f>HYPERLINK("http://www.ncbi.nlm.nih.gov/protein/163937863","Mtmr14")</f>
        <v>Mtmr14</v>
      </c>
      <c r="B4666" s="4"/>
      <c r="C4666" s="3">
        <v>0</v>
      </c>
      <c r="D4666" s="3">
        <v>109</v>
      </c>
      <c r="E4666" s="3">
        <v>129</v>
      </c>
      <c r="F4666" s="3">
        <v>98</v>
      </c>
      <c r="G4666" s="3">
        <v>0</v>
      </c>
      <c r="H4666" s="2">
        <f t="shared" si="144"/>
        <v>336</v>
      </c>
      <c r="I4666" t="str">
        <f t="shared" si="145"/>
        <v>Mtmr14_336</v>
      </c>
      <c r="J4666" s="3">
        <v>0</v>
      </c>
      <c r="K4666" s="3">
        <v>109</v>
      </c>
      <c r="L4666" s="3">
        <v>129</v>
      </c>
      <c r="M4666" s="3">
        <v>98</v>
      </c>
      <c r="N4666" s="3">
        <v>0</v>
      </c>
    </row>
    <row r="4667" spans="1:14" x14ac:dyDescent="0.2">
      <c r="A4667" s="5" t="str">
        <f>HYPERLINK("http://www.ncbi.nlm.nih.gov/protein/194394153","Mtmr2")</f>
        <v>Mtmr2</v>
      </c>
      <c r="B4667" s="4"/>
      <c r="C4667" s="3">
        <v>0</v>
      </c>
      <c r="D4667" s="3">
        <v>0</v>
      </c>
      <c r="E4667" s="3">
        <v>0</v>
      </c>
      <c r="F4667" s="3">
        <v>1752</v>
      </c>
      <c r="G4667" s="3">
        <v>0</v>
      </c>
      <c r="H4667" s="2">
        <f t="shared" si="144"/>
        <v>1752</v>
      </c>
      <c r="I4667" t="str">
        <f t="shared" si="145"/>
        <v>Mtmr2_1752</v>
      </c>
      <c r="J4667" s="3">
        <v>0</v>
      </c>
      <c r="K4667" s="3">
        <v>0</v>
      </c>
      <c r="L4667" s="3">
        <v>0</v>
      </c>
      <c r="M4667" s="3">
        <v>1752</v>
      </c>
      <c r="N4667" s="3">
        <v>0</v>
      </c>
    </row>
    <row r="4668" spans="1:14" x14ac:dyDescent="0.2">
      <c r="A4668" s="5" t="str">
        <f>HYPERLINK("http://www.ncbi.nlm.nih.gov/protein/21450239","Mtmr6")</f>
        <v>Mtmr6</v>
      </c>
      <c r="B4668" s="4"/>
      <c r="C4668" s="3">
        <v>0</v>
      </c>
      <c r="D4668" s="3">
        <v>0</v>
      </c>
      <c r="E4668" s="3">
        <v>114</v>
      </c>
      <c r="F4668" s="3">
        <v>0</v>
      </c>
      <c r="G4668" s="3">
        <v>0</v>
      </c>
      <c r="H4668" s="2">
        <f t="shared" si="144"/>
        <v>114</v>
      </c>
      <c r="I4668" t="str">
        <f t="shared" si="145"/>
        <v>Mtmr6_114</v>
      </c>
      <c r="J4668" s="3">
        <v>0</v>
      </c>
      <c r="K4668" s="3">
        <v>0</v>
      </c>
      <c r="L4668" s="3">
        <v>114</v>
      </c>
      <c r="M4668" s="3">
        <v>0</v>
      </c>
      <c r="N4668" s="3">
        <v>0</v>
      </c>
    </row>
    <row r="4669" spans="1:14" x14ac:dyDescent="0.2">
      <c r="A4669" s="5" t="str">
        <f>HYPERLINK("http://www.ncbi.nlm.nih.gov/protein/171460946","Mto1")</f>
        <v>Mto1</v>
      </c>
      <c r="B4669" s="4"/>
      <c r="C4669" s="3">
        <v>0</v>
      </c>
      <c r="D4669" s="3">
        <v>69</v>
      </c>
      <c r="E4669" s="3">
        <v>0</v>
      </c>
      <c r="F4669" s="3">
        <v>0</v>
      </c>
      <c r="G4669" s="3">
        <v>0</v>
      </c>
      <c r="H4669" s="2">
        <f t="shared" si="144"/>
        <v>69</v>
      </c>
      <c r="I4669" t="str">
        <f t="shared" si="145"/>
        <v>Mto1_69</v>
      </c>
      <c r="J4669" s="3">
        <v>0</v>
      </c>
      <c r="K4669" s="3">
        <v>69</v>
      </c>
      <c r="L4669" s="3">
        <v>0</v>
      </c>
      <c r="M4669" s="3">
        <v>0</v>
      </c>
      <c r="N4669" s="3">
        <v>0</v>
      </c>
    </row>
    <row r="4670" spans="1:14" x14ac:dyDescent="0.2">
      <c r="A4670" s="5" t="str">
        <f>HYPERLINK("http://www.ncbi.nlm.nih.gov/protein/227330586","Mtor")</f>
        <v>Mtor</v>
      </c>
      <c r="B4670" s="4"/>
      <c r="C4670" s="3">
        <v>0</v>
      </c>
      <c r="D4670" s="3">
        <v>1862</v>
      </c>
      <c r="E4670" s="3">
        <v>8433</v>
      </c>
      <c r="F4670" s="3">
        <v>10723</v>
      </c>
      <c r="G4670" s="3">
        <v>0</v>
      </c>
      <c r="H4670" s="2">
        <f t="shared" si="144"/>
        <v>21018</v>
      </c>
      <c r="I4670" t="str">
        <f t="shared" si="145"/>
        <v>Mtor_21018</v>
      </c>
      <c r="J4670" s="3">
        <v>0</v>
      </c>
      <c r="K4670" s="3">
        <v>1862</v>
      </c>
      <c r="L4670" s="3">
        <v>8433</v>
      </c>
      <c r="M4670" s="3">
        <v>10723</v>
      </c>
      <c r="N4670" s="3">
        <v>0</v>
      </c>
    </row>
    <row r="4671" spans="1:14" x14ac:dyDescent="0.2">
      <c r="A4671" s="5" t="str">
        <f>HYPERLINK("http://www.ncbi.nlm.nih.gov/protein/6679961","Mtpn")</f>
        <v>Mtpn</v>
      </c>
      <c r="B4671" s="4"/>
      <c r="C4671" s="3">
        <v>3533</v>
      </c>
      <c r="D4671" s="3">
        <v>916</v>
      </c>
      <c r="E4671" s="3">
        <v>2254</v>
      </c>
      <c r="F4671" s="3">
        <v>278</v>
      </c>
      <c r="G4671" s="3">
        <v>16782</v>
      </c>
      <c r="H4671" s="2">
        <f t="shared" si="144"/>
        <v>23763</v>
      </c>
      <c r="I4671" t="str">
        <f t="shared" si="145"/>
        <v>Mtpn_23763</v>
      </c>
      <c r="J4671" s="3">
        <v>3533</v>
      </c>
      <c r="K4671" s="3">
        <v>916</v>
      </c>
      <c r="L4671" s="3">
        <v>2254</v>
      </c>
      <c r="M4671" s="3">
        <v>278</v>
      </c>
      <c r="N4671" s="3">
        <v>16782</v>
      </c>
    </row>
    <row r="4672" spans="1:14" x14ac:dyDescent="0.2">
      <c r="A4672" s="5" t="str">
        <f>HYPERLINK("http://www.ncbi.nlm.nih.gov/protein/241982740","Mtx1")</f>
        <v>Mtx1</v>
      </c>
      <c r="B4672" s="4"/>
      <c r="C4672" s="3">
        <v>7084</v>
      </c>
      <c r="D4672" s="3">
        <v>5254</v>
      </c>
      <c r="E4672" s="3">
        <v>484</v>
      </c>
      <c r="F4672" s="3">
        <v>0</v>
      </c>
      <c r="G4672" s="3">
        <v>118</v>
      </c>
      <c r="H4672" s="2">
        <f t="shared" si="144"/>
        <v>12940</v>
      </c>
      <c r="I4672" t="str">
        <f t="shared" si="145"/>
        <v>Mtx1_12940</v>
      </c>
      <c r="J4672" s="3">
        <v>7084</v>
      </c>
      <c r="K4672" s="3">
        <v>5254</v>
      </c>
      <c r="L4672" s="3">
        <v>484</v>
      </c>
      <c r="M4672" s="3">
        <v>0</v>
      </c>
      <c r="N4672" s="3">
        <v>118</v>
      </c>
    </row>
    <row r="4673" spans="1:14" x14ac:dyDescent="0.2">
      <c r="A4673" s="5" t="str">
        <f>HYPERLINK("http://www.ncbi.nlm.nih.gov/protein/241982742","Mtx1")</f>
        <v>Mtx1</v>
      </c>
      <c r="B4673" s="4"/>
      <c r="C4673" s="3">
        <v>7084</v>
      </c>
      <c r="D4673" s="3">
        <v>5569</v>
      </c>
      <c r="E4673" s="3">
        <v>484</v>
      </c>
      <c r="F4673" s="3">
        <v>0</v>
      </c>
      <c r="G4673" s="3">
        <v>118</v>
      </c>
      <c r="H4673" s="2">
        <f t="shared" si="144"/>
        <v>13255</v>
      </c>
      <c r="I4673" t="str">
        <f t="shared" si="145"/>
        <v>Mtx1_13255</v>
      </c>
      <c r="J4673" s="3">
        <v>7084</v>
      </c>
      <c r="K4673" s="3">
        <v>5569</v>
      </c>
      <c r="L4673" s="3">
        <v>484</v>
      </c>
      <c r="M4673" s="3">
        <v>0</v>
      </c>
      <c r="N4673" s="3">
        <v>118</v>
      </c>
    </row>
    <row r="4674" spans="1:14" x14ac:dyDescent="0.2">
      <c r="A4674" s="5" t="str">
        <f>HYPERLINK("http://www.ncbi.nlm.nih.gov/protein/228480241","Mtx2")</f>
        <v>Mtx2</v>
      </c>
      <c r="B4674" s="4"/>
      <c r="C4674" s="3">
        <v>4046</v>
      </c>
      <c r="D4674" s="3">
        <v>8304</v>
      </c>
      <c r="E4674" s="3">
        <v>724</v>
      </c>
      <c r="F4674" s="3">
        <v>0</v>
      </c>
      <c r="G4674" s="3">
        <v>0</v>
      </c>
      <c r="H4674" s="2">
        <f t="shared" ref="H4674:H4737" si="146">SUM(C4674:G4674)</f>
        <v>13074</v>
      </c>
      <c r="I4674" t="str">
        <f t="shared" ref="I4674:I4737" si="147">A4674&amp;"_"&amp;H4674</f>
        <v>Mtx2_13074</v>
      </c>
      <c r="J4674" s="3">
        <v>4046</v>
      </c>
      <c r="K4674" s="3">
        <v>8304</v>
      </c>
      <c r="L4674" s="3">
        <v>724</v>
      </c>
      <c r="M4674" s="3">
        <v>0</v>
      </c>
      <c r="N4674" s="3">
        <v>0</v>
      </c>
    </row>
    <row r="4675" spans="1:14" x14ac:dyDescent="0.2">
      <c r="A4675" s="5" t="str">
        <f>HYPERLINK("http://www.ncbi.nlm.nih.gov/protein/7305293","Muc1")</f>
        <v>Muc1</v>
      </c>
      <c r="B4675" s="4"/>
      <c r="C4675" s="3">
        <v>0</v>
      </c>
      <c r="D4675" s="3">
        <v>1067</v>
      </c>
      <c r="E4675" s="3">
        <v>4623</v>
      </c>
      <c r="F4675" s="3">
        <v>0</v>
      </c>
      <c r="G4675" s="3">
        <v>900</v>
      </c>
      <c r="H4675" s="2">
        <f t="shared" si="146"/>
        <v>6590</v>
      </c>
      <c r="I4675" t="str">
        <f t="shared" si="147"/>
        <v>Muc1_6590</v>
      </c>
      <c r="J4675" s="3">
        <v>0</v>
      </c>
      <c r="K4675" s="3">
        <v>1067</v>
      </c>
      <c r="L4675" s="3">
        <v>4623</v>
      </c>
      <c r="M4675" s="3">
        <v>0</v>
      </c>
      <c r="N4675" s="3">
        <v>900</v>
      </c>
    </row>
    <row r="4676" spans="1:14" x14ac:dyDescent="0.2">
      <c r="A4676" s="5" t="str">
        <f>HYPERLINK("http://www.ncbi.nlm.nih.gov/protein/167736365","Muc4")</f>
        <v>Muc4</v>
      </c>
      <c r="B4676" s="4"/>
      <c r="C4676" s="3">
        <v>0</v>
      </c>
      <c r="D4676" s="3">
        <v>10</v>
      </c>
      <c r="E4676" s="3">
        <v>1661</v>
      </c>
      <c r="F4676" s="3">
        <v>909</v>
      </c>
      <c r="G4676" s="3">
        <v>1478</v>
      </c>
      <c r="H4676" s="2">
        <f t="shared" si="146"/>
        <v>4058</v>
      </c>
      <c r="I4676" t="str">
        <f t="shared" si="147"/>
        <v>Muc4_4058</v>
      </c>
      <c r="J4676" s="3">
        <v>0</v>
      </c>
      <c r="K4676" s="3">
        <v>10</v>
      </c>
      <c r="L4676" s="3">
        <v>1661</v>
      </c>
      <c r="M4676" s="3">
        <v>909</v>
      </c>
      <c r="N4676" s="3">
        <v>1478</v>
      </c>
    </row>
    <row r="4677" spans="1:14" x14ac:dyDescent="0.2">
      <c r="A4677" s="5" t="str">
        <f>HYPERLINK("http://www.ncbi.nlm.nih.gov/protein/31982171","Mug1")</f>
        <v>Mug1</v>
      </c>
      <c r="B4677" s="4"/>
      <c r="C4677" s="3">
        <v>0</v>
      </c>
      <c r="D4677" s="3">
        <v>0</v>
      </c>
      <c r="E4677" s="3">
        <v>111</v>
      </c>
      <c r="F4677" s="3">
        <v>3233</v>
      </c>
      <c r="G4677" s="3">
        <v>0</v>
      </c>
      <c r="H4677" s="2">
        <f t="shared" si="146"/>
        <v>3344</v>
      </c>
      <c r="I4677" t="str">
        <f t="shared" si="147"/>
        <v>Mug1_3344</v>
      </c>
      <c r="J4677" s="3">
        <v>0</v>
      </c>
      <c r="K4677" s="3">
        <v>0</v>
      </c>
      <c r="L4677" s="3">
        <v>111</v>
      </c>
      <c r="M4677" s="3">
        <v>3233</v>
      </c>
      <c r="N4677" s="3">
        <v>0</v>
      </c>
    </row>
    <row r="4678" spans="1:14" x14ac:dyDescent="0.2">
      <c r="A4678" s="5" t="str">
        <f>HYPERLINK("http://www.ncbi.nlm.nih.gov/protein/153945747","Mug2")</f>
        <v>Mug2</v>
      </c>
      <c r="B4678" s="4"/>
      <c r="C4678" s="3">
        <v>0</v>
      </c>
      <c r="D4678" s="3">
        <v>0</v>
      </c>
      <c r="E4678" s="3">
        <v>111</v>
      </c>
      <c r="F4678" s="3">
        <v>3233</v>
      </c>
      <c r="G4678" s="3">
        <v>0</v>
      </c>
      <c r="H4678" s="2">
        <f t="shared" si="146"/>
        <v>3344</v>
      </c>
      <c r="I4678" t="str">
        <f t="shared" si="147"/>
        <v>Mug2_3344</v>
      </c>
      <c r="J4678" s="3">
        <v>0</v>
      </c>
      <c r="K4678" s="3">
        <v>0</v>
      </c>
      <c r="L4678" s="3">
        <v>111</v>
      </c>
      <c r="M4678" s="3">
        <v>3233</v>
      </c>
      <c r="N4678" s="3">
        <v>0</v>
      </c>
    </row>
    <row r="4679" spans="1:14" x14ac:dyDescent="0.2">
      <c r="A4679" s="5" t="str">
        <f>HYPERLINK("http://www.ncbi.nlm.nih.gov/protein/244792753","Mup1")</f>
        <v>Mup1</v>
      </c>
      <c r="B4679" s="4"/>
      <c r="C4679" s="3">
        <v>0</v>
      </c>
      <c r="D4679" s="3">
        <v>4</v>
      </c>
      <c r="E4679" s="3">
        <v>18</v>
      </c>
      <c r="F4679" s="3">
        <v>2055</v>
      </c>
      <c r="G4679" s="3">
        <v>0</v>
      </c>
      <c r="H4679" s="2">
        <f t="shared" si="146"/>
        <v>2077</v>
      </c>
      <c r="I4679" t="str">
        <f t="shared" si="147"/>
        <v>Mup1_2077</v>
      </c>
      <c r="J4679" s="3">
        <v>0</v>
      </c>
      <c r="K4679" s="3">
        <v>4</v>
      </c>
      <c r="L4679" s="3">
        <v>18</v>
      </c>
      <c r="M4679" s="3">
        <v>2055</v>
      </c>
      <c r="N4679" s="3">
        <v>0</v>
      </c>
    </row>
    <row r="4680" spans="1:14" x14ac:dyDescent="0.2">
      <c r="A4680" s="5" t="str">
        <f>HYPERLINK("http://www.ncbi.nlm.nih.gov/protein/244792827","Mup1")</f>
        <v>Mup1</v>
      </c>
      <c r="B4680" s="4"/>
      <c r="C4680" s="3">
        <v>0</v>
      </c>
      <c r="D4680" s="3">
        <v>4</v>
      </c>
      <c r="E4680" s="3">
        <v>18</v>
      </c>
      <c r="F4680" s="3">
        <v>2055</v>
      </c>
      <c r="G4680" s="3">
        <v>0</v>
      </c>
      <c r="H4680" s="2">
        <f t="shared" si="146"/>
        <v>2077</v>
      </c>
      <c r="I4680" t="str">
        <f t="shared" si="147"/>
        <v>Mup1_2077</v>
      </c>
      <c r="J4680" s="3">
        <v>0</v>
      </c>
      <c r="K4680" s="3">
        <v>4</v>
      </c>
      <c r="L4680" s="3">
        <v>18</v>
      </c>
      <c r="M4680" s="3">
        <v>2055</v>
      </c>
      <c r="N4680" s="3">
        <v>0</v>
      </c>
    </row>
    <row r="4681" spans="1:14" x14ac:dyDescent="0.2">
      <c r="A4681" s="5" t="str">
        <f>HYPERLINK("http://www.ncbi.nlm.nih.gov/protein/317008598","Mup12")</f>
        <v>Mup12</v>
      </c>
      <c r="B4681" s="4"/>
      <c r="C4681" s="3">
        <v>0</v>
      </c>
      <c r="D4681" s="3">
        <v>4</v>
      </c>
      <c r="E4681" s="3">
        <v>18</v>
      </c>
      <c r="F4681" s="3">
        <v>2055</v>
      </c>
      <c r="G4681" s="3">
        <v>0</v>
      </c>
      <c r="H4681" s="2">
        <f t="shared" si="146"/>
        <v>2077</v>
      </c>
      <c r="I4681" t="str">
        <f t="shared" si="147"/>
        <v>Mup12_2077</v>
      </c>
      <c r="J4681" s="3">
        <v>0</v>
      </c>
      <c r="K4681" s="3">
        <v>4</v>
      </c>
      <c r="L4681" s="3">
        <v>18</v>
      </c>
      <c r="M4681" s="3">
        <v>2055</v>
      </c>
      <c r="N4681" s="3">
        <v>0</v>
      </c>
    </row>
    <row r="4682" spans="1:14" x14ac:dyDescent="0.2">
      <c r="A4682" s="5" t="str">
        <f>HYPERLINK("http://www.ncbi.nlm.nih.gov/protein/317008616","Mup15")</f>
        <v>Mup15</v>
      </c>
      <c r="B4682" s="4"/>
      <c r="C4682" s="3">
        <v>0</v>
      </c>
      <c r="D4682" s="3">
        <v>4</v>
      </c>
      <c r="E4682" s="3">
        <v>18</v>
      </c>
      <c r="F4682" s="3">
        <v>2055</v>
      </c>
      <c r="G4682" s="3">
        <v>0</v>
      </c>
      <c r="H4682" s="2">
        <f t="shared" si="146"/>
        <v>2077</v>
      </c>
      <c r="I4682" t="str">
        <f t="shared" si="147"/>
        <v>Mup15_2077</v>
      </c>
      <c r="J4682" s="3">
        <v>0</v>
      </c>
      <c r="K4682" s="3">
        <v>4</v>
      </c>
      <c r="L4682" s="3">
        <v>18</v>
      </c>
      <c r="M4682" s="3">
        <v>2055</v>
      </c>
      <c r="N4682" s="3">
        <v>0</v>
      </c>
    </row>
    <row r="4683" spans="1:14" x14ac:dyDescent="0.2">
      <c r="A4683" s="5" t="str">
        <f>HYPERLINK("http://www.ncbi.nlm.nih.gov/protein/197927289","Mup7")</f>
        <v>Mup7</v>
      </c>
      <c r="B4683" s="4"/>
      <c r="C4683" s="3">
        <v>0</v>
      </c>
      <c r="D4683" s="3">
        <v>4</v>
      </c>
      <c r="E4683" s="3">
        <v>18</v>
      </c>
      <c r="F4683" s="3">
        <v>2055</v>
      </c>
      <c r="G4683" s="3">
        <v>0</v>
      </c>
      <c r="H4683" s="2">
        <f t="shared" si="146"/>
        <v>2077</v>
      </c>
      <c r="I4683" t="str">
        <f t="shared" si="147"/>
        <v>Mup7_2077</v>
      </c>
      <c r="J4683" s="3">
        <v>0</v>
      </c>
      <c r="K4683" s="3">
        <v>4</v>
      </c>
      <c r="L4683" s="3">
        <v>18</v>
      </c>
      <c r="M4683" s="3">
        <v>2055</v>
      </c>
      <c r="N4683" s="3">
        <v>0</v>
      </c>
    </row>
    <row r="4684" spans="1:14" x14ac:dyDescent="0.2">
      <c r="A4684" s="5" t="str">
        <f>HYPERLINK("http://www.ncbi.nlm.nih.gov/protein/148540106","Mut")</f>
        <v>Mut</v>
      </c>
      <c r="B4684" s="4"/>
      <c r="C4684" s="3">
        <v>0</v>
      </c>
      <c r="D4684" s="3">
        <v>2586</v>
      </c>
      <c r="E4684" s="3">
        <v>0</v>
      </c>
      <c r="F4684" s="3">
        <v>0</v>
      </c>
      <c r="G4684" s="3">
        <v>0</v>
      </c>
      <c r="H4684" s="2">
        <f t="shared" si="146"/>
        <v>2586</v>
      </c>
      <c r="I4684" t="str">
        <f t="shared" si="147"/>
        <v>Mut_2586</v>
      </c>
      <c r="J4684" s="3">
        <v>0</v>
      </c>
      <c r="K4684" s="3">
        <v>2586</v>
      </c>
      <c r="L4684" s="3">
        <v>0</v>
      </c>
      <c r="M4684" s="3">
        <v>0</v>
      </c>
      <c r="N4684" s="3">
        <v>0</v>
      </c>
    </row>
    <row r="4685" spans="1:14" x14ac:dyDescent="0.2">
      <c r="A4685" s="5" t="str">
        <f>HYPERLINK("http://www.ncbi.nlm.nih.gov/protein/21312058","Mvb12a")</f>
        <v>Mvb12a</v>
      </c>
      <c r="B4685" s="4"/>
      <c r="C4685" s="3">
        <v>0</v>
      </c>
      <c r="D4685" s="3">
        <v>919</v>
      </c>
      <c r="E4685" s="3">
        <v>190</v>
      </c>
      <c r="F4685" s="3">
        <v>2447</v>
      </c>
      <c r="G4685" s="3">
        <v>632</v>
      </c>
      <c r="H4685" s="2">
        <f t="shared" si="146"/>
        <v>4188</v>
      </c>
      <c r="I4685" t="str">
        <f t="shared" si="147"/>
        <v>Mvb12a_4188</v>
      </c>
      <c r="J4685" s="3">
        <v>0</v>
      </c>
      <c r="K4685" s="3">
        <v>919</v>
      </c>
      <c r="L4685" s="3">
        <v>190</v>
      </c>
      <c r="M4685" s="3">
        <v>2447</v>
      </c>
      <c r="N4685" s="3">
        <v>632</v>
      </c>
    </row>
    <row r="4686" spans="1:14" x14ac:dyDescent="0.2">
      <c r="A4686" s="5" t="str">
        <f>HYPERLINK("http://www.ncbi.nlm.nih.gov/protein/256985114","Mvd")</f>
        <v>Mvd</v>
      </c>
      <c r="B4686" s="4"/>
      <c r="C4686" s="3">
        <v>0</v>
      </c>
      <c r="D4686" s="3">
        <v>144</v>
      </c>
      <c r="E4686" s="3">
        <v>372</v>
      </c>
      <c r="F4686" s="3">
        <v>0</v>
      </c>
      <c r="G4686" s="3">
        <v>12519</v>
      </c>
      <c r="H4686" s="2">
        <f t="shared" si="146"/>
        <v>13035</v>
      </c>
      <c r="I4686" t="str">
        <f t="shared" si="147"/>
        <v>Mvd_13035</v>
      </c>
      <c r="J4686" s="3">
        <v>0</v>
      </c>
      <c r="K4686" s="3">
        <v>144</v>
      </c>
      <c r="L4686" s="3">
        <v>372</v>
      </c>
      <c r="M4686" s="3">
        <v>0</v>
      </c>
      <c r="N4686" s="3">
        <v>12519</v>
      </c>
    </row>
    <row r="4687" spans="1:14" x14ac:dyDescent="0.2">
      <c r="A4687" s="5" t="str">
        <f>HYPERLINK("http://www.ncbi.nlm.nih.gov/protein/12963731","Mvk")</f>
        <v>Mvk</v>
      </c>
      <c r="B4687" s="4"/>
      <c r="C4687" s="3">
        <v>0</v>
      </c>
      <c r="D4687" s="3">
        <v>0</v>
      </c>
      <c r="E4687" s="3">
        <v>0</v>
      </c>
      <c r="F4687" s="3">
        <v>0</v>
      </c>
      <c r="G4687" s="3">
        <v>3898</v>
      </c>
      <c r="H4687" s="2">
        <f t="shared" si="146"/>
        <v>3898</v>
      </c>
      <c r="I4687" t="str">
        <f t="shared" si="147"/>
        <v>Mvk_3898</v>
      </c>
      <c r="J4687" s="3">
        <v>0</v>
      </c>
      <c r="K4687" s="3">
        <v>0</v>
      </c>
      <c r="L4687" s="3">
        <v>0</v>
      </c>
      <c r="M4687" s="3">
        <v>0</v>
      </c>
      <c r="N4687" s="3">
        <v>3898</v>
      </c>
    </row>
    <row r="4688" spans="1:14" x14ac:dyDescent="0.2">
      <c r="A4688" s="5" t="str">
        <f>HYPERLINK("http://www.ncbi.nlm.nih.gov/protein/239052674","Mvp")</f>
        <v>Mvp</v>
      </c>
      <c r="B4688" s="4"/>
      <c r="C4688" s="3">
        <v>1208</v>
      </c>
      <c r="D4688" s="3">
        <v>800</v>
      </c>
      <c r="E4688" s="3">
        <v>12406</v>
      </c>
      <c r="F4688" s="3">
        <v>284383</v>
      </c>
      <c r="G4688" s="3">
        <v>0</v>
      </c>
      <c r="H4688" s="2">
        <f t="shared" si="146"/>
        <v>298797</v>
      </c>
      <c r="I4688" t="str">
        <f t="shared" si="147"/>
        <v>Mvp_298797</v>
      </c>
      <c r="J4688" s="3">
        <v>1208</v>
      </c>
      <c r="K4688" s="3">
        <v>800</v>
      </c>
      <c r="L4688" s="3">
        <v>12406</v>
      </c>
      <c r="M4688" s="3">
        <v>284383</v>
      </c>
      <c r="N4688" s="3">
        <v>0</v>
      </c>
    </row>
    <row r="4689" spans="1:14" x14ac:dyDescent="0.2">
      <c r="A4689" s="5" t="str">
        <f>HYPERLINK("http://www.ncbi.nlm.nih.gov/protein/148271069","Myadm")</f>
        <v>Myadm</v>
      </c>
      <c r="B4689" s="4"/>
      <c r="C4689" s="3">
        <v>0</v>
      </c>
      <c r="D4689" s="3">
        <v>956</v>
      </c>
      <c r="E4689" s="3">
        <v>8524</v>
      </c>
      <c r="F4689" s="3">
        <v>1539</v>
      </c>
      <c r="G4689" s="3">
        <v>0</v>
      </c>
      <c r="H4689" s="2">
        <f t="shared" si="146"/>
        <v>11019</v>
      </c>
      <c r="I4689" t="str">
        <f t="shared" si="147"/>
        <v>Myadm_11019</v>
      </c>
      <c r="J4689" s="3">
        <v>0</v>
      </c>
      <c r="K4689" s="3">
        <v>956</v>
      </c>
      <c r="L4689" s="3">
        <v>8524</v>
      </c>
      <c r="M4689" s="3">
        <v>1539</v>
      </c>
      <c r="N4689" s="3">
        <v>0</v>
      </c>
    </row>
    <row r="4690" spans="1:14" x14ac:dyDescent="0.2">
      <c r="A4690" s="5" t="str">
        <f>HYPERLINK("http://www.ncbi.nlm.nih.gov/protein/31982724","Mybbp1a")</f>
        <v>Mybbp1a</v>
      </c>
      <c r="B4690" s="4"/>
      <c r="C4690" s="3">
        <v>311513</v>
      </c>
      <c r="D4690" s="3">
        <v>50</v>
      </c>
      <c r="E4690" s="3">
        <v>9122</v>
      </c>
      <c r="F4690" s="3">
        <v>14578</v>
      </c>
      <c r="G4690" s="3">
        <v>0</v>
      </c>
      <c r="H4690" s="2">
        <f t="shared" si="146"/>
        <v>335263</v>
      </c>
      <c r="I4690" t="str">
        <f t="shared" si="147"/>
        <v>Mybbp1a_335263</v>
      </c>
      <c r="J4690" s="3">
        <v>311513</v>
      </c>
      <c r="K4690" s="3">
        <v>50</v>
      </c>
      <c r="L4690" s="3">
        <v>9122</v>
      </c>
      <c r="M4690" s="3">
        <v>14578</v>
      </c>
      <c r="N4690" s="3">
        <v>0</v>
      </c>
    </row>
    <row r="4691" spans="1:14" x14ac:dyDescent="0.2">
      <c r="A4691" s="5" t="str">
        <f>HYPERLINK("http://www.ncbi.nlm.nih.gov/protein/84871978","Mycbp")</f>
        <v>Mycbp</v>
      </c>
      <c r="B4691" s="4"/>
      <c r="C4691" s="3">
        <v>1153</v>
      </c>
      <c r="D4691" s="3">
        <v>566</v>
      </c>
      <c r="E4691" s="3">
        <v>4352</v>
      </c>
      <c r="F4691" s="3">
        <v>13555</v>
      </c>
      <c r="G4691" s="3">
        <v>31068</v>
      </c>
      <c r="H4691" s="2">
        <f t="shared" si="146"/>
        <v>50694</v>
      </c>
      <c r="I4691" t="str">
        <f t="shared" si="147"/>
        <v>Mycbp_50694</v>
      </c>
      <c r="J4691" s="3">
        <v>1153</v>
      </c>
      <c r="K4691" s="3">
        <v>566</v>
      </c>
      <c r="L4691" s="3">
        <v>4352</v>
      </c>
      <c r="M4691" s="3">
        <v>13555</v>
      </c>
      <c r="N4691" s="3">
        <v>31068</v>
      </c>
    </row>
    <row r="4692" spans="1:14" x14ac:dyDescent="0.2">
      <c r="A4692" s="5" t="str">
        <f>HYPERLINK("http://www.ncbi.nlm.nih.gov/protein/127141012","Mycbp2")</f>
        <v>Mycbp2</v>
      </c>
      <c r="B4692" s="4"/>
      <c r="C4692" s="3">
        <v>0</v>
      </c>
      <c r="D4692" s="3">
        <v>211</v>
      </c>
      <c r="E4692" s="3">
        <v>597</v>
      </c>
      <c r="F4692" s="3">
        <v>3225</v>
      </c>
      <c r="G4692" s="3">
        <v>0</v>
      </c>
      <c r="H4692" s="2">
        <f t="shared" si="146"/>
        <v>4033</v>
      </c>
      <c r="I4692" t="str">
        <f t="shared" si="147"/>
        <v>Mycbp2_4033</v>
      </c>
      <c r="J4692" s="3">
        <v>0</v>
      </c>
      <c r="K4692" s="3">
        <v>211</v>
      </c>
      <c r="L4692" s="3">
        <v>597</v>
      </c>
      <c r="M4692" s="3">
        <v>3225</v>
      </c>
      <c r="N4692" s="3">
        <v>0</v>
      </c>
    </row>
    <row r="4693" spans="1:14" x14ac:dyDescent="0.2">
      <c r="A4693" s="5" t="str">
        <f>HYPERLINK("http://www.ncbi.nlm.nih.gov/protein/168229259","Mycbpap")</f>
        <v>Mycbpap</v>
      </c>
      <c r="B4693" s="4"/>
      <c r="C4693" s="3">
        <v>0</v>
      </c>
      <c r="D4693" s="3">
        <v>0</v>
      </c>
      <c r="E4693" s="3">
        <v>0</v>
      </c>
      <c r="F4693" s="3">
        <v>0</v>
      </c>
      <c r="G4693" s="3">
        <v>1167</v>
      </c>
      <c r="H4693" s="2">
        <f t="shared" si="146"/>
        <v>1167</v>
      </c>
      <c r="I4693" t="str">
        <f t="shared" si="147"/>
        <v>Mycbpap_1167</v>
      </c>
      <c r="J4693" s="3">
        <v>0</v>
      </c>
      <c r="K4693" s="3">
        <v>0</v>
      </c>
      <c r="L4693" s="3">
        <v>0</v>
      </c>
      <c r="M4693" s="3">
        <v>0</v>
      </c>
      <c r="N4693" s="3">
        <v>1167</v>
      </c>
    </row>
    <row r="4694" spans="1:14" x14ac:dyDescent="0.2">
      <c r="A4694" s="5" t="str">
        <f>HYPERLINK("http://www.ncbi.nlm.nih.gov/protein/6754772","Myd88")</f>
        <v>Myd88</v>
      </c>
      <c r="B4694" s="4"/>
      <c r="C4694" s="3">
        <v>0</v>
      </c>
      <c r="D4694" s="3">
        <v>186</v>
      </c>
      <c r="E4694" s="3">
        <v>47</v>
      </c>
      <c r="F4694" s="3">
        <v>0</v>
      </c>
      <c r="G4694" s="3">
        <v>964</v>
      </c>
      <c r="H4694" s="2">
        <f t="shared" si="146"/>
        <v>1197</v>
      </c>
      <c r="I4694" t="str">
        <f t="shared" si="147"/>
        <v>Myd88_1197</v>
      </c>
      <c r="J4694" s="3">
        <v>0</v>
      </c>
      <c r="K4694" s="3">
        <v>186</v>
      </c>
      <c r="L4694" s="3">
        <v>47</v>
      </c>
      <c r="M4694" s="3">
        <v>0</v>
      </c>
      <c r="N4694" s="3">
        <v>964</v>
      </c>
    </row>
    <row r="4695" spans="1:14" x14ac:dyDescent="0.2">
      <c r="A4695" s="5" t="str">
        <f>HYPERLINK("http://www.ncbi.nlm.nih.gov/protein/244790087","Myef2")</f>
        <v>Myef2</v>
      </c>
      <c r="B4695" s="4"/>
      <c r="C4695" s="3">
        <v>6627</v>
      </c>
      <c r="D4695" s="3">
        <v>2392</v>
      </c>
      <c r="E4695" s="3">
        <v>196</v>
      </c>
      <c r="F4695" s="3">
        <v>1523</v>
      </c>
      <c r="G4695" s="3">
        <v>0</v>
      </c>
      <c r="H4695" s="2">
        <f t="shared" si="146"/>
        <v>10738</v>
      </c>
      <c r="I4695" t="str">
        <f t="shared" si="147"/>
        <v>Myef2_10738</v>
      </c>
      <c r="J4695" s="3">
        <v>6627</v>
      </c>
      <c r="K4695" s="3">
        <v>2392</v>
      </c>
      <c r="L4695" s="3">
        <v>196</v>
      </c>
      <c r="M4695" s="3">
        <v>1523</v>
      </c>
      <c r="N4695" s="3">
        <v>0</v>
      </c>
    </row>
    <row r="4696" spans="1:14" x14ac:dyDescent="0.2">
      <c r="A4696" s="5" t="str">
        <f>HYPERLINK("http://www.ncbi.nlm.nih.gov/protein/244790091","Myef2")</f>
        <v>Myef2</v>
      </c>
      <c r="B4696" s="4"/>
      <c r="C4696" s="3">
        <v>6627</v>
      </c>
      <c r="D4696" s="3">
        <v>2392</v>
      </c>
      <c r="E4696" s="3">
        <v>196</v>
      </c>
      <c r="F4696" s="3">
        <v>1523</v>
      </c>
      <c r="G4696" s="3">
        <v>0</v>
      </c>
      <c r="H4696" s="2">
        <f t="shared" si="146"/>
        <v>10738</v>
      </c>
      <c r="I4696" t="str">
        <f t="shared" si="147"/>
        <v>Myef2_10738</v>
      </c>
      <c r="J4696" s="3">
        <v>6627</v>
      </c>
      <c r="K4696" s="3">
        <v>2392</v>
      </c>
      <c r="L4696" s="3">
        <v>196</v>
      </c>
      <c r="M4696" s="3">
        <v>1523</v>
      </c>
      <c r="N4696" s="3">
        <v>0</v>
      </c>
    </row>
    <row r="4697" spans="1:14" x14ac:dyDescent="0.2">
      <c r="A4697" s="5" t="str">
        <f>HYPERLINK("http://www.ncbi.nlm.nih.gov/protein/244790095","Myef2")</f>
        <v>Myef2</v>
      </c>
      <c r="B4697" s="4"/>
      <c r="C4697" s="3">
        <v>6627</v>
      </c>
      <c r="D4697" s="3">
        <v>2392</v>
      </c>
      <c r="E4697" s="3">
        <v>196</v>
      </c>
      <c r="F4697" s="3">
        <v>1523</v>
      </c>
      <c r="G4697" s="3">
        <v>0</v>
      </c>
      <c r="H4697" s="2">
        <f t="shared" si="146"/>
        <v>10738</v>
      </c>
      <c r="I4697" t="str">
        <f t="shared" si="147"/>
        <v>Myef2_10738</v>
      </c>
      <c r="J4697" s="3">
        <v>6627</v>
      </c>
      <c r="K4697" s="3">
        <v>2392</v>
      </c>
      <c r="L4697" s="3">
        <v>196</v>
      </c>
      <c r="M4697" s="3">
        <v>1523</v>
      </c>
      <c r="N4697" s="3">
        <v>0</v>
      </c>
    </row>
    <row r="4698" spans="1:14" x14ac:dyDescent="0.2">
      <c r="A4698" s="5" t="str">
        <f>HYPERLINK("http://www.ncbi.nlm.nih.gov/protein/11096332","Myg1")</f>
        <v>Myg1</v>
      </c>
      <c r="B4698" s="4"/>
      <c r="C4698" s="3">
        <v>0</v>
      </c>
      <c r="D4698" s="3">
        <v>6874</v>
      </c>
      <c r="E4698" s="3">
        <v>11904</v>
      </c>
      <c r="F4698" s="3">
        <v>5026</v>
      </c>
      <c r="G4698" s="3">
        <v>171352</v>
      </c>
      <c r="H4698" s="2">
        <f t="shared" si="146"/>
        <v>195156</v>
      </c>
      <c r="I4698" t="str">
        <f t="shared" si="147"/>
        <v>Myg1_195156</v>
      </c>
      <c r="J4698" s="3">
        <v>0</v>
      </c>
      <c r="K4698" s="3">
        <v>6874</v>
      </c>
      <c r="L4698" s="3">
        <v>11904</v>
      </c>
      <c r="M4698" s="3">
        <v>5026</v>
      </c>
      <c r="N4698" s="3">
        <v>171352</v>
      </c>
    </row>
    <row r="4699" spans="1:14" x14ac:dyDescent="0.2">
      <c r="A4699" s="5" t="str">
        <f>HYPERLINK("http://www.ncbi.nlm.nih.gov/protein/82524274","Myh1")</f>
        <v>Myh1</v>
      </c>
      <c r="B4699" s="4"/>
      <c r="C4699" s="3">
        <v>1538</v>
      </c>
      <c r="D4699" s="3">
        <v>2092</v>
      </c>
      <c r="E4699" s="3">
        <v>1544</v>
      </c>
      <c r="F4699" s="3">
        <v>85138</v>
      </c>
      <c r="G4699" s="3">
        <v>21740</v>
      </c>
      <c r="H4699" s="2">
        <f t="shared" si="146"/>
        <v>112052</v>
      </c>
      <c r="I4699" t="str">
        <f t="shared" si="147"/>
        <v>Myh1_112052</v>
      </c>
      <c r="J4699" s="3">
        <v>1538</v>
      </c>
      <c r="K4699" s="3">
        <v>2092</v>
      </c>
      <c r="L4699" s="3">
        <v>1544</v>
      </c>
      <c r="M4699" s="3">
        <v>85138</v>
      </c>
      <c r="N4699" s="3">
        <v>21740</v>
      </c>
    </row>
    <row r="4700" spans="1:14" x14ac:dyDescent="0.2">
      <c r="A4700" s="5" t="str">
        <f>HYPERLINK("http://www.ncbi.nlm.nih.gov/protein/33598964","Myh10")</f>
        <v>Myh10</v>
      </c>
      <c r="B4700" s="4"/>
      <c r="C4700" s="3">
        <v>240468</v>
      </c>
      <c r="D4700" s="3">
        <v>62012</v>
      </c>
      <c r="E4700" s="3">
        <v>88670</v>
      </c>
      <c r="F4700" s="3">
        <v>1524700</v>
      </c>
      <c r="G4700" s="3">
        <v>685408</v>
      </c>
      <c r="H4700" s="2">
        <f t="shared" si="146"/>
        <v>2601258</v>
      </c>
      <c r="I4700" t="str">
        <f t="shared" si="147"/>
        <v>Myh10_2601258</v>
      </c>
      <c r="J4700" s="3">
        <v>240468</v>
      </c>
      <c r="K4700" s="3">
        <v>62012</v>
      </c>
      <c r="L4700" s="3">
        <v>88670</v>
      </c>
      <c r="M4700" s="3">
        <v>1524700</v>
      </c>
      <c r="N4700" s="3">
        <v>685408</v>
      </c>
    </row>
    <row r="4701" spans="1:14" x14ac:dyDescent="0.2">
      <c r="A4701" s="5" t="str">
        <f>HYPERLINK("http://www.ncbi.nlm.nih.gov/protein/241982716","Myh11")</f>
        <v>Myh11</v>
      </c>
      <c r="B4701" s="4"/>
      <c r="C4701" s="3">
        <v>152654</v>
      </c>
      <c r="D4701" s="3">
        <v>33283</v>
      </c>
      <c r="E4701" s="3">
        <v>62018</v>
      </c>
      <c r="F4701" s="3">
        <v>746679</v>
      </c>
      <c r="G4701" s="3">
        <v>409232</v>
      </c>
      <c r="H4701" s="2">
        <f t="shared" si="146"/>
        <v>1403866</v>
      </c>
      <c r="I4701" t="str">
        <f t="shared" si="147"/>
        <v>Myh11_1403866</v>
      </c>
      <c r="J4701" s="3">
        <v>152654</v>
      </c>
      <c r="K4701" s="3">
        <v>33283</v>
      </c>
      <c r="L4701" s="3">
        <v>62018</v>
      </c>
      <c r="M4701" s="3">
        <v>746679</v>
      </c>
      <c r="N4701" s="3">
        <v>409232</v>
      </c>
    </row>
    <row r="4702" spans="1:14" x14ac:dyDescent="0.2">
      <c r="A4702" s="5" t="str">
        <f>HYPERLINK("http://www.ncbi.nlm.nih.gov/protein/241982718","Myh11")</f>
        <v>Myh11</v>
      </c>
      <c r="B4702" s="4"/>
      <c r="C4702" s="3">
        <v>152654</v>
      </c>
      <c r="D4702" s="3">
        <v>33283</v>
      </c>
      <c r="E4702" s="3">
        <v>62018</v>
      </c>
      <c r="F4702" s="3">
        <v>752442</v>
      </c>
      <c r="G4702" s="3">
        <v>409307</v>
      </c>
      <c r="H4702" s="2">
        <f t="shared" si="146"/>
        <v>1409704</v>
      </c>
      <c r="I4702" t="str">
        <f t="shared" si="147"/>
        <v>Myh11_1409704</v>
      </c>
      <c r="J4702" s="3">
        <v>152654</v>
      </c>
      <c r="K4702" s="3">
        <v>33283</v>
      </c>
      <c r="L4702" s="3">
        <v>62018</v>
      </c>
      <c r="M4702" s="3">
        <v>752442</v>
      </c>
      <c r="N4702" s="3">
        <v>409307</v>
      </c>
    </row>
    <row r="4703" spans="1:14" x14ac:dyDescent="0.2">
      <c r="A4703" s="5" t="str">
        <f>HYPERLINK("http://www.ncbi.nlm.nih.gov/protein/124486959","Myh13")</f>
        <v>Myh13</v>
      </c>
      <c r="B4703" s="4"/>
      <c r="C4703" s="3">
        <v>1538</v>
      </c>
      <c r="D4703" s="3">
        <v>2092</v>
      </c>
      <c r="E4703" s="3">
        <v>1544</v>
      </c>
      <c r="F4703" s="3">
        <v>85138</v>
      </c>
      <c r="G4703" s="3">
        <v>21740</v>
      </c>
      <c r="H4703" s="2">
        <f t="shared" si="146"/>
        <v>112052</v>
      </c>
      <c r="I4703" t="str">
        <f t="shared" si="147"/>
        <v>Myh13_112052</v>
      </c>
      <c r="J4703" s="3">
        <v>1538</v>
      </c>
      <c r="K4703" s="3">
        <v>2092</v>
      </c>
      <c r="L4703" s="3">
        <v>1544</v>
      </c>
      <c r="M4703" s="3">
        <v>85138</v>
      </c>
      <c r="N4703" s="3">
        <v>21740</v>
      </c>
    </row>
    <row r="4704" spans="1:14" x14ac:dyDescent="0.2">
      <c r="A4704" s="5" t="str">
        <f>HYPERLINK("http://www.ncbi.nlm.nih.gov/protein/29336026","Myh14")</f>
        <v>Myh14</v>
      </c>
      <c r="B4704" s="4"/>
      <c r="C4704" s="3">
        <v>58945</v>
      </c>
      <c r="D4704" s="3">
        <v>19024</v>
      </c>
      <c r="E4704" s="3">
        <v>37888</v>
      </c>
      <c r="F4704" s="3">
        <v>516550</v>
      </c>
      <c r="G4704" s="3">
        <v>244937</v>
      </c>
      <c r="H4704" s="2">
        <f t="shared" si="146"/>
        <v>877344</v>
      </c>
      <c r="I4704" t="str">
        <f t="shared" si="147"/>
        <v>Myh14_877344</v>
      </c>
      <c r="J4704" s="3">
        <v>58945</v>
      </c>
      <c r="K4704" s="3">
        <v>19024</v>
      </c>
      <c r="L4704" s="3">
        <v>37888</v>
      </c>
      <c r="M4704" s="3">
        <v>516550</v>
      </c>
      <c r="N4704" s="3">
        <v>244937</v>
      </c>
    </row>
    <row r="4705" spans="1:14" x14ac:dyDescent="0.2">
      <c r="A4705" s="5" t="str">
        <f>HYPERLINK("http://www.ncbi.nlm.nih.gov/protein/408821450","Myh14")</f>
        <v>Myh14</v>
      </c>
      <c r="B4705" s="4"/>
      <c r="C4705" s="3">
        <v>58945</v>
      </c>
      <c r="D4705" s="3">
        <v>19024</v>
      </c>
      <c r="E4705" s="3">
        <v>37888</v>
      </c>
      <c r="F4705" s="3">
        <v>501505</v>
      </c>
      <c r="G4705" s="3">
        <v>288396</v>
      </c>
      <c r="H4705" s="2">
        <f t="shared" si="146"/>
        <v>905758</v>
      </c>
      <c r="I4705" t="str">
        <f t="shared" si="147"/>
        <v>Myh14_905758</v>
      </c>
      <c r="J4705" s="3">
        <v>58945</v>
      </c>
      <c r="K4705" s="3">
        <v>19024</v>
      </c>
      <c r="L4705" s="3">
        <v>37888</v>
      </c>
      <c r="M4705" s="3">
        <v>501505</v>
      </c>
      <c r="N4705" s="3">
        <v>288396</v>
      </c>
    </row>
    <row r="4706" spans="1:14" x14ac:dyDescent="0.2">
      <c r="A4706" s="5" t="str">
        <f>HYPERLINK("http://www.ncbi.nlm.nih.gov/protein/408821455","Myh14")</f>
        <v>Myh14</v>
      </c>
      <c r="B4706" s="4"/>
      <c r="C4706" s="3">
        <v>58945</v>
      </c>
      <c r="D4706" s="3">
        <v>19024</v>
      </c>
      <c r="E4706" s="3">
        <v>37888</v>
      </c>
      <c r="F4706" s="3">
        <v>509813</v>
      </c>
      <c r="G4706" s="3">
        <v>284145</v>
      </c>
      <c r="H4706" s="2">
        <f t="shared" si="146"/>
        <v>909815</v>
      </c>
      <c r="I4706" t="str">
        <f t="shared" si="147"/>
        <v>Myh14_909815</v>
      </c>
      <c r="J4706" s="3">
        <v>58945</v>
      </c>
      <c r="K4706" s="3">
        <v>19024</v>
      </c>
      <c r="L4706" s="3">
        <v>37888</v>
      </c>
      <c r="M4706" s="3">
        <v>509813</v>
      </c>
      <c r="N4706" s="3">
        <v>284145</v>
      </c>
    </row>
    <row r="4707" spans="1:14" x14ac:dyDescent="0.2">
      <c r="A4707" s="5" t="str">
        <f>HYPERLINK("http://www.ncbi.nlm.nih.gov/protein/261245016","Myh15")</f>
        <v>Myh15</v>
      </c>
      <c r="B4707" s="4"/>
      <c r="C4707" s="3">
        <v>1538</v>
      </c>
      <c r="D4707" s="3">
        <v>2092</v>
      </c>
      <c r="E4707" s="3">
        <v>1697</v>
      </c>
      <c r="F4707" s="3">
        <v>85138</v>
      </c>
      <c r="G4707" s="3">
        <v>21740</v>
      </c>
      <c r="H4707" s="2">
        <f t="shared" si="146"/>
        <v>112205</v>
      </c>
      <c r="I4707" t="str">
        <f t="shared" si="147"/>
        <v>Myh15_112205</v>
      </c>
      <c r="J4707" s="3">
        <v>1538</v>
      </c>
      <c r="K4707" s="3">
        <v>2092</v>
      </c>
      <c r="L4707" s="3">
        <v>1697</v>
      </c>
      <c r="M4707" s="3">
        <v>85138</v>
      </c>
      <c r="N4707" s="3">
        <v>21740</v>
      </c>
    </row>
    <row r="4708" spans="1:14" x14ac:dyDescent="0.2">
      <c r="A4708" s="5" t="str">
        <f>HYPERLINK("http://www.ncbi.nlm.nih.gov/protein/205830428","Myh2")</f>
        <v>Myh2</v>
      </c>
      <c r="B4708" s="4"/>
      <c r="C4708" s="3">
        <v>1538</v>
      </c>
      <c r="D4708" s="3">
        <v>2092</v>
      </c>
      <c r="E4708" s="3">
        <v>1544</v>
      </c>
      <c r="F4708" s="3">
        <v>85138</v>
      </c>
      <c r="G4708" s="3">
        <v>21740</v>
      </c>
      <c r="H4708" s="2">
        <f t="shared" si="146"/>
        <v>112052</v>
      </c>
      <c r="I4708" t="str">
        <f t="shared" si="147"/>
        <v>Myh2_112052</v>
      </c>
      <c r="J4708" s="3">
        <v>1538</v>
      </c>
      <c r="K4708" s="3">
        <v>2092</v>
      </c>
      <c r="L4708" s="3">
        <v>1544</v>
      </c>
      <c r="M4708" s="3">
        <v>85138</v>
      </c>
      <c r="N4708" s="3">
        <v>21740</v>
      </c>
    </row>
    <row r="4709" spans="1:14" x14ac:dyDescent="0.2">
      <c r="A4709" s="5" t="str">
        <f>HYPERLINK("http://www.ncbi.nlm.nih.gov/protein/153792649","Myh3")</f>
        <v>Myh3</v>
      </c>
      <c r="B4709" s="4"/>
      <c r="C4709" s="3">
        <v>1538</v>
      </c>
      <c r="D4709" s="3">
        <v>2092</v>
      </c>
      <c r="E4709" s="3">
        <v>1544</v>
      </c>
      <c r="F4709" s="3">
        <v>85138</v>
      </c>
      <c r="G4709" s="3">
        <v>21740</v>
      </c>
      <c r="H4709" s="2">
        <f t="shared" si="146"/>
        <v>112052</v>
      </c>
      <c r="I4709" t="str">
        <f t="shared" si="147"/>
        <v>Myh3_112052</v>
      </c>
      <c r="J4709" s="3">
        <v>1538</v>
      </c>
      <c r="K4709" s="3">
        <v>2092</v>
      </c>
      <c r="L4709" s="3">
        <v>1544</v>
      </c>
      <c r="M4709" s="3">
        <v>85138</v>
      </c>
      <c r="N4709" s="3">
        <v>21740</v>
      </c>
    </row>
    <row r="4710" spans="1:14" x14ac:dyDescent="0.2">
      <c r="A4710" s="5" t="str">
        <f>HYPERLINK("http://www.ncbi.nlm.nih.gov/protein/67189167","Myh4")</f>
        <v>Myh4</v>
      </c>
      <c r="B4710" s="4"/>
      <c r="C4710" s="3">
        <v>1538</v>
      </c>
      <c r="D4710" s="3">
        <v>2092</v>
      </c>
      <c r="E4710" s="3">
        <v>1544</v>
      </c>
      <c r="F4710" s="3">
        <v>85138</v>
      </c>
      <c r="G4710" s="3">
        <v>21740</v>
      </c>
      <c r="H4710" s="2">
        <f t="shared" si="146"/>
        <v>112052</v>
      </c>
      <c r="I4710" t="str">
        <f t="shared" si="147"/>
        <v>Myh4_112052</v>
      </c>
      <c r="J4710" s="3">
        <v>1538</v>
      </c>
      <c r="K4710" s="3">
        <v>2092</v>
      </c>
      <c r="L4710" s="3">
        <v>1544</v>
      </c>
      <c r="M4710" s="3">
        <v>85138</v>
      </c>
      <c r="N4710" s="3">
        <v>21740</v>
      </c>
    </row>
    <row r="4711" spans="1:14" x14ac:dyDescent="0.2">
      <c r="A4711" s="5" t="str">
        <f>HYPERLINK("http://www.ncbi.nlm.nih.gov/protein/255918225","Myh6")</f>
        <v>Myh6</v>
      </c>
      <c r="B4711" s="4"/>
      <c r="C4711" s="3">
        <v>1538</v>
      </c>
      <c r="D4711" s="3">
        <v>2092</v>
      </c>
      <c r="E4711" s="3">
        <v>1544</v>
      </c>
      <c r="F4711" s="3">
        <v>85138</v>
      </c>
      <c r="G4711" s="3">
        <v>21740</v>
      </c>
      <c r="H4711" s="2">
        <f t="shared" si="146"/>
        <v>112052</v>
      </c>
      <c r="I4711" t="str">
        <f t="shared" si="147"/>
        <v>Myh6_112052</v>
      </c>
      <c r="J4711" s="3">
        <v>1538</v>
      </c>
      <c r="K4711" s="3">
        <v>2092</v>
      </c>
      <c r="L4711" s="3">
        <v>1544</v>
      </c>
      <c r="M4711" s="3">
        <v>85138</v>
      </c>
      <c r="N4711" s="3">
        <v>21740</v>
      </c>
    </row>
    <row r="4712" spans="1:14" x14ac:dyDescent="0.2">
      <c r="A4712" s="5" t="str">
        <f>HYPERLINK("http://www.ncbi.nlm.nih.gov/protein/18859641","Myh7")</f>
        <v>Myh7</v>
      </c>
      <c r="B4712" s="4"/>
      <c r="C4712" s="3">
        <v>1538</v>
      </c>
      <c r="D4712" s="3">
        <v>2092</v>
      </c>
      <c r="E4712" s="3">
        <v>1544</v>
      </c>
      <c r="F4712" s="3">
        <v>87545</v>
      </c>
      <c r="G4712" s="3">
        <v>21740</v>
      </c>
      <c r="H4712" s="2">
        <f t="shared" si="146"/>
        <v>114459</v>
      </c>
      <c r="I4712" t="str">
        <f t="shared" si="147"/>
        <v>Myh7_114459</v>
      </c>
      <c r="J4712" s="3">
        <v>1538</v>
      </c>
      <c r="K4712" s="3">
        <v>2092</v>
      </c>
      <c r="L4712" s="3">
        <v>1544</v>
      </c>
      <c r="M4712" s="3">
        <v>87545</v>
      </c>
      <c r="N4712" s="3">
        <v>21740</v>
      </c>
    </row>
    <row r="4713" spans="1:14" x14ac:dyDescent="0.2">
      <c r="A4713" s="5" t="str">
        <f>HYPERLINK("http://www.ncbi.nlm.nih.gov/protein/145864471","Myh7b")</f>
        <v>Myh7b</v>
      </c>
      <c r="B4713" s="4"/>
      <c r="C4713" s="3">
        <v>8512</v>
      </c>
      <c r="D4713" s="3">
        <v>2092</v>
      </c>
      <c r="E4713" s="3">
        <v>1544</v>
      </c>
      <c r="F4713" s="3">
        <v>85138</v>
      </c>
      <c r="G4713" s="3">
        <v>21740</v>
      </c>
      <c r="H4713" s="2">
        <f t="shared" si="146"/>
        <v>119026</v>
      </c>
      <c r="I4713" t="str">
        <f t="shared" si="147"/>
        <v>Myh7b_119026</v>
      </c>
      <c r="J4713" s="3">
        <v>8512</v>
      </c>
      <c r="K4713" s="3">
        <v>2092</v>
      </c>
      <c r="L4713" s="3">
        <v>1544</v>
      </c>
      <c r="M4713" s="3">
        <v>85138</v>
      </c>
      <c r="N4713" s="3">
        <v>21740</v>
      </c>
    </row>
    <row r="4714" spans="1:14" x14ac:dyDescent="0.2">
      <c r="A4714" s="5" t="str">
        <f>HYPERLINK("http://www.ncbi.nlm.nih.gov/protein/71143152","Myh8")</f>
        <v>Myh8</v>
      </c>
      <c r="B4714" s="4"/>
      <c r="C4714" s="3">
        <v>1538</v>
      </c>
      <c r="D4714" s="3">
        <v>2092</v>
      </c>
      <c r="E4714" s="3">
        <v>1544</v>
      </c>
      <c r="F4714" s="3">
        <v>85138</v>
      </c>
      <c r="G4714" s="3">
        <v>21740</v>
      </c>
      <c r="H4714" s="2">
        <f t="shared" si="146"/>
        <v>112052</v>
      </c>
      <c r="I4714" t="str">
        <f t="shared" si="147"/>
        <v>Myh8_112052</v>
      </c>
      <c r="J4714" s="3">
        <v>1538</v>
      </c>
      <c r="K4714" s="3">
        <v>2092</v>
      </c>
      <c r="L4714" s="3">
        <v>1544</v>
      </c>
      <c r="M4714" s="3">
        <v>85138</v>
      </c>
      <c r="N4714" s="3">
        <v>21740</v>
      </c>
    </row>
    <row r="4715" spans="1:14" x14ac:dyDescent="0.2">
      <c r="A4715" s="5" t="str">
        <f>HYPERLINK("http://www.ncbi.nlm.nih.gov/protein/114326446","Myh9")</f>
        <v>Myh9</v>
      </c>
      <c r="B4715" s="4"/>
      <c r="C4715" s="3">
        <v>1003920</v>
      </c>
      <c r="D4715" s="3">
        <v>239989</v>
      </c>
      <c r="E4715" s="3">
        <v>471176</v>
      </c>
      <c r="F4715" s="3">
        <v>7573676</v>
      </c>
      <c r="G4715" s="3">
        <v>3296889</v>
      </c>
      <c r="H4715" s="2">
        <f t="shared" si="146"/>
        <v>12585650</v>
      </c>
      <c r="I4715" t="str">
        <f t="shared" si="147"/>
        <v>Myh9_12585650</v>
      </c>
      <c r="J4715" s="3">
        <v>1003920</v>
      </c>
      <c r="K4715" s="3">
        <v>239989</v>
      </c>
      <c r="L4715" s="3">
        <v>471176</v>
      </c>
      <c r="M4715" s="3">
        <v>7573676</v>
      </c>
      <c r="N4715" s="3">
        <v>3296889</v>
      </c>
    </row>
    <row r="4716" spans="1:14" x14ac:dyDescent="0.2">
      <c r="A4716" s="5" t="str">
        <f>HYPERLINK("http://www.ncbi.nlm.nih.gov/protein/164664497","Myl1")</f>
        <v>Myl1</v>
      </c>
      <c r="B4716" s="4"/>
      <c r="C4716" s="3">
        <v>751</v>
      </c>
      <c r="D4716" s="3">
        <v>5653</v>
      </c>
      <c r="E4716" s="3">
        <v>9361</v>
      </c>
      <c r="F4716" s="3">
        <v>40748</v>
      </c>
      <c r="G4716" s="3">
        <v>38329</v>
      </c>
      <c r="H4716" s="2">
        <f t="shared" si="146"/>
        <v>94842</v>
      </c>
      <c r="I4716" t="str">
        <f t="shared" si="147"/>
        <v>Myl1_94842</v>
      </c>
      <c r="J4716" s="3">
        <v>751</v>
      </c>
      <c r="K4716" s="3">
        <v>5653</v>
      </c>
      <c r="L4716" s="3">
        <v>9361</v>
      </c>
      <c r="M4716" s="3">
        <v>40748</v>
      </c>
      <c r="N4716" s="3">
        <v>38329</v>
      </c>
    </row>
    <row r="4717" spans="1:14" x14ac:dyDescent="0.2">
      <c r="A4717" s="5" t="str">
        <f>HYPERLINK("http://www.ncbi.nlm.nih.gov/protein/29789016","Myl1")</f>
        <v>Myl1</v>
      </c>
      <c r="B4717" s="4"/>
      <c r="C4717" s="3">
        <v>751</v>
      </c>
      <c r="D4717" s="3">
        <v>5653</v>
      </c>
      <c r="E4717" s="3">
        <v>9361</v>
      </c>
      <c r="F4717" s="3">
        <v>40748</v>
      </c>
      <c r="G4717" s="3">
        <v>38329</v>
      </c>
      <c r="H4717" s="2">
        <f t="shared" si="146"/>
        <v>94842</v>
      </c>
      <c r="I4717" t="str">
        <f t="shared" si="147"/>
        <v>Myl1_94842</v>
      </c>
      <c r="J4717" s="3">
        <v>751</v>
      </c>
      <c r="K4717" s="3">
        <v>5653</v>
      </c>
      <c r="L4717" s="3">
        <v>9361</v>
      </c>
      <c r="M4717" s="3">
        <v>40748</v>
      </c>
      <c r="N4717" s="3">
        <v>38329</v>
      </c>
    </row>
    <row r="4718" spans="1:14" x14ac:dyDescent="0.2">
      <c r="A4718" s="5" t="str">
        <f>HYPERLINK("http://www.ncbi.nlm.nih.gov/protein/146229342","Myl10")</f>
        <v>Myl10</v>
      </c>
      <c r="B4718" s="4"/>
      <c r="C4718" s="3">
        <v>0</v>
      </c>
      <c r="D4718" s="3">
        <v>0</v>
      </c>
      <c r="E4718" s="3">
        <v>0</v>
      </c>
      <c r="F4718" s="3">
        <v>0</v>
      </c>
      <c r="G4718" s="3">
        <v>835</v>
      </c>
      <c r="H4718" s="2">
        <f t="shared" si="146"/>
        <v>835</v>
      </c>
      <c r="I4718" t="str">
        <f t="shared" si="147"/>
        <v>Myl10_835</v>
      </c>
      <c r="J4718" s="3">
        <v>0</v>
      </c>
      <c r="K4718" s="3">
        <v>0</v>
      </c>
      <c r="L4718" s="3">
        <v>0</v>
      </c>
      <c r="M4718" s="3">
        <v>0</v>
      </c>
      <c r="N4718" s="3">
        <v>835</v>
      </c>
    </row>
    <row r="4719" spans="1:14" x14ac:dyDescent="0.2">
      <c r="A4719" s="5" t="str">
        <f>HYPERLINK("http://www.ncbi.nlm.nih.gov/protein/71037403","Myl12a")</f>
        <v>Myl12a</v>
      </c>
      <c r="B4719" s="4"/>
      <c r="C4719" s="3">
        <v>126275</v>
      </c>
      <c r="D4719" s="3">
        <v>12849</v>
      </c>
      <c r="E4719" s="3">
        <v>47454</v>
      </c>
      <c r="F4719" s="3">
        <v>70330</v>
      </c>
      <c r="G4719" s="3">
        <v>109922</v>
      </c>
      <c r="H4719" s="2">
        <f t="shared" si="146"/>
        <v>366830</v>
      </c>
      <c r="I4719" t="str">
        <f t="shared" si="147"/>
        <v>Myl12a_366830</v>
      </c>
      <c r="J4719" s="3">
        <v>126275</v>
      </c>
      <c r="K4719" s="3">
        <v>12849</v>
      </c>
      <c r="L4719" s="3">
        <v>47454</v>
      </c>
      <c r="M4719" s="3">
        <v>70330</v>
      </c>
      <c r="N4719" s="3">
        <v>109922</v>
      </c>
    </row>
    <row r="4720" spans="1:14" x14ac:dyDescent="0.2">
      <c r="A4720" s="5" t="str">
        <f>HYPERLINK("http://www.ncbi.nlm.nih.gov/protein/21728376","Myl12b")</f>
        <v>Myl12b</v>
      </c>
      <c r="B4720" s="4"/>
      <c r="C4720" s="3">
        <v>125689</v>
      </c>
      <c r="D4720" s="3">
        <v>12849</v>
      </c>
      <c r="E4720" s="3">
        <v>47447</v>
      </c>
      <c r="F4720" s="3">
        <v>70109</v>
      </c>
      <c r="G4720" s="3">
        <v>109912</v>
      </c>
      <c r="H4720" s="2">
        <f t="shared" si="146"/>
        <v>366006</v>
      </c>
      <c r="I4720" t="str">
        <f t="shared" si="147"/>
        <v>Myl12b_366006</v>
      </c>
      <c r="J4720" s="3">
        <v>125689</v>
      </c>
      <c r="K4720" s="3">
        <v>12849</v>
      </c>
      <c r="L4720" s="3">
        <v>47447</v>
      </c>
      <c r="M4720" s="3">
        <v>70109</v>
      </c>
      <c r="N4720" s="3">
        <v>109912</v>
      </c>
    </row>
    <row r="4721" spans="1:14" x14ac:dyDescent="0.2">
      <c r="A4721" s="5" t="str">
        <f>HYPERLINK("http://www.ncbi.nlm.nih.gov/protein/33563264","Myl3")</f>
        <v>Myl3</v>
      </c>
      <c r="B4721" s="4"/>
      <c r="C4721" s="3">
        <v>751</v>
      </c>
      <c r="D4721" s="3">
        <v>5653</v>
      </c>
      <c r="E4721" s="3">
        <v>9361</v>
      </c>
      <c r="F4721" s="3">
        <v>40748</v>
      </c>
      <c r="G4721" s="3">
        <v>38329</v>
      </c>
      <c r="H4721" s="2">
        <f t="shared" si="146"/>
        <v>94842</v>
      </c>
      <c r="I4721" t="str">
        <f t="shared" si="147"/>
        <v>Myl3_94842</v>
      </c>
      <c r="J4721" s="3">
        <v>751</v>
      </c>
      <c r="K4721" s="3">
        <v>5653</v>
      </c>
      <c r="L4721" s="3">
        <v>9361</v>
      </c>
      <c r="M4721" s="3">
        <v>40748</v>
      </c>
      <c r="N4721" s="3">
        <v>38329</v>
      </c>
    </row>
    <row r="4722" spans="1:14" x14ac:dyDescent="0.2">
      <c r="A4722" s="5" t="str">
        <f>HYPERLINK("http://www.ncbi.nlm.nih.gov/protein/33620739","Myl6")</f>
        <v>Myl6</v>
      </c>
      <c r="B4722" s="4"/>
      <c r="C4722" s="3">
        <v>152800</v>
      </c>
      <c r="D4722" s="3">
        <v>51336</v>
      </c>
      <c r="E4722" s="3">
        <v>98328</v>
      </c>
      <c r="F4722" s="3">
        <v>220642</v>
      </c>
      <c r="G4722" s="3">
        <v>304386</v>
      </c>
      <c r="H4722" s="2">
        <f t="shared" si="146"/>
        <v>827492</v>
      </c>
      <c r="I4722" t="str">
        <f t="shared" si="147"/>
        <v>Myl6_827492</v>
      </c>
      <c r="J4722" s="3">
        <v>152800</v>
      </c>
      <c r="K4722" s="3">
        <v>51336</v>
      </c>
      <c r="L4722" s="3">
        <v>98328</v>
      </c>
      <c r="M4722" s="3">
        <v>220642</v>
      </c>
      <c r="N4722" s="3">
        <v>304386</v>
      </c>
    </row>
    <row r="4723" spans="1:14" x14ac:dyDescent="0.2">
      <c r="A4723" s="5" t="str">
        <f>HYPERLINK("http://www.ncbi.nlm.nih.gov/protein/26986555","Myl6b")</f>
        <v>Myl6b</v>
      </c>
      <c r="B4723" s="4"/>
      <c r="C4723" s="3">
        <v>72528</v>
      </c>
      <c r="D4723" s="3">
        <v>17475</v>
      </c>
      <c r="E4723" s="3">
        <v>32091</v>
      </c>
      <c r="F4723" s="3">
        <v>7989</v>
      </c>
      <c r="G4723" s="3">
        <v>12669</v>
      </c>
      <c r="H4723" s="2">
        <f t="shared" si="146"/>
        <v>142752</v>
      </c>
      <c r="I4723" t="str">
        <f t="shared" si="147"/>
        <v>Myl6b_142752</v>
      </c>
      <c r="J4723" s="3">
        <v>72528</v>
      </c>
      <c r="K4723" s="3">
        <v>17475</v>
      </c>
      <c r="L4723" s="3">
        <v>32091</v>
      </c>
      <c r="M4723" s="3">
        <v>7989</v>
      </c>
      <c r="N4723" s="3">
        <v>12669</v>
      </c>
    </row>
    <row r="4724" spans="1:14" x14ac:dyDescent="0.2">
      <c r="A4724" s="5" t="str">
        <f>HYPERLINK("http://www.ncbi.nlm.nih.gov/protein/198278553","Myl9")</f>
        <v>Myl9</v>
      </c>
      <c r="B4724" s="4"/>
      <c r="C4724" s="3">
        <v>52795</v>
      </c>
      <c r="D4724" s="3">
        <v>6922</v>
      </c>
      <c r="E4724" s="3">
        <v>31603</v>
      </c>
      <c r="F4724" s="3">
        <v>50415</v>
      </c>
      <c r="G4724" s="3">
        <v>88439</v>
      </c>
      <c r="H4724" s="2">
        <f t="shared" si="146"/>
        <v>230174</v>
      </c>
      <c r="I4724" t="str">
        <f t="shared" si="147"/>
        <v>Myl9_230174</v>
      </c>
      <c r="J4724" s="3">
        <v>52795</v>
      </c>
      <c r="K4724" s="3">
        <v>6922</v>
      </c>
      <c r="L4724" s="3">
        <v>31603</v>
      </c>
      <c r="M4724" s="3">
        <v>50415</v>
      </c>
      <c r="N4724" s="3">
        <v>88439</v>
      </c>
    </row>
    <row r="4725" spans="1:14" x14ac:dyDescent="0.2">
      <c r="A4725" s="5" t="str">
        <f>HYPERLINK("http://www.ncbi.nlm.nih.gov/protein/126157499","Mylk")</f>
        <v>Mylk</v>
      </c>
      <c r="B4725" s="4"/>
      <c r="C4725" s="3">
        <v>17537</v>
      </c>
      <c r="D4725" s="3">
        <v>2891</v>
      </c>
      <c r="E4725" s="3">
        <v>5872</v>
      </c>
      <c r="F4725" s="3">
        <v>8906</v>
      </c>
      <c r="G4725" s="3">
        <v>130581</v>
      </c>
      <c r="H4725" s="2">
        <f t="shared" si="146"/>
        <v>165787</v>
      </c>
      <c r="I4725" t="str">
        <f t="shared" si="147"/>
        <v>Mylk_165787</v>
      </c>
      <c r="J4725" s="3">
        <v>17537</v>
      </c>
      <c r="K4725" s="3">
        <v>2891</v>
      </c>
      <c r="L4725" s="3">
        <v>5872</v>
      </c>
      <c r="M4725" s="3">
        <v>8906</v>
      </c>
      <c r="N4725" s="3">
        <v>130581</v>
      </c>
    </row>
    <row r="4726" spans="1:14" x14ac:dyDescent="0.2">
      <c r="A4726" s="5" t="str">
        <f>HYPERLINK("http://www.ncbi.nlm.nih.gov/protein/163644275","Mylk2")</f>
        <v>Mylk2</v>
      </c>
      <c r="B4726" s="4"/>
      <c r="C4726" s="3">
        <v>0</v>
      </c>
      <c r="D4726" s="3">
        <v>1937</v>
      </c>
      <c r="E4726" s="3">
        <v>3541</v>
      </c>
      <c r="F4726" s="3">
        <v>8865</v>
      </c>
      <c r="G4726" s="3">
        <v>42742</v>
      </c>
      <c r="H4726" s="2">
        <f t="shared" si="146"/>
        <v>57085</v>
      </c>
      <c r="I4726" t="str">
        <f t="shared" si="147"/>
        <v>Mylk2_57085</v>
      </c>
      <c r="J4726" s="3">
        <v>0</v>
      </c>
      <c r="K4726" s="3">
        <v>1937</v>
      </c>
      <c r="L4726" s="3">
        <v>3541</v>
      </c>
      <c r="M4726" s="3">
        <v>8865</v>
      </c>
      <c r="N4726" s="3">
        <v>42742</v>
      </c>
    </row>
    <row r="4727" spans="1:14" x14ac:dyDescent="0.2">
      <c r="A4727" s="5" t="str">
        <f>HYPERLINK("http://www.ncbi.nlm.nih.gov/protein/83776559","Mylk3")</f>
        <v>Mylk3</v>
      </c>
      <c r="B4727" s="4"/>
      <c r="C4727" s="3">
        <v>0</v>
      </c>
      <c r="D4727" s="3">
        <v>1937</v>
      </c>
      <c r="E4727" s="3">
        <v>3541</v>
      </c>
      <c r="F4727" s="3">
        <v>8865</v>
      </c>
      <c r="G4727" s="3">
        <v>42742</v>
      </c>
      <c r="H4727" s="2">
        <f t="shared" si="146"/>
        <v>57085</v>
      </c>
      <c r="I4727" t="str">
        <f t="shared" si="147"/>
        <v>Mylk3_57085</v>
      </c>
      <c r="J4727" s="3">
        <v>0</v>
      </c>
      <c r="K4727" s="3">
        <v>1937</v>
      </c>
      <c r="L4727" s="3">
        <v>3541</v>
      </c>
      <c r="M4727" s="3">
        <v>8865</v>
      </c>
      <c r="N4727" s="3">
        <v>42742</v>
      </c>
    </row>
    <row r="4728" spans="1:14" x14ac:dyDescent="0.2">
      <c r="A4728" s="5" t="str">
        <f>HYPERLINK("http://www.ncbi.nlm.nih.gov/protein/260447058","Mylk4")</f>
        <v>Mylk4</v>
      </c>
      <c r="B4728" s="4"/>
      <c r="C4728" s="3">
        <v>0</v>
      </c>
      <c r="D4728" s="3">
        <v>1937</v>
      </c>
      <c r="E4728" s="3">
        <v>3541</v>
      </c>
      <c r="F4728" s="3">
        <v>8865</v>
      </c>
      <c r="G4728" s="3">
        <v>42742</v>
      </c>
      <c r="H4728" s="2">
        <f t="shared" si="146"/>
        <v>57085</v>
      </c>
      <c r="I4728" t="str">
        <f t="shared" si="147"/>
        <v>Mylk4_57085</v>
      </c>
      <c r="J4728" s="3">
        <v>0</v>
      </c>
      <c r="K4728" s="3">
        <v>1937</v>
      </c>
      <c r="L4728" s="3">
        <v>3541</v>
      </c>
      <c r="M4728" s="3">
        <v>8865</v>
      </c>
      <c r="N4728" s="3">
        <v>42742</v>
      </c>
    </row>
    <row r="4729" spans="1:14" x14ac:dyDescent="0.2">
      <c r="A4729" s="5" t="str">
        <f>HYPERLINK("http://www.ncbi.nlm.nih.gov/protein/130507685","Myo10")</f>
        <v>Myo10</v>
      </c>
      <c r="B4729" s="4"/>
      <c r="C4729" s="3">
        <v>0</v>
      </c>
      <c r="D4729" s="3">
        <v>0</v>
      </c>
      <c r="E4729" s="3">
        <v>179</v>
      </c>
      <c r="F4729" s="3">
        <v>0</v>
      </c>
      <c r="G4729" s="3">
        <v>4037</v>
      </c>
      <c r="H4729" s="2">
        <f t="shared" si="146"/>
        <v>4216</v>
      </c>
      <c r="I4729" t="str">
        <f t="shared" si="147"/>
        <v>Myo10_4216</v>
      </c>
      <c r="J4729" s="3">
        <v>0</v>
      </c>
      <c r="K4729" s="3">
        <v>0</v>
      </c>
      <c r="L4729" s="3">
        <v>179</v>
      </c>
      <c r="M4729" s="3">
        <v>0</v>
      </c>
      <c r="N4729" s="3">
        <v>4037</v>
      </c>
    </row>
    <row r="4730" spans="1:14" x14ac:dyDescent="0.2">
      <c r="A4730" s="5" t="str">
        <f>HYPERLINK("http://www.ncbi.nlm.nih.gov/protein/157041244","Myo15")</f>
        <v>Myo15</v>
      </c>
      <c r="B4730" s="4"/>
      <c r="C4730" s="3">
        <v>81114</v>
      </c>
      <c r="D4730" s="3">
        <v>4062</v>
      </c>
      <c r="E4730" s="3">
        <v>32161</v>
      </c>
      <c r="F4730" s="3">
        <v>330312</v>
      </c>
      <c r="G4730" s="3">
        <v>0</v>
      </c>
      <c r="H4730" s="2">
        <f t="shared" si="146"/>
        <v>447649</v>
      </c>
      <c r="I4730" t="str">
        <f t="shared" si="147"/>
        <v>Myo15_447649</v>
      </c>
      <c r="J4730" s="3">
        <v>81114</v>
      </c>
      <c r="K4730" s="3">
        <v>4062</v>
      </c>
      <c r="L4730" s="3">
        <v>32161</v>
      </c>
      <c r="M4730" s="3">
        <v>330312</v>
      </c>
      <c r="N4730" s="3">
        <v>0</v>
      </c>
    </row>
    <row r="4731" spans="1:14" x14ac:dyDescent="0.2">
      <c r="A4731" s="5" t="str">
        <f>HYPERLINK("http://www.ncbi.nlm.nih.gov/protein/157041246","Myo15")</f>
        <v>Myo15</v>
      </c>
      <c r="B4731" s="4"/>
      <c r="C4731" s="3">
        <v>81114</v>
      </c>
      <c r="D4731" s="3">
        <v>4062</v>
      </c>
      <c r="E4731" s="3">
        <v>32161</v>
      </c>
      <c r="F4731" s="3">
        <v>330312</v>
      </c>
      <c r="G4731" s="3">
        <v>0</v>
      </c>
      <c r="H4731" s="2">
        <f t="shared" si="146"/>
        <v>447649</v>
      </c>
      <c r="I4731" t="str">
        <f t="shared" si="147"/>
        <v>Myo15_447649</v>
      </c>
      <c r="J4731" s="3">
        <v>81114</v>
      </c>
      <c r="K4731" s="3">
        <v>4062</v>
      </c>
      <c r="L4731" s="3">
        <v>32161</v>
      </c>
      <c r="M4731" s="3">
        <v>330312</v>
      </c>
      <c r="N4731" s="3">
        <v>0</v>
      </c>
    </row>
    <row r="4732" spans="1:14" x14ac:dyDescent="0.2">
      <c r="A4732" s="5" t="str">
        <f>HYPERLINK("http://www.ncbi.nlm.nih.gov/protein/157041248","Myo15")</f>
        <v>Myo15</v>
      </c>
      <c r="B4732" s="4"/>
      <c r="C4732" s="3">
        <v>81114</v>
      </c>
      <c r="D4732" s="3">
        <v>4062</v>
      </c>
      <c r="E4732" s="3">
        <v>32161</v>
      </c>
      <c r="F4732" s="3">
        <v>330312</v>
      </c>
      <c r="G4732" s="3">
        <v>0</v>
      </c>
      <c r="H4732" s="2">
        <f t="shared" si="146"/>
        <v>447649</v>
      </c>
      <c r="I4732" t="str">
        <f t="shared" si="147"/>
        <v>Myo15_447649</v>
      </c>
      <c r="J4732" s="3">
        <v>81114</v>
      </c>
      <c r="K4732" s="3">
        <v>4062</v>
      </c>
      <c r="L4732" s="3">
        <v>32161</v>
      </c>
      <c r="M4732" s="3">
        <v>330312</v>
      </c>
      <c r="N4732" s="3">
        <v>0</v>
      </c>
    </row>
    <row r="4733" spans="1:14" x14ac:dyDescent="0.2">
      <c r="A4733" s="5" t="str">
        <f>HYPERLINK("http://www.ncbi.nlm.nih.gov/protein/22094119","Myo18a")</f>
        <v>Myo18a</v>
      </c>
      <c r="B4733" s="4"/>
      <c r="C4733" s="3">
        <v>1959</v>
      </c>
      <c r="D4733" s="3">
        <v>13011</v>
      </c>
      <c r="E4733" s="3">
        <v>9017</v>
      </c>
      <c r="F4733" s="3">
        <v>124118</v>
      </c>
      <c r="G4733" s="3">
        <v>0</v>
      </c>
      <c r="H4733" s="2">
        <f t="shared" si="146"/>
        <v>148105</v>
      </c>
      <c r="I4733" t="str">
        <f t="shared" si="147"/>
        <v>Myo18a_148105</v>
      </c>
      <c r="J4733" s="3">
        <v>1959</v>
      </c>
      <c r="K4733" s="3">
        <v>13011</v>
      </c>
      <c r="L4733" s="3">
        <v>9017</v>
      </c>
      <c r="M4733" s="3">
        <v>124118</v>
      </c>
      <c r="N4733" s="3">
        <v>0</v>
      </c>
    </row>
    <row r="4734" spans="1:14" x14ac:dyDescent="0.2">
      <c r="A4734" s="5" t="str">
        <f>HYPERLINK("http://www.ncbi.nlm.nih.gov/protein/254939539","Myo19")</f>
        <v>Myo19</v>
      </c>
      <c r="B4734" s="4"/>
      <c r="C4734" s="3">
        <v>0</v>
      </c>
      <c r="D4734" s="3">
        <v>81</v>
      </c>
      <c r="E4734" s="3">
        <v>0</v>
      </c>
      <c r="F4734" s="3">
        <v>0</v>
      </c>
      <c r="G4734" s="3">
        <v>0</v>
      </c>
      <c r="H4734" s="2">
        <f t="shared" si="146"/>
        <v>81</v>
      </c>
      <c r="I4734" t="str">
        <f t="shared" si="147"/>
        <v>Myo19_81</v>
      </c>
      <c r="J4734" s="3">
        <v>0</v>
      </c>
      <c r="K4734" s="3">
        <v>81</v>
      </c>
      <c r="L4734" s="3">
        <v>0</v>
      </c>
      <c r="M4734" s="3">
        <v>0</v>
      </c>
      <c r="N4734" s="3">
        <v>0</v>
      </c>
    </row>
    <row r="4735" spans="1:14" x14ac:dyDescent="0.2">
      <c r="A4735" s="5" t="str">
        <f>HYPERLINK("http://www.ncbi.nlm.nih.gov/protein/124487037","Myo1a")</f>
        <v>Myo1a</v>
      </c>
      <c r="B4735" s="4"/>
      <c r="C4735" s="3">
        <v>0</v>
      </c>
      <c r="D4735" s="3">
        <v>0</v>
      </c>
      <c r="E4735" s="3">
        <v>75</v>
      </c>
      <c r="F4735" s="3">
        <v>0</v>
      </c>
      <c r="G4735" s="3">
        <v>0</v>
      </c>
      <c r="H4735" s="2">
        <f t="shared" si="146"/>
        <v>75</v>
      </c>
      <c r="I4735" t="str">
        <f t="shared" si="147"/>
        <v>Myo1a_75</v>
      </c>
      <c r="J4735" s="3">
        <v>0</v>
      </c>
      <c r="K4735" s="3">
        <v>0</v>
      </c>
      <c r="L4735" s="3">
        <v>75</v>
      </c>
      <c r="M4735" s="3">
        <v>0</v>
      </c>
      <c r="N4735" s="3">
        <v>0</v>
      </c>
    </row>
    <row r="4736" spans="1:14" x14ac:dyDescent="0.2">
      <c r="A4736" s="5" t="str">
        <f>HYPERLINK("http://www.ncbi.nlm.nih.gov/protein/240120042","Myo1b")</f>
        <v>Myo1b</v>
      </c>
      <c r="B4736" s="4"/>
      <c r="C4736" s="3">
        <v>0</v>
      </c>
      <c r="D4736" s="3">
        <v>0</v>
      </c>
      <c r="E4736" s="3">
        <v>1307</v>
      </c>
      <c r="F4736" s="3">
        <v>0</v>
      </c>
      <c r="G4736" s="3">
        <v>0</v>
      </c>
      <c r="H4736" s="2">
        <f t="shared" si="146"/>
        <v>1307</v>
      </c>
      <c r="I4736" t="str">
        <f t="shared" si="147"/>
        <v>Myo1b_1307</v>
      </c>
      <c r="J4736" s="3">
        <v>0</v>
      </c>
      <c r="K4736" s="3">
        <v>0</v>
      </c>
      <c r="L4736" s="3">
        <v>1307</v>
      </c>
      <c r="M4736" s="3">
        <v>0</v>
      </c>
      <c r="N4736" s="3">
        <v>0</v>
      </c>
    </row>
    <row r="4737" spans="1:14" x14ac:dyDescent="0.2">
      <c r="A4737" s="5" t="str">
        <f>HYPERLINK("http://www.ncbi.nlm.nih.gov/protein/86990450","Myo1b")</f>
        <v>Myo1b</v>
      </c>
      <c r="B4737" s="4"/>
      <c r="C4737" s="3">
        <v>0</v>
      </c>
      <c r="D4737" s="3">
        <v>0</v>
      </c>
      <c r="E4737" s="3">
        <v>1307</v>
      </c>
      <c r="F4737" s="3">
        <v>0</v>
      </c>
      <c r="G4737" s="3">
        <v>0</v>
      </c>
      <c r="H4737" s="2">
        <f t="shared" si="146"/>
        <v>1307</v>
      </c>
      <c r="I4737" t="str">
        <f t="shared" si="147"/>
        <v>Myo1b_1307</v>
      </c>
      <c r="J4737" s="3">
        <v>0</v>
      </c>
      <c r="K4737" s="3">
        <v>0</v>
      </c>
      <c r="L4737" s="3">
        <v>1307</v>
      </c>
      <c r="M4737" s="3">
        <v>0</v>
      </c>
      <c r="N4737" s="3">
        <v>0</v>
      </c>
    </row>
    <row r="4738" spans="1:14" x14ac:dyDescent="0.2">
      <c r="A4738" s="5" t="str">
        <f>HYPERLINK("http://www.ncbi.nlm.nih.gov/protein/124494244;6678986","Myo1c")</f>
        <v>Myo1c</v>
      </c>
      <c r="B4738" s="4"/>
      <c r="C4738" s="3">
        <v>36264</v>
      </c>
      <c r="D4738" s="3">
        <v>0</v>
      </c>
      <c r="E4738" s="3">
        <v>56745</v>
      </c>
      <c r="F4738" s="3">
        <v>0</v>
      </c>
      <c r="G4738" s="3">
        <v>0</v>
      </c>
      <c r="H4738" s="2">
        <f t="shared" ref="H4738:H4801" si="148">SUM(C4738:G4738)</f>
        <v>93009</v>
      </c>
      <c r="I4738" t="str">
        <f t="shared" ref="I4738:I4801" si="149">A4738&amp;"_"&amp;H4738</f>
        <v>Myo1c_93009</v>
      </c>
      <c r="J4738" s="3">
        <v>36264</v>
      </c>
      <c r="K4738" s="3">
        <v>0</v>
      </c>
      <c r="L4738" s="3">
        <v>56745</v>
      </c>
      <c r="M4738" s="3">
        <v>0</v>
      </c>
      <c r="N4738" s="3">
        <v>0</v>
      </c>
    </row>
    <row r="4739" spans="1:14" x14ac:dyDescent="0.2">
      <c r="A4739" s="5" t="str">
        <f>HYPERLINK("http://www.ncbi.nlm.nih.gov/protein/6678986","Myo1c")</f>
        <v>Myo1c</v>
      </c>
      <c r="B4739" s="4"/>
      <c r="C4739" s="3">
        <v>0</v>
      </c>
      <c r="D4739" s="3">
        <v>5244</v>
      </c>
      <c r="E4739" s="3">
        <v>0</v>
      </c>
      <c r="F4739" s="3">
        <v>39004</v>
      </c>
      <c r="G4739" s="3">
        <v>45890</v>
      </c>
      <c r="H4739" s="2">
        <f t="shared" si="148"/>
        <v>90138</v>
      </c>
      <c r="I4739" t="str">
        <f t="shared" si="149"/>
        <v>Myo1c_90138</v>
      </c>
      <c r="J4739" s="3">
        <v>0</v>
      </c>
      <c r="K4739" s="3">
        <v>5244</v>
      </c>
      <c r="L4739" s="3">
        <v>0</v>
      </c>
      <c r="M4739" s="3">
        <v>39004</v>
      </c>
      <c r="N4739" s="3">
        <v>45890</v>
      </c>
    </row>
    <row r="4740" spans="1:14" x14ac:dyDescent="0.2">
      <c r="A4740" s="5" t="str">
        <f>HYPERLINK("http://www.ncbi.nlm.nih.gov/protein/124494242","Myo1c")</f>
        <v>Myo1c</v>
      </c>
      <c r="B4740" s="4"/>
      <c r="C4740" s="3">
        <v>36264</v>
      </c>
      <c r="D4740" s="3">
        <v>5244</v>
      </c>
      <c r="E4740" s="3">
        <v>58571</v>
      </c>
      <c r="F4740" s="3">
        <v>39004</v>
      </c>
      <c r="G4740" s="3">
        <v>45890</v>
      </c>
      <c r="H4740" s="2">
        <f t="shared" si="148"/>
        <v>184973</v>
      </c>
      <c r="I4740" t="str">
        <f t="shared" si="149"/>
        <v>Myo1c_184973</v>
      </c>
      <c r="J4740" s="3">
        <v>36264</v>
      </c>
      <c r="K4740" s="3">
        <v>5244</v>
      </c>
      <c r="L4740" s="3">
        <v>58571</v>
      </c>
      <c r="M4740" s="3">
        <v>39004</v>
      </c>
      <c r="N4740" s="3">
        <v>45890</v>
      </c>
    </row>
    <row r="4741" spans="1:14" x14ac:dyDescent="0.2">
      <c r="A4741" s="5" t="str">
        <f>HYPERLINK("http://www.ncbi.nlm.nih.gov/protein/118026911","Myo1d")</f>
        <v>Myo1d</v>
      </c>
      <c r="B4741" s="4"/>
      <c r="C4741" s="3">
        <v>659</v>
      </c>
      <c r="D4741" s="3">
        <v>33</v>
      </c>
      <c r="E4741" s="3">
        <v>20333</v>
      </c>
      <c r="F4741" s="3">
        <v>696</v>
      </c>
      <c r="G4741" s="3">
        <v>0</v>
      </c>
      <c r="H4741" s="2">
        <f t="shared" si="148"/>
        <v>21721</v>
      </c>
      <c r="I4741" t="str">
        <f t="shared" si="149"/>
        <v>Myo1d_21721</v>
      </c>
      <c r="J4741" s="3">
        <v>659</v>
      </c>
      <c r="K4741" s="3">
        <v>33</v>
      </c>
      <c r="L4741" s="3">
        <v>20333</v>
      </c>
      <c r="M4741" s="3">
        <v>696</v>
      </c>
      <c r="N4741" s="3">
        <v>0</v>
      </c>
    </row>
    <row r="4742" spans="1:14" x14ac:dyDescent="0.2">
      <c r="A4742" s="5" t="str">
        <f>HYPERLINK("http://www.ncbi.nlm.nih.gov/protein/407261730","Myo1e")</f>
        <v>Myo1e</v>
      </c>
      <c r="B4742" s="4"/>
      <c r="C4742" s="3">
        <v>0</v>
      </c>
      <c r="D4742" s="3">
        <v>251</v>
      </c>
      <c r="E4742" s="3">
        <v>947</v>
      </c>
      <c r="F4742" s="3">
        <v>40764</v>
      </c>
      <c r="G4742" s="3">
        <v>19352</v>
      </c>
      <c r="H4742" s="2">
        <f t="shared" si="148"/>
        <v>61314</v>
      </c>
      <c r="I4742" t="str">
        <f t="shared" si="149"/>
        <v>Myo1e_61314</v>
      </c>
      <c r="J4742" s="3">
        <v>0</v>
      </c>
      <c r="K4742" s="3">
        <v>251</v>
      </c>
      <c r="L4742" s="3">
        <v>947</v>
      </c>
      <c r="M4742" s="3">
        <v>40764</v>
      </c>
      <c r="N4742" s="3">
        <v>19352</v>
      </c>
    </row>
    <row r="4743" spans="1:14" x14ac:dyDescent="0.2">
      <c r="A4743" s="5" t="str">
        <f>HYPERLINK("http://www.ncbi.nlm.nih.gov/protein/68299824","Myo1e")</f>
        <v>Myo1e</v>
      </c>
      <c r="B4743" s="4"/>
      <c r="C4743" s="3">
        <v>0</v>
      </c>
      <c r="D4743" s="3">
        <v>251</v>
      </c>
      <c r="E4743" s="3">
        <v>947</v>
      </c>
      <c r="F4743" s="3">
        <v>41828</v>
      </c>
      <c r="G4743" s="3">
        <v>19352</v>
      </c>
      <c r="H4743" s="2">
        <f t="shared" si="148"/>
        <v>62378</v>
      </c>
      <c r="I4743" t="str">
        <f t="shared" si="149"/>
        <v>Myo1e_62378</v>
      </c>
      <c r="J4743" s="3">
        <v>0</v>
      </c>
      <c r="K4743" s="3">
        <v>251</v>
      </c>
      <c r="L4743" s="3">
        <v>947</v>
      </c>
      <c r="M4743" s="3">
        <v>41828</v>
      </c>
      <c r="N4743" s="3">
        <v>19352</v>
      </c>
    </row>
    <row r="4744" spans="1:14" x14ac:dyDescent="0.2">
      <c r="A4744" s="5" t="str">
        <f>HYPERLINK("http://www.ncbi.nlm.nih.gov/protein/255069756","Myo1f")</f>
        <v>Myo1f</v>
      </c>
      <c r="B4744" s="4"/>
      <c r="C4744" s="3">
        <v>0</v>
      </c>
      <c r="D4744" s="3">
        <v>25</v>
      </c>
      <c r="E4744" s="3">
        <v>395</v>
      </c>
      <c r="F4744" s="3">
        <v>11124</v>
      </c>
      <c r="G4744" s="3">
        <v>8311</v>
      </c>
      <c r="H4744" s="2">
        <f t="shared" si="148"/>
        <v>19855</v>
      </c>
      <c r="I4744" t="str">
        <f t="shared" si="149"/>
        <v>Myo1f_19855</v>
      </c>
      <c r="J4744" s="3">
        <v>0</v>
      </c>
      <c r="K4744" s="3">
        <v>25</v>
      </c>
      <c r="L4744" s="3">
        <v>395</v>
      </c>
      <c r="M4744" s="3">
        <v>11124</v>
      </c>
      <c r="N4744" s="3">
        <v>8311</v>
      </c>
    </row>
    <row r="4745" spans="1:14" x14ac:dyDescent="0.2">
      <c r="A4745" s="5" t="str">
        <f>HYPERLINK("http://www.ncbi.nlm.nih.gov/protein/266458101","Myo1g")</f>
        <v>Myo1g</v>
      </c>
      <c r="B4745" s="4"/>
      <c r="C4745" s="3">
        <v>0</v>
      </c>
      <c r="D4745" s="3">
        <v>0</v>
      </c>
      <c r="E4745" s="3">
        <v>872</v>
      </c>
      <c r="F4745" s="3">
        <v>0</v>
      </c>
      <c r="G4745" s="3">
        <v>0</v>
      </c>
      <c r="H4745" s="2">
        <f t="shared" si="148"/>
        <v>872</v>
      </c>
      <c r="I4745" t="str">
        <f t="shared" si="149"/>
        <v>Myo1g_872</v>
      </c>
      <c r="J4745" s="3">
        <v>0</v>
      </c>
      <c r="K4745" s="3">
        <v>0</v>
      </c>
      <c r="L4745" s="3">
        <v>872</v>
      </c>
      <c r="M4745" s="3">
        <v>0</v>
      </c>
      <c r="N4745" s="3">
        <v>0</v>
      </c>
    </row>
    <row r="4746" spans="1:14" x14ac:dyDescent="0.2">
      <c r="A4746" s="5" t="str">
        <f>HYPERLINK("http://www.ncbi.nlm.nih.gov/protein/111120334","Myo3b")</f>
        <v>Myo3b</v>
      </c>
      <c r="B4746" s="4"/>
      <c r="C4746" s="3">
        <v>0</v>
      </c>
      <c r="D4746" s="3">
        <v>0</v>
      </c>
      <c r="E4746" s="3">
        <v>111</v>
      </c>
      <c r="F4746" s="3">
        <v>0</v>
      </c>
      <c r="G4746" s="3">
        <v>0</v>
      </c>
      <c r="H4746" s="2">
        <f t="shared" si="148"/>
        <v>111</v>
      </c>
      <c r="I4746" t="str">
        <f t="shared" si="149"/>
        <v>Myo3b_111</v>
      </c>
      <c r="J4746" s="3">
        <v>0</v>
      </c>
      <c r="K4746" s="3">
        <v>0</v>
      </c>
      <c r="L4746" s="3">
        <v>111</v>
      </c>
      <c r="M4746" s="3">
        <v>0</v>
      </c>
      <c r="N4746" s="3">
        <v>0</v>
      </c>
    </row>
    <row r="4747" spans="1:14" x14ac:dyDescent="0.2">
      <c r="A4747" s="5" t="str">
        <f>HYPERLINK("http://www.ncbi.nlm.nih.gov/protein/115511052","Myo5a")</f>
        <v>Myo5a</v>
      </c>
      <c r="B4747" s="4"/>
      <c r="C4747" s="3">
        <v>0</v>
      </c>
      <c r="D4747" s="3">
        <v>61</v>
      </c>
      <c r="E4747" s="3">
        <v>1174</v>
      </c>
      <c r="F4747" s="3">
        <v>254</v>
      </c>
      <c r="G4747" s="3">
        <v>0</v>
      </c>
      <c r="H4747" s="2">
        <f t="shared" si="148"/>
        <v>1489</v>
      </c>
      <c r="I4747" t="str">
        <f t="shared" si="149"/>
        <v>Myo5a_1489</v>
      </c>
      <c r="J4747" s="3">
        <v>0</v>
      </c>
      <c r="K4747" s="3">
        <v>61</v>
      </c>
      <c r="L4747" s="3">
        <v>1174</v>
      </c>
      <c r="M4747" s="3">
        <v>254</v>
      </c>
      <c r="N4747" s="3">
        <v>0</v>
      </c>
    </row>
    <row r="4748" spans="1:14" x14ac:dyDescent="0.2">
      <c r="A4748" s="5" t="str">
        <f>HYPERLINK("http://www.ncbi.nlm.nih.gov/protein/46399202","Myo5b")</f>
        <v>Myo5b</v>
      </c>
      <c r="B4748" s="4"/>
      <c r="C4748" s="3">
        <v>0</v>
      </c>
      <c r="D4748" s="3">
        <v>61</v>
      </c>
      <c r="E4748" s="3">
        <v>1074</v>
      </c>
      <c r="F4748" s="3">
        <v>254</v>
      </c>
      <c r="G4748" s="3">
        <v>0</v>
      </c>
      <c r="H4748" s="2">
        <f t="shared" si="148"/>
        <v>1389</v>
      </c>
      <c r="I4748" t="str">
        <f t="shared" si="149"/>
        <v>Myo5b_1389</v>
      </c>
      <c r="J4748" s="3">
        <v>0</v>
      </c>
      <c r="K4748" s="3">
        <v>61</v>
      </c>
      <c r="L4748" s="3">
        <v>1074</v>
      </c>
      <c r="M4748" s="3">
        <v>254</v>
      </c>
      <c r="N4748" s="3">
        <v>0</v>
      </c>
    </row>
    <row r="4749" spans="1:14" x14ac:dyDescent="0.2">
      <c r="A4749" s="5" t="str">
        <f>HYPERLINK("http://www.ncbi.nlm.nih.gov/protein/124486759","Myo5c")</f>
        <v>Myo5c</v>
      </c>
      <c r="B4749" s="4"/>
      <c r="C4749" s="3">
        <v>0</v>
      </c>
      <c r="D4749" s="3">
        <v>136</v>
      </c>
      <c r="E4749" s="3">
        <v>3562</v>
      </c>
      <c r="F4749" s="3">
        <v>3954</v>
      </c>
      <c r="G4749" s="3">
        <v>129</v>
      </c>
      <c r="H4749" s="2">
        <f t="shared" si="148"/>
        <v>7781</v>
      </c>
      <c r="I4749" t="str">
        <f t="shared" si="149"/>
        <v>Myo5c_7781</v>
      </c>
      <c r="J4749" s="3">
        <v>0</v>
      </c>
      <c r="K4749" s="3">
        <v>136</v>
      </c>
      <c r="L4749" s="3">
        <v>3562</v>
      </c>
      <c r="M4749" s="3">
        <v>3954</v>
      </c>
      <c r="N4749" s="3">
        <v>129</v>
      </c>
    </row>
    <row r="4750" spans="1:14" x14ac:dyDescent="0.2">
      <c r="A4750" s="5" t="str">
        <f>HYPERLINK("http://www.ncbi.nlm.nih.gov/protein/261823961","Myo6")</f>
        <v>Myo6</v>
      </c>
      <c r="B4750" s="4"/>
      <c r="C4750" s="3">
        <v>32457</v>
      </c>
      <c r="D4750" s="3">
        <v>15022</v>
      </c>
      <c r="E4750" s="3">
        <v>40130</v>
      </c>
      <c r="F4750" s="3">
        <v>191452</v>
      </c>
      <c r="G4750" s="3">
        <v>593713</v>
      </c>
      <c r="H4750" s="2">
        <f t="shared" si="148"/>
        <v>872774</v>
      </c>
      <c r="I4750" t="str">
        <f t="shared" si="149"/>
        <v>Myo6_872774</v>
      </c>
      <c r="J4750" s="3">
        <v>32457</v>
      </c>
      <c r="K4750" s="3">
        <v>15022</v>
      </c>
      <c r="L4750" s="3">
        <v>40130</v>
      </c>
      <c r="M4750" s="3">
        <v>191452</v>
      </c>
      <c r="N4750" s="3">
        <v>593713</v>
      </c>
    </row>
    <row r="4751" spans="1:14" x14ac:dyDescent="0.2">
      <c r="A4751" s="5" t="str">
        <f>HYPERLINK("http://www.ncbi.nlm.nih.gov/protein/115511010","Myo7a")</f>
        <v>Myo7a</v>
      </c>
      <c r="B4751" s="4"/>
      <c r="C4751" s="3">
        <v>0</v>
      </c>
      <c r="D4751" s="3">
        <v>0</v>
      </c>
      <c r="E4751" s="3">
        <v>66</v>
      </c>
      <c r="F4751" s="3">
        <v>0</v>
      </c>
      <c r="G4751" s="3">
        <v>0</v>
      </c>
      <c r="H4751" s="2">
        <f t="shared" si="148"/>
        <v>66</v>
      </c>
      <c r="I4751" t="str">
        <f t="shared" si="149"/>
        <v>Myo7a_66</v>
      </c>
      <c r="J4751" s="3">
        <v>0</v>
      </c>
      <c r="K4751" s="3">
        <v>0</v>
      </c>
      <c r="L4751" s="3">
        <v>66</v>
      </c>
      <c r="M4751" s="3">
        <v>0</v>
      </c>
      <c r="N4751" s="3">
        <v>0</v>
      </c>
    </row>
    <row r="4752" spans="1:14" x14ac:dyDescent="0.2">
      <c r="A4752" s="5" t="str">
        <f>HYPERLINK("http://www.ncbi.nlm.nih.gov/protein/367460064","Myo7a")</f>
        <v>Myo7a</v>
      </c>
      <c r="B4752" s="4"/>
      <c r="C4752" s="3">
        <v>0</v>
      </c>
      <c r="D4752" s="3">
        <v>0</v>
      </c>
      <c r="E4752" s="3">
        <v>66</v>
      </c>
      <c r="F4752" s="3">
        <v>0</v>
      </c>
      <c r="G4752" s="3">
        <v>0</v>
      </c>
      <c r="H4752" s="2">
        <f t="shared" si="148"/>
        <v>66</v>
      </c>
      <c r="I4752" t="str">
        <f t="shared" si="149"/>
        <v>Myo7a_66</v>
      </c>
      <c r="J4752" s="3">
        <v>0</v>
      </c>
      <c r="K4752" s="3">
        <v>0</v>
      </c>
      <c r="L4752" s="3">
        <v>66</v>
      </c>
      <c r="M4752" s="3">
        <v>0</v>
      </c>
      <c r="N4752" s="3">
        <v>0</v>
      </c>
    </row>
    <row r="4753" spans="1:14" x14ac:dyDescent="0.2">
      <c r="A4753" s="5" t="str">
        <f>HYPERLINK("http://www.ncbi.nlm.nih.gov/protein/367460066","Myo7a")</f>
        <v>Myo7a</v>
      </c>
      <c r="B4753" s="4"/>
      <c r="C4753" s="3">
        <v>0</v>
      </c>
      <c r="D4753" s="3">
        <v>0</v>
      </c>
      <c r="E4753" s="3">
        <v>66</v>
      </c>
      <c r="F4753" s="3">
        <v>0</v>
      </c>
      <c r="G4753" s="3">
        <v>0</v>
      </c>
      <c r="H4753" s="2">
        <f t="shared" si="148"/>
        <v>66</v>
      </c>
      <c r="I4753" t="str">
        <f t="shared" si="149"/>
        <v>Myo7a_66</v>
      </c>
      <c r="J4753" s="3">
        <v>0</v>
      </c>
      <c r="K4753" s="3">
        <v>0</v>
      </c>
      <c r="L4753" s="3">
        <v>66</v>
      </c>
      <c r="M4753" s="3">
        <v>0</v>
      </c>
      <c r="N4753" s="3">
        <v>0</v>
      </c>
    </row>
    <row r="4754" spans="1:14" x14ac:dyDescent="0.2">
      <c r="A4754" s="5" t="str">
        <f>HYPERLINK("http://www.ncbi.nlm.nih.gov/protein/367460068","Myo7a")</f>
        <v>Myo7a</v>
      </c>
      <c r="B4754" s="4"/>
      <c r="C4754" s="3">
        <v>0</v>
      </c>
      <c r="D4754" s="3">
        <v>0</v>
      </c>
      <c r="E4754" s="3">
        <v>66</v>
      </c>
      <c r="F4754" s="3">
        <v>0</v>
      </c>
      <c r="G4754" s="3">
        <v>0</v>
      </c>
      <c r="H4754" s="2">
        <f t="shared" si="148"/>
        <v>66</v>
      </c>
      <c r="I4754" t="str">
        <f t="shared" si="149"/>
        <v>Myo7a_66</v>
      </c>
      <c r="J4754" s="3">
        <v>0</v>
      </c>
      <c r="K4754" s="3">
        <v>0</v>
      </c>
      <c r="L4754" s="3">
        <v>66</v>
      </c>
      <c r="M4754" s="3">
        <v>0</v>
      </c>
      <c r="N4754" s="3">
        <v>0</v>
      </c>
    </row>
    <row r="4755" spans="1:14" x14ac:dyDescent="0.2">
      <c r="A4755" s="5" t="str">
        <f>HYPERLINK("http://www.ncbi.nlm.nih.gov/protein/124053459","Myo9b")</f>
        <v>Myo9b</v>
      </c>
      <c r="B4755" s="4"/>
      <c r="C4755" s="3">
        <v>0</v>
      </c>
      <c r="D4755" s="3">
        <v>0</v>
      </c>
      <c r="E4755" s="3">
        <v>31</v>
      </c>
      <c r="F4755" s="3">
        <v>8</v>
      </c>
      <c r="G4755" s="3">
        <v>0</v>
      </c>
      <c r="H4755" s="2">
        <f t="shared" si="148"/>
        <v>39</v>
      </c>
      <c r="I4755" t="str">
        <f t="shared" si="149"/>
        <v>Myo9b_39</v>
      </c>
      <c r="J4755" s="3">
        <v>0</v>
      </c>
      <c r="K4755" s="3">
        <v>0</v>
      </c>
      <c r="L4755" s="3">
        <v>31</v>
      </c>
      <c r="M4755" s="3">
        <v>8</v>
      </c>
      <c r="N4755" s="3">
        <v>0</v>
      </c>
    </row>
    <row r="4756" spans="1:14" x14ac:dyDescent="0.2">
      <c r="A4756" s="5" t="str">
        <f>HYPERLINK("http://www.ncbi.nlm.nih.gov/protein/215272382","Myo9b")</f>
        <v>Myo9b</v>
      </c>
      <c r="B4756" s="4"/>
      <c r="C4756" s="3">
        <v>0</v>
      </c>
      <c r="D4756" s="3">
        <v>0</v>
      </c>
      <c r="E4756" s="3">
        <v>31</v>
      </c>
      <c r="F4756" s="3">
        <v>8</v>
      </c>
      <c r="G4756" s="3">
        <v>0</v>
      </c>
      <c r="H4756" s="2">
        <f t="shared" si="148"/>
        <v>39</v>
      </c>
      <c r="I4756" t="str">
        <f t="shared" si="149"/>
        <v>Myo9b_39</v>
      </c>
      <c r="J4756" s="3">
        <v>0</v>
      </c>
      <c r="K4756" s="3">
        <v>0</v>
      </c>
      <c r="L4756" s="3">
        <v>31</v>
      </c>
      <c r="M4756" s="3">
        <v>8</v>
      </c>
      <c r="N4756" s="3">
        <v>0</v>
      </c>
    </row>
    <row r="4757" spans="1:14" x14ac:dyDescent="0.2">
      <c r="A4757" s="5" t="str">
        <f>HYPERLINK("http://www.ncbi.nlm.nih.gov/protein/215272384","Myo9b")</f>
        <v>Myo9b</v>
      </c>
      <c r="B4757" s="4"/>
      <c r="C4757" s="3">
        <v>0</v>
      </c>
      <c r="D4757" s="3">
        <v>0</v>
      </c>
      <c r="E4757" s="3">
        <v>31</v>
      </c>
      <c r="F4757" s="3">
        <v>8</v>
      </c>
      <c r="G4757" s="3">
        <v>0</v>
      </c>
      <c r="H4757" s="2">
        <f t="shared" si="148"/>
        <v>39</v>
      </c>
      <c r="I4757" t="str">
        <f t="shared" si="149"/>
        <v>Myo9b_39</v>
      </c>
      <c r="J4757" s="3">
        <v>0</v>
      </c>
      <c r="K4757" s="3">
        <v>0</v>
      </c>
      <c r="L4757" s="3">
        <v>31</v>
      </c>
      <c r="M4757" s="3">
        <v>8</v>
      </c>
      <c r="N4757" s="3">
        <v>0</v>
      </c>
    </row>
    <row r="4758" spans="1:14" x14ac:dyDescent="0.2">
      <c r="A4758" s="5" t="str">
        <f>HYPERLINK("http://www.ncbi.nlm.nih.gov/protein/153791796","Myof")</f>
        <v>Myof</v>
      </c>
      <c r="B4758" s="4"/>
      <c r="C4758" s="3">
        <v>101031</v>
      </c>
      <c r="D4758" s="3">
        <v>52962</v>
      </c>
      <c r="E4758" s="3">
        <v>142821</v>
      </c>
      <c r="F4758" s="3">
        <v>44153</v>
      </c>
      <c r="G4758" s="3">
        <v>0</v>
      </c>
      <c r="H4758" s="2">
        <f t="shared" si="148"/>
        <v>340967</v>
      </c>
      <c r="I4758" t="str">
        <f t="shared" si="149"/>
        <v>Myof_340967</v>
      </c>
      <c r="J4758" s="3">
        <v>101031</v>
      </c>
      <c r="K4758" s="3">
        <v>52962</v>
      </c>
      <c r="L4758" s="3">
        <v>142821</v>
      </c>
      <c r="M4758" s="3">
        <v>44153</v>
      </c>
      <c r="N4758" s="3">
        <v>0</v>
      </c>
    </row>
    <row r="4759" spans="1:14" x14ac:dyDescent="0.2">
      <c r="A4759" s="5" t="str">
        <f>HYPERLINK("http://www.ncbi.nlm.nih.gov/protein/85701616","Myzap")</f>
        <v>Myzap</v>
      </c>
      <c r="B4759" s="4"/>
      <c r="C4759" s="3">
        <v>0</v>
      </c>
      <c r="D4759" s="3">
        <v>8</v>
      </c>
      <c r="E4759" s="3">
        <v>0</v>
      </c>
      <c r="F4759" s="3">
        <v>0</v>
      </c>
      <c r="G4759" s="3">
        <v>0</v>
      </c>
      <c r="H4759" s="2">
        <f t="shared" si="148"/>
        <v>8</v>
      </c>
      <c r="I4759" t="str">
        <f t="shared" si="149"/>
        <v>Myzap_8</v>
      </c>
      <c r="J4759" s="3">
        <v>0</v>
      </c>
      <c r="K4759" s="3">
        <v>8</v>
      </c>
      <c r="L4759" s="3">
        <v>0</v>
      </c>
      <c r="M4759" s="3">
        <v>0</v>
      </c>
      <c r="N4759" s="3">
        <v>0</v>
      </c>
    </row>
    <row r="4760" spans="1:14" x14ac:dyDescent="0.2">
      <c r="A4760" s="5" t="str">
        <f>HYPERLINK("http://www.ncbi.nlm.nih.gov/protein/30424884","Mzt1")</f>
        <v>Mzt1</v>
      </c>
      <c r="B4760" s="4"/>
      <c r="C4760" s="3">
        <v>18</v>
      </c>
      <c r="D4760" s="3">
        <v>0</v>
      </c>
      <c r="E4760" s="3">
        <v>258</v>
      </c>
      <c r="F4760" s="3">
        <v>0</v>
      </c>
      <c r="G4760" s="3">
        <v>0</v>
      </c>
      <c r="H4760" s="2">
        <f t="shared" si="148"/>
        <v>276</v>
      </c>
      <c r="I4760" t="str">
        <f t="shared" si="149"/>
        <v>Mzt1_276</v>
      </c>
      <c r="J4760" s="3">
        <v>18</v>
      </c>
      <c r="K4760" s="3">
        <v>0</v>
      </c>
      <c r="L4760" s="3">
        <v>258</v>
      </c>
      <c r="M4760" s="3">
        <v>0</v>
      </c>
      <c r="N4760" s="3">
        <v>0</v>
      </c>
    </row>
    <row r="4761" spans="1:14" x14ac:dyDescent="0.2">
      <c r="A4761" s="5" t="str">
        <f>HYPERLINK("http://www.ncbi.nlm.nih.gov/protein/21312988","Mzt2")</f>
        <v>Mzt2</v>
      </c>
      <c r="B4761" s="4"/>
      <c r="C4761" s="3">
        <v>0</v>
      </c>
      <c r="D4761" s="3">
        <v>23</v>
      </c>
      <c r="E4761" s="3">
        <v>26</v>
      </c>
      <c r="F4761" s="3">
        <v>1089</v>
      </c>
      <c r="G4761" s="3">
        <v>0</v>
      </c>
      <c r="H4761" s="2">
        <f t="shared" si="148"/>
        <v>1138</v>
      </c>
      <c r="I4761" t="str">
        <f t="shared" si="149"/>
        <v>Mzt2_1138</v>
      </c>
      <c r="J4761" s="3">
        <v>0</v>
      </c>
      <c r="K4761" s="3">
        <v>23</v>
      </c>
      <c r="L4761" s="3">
        <v>26</v>
      </c>
      <c r="M4761" s="3">
        <v>1089</v>
      </c>
      <c r="N4761" s="3">
        <v>0</v>
      </c>
    </row>
    <row r="4762" spans="1:14" x14ac:dyDescent="0.2">
      <c r="A4762" s="5" t="str">
        <f>HYPERLINK("http://www.ncbi.nlm.nih.gov/protein/67906816","N4bp2")</f>
        <v>N4bp2</v>
      </c>
      <c r="B4762" s="4"/>
      <c r="C4762" s="3">
        <v>0</v>
      </c>
      <c r="D4762" s="3">
        <v>0</v>
      </c>
      <c r="E4762" s="3">
        <v>32</v>
      </c>
      <c r="F4762" s="3">
        <v>74</v>
      </c>
      <c r="G4762" s="3">
        <v>0</v>
      </c>
      <c r="H4762" s="2">
        <f t="shared" si="148"/>
        <v>106</v>
      </c>
      <c r="I4762" t="str">
        <f t="shared" si="149"/>
        <v>N4bp2_106</v>
      </c>
      <c r="J4762" s="3">
        <v>0</v>
      </c>
      <c r="K4762" s="3">
        <v>0</v>
      </c>
      <c r="L4762" s="3">
        <v>32</v>
      </c>
      <c r="M4762" s="3">
        <v>74</v>
      </c>
      <c r="N4762" s="3">
        <v>0</v>
      </c>
    </row>
    <row r="4763" spans="1:14" x14ac:dyDescent="0.2">
      <c r="A4763" s="5" t="str">
        <f>HYPERLINK("http://www.ncbi.nlm.nih.gov/protein/158186629","N4bp2l2")</f>
        <v>N4bp2l2</v>
      </c>
      <c r="B4763" s="4"/>
      <c r="C4763" s="3">
        <v>2087</v>
      </c>
      <c r="D4763" s="3">
        <v>0</v>
      </c>
      <c r="E4763" s="3">
        <v>559</v>
      </c>
      <c r="F4763" s="3">
        <v>3070</v>
      </c>
      <c r="G4763" s="3">
        <v>0</v>
      </c>
      <c r="H4763" s="2">
        <f t="shared" si="148"/>
        <v>5716</v>
      </c>
      <c r="I4763" t="str">
        <f t="shared" si="149"/>
        <v>N4bp2l2_5716</v>
      </c>
      <c r="J4763" s="3">
        <v>2087</v>
      </c>
      <c r="K4763" s="3">
        <v>0</v>
      </c>
      <c r="L4763" s="3">
        <v>559</v>
      </c>
      <c r="M4763" s="3">
        <v>3070</v>
      </c>
      <c r="N4763" s="3">
        <v>0</v>
      </c>
    </row>
    <row r="4764" spans="1:14" x14ac:dyDescent="0.2">
      <c r="A4764" s="5" t="str">
        <f>HYPERLINK("http://www.ncbi.nlm.nih.gov/protein/39540506","N6amt1")</f>
        <v>N6amt1</v>
      </c>
      <c r="B4764" s="4"/>
      <c r="C4764" s="3">
        <v>0</v>
      </c>
      <c r="D4764" s="3">
        <v>63</v>
      </c>
      <c r="E4764" s="3">
        <v>48</v>
      </c>
      <c r="F4764" s="3">
        <v>0</v>
      </c>
      <c r="G4764" s="3">
        <v>6608</v>
      </c>
      <c r="H4764" s="2">
        <f t="shared" si="148"/>
        <v>6719</v>
      </c>
      <c r="I4764" t="str">
        <f t="shared" si="149"/>
        <v>N6amt1_6719</v>
      </c>
      <c r="J4764" s="3">
        <v>0</v>
      </c>
      <c r="K4764" s="3">
        <v>63</v>
      </c>
      <c r="L4764" s="3">
        <v>48</v>
      </c>
      <c r="M4764" s="3">
        <v>0</v>
      </c>
      <c r="N4764" s="3">
        <v>6608</v>
      </c>
    </row>
    <row r="4765" spans="1:14" x14ac:dyDescent="0.2">
      <c r="A4765" s="5" t="str">
        <f>HYPERLINK("http://www.ncbi.nlm.nih.gov/protein/13386022","N6amt2")</f>
        <v>N6amt2</v>
      </c>
      <c r="B4765" s="4"/>
      <c r="C4765" s="3">
        <v>0</v>
      </c>
      <c r="D4765" s="3">
        <v>0</v>
      </c>
      <c r="E4765" s="3">
        <v>0</v>
      </c>
      <c r="F4765" s="3">
        <v>0</v>
      </c>
      <c r="G4765" s="3">
        <v>685</v>
      </c>
      <c r="H4765" s="2">
        <f t="shared" si="148"/>
        <v>685</v>
      </c>
      <c r="I4765" t="str">
        <f t="shared" si="149"/>
        <v>N6amt2_685</v>
      </c>
      <c r="J4765" s="3">
        <v>0</v>
      </c>
      <c r="K4765" s="3">
        <v>0</v>
      </c>
      <c r="L4765" s="3">
        <v>0</v>
      </c>
      <c r="M4765" s="3">
        <v>0</v>
      </c>
      <c r="N4765" s="3">
        <v>685</v>
      </c>
    </row>
    <row r="4766" spans="1:14" x14ac:dyDescent="0.2">
      <c r="A4766" s="5" t="str">
        <f>HYPERLINK("http://www.ncbi.nlm.nih.gov/protein/9845236","Naa10")</f>
        <v>Naa10</v>
      </c>
      <c r="B4766" s="4"/>
      <c r="C4766" s="3">
        <v>0</v>
      </c>
      <c r="D4766" s="3">
        <v>0</v>
      </c>
      <c r="E4766" s="3">
        <v>4356</v>
      </c>
      <c r="F4766" s="3">
        <v>21765</v>
      </c>
      <c r="G4766" s="3">
        <v>2013</v>
      </c>
      <c r="H4766" s="2">
        <f t="shared" si="148"/>
        <v>28134</v>
      </c>
      <c r="I4766" t="str">
        <f t="shared" si="149"/>
        <v>Naa10_28134</v>
      </c>
      <c r="J4766" s="3">
        <v>0</v>
      </c>
      <c r="K4766" s="3">
        <v>0</v>
      </c>
      <c r="L4766" s="3">
        <v>4356</v>
      </c>
      <c r="M4766" s="3">
        <v>21765</v>
      </c>
      <c r="N4766" s="3">
        <v>2013</v>
      </c>
    </row>
    <row r="4767" spans="1:14" x14ac:dyDescent="0.2">
      <c r="A4767" s="5" t="str">
        <f>HYPERLINK("http://www.ncbi.nlm.nih.gov/protein/295789090","Naa10")</f>
        <v>Naa10</v>
      </c>
      <c r="B4767" s="4"/>
      <c r="C4767" s="3">
        <v>1062</v>
      </c>
      <c r="D4767" s="3">
        <v>2</v>
      </c>
      <c r="E4767" s="3">
        <v>3695</v>
      </c>
      <c r="F4767" s="3">
        <v>6491</v>
      </c>
      <c r="G4767" s="3">
        <v>289</v>
      </c>
      <c r="H4767" s="2">
        <f t="shared" si="148"/>
        <v>11539</v>
      </c>
      <c r="I4767" t="str">
        <f t="shared" si="149"/>
        <v>Naa10_11539</v>
      </c>
      <c r="J4767" s="3">
        <v>1062</v>
      </c>
      <c r="K4767" s="3">
        <v>2</v>
      </c>
      <c r="L4767" s="3">
        <v>3695</v>
      </c>
      <c r="M4767" s="3">
        <v>6491</v>
      </c>
      <c r="N4767" s="3">
        <v>289</v>
      </c>
    </row>
    <row r="4768" spans="1:14" x14ac:dyDescent="0.2">
      <c r="A4768" s="5" t="str">
        <f>HYPERLINK("http://www.ncbi.nlm.nih.gov/protein/85701706","Naa11")</f>
        <v>Naa11</v>
      </c>
      <c r="B4768" s="4"/>
      <c r="C4768" s="3">
        <v>0</v>
      </c>
      <c r="D4768" s="3">
        <v>0</v>
      </c>
      <c r="E4768" s="3">
        <v>2729</v>
      </c>
      <c r="F4768" s="3">
        <v>6475</v>
      </c>
      <c r="G4768" s="3">
        <v>203</v>
      </c>
      <c r="H4768" s="2">
        <f t="shared" si="148"/>
        <v>9407</v>
      </c>
      <c r="I4768" t="str">
        <f t="shared" si="149"/>
        <v>Naa11_9407</v>
      </c>
      <c r="J4768" s="3">
        <v>0</v>
      </c>
      <c r="K4768" s="3">
        <v>0</v>
      </c>
      <c r="L4768" s="3">
        <v>2729</v>
      </c>
      <c r="M4768" s="3">
        <v>6475</v>
      </c>
      <c r="N4768" s="3">
        <v>203</v>
      </c>
    </row>
    <row r="4769" spans="1:14" x14ac:dyDescent="0.2">
      <c r="A4769" s="5" t="str">
        <f>HYPERLINK("http://www.ncbi.nlm.nih.gov/protein/225543482","Naa15")</f>
        <v>Naa15</v>
      </c>
      <c r="B4769" s="4"/>
      <c r="C4769" s="3">
        <v>0</v>
      </c>
      <c r="D4769" s="3">
        <v>5146</v>
      </c>
      <c r="E4769" s="3">
        <v>58439</v>
      </c>
      <c r="F4769" s="3">
        <v>67040</v>
      </c>
      <c r="G4769" s="3">
        <v>6458</v>
      </c>
      <c r="H4769" s="2">
        <f t="shared" si="148"/>
        <v>137083</v>
      </c>
      <c r="I4769" t="str">
        <f t="shared" si="149"/>
        <v>Naa15_137083</v>
      </c>
      <c r="J4769" s="3">
        <v>0</v>
      </c>
      <c r="K4769" s="3">
        <v>5146</v>
      </c>
      <c r="L4769" s="3">
        <v>58439</v>
      </c>
      <c r="M4769" s="3">
        <v>67040</v>
      </c>
      <c r="N4769" s="3">
        <v>6458</v>
      </c>
    </row>
    <row r="4770" spans="1:14" x14ac:dyDescent="0.2">
      <c r="A4770" s="5" t="str">
        <f>HYPERLINK("http://www.ncbi.nlm.nih.gov/protein/21313242","Naa16")</f>
        <v>Naa16</v>
      </c>
      <c r="B4770" s="4"/>
      <c r="C4770" s="3">
        <v>0</v>
      </c>
      <c r="D4770" s="3">
        <v>570</v>
      </c>
      <c r="E4770" s="3">
        <v>12527</v>
      </c>
      <c r="F4770" s="3">
        <v>18532</v>
      </c>
      <c r="G4770" s="3">
        <v>375</v>
      </c>
      <c r="H4770" s="2">
        <f t="shared" si="148"/>
        <v>32004</v>
      </c>
      <c r="I4770" t="str">
        <f t="shared" si="149"/>
        <v>Naa16_32004</v>
      </c>
      <c r="J4770" s="3">
        <v>0</v>
      </c>
      <c r="K4770" s="3">
        <v>570</v>
      </c>
      <c r="L4770" s="3">
        <v>12527</v>
      </c>
      <c r="M4770" s="3">
        <v>18532</v>
      </c>
      <c r="N4770" s="3">
        <v>375</v>
      </c>
    </row>
    <row r="4771" spans="1:14" x14ac:dyDescent="0.2">
      <c r="A4771" s="5" t="str">
        <f>HYPERLINK("http://www.ncbi.nlm.nih.gov/protein/13385922","Naa20")</f>
        <v>Naa20</v>
      </c>
      <c r="B4771" s="4"/>
      <c r="C4771" s="3">
        <v>0</v>
      </c>
      <c r="D4771" s="3">
        <v>305</v>
      </c>
      <c r="E4771" s="3">
        <v>2562</v>
      </c>
      <c r="F4771" s="3">
        <v>4592</v>
      </c>
      <c r="G4771" s="3">
        <v>1189</v>
      </c>
      <c r="H4771" s="2">
        <f t="shared" si="148"/>
        <v>8648</v>
      </c>
      <c r="I4771" t="str">
        <f t="shared" si="149"/>
        <v>Naa20_8648</v>
      </c>
      <c r="J4771" s="3">
        <v>0</v>
      </c>
      <c r="K4771" s="3">
        <v>305</v>
      </c>
      <c r="L4771" s="3">
        <v>2562</v>
      </c>
      <c r="M4771" s="3">
        <v>4592</v>
      </c>
      <c r="N4771" s="3">
        <v>1189</v>
      </c>
    </row>
    <row r="4772" spans="1:14" x14ac:dyDescent="0.2">
      <c r="A4772" s="5" t="str">
        <f>HYPERLINK("http://www.ncbi.nlm.nih.gov/protein/213972579","Naa20")</f>
        <v>Naa20</v>
      </c>
      <c r="B4772" s="4"/>
      <c r="C4772" s="3">
        <v>0</v>
      </c>
      <c r="D4772" s="3">
        <v>305</v>
      </c>
      <c r="E4772" s="3">
        <v>2562</v>
      </c>
      <c r="F4772" s="3">
        <v>4592</v>
      </c>
      <c r="G4772" s="3">
        <v>1189</v>
      </c>
      <c r="H4772" s="2">
        <f t="shared" si="148"/>
        <v>8648</v>
      </c>
      <c r="I4772" t="str">
        <f t="shared" si="149"/>
        <v>Naa20_8648</v>
      </c>
      <c r="J4772" s="3">
        <v>0</v>
      </c>
      <c r="K4772" s="3">
        <v>305</v>
      </c>
      <c r="L4772" s="3">
        <v>2562</v>
      </c>
      <c r="M4772" s="3">
        <v>4592</v>
      </c>
      <c r="N4772" s="3">
        <v>1189</v>
      </c>
    </row>
    <row r="4773" spans="1:14" x14ac:dyDescent="0.2">
      <c r="A4773" s="5" t="str">
        <f>HYPERLINK("http://www.ncbi.nlm.nih.gov/protein/55742803","Naa25")</f>
        <v>Naa25</v>
      </c>
      <c r="B4773" s="4"/>
      <c r="C4773" s="3">
        <v>0</v>
      </c>
      <c r="D4773" s="3">
        <v>0</v>
      </c>
      <c r="E4773" s="3">
        <v>32025</v>
      </c>
      <c r="F4773" s="3">
        <v>3340</v>
      </c>
      <c r="G4773" s="3">
        <v>4295</v>
      </c>
      <c r="H4773" s="2">
        <f t="shared" si="148"/>
        <v>39660</v>
      </c>
      <c r="I4773" t="str">
        <f t="shared" si="149"/>
        <v>Naa25_39660</v>
      </c>
      <c r="J4773" s="3">
        <v>0</v>
      </c>
      <c r="K4773" s="3">
        <v>0</v>
      </c>
      <c r="L4773" s="3">
        <v>32025</v>
      </c>
      <c r="M4773" s="3">
        <v>3340</v>
      </c>
      <c r="N4773" s="3">
        <v>4295</v>
      </c>
    </row>
    <row r="4774" spans="1:14" x14ac:dyDescent="0.2">
      <c r="A4774" s="5" t="str">
        <f>HYPERLINK("http://www.ncbi.nlm.nih.gov/protein/124487477","Naa30")</f>
        <v>Naa30</v>
      </c>
      <c r="B4774" s="4"/>
      <c r="C4774" s="3">
        <v>0</v>
      </c>
      <c r="D4774" s="3">
        <v>0</v>
      </c>
      <c r="E4774" s="3">
        <v>3701</v>
      </c>
      <c r="F4774" s="3">
        <v>778</v>
      </c>
      <c r="G4774" s="3">
        <v>2356</v>
      </c>
      <c r="H4774" s="2">
        <f t="shared" si="148"/>
        <v>6835</v>
      </c>
      <c r="I4774" t="str">
        <f t="shared" si="149"/>
        <v>Naa30_6835</v>
      </c>
      <c r="J4774" s="3">
        <v>0</v>
      </c>
      <c r="K4774" s="3">
        <v>0</v>
      </c>
      <c r="L4774" s="3">
        <v>3701</v>
      </c>
      <c r="M4774" s="3">
        <v>778</v>
      </c>
      <c r="N4774" s="3">
        <v>2356</v>
      </c>
    </row>
    <row r="4775" spans="1:14" x14ac:dyDescent="0.2">
      <c r="A4775" s="5" t="str">
        <f>HYPERLINK("http://www.ncbi.nlm.nih.gov/protein/172072615","Naa35")</f>
        <v>Naa35</v>
      </c>
      <c r="B4775" s="4"/>
      <c r="C4775" s="3">
        <v>0</v>
      </c>
      <c r="D4775" s="3">
        <v>0</v>
      </c>
      <c r="E4775" s="3">
        <v>11907</v>
      </c>
      <c r="F4775" s="3">
        <v>1760</v>
      </c>
      <c r="G4775" s="3">
        <v>0</v>
      </c>
      <c r="H4775" s="2">
        <f t="shared" si="148"/>
        <v>13667</v>
      </c>
      <c r="I4775" t="str">
        <f t="shared" si="149"/>
        <v>Naa35_13667</v>
      </c>
      <c r="J4775" s="3">
        <v>0</v>
      </c>
      <c r="K4775" s="3">
        <v>0</v>
      </c>
      <c r="L4775" s="3">
        <v>11907</v>
      </c>
      <c r="M4775" s="3">
        <v>1760</v>
      </c>
      <c r="N4775" s="3">
        <v>0</v>
      </c>
    </row>
    <row r="4776" spans="1:14" x14ac:dyDescent="0.2">
      <c r="A4776" s="5" t="str">
        <f>HYPERLINK("http://www.ncbi.nlm.nih.gov/protein/19527156","Naa38")</f>
        <v>Naa38</v>
      </c>
      <c r="B4776" s="4"/>
      <c r="C4776" s="3">
        <v>2069</v>
      </c>
      <c r="D4776" s="3">
        <v>205</v>
      </c>
      <c r="E4776" s="3">
        <v>536</v>
      </c>
      <c r="F4776" s="3">
        <v>23730</v>
      </c>
      <c r="G4776" s="3">
        <v>0</v>
      </c>
      <c r="H4776" s="2">
        <f t="shared" si="148"/>
        <v>26540</v>
      </c>
      <c r="I4776" t="str">
        <f t="shared" si="149"/>
        <v>Naa38_26540</v>
      </c>
      <c r="J4776" s="3">
        <v>2069</v>
      </c>
      <c r="K4776" s="3">
        <v>205</v>
      </c>
      <c r="L4776" s="3">
        <v>536</v>
      </c>
      <c r="M4776" s="3">
        <v>23730</v>
      </c>
      <c r="N4776" s="3">
        <v>0</v>
      </c>
    </row>
    <row r="4777" spans="1:14" x14ac:dyDescent="0.2">
      <c r="A4777" s="5" t="str">
        <f>HYPERLINK("http://www.ncbi.nlm.nih.gov/protein/254588079","Naa40")</f>
        <v>Naa40</v>
      </c>
      <c r="B4777" s="4"/>
      <c r="C4777" s="3">
        <v>29216</v>
      </c>
      <c r="D4777" s="3">
        <v>0</v>
      </c>
      <c r="E4777" s="3">
        <v>449</v>
      </c>
      <c r="F4777" s="3">
        <v>516</v>
      </c>
      <c r="G4777" s="3">
        <v>0</v>
      </c>
      <c r="H4777" s="2">
        <f t="shared" si="148"/>
        <v>30181</v>
      </c>
      <c r="I4777" t="str">
        <f t="shared" si="149"/>
        <v>Naa40_30181</v>
      </c>
      <c r="J4777" s="3">
        <v>29216</v>
      </c>
      <c r="K4777" s="3">
        <v>0</v>
      </c>
      <c r="L4777" s="3">
        <v>449</v>
      </c>
      <c r="M4777" s="3">
        <v>516</v>
      </c>
      <c r="N4777" s="3">
        <v>0</v>
      </c>
    </row>
    <row r="4778" spans="1:14" x14ac:dyDescent="0.2">
      <c r="A4778" s="5" t="str">
        <f>HYPERLINK("http://www.ncbi.nlm.nih.gov/protein/21312422","Naa50")</f>
        <v>Naa50</v>
      </c>
      <c r="B4778" s="4"/>
      <c r="C4778" s="3">
        <v>696</v>
      </c>
      <c r="D4778" s="3">
        <v>2246</v>
      </c>
      <c r="E4778" s="3">
        <v>17753</v>
      </c>
      <c r="F4778" s="3">
        <v>43334</v>
      </c>
      <c r="G4778" s="3">
        <v>10067</v>
      </c>
      <c r="H4778" s="2">
        <f t="shared" si="148"/>
        <v>74096</v>
      </c>
      <c r="I4778" t="str">
        <f t="shared" si="149"/>
        <v>Naa50_74096</v>
      </c>
      <c r="J4778" s="3">
        <v>696</v>
      </c>
      <c r="K4778" s="3">
        <v>2246</v>
      </c>
      <c r="L4778" s="3">
        <v>17753</v>
      </c>
      <c r="M4778" s="3">
        <v>43334</v>
      </c>
      <c r="N4778" s="3">
        <v>10067</v>
      </c>
    </row>
    <row r="4779" spans="1:14" x14ac:dyDescent="0.2">
      <c r="A4779" s="5" t="str">
        <f>HYPERLINK("http://www.ncbi.nlm.nih.gov/protein/255683418","Naaa")</f>
        <v>Naaa</v>
      </c>
      <c r="B4779" s="4"/>
      <c r="C4779" s="3">
        <v>0</v>
      </c>
      <c r="D4779" s="3">
        <v>8</v>
      </c>
      <c r="E4779" s="3">
        <v>0</v>
      </c>
      <c r="F4779" s="3">
        <v>0</v>
      </c>
      <c r="G4779" s="3">
        <v>0</v>
      </c>
      <c r="H4779" s="2">
        <f t="shared" si="148"/>
        <v>8</v>
      </c>
      <c r="I4779" t="str">
        <f t="shared" si="149"/>
        <v>Naaa_8</v>
      </c>
      <c r="J4779" s="3">
        <v>0</v>
      </c>
      <c r="K4779" s="3">
        <v>8</v>
      </c>
      <c r="L4779" s="3">
        <v>0</v>
      </c>
      <c r="M4779" s="3">
        <v>0</v>
      </c>
      <c r="N4779" s="3">
        <v>0</v>
      </c>
    </row>
    <row r="4780" spans="1:14" x14ac:dyDescent="0.2">
      <c r="A4780" s="5" t="str">
        <f>HYPERLINK("http://www.ncbi.nlm.nih.gov/protein/255683420","Naaa")</f>
        <v>Naaa</v>
      </c>
      <c r="B4780" s="4"/>
      <c r="C4780" s="3">
        <v>0</v>
      </c>
      <c r="D4780" s="3">
        <v>8</v>
      </c>
      <c r="E4780" s="3">
        <v>0</v>
      </c>
      <c r="F4780" s="3">
        <v>0</v>
      </c>
      <c r="G4780" s="3">
        <v>0</v>
      </c>
      <c r="H4780" s="2">
        <f t="shared" si="148"/>
        <v>8</v>
      </c>
      <c r="I4780" t="str">
        <f t="shared" si="149"/>
        <v>Naaa_8</v>
      </c>
      <c r="J4780" s="3">
        <v>0</v>
      </c>
      <c r="K4780" s="3">
        <v>8</v>
      </c>
      <c r="L4780" s="3">
        <v>0</v>
      </c>
      <c r="M4780" s="3">
        <v>0</v>
      </c>
      <c r="N4780" s="3">
        <v>0</v>
      </c>
    </row>
    <row r="4781" spans="1:14" x14ac:dyDescent="0.2">
      <c r="A4781" s="5" t="str">
        <f>HYPERLINK("http://www.ncbi.nlm.nih.gov/protein/309264701","Naaladl2")</f>
        <v>Naaladl2</v>
      </c>
      <c r="B4781" s="4"/>
      <c r="C4781" s="3">
        <v>549</v>
      </c>
      <c r="D4781" s="3">
        <v>0</v>
      </c>
      <c r="E4781" s="3">
        <v>4014</v>
      </c>
      <c r="F4781" s="3">
        <v>0</v>
      </c>
      <c r="G4781" s="3">
        <v>0</v>
      </c>
      <c r="H4781" s="2">
        <f t="shared" si="148"/>
        <v>4563</v>
      </c>
      <c r="I4781" t="str">
        <f t="shared" si="149"/>
        <v>Naaladl2_4563</v>
      </c>
      <c r="J4781" s="3">
        <v>549</v>
      </c>
      <c r="K4781" s="3">
        <v>0</v>
      </c>
      <c r="L4781" s="3">
        <v>4014</v>
      </c>
      <c r="M4781" s="3">
        <v>0</v>
      </c>
      <c r="N4781" s="3">
        <v>0</v>
      </c>
    </row>
    <row r="4782" spans="1:14" x14ac:dyDescent="0.2">
      <c r="A4782" s="5" t="str">
        <f>HYPERLINK("http://www.ncbi.nlm.nih.gov/protein/28076937","Nabp2")</f>
        <v>Nabp2</v>
      </c>
      <c r="B4782" s="4"/>
      <c r="C4782" s="3">
        <v>0</v>
      </c>
      <c r="D4782" s="3">
        <v>0</v>
      </c>
      <c r="E4782" s="3">
        <v>0</v>
      </c>
      <c r="F4782" s="3">
        <v>1432</v>
      </c>
      <c r="G4782" s="3">
        <v>0</v>
      </c>
      <c r="H4782" s="2">
        <f t="shared" si="148"/>
        <v>1432</v>
      </c>
      <c r="I4782" t="str">
        <f t="shared" si="149"/>
        <v>Nabp2_1432</v>
      </c>
      <c r="J4782" s="3">
        <v>0</v>
      </c>
      <c r="K4782" s="3">
        <v>0</v>
      </c>
      <c r="L4782" s="3">
        <v>0</v>
      </c>
      <c r="M4782" s="3">
        <v>1432</v>
      </c>
      <c r="N4782" s="3">
        <v>0</v>
      </c>
    </row>
    <row r="4783" spans="1:14" x14ac:dyDescent="0.2">
      <c r="A4783" s="5" t="str">
        <f>HYPERLINK("http://www.ncbi.nlm.nih.gov/protein/163965357","Naca")</f>
        <v>Naca</v>
      </c>
      <c r="B4783" s="4"/>
      <c r="C4783" s="3">
        <v>87393</v>
      </c>
      <c r="D4783" s="3">
        <v>34060</v>
      </c>
      <c r="E4783" s="3">
        <v>122544</v>
      </c>
      <c r="F4783" s="3">
        <v>197100</v>
      </c>
      <c r="G4783" s="3">
        <v>150704</v>
      </c>
      <c r="H4783" s="2">
        <f t="shared" si="148"/>
        <v>591801</v>
      </c>
      <c r="I4783" t="str">
        <f t="shared" si="149"/>
        <v>Naca_591801</v>
      </c>
      <c r="J4783" s="3">
        <v>87393</v>
      </c>
      <c r="K4783" s="3">
        <v>34060</v>
      </c>
      <c r="L4783" s="3">
        <v>122544</v>
      </c>
      <c r="M4783" s="3">
        <v>197100</v>
      </c>
      <c r="N4783" s="3">
        <v>150704</v>
      </c>
    </row>
    <row r="4784" spans="1:14" x14ac:dyDescent="0.2">
      <c r="A4784" s="5" t="str">
        <f>HYPERLINK("http://www.ncbi.nlm.nih.gov/protein/41350312","Naca")</f>
        <v>Naca</v>
      </c>
      <c r="B4784" s="4"/>
      <c r="C4784" s="3">
        <v>87393</v>
      </c>
      <c r="D4784" s="3">
        <v>34060</v>
      </c>
      <c r="E4784" s="3">
        <v>122278</v>
      </c>
      <c r="F4784" s="3">
        <v>194792</v>
      </c>
      <c r="G4784" s="3">
        <v>150704</v>
      </c>
      <c r="H4784" s="2">
        <f t="shared" si="148"/>
        <v>589227</v>
      </c>
      <c r="I4784" t="str">
        <f t="shared" si="149"/>
        <v>Naca_589227</v>
      </c>
      <c r="J4784" s="3">
        <v>87393</v>
      </c>
      <c r="K4784" s="3">
        <v>34060</v>
      </c>
      <c r="L4784" s="3">
        <v>122278</v>
      </c>
      <c r="M4784" s="3">
        <v>194792</v>
      </c>
      <c r="N4784" s="3">
        <v>150704</v>
      </c>
    </row>
    <row r="4785" spans="1:14" x14ac:dyDescent="0.2">
      <c r="A4785" s="5" t="str">
        <f>HYPERLINK("http://www.ncbi.nlm.nih.gov/protein/146134392","Nadk2")</f>
        <v>Nadk2</v>
      </c>
      <c r="B4785" s="4"/>
      <c r="C4785" s="3">
        <v>0</v>
      </c>
      <c r="D4785" s="3">
        <v>1791</v>
      </c>
      <c r="E4785" s="3">
        <v>0</v>
      </c>
      <c r="F4785" s="3">
        <v>0</v>
      </c>
      <c r="G4785" s="3">
        <v>0</v>
      </c>
      <c r="H4785" s="2">
        <f t="shared" si="148"/>
        <v>1791</v>
      </c>
      <c r="I4785" t="str">
        <f t="shared" si="149"/>
        <v>Nadk2_1791</v>
      </c>
      <c r="J4785" s="3">
        <v>0</v>
      </c>
      <c r="K4785" s="3">
        <v>1791</v>
      </c>
      <c r="L4785" s="3">
        <v>0</v>
      </c>
      <c r="M4785" s="3">
        <v>0</v>
      </c>
      <c r="N4785" s="3">
        <v>0</v>
      </c>
    </row>
    <row r="4786" spans="1:14" x14ac:dyDescent="0.2">
      <c r="A4786" s="5" t="str">
        <f>HYPERLINK("http://www.ncbi.nlm.nih.gov/protein/146134519","Nadk2")</f>
        <v>Nadk2</v>
      </c>
      <c r="B4786" s="4"/>
      <c r="C4786" s="3">
        <v>0</v>
      </c>
      <c r="D4786" s="3">
        <v>1791</v>
      </c>
      <c r="E4786" s="3">
        <v>0</v>
      </c>
      <c r="F4786" s="3">
        <v>0</v>
      </c>
      <c r="G4786" s="3">
        <v>0</v>
      </c>
      <c r="H4786" s="2">
        <f t="shared" si="148"/>
        <v>1791</v>
      </c>
      <c r="I4786" t="str">
        <f t="shared" si="149"/>
        <v>Nadk2_1791</v>
      </c>
      <c r="J4786" s="3">
        <v>0</v>
      </c>
      <c r="K4786" s="3">
        <v>1791</v>
      </c>
      <c r="L4786" s="3">
        <v>0</v>
      </c>
      <c r="M4786" s="3">
        <v>0</v>
      </c>
      <c r="N4786" s="3">
        <v>0</v>
      </c>
    </row>
    <row r="4787" spans="1:14" x14ac:dyDescent="0.2">
      <c r="A4787" s="5" t="str">
        <f>HYPERLINK("http://www.ncbi.nlm.nih.gov/protein/21313534","Nadsyn1")</f>
        <v>Nadsyn1</v>
      </c>
      <c r="B4787" s="4"/>
      <c r="C4787" s="3">
        <v>0</v>
      </c>
      <c r="D4787" s="3">
        <v>0</v>
      </c>
      <c r="E4787" s="3">
        <v>0</v>
      </c>
      <c r="F4787" s="3">
        <v>3217</v>
      </c>
      <c r="G4787" s="3">
        <v>0</v>
      </c>
      <c r="H4787" s="2">
        <f t="shared" si="148"/>
        <v>3217</v>
      </c>
      <c r="I4787" t="str">
        <f t="shared" si="149"/>
        <v>Nadsyn1_3217</v>
      </c>
      <c r="J4787" s="3">
        <v>0</v>
      </c>
      <c r="K4787" s="3">
        <v>0</v>
      </c>
      <c r="L4787" s="3">
        <v>0</v>
      </c>
      <c r="M4787" s="3">
        <v>3217</v>
      </c>
      <c r="N4787" s="3">
        <v>0</v>
      </c>
    </row>
    <row r="4788" spans="1:14" x14ac:dyDescent="0.2">
      <c r="A4788" s="5" t="str">
        <f>HYPERLINK("http://www.ncbi.nlm.nih.gov/protein/21450341","Nae1")</f>
        <v>Nae1</v>
      </c>
      <c r="B4788" s="4"/>
      <c r="C4788" s="3">
        <v>0</v>
      </c>
      <c r="D4788" s="3">
        <v>207</v>
      </c>
      <c r="E4788" s="3">
        <v>1678</v>
      </c>
      <c r="F4788" s="3">
        <v>0</v>
      </c>
      <c r="G4788" s="3">
        <v>13965</v>
      </c>
      <c r="H4788" s="2">
        <f t="shared" si="148"/>
        <v>15850</v>
      </c>
      <c r="I4788" t="str">
        <f t="shared" si="149"/>
        <v>Nae1_15850</v>
      </c>
      <c r="J4788" s="3">
        <v>0</v>
      </c>
      <c r="K4788" s="3">
        <v>207</v>
      </c>
      <c r="L4788" s="3">
        <v>1678</v>
      </c>
      <c r="M4788" s="3">
        <v>0</v>
      </c>
      <c r="N4788" s="3">
        <v>13965</v>
      </c>
    </row>
    <row r="4789" spans="1:14" x14ac:dyDescent="0.2">
      <c r="A4789" s="5" t="str">
        <f>HYPERLINK("http://www.ncbi.nlm.nih.gov/protein/168693635","Naga")</f>
        <v>Naga</v>
      </c>
      <c r="B4789" s="4"/>
      <c r="C4789" s="3">
        <v>207407</v>
      </c>
      <c r="D4789" s="3">
        <v>59824</v>
      </c>
      <c r="E4789" s="3">
        <v>34877</v>
      </c>
      <c r="F4789" s="3">
        <v>17943</v>
      </c>
      <c r="G4789" s="3">
        <v>66463</v>
      </c>
      <c r="H4789" s="2">
        <f t="shared" si="148"/>
        <v>386514</v>
      </c>
      <c r="I4789" t="str">
        <f t="shared" si="149"/>
        <v>Naga_386514</v>
      </c>
      <c r="J4789" s="3">
        <v>207407</v>
      </c>
      <c r="K4789" s="3">
        <v>59824</v>
      </c>
      <c r="L4789" s="3">
        <v>34877</v>
      </c>
      <c r="M4789" s="3">
        <v>17943</v>
      </c>
      <c r="N4789" s="3">
        <v>66463</v>
      </c>
    </row>
    <row r="4790" spans="1:14" x14ac:dyDescent="0.2">
      <c r="A4790" s="5" t="str">
        <f>HYPERLINK("http://www.ncbi.nlm.nih.gov/protein/255958271","Nagk")</f>
        <v>Nagk</v>
      </c>
      <c r="B4790" s="4"/>
      <c r="C4790" s="3">
        <v>0</v>
      </c>
      <c r="D4790" s="3">
        <v>0</v>
      </c>
      <c r="E4790" s="3">
        <v>483</v>
      </c>
      <c r="F4790" s="3">
        <v>164</v>
      </c>
      <c r="G4790" s="3">
        <v>17703</v>
      </c>
      <c r="H4790" s="2">
        <f t="shared" si="148"/>
        <v>18350</v>
      </c>
      <c r="I4790" t="str">
        <f t="shared" si="149"/>
        <v>Nagk_18350</v>
      </c>
      <c r="J4790" s="3">
        <v>0</v>
      </c>
      <c r="K4790" s="3">
        <v>0</v>
      </c>
      <c r="L4790" s="3">
        <v>483</v>
      </c>
      <c r="M4790" s="3">
        <v>164</v>
      </c>
      <c r="N4790" s="3">
        <v>17703</v>
      </c>
    </row>
    <row r="4791" spans="1:14" x14ac:dyDescent="0.2">
      <c r="A4791" s="5" t="str">
        <f>HYPERLINK("http://www.ncbi.nlm.nih.gov/protein/9506739","Nagk")</f>
        <v>Nagk</v>
      </c>
      <c r="B4791" s="4"/>
      <c r="C4791" s="3">
        <v>0</v>
      </c>
      <c r="D4791" s="3">
        <v>0</v>
      </c>
      <c r="E4791" s="3">
        <v>483</v>
      </c>
      <c r="F4791" s="3">
        <v>164</v>
      </c>
      <c r="G4791" s="3">
        <v>17703</v>
      </c>
      <c r="H4791" s="2">
        <f t="shared" si="148"/>
        <v>18350</v>
      </c>
      <c r="I4791" t="str">
        <f t="shared" si="149"/>
        <v>Nagk_18350</v>
      </c>
      <c r="J4791" s="3">
        <v>0</v>
      </c>
      <c r="K4791" s="3">
        <v>0</v>
      </c>
      <c r="L4791" s="3">
        <v>483</v>
      </c>
      <c r="M4791" s="3">
        <v>164</v>
      </c>
      <c r="N4791" s="3">
        <v>17703</v>
      </c>
    </row>
    <row r="4792" spans="1:14" x14ac:dyDescent="0.2">
      <c r="A4792" s="5" t="str">
        <f>HYPERLINK("http://www.ncbi.nlm.nih.gov/protein/254910995","Naglu")</f>
        <v>Naglu</v>
      </c>
      <c r="B4792" s="4"/>
      <c r="C4792" s="3">
        <v>49426</v>
      </c>
      <c r="D4792" s="3">
        <v>21090</v>
      </c>
      <c r="E4792" s="3">
        <v>17907</v>
      </c>
      <c r="F4792" s="3">
        <v>60966</v>
      </c>
      <c r="G4792" s="3">
        <v>600</v>
      </c>
      <c r="H4792" s="2">
        <f t="shared" si="148"/>
        <v>149989</v>
      </c>
      <c r="I4792" t="str">
        <f t="shared" si="149"/>
        <v>Naglu_149989</v>
      </c>
      <c r="J4792" s="3">
        <v>49426</v>
      </c>
      <c r="K4792" s="3">
        <v>21090</v>
      </c>
      <c r="L4792" s="3">
        <v>17907</v>
      </c>
      <c r="M4792" s="3">
        <v>60966</v>
      </c>
      <c r="N4792" s="3">
        <v>600</v>
      </c>
    </row>
    <row r="4793" spans="1:14" x14ac:dyDescent="0.2">
      <c r="A4793" s="5" t="str">
        <f>HYPERLINK("http://www.ncbi.nlm.nih.gov/protein/187133241","Naip2")</f>
        <v>Naip2</v>
      </c>
      <c r="B4793" s="4"/>
      <c r="C4793" s="3">
        <v>0</v>
      </c>
      <c r="D4793" s="3">
        <v>215</v>
      </c>
      <c r="E4793" s="3">
        <v>0</v>
      </c>
      <c r="F4793" s="3">
        <v>3070</v>
      </c>
      <c r="G4793" s="3">
        <v>0</v>
      </c>
      <c r="H4793" s="2">
        <f t="shared" si="148"/>
        <v>3285</v>
      </c>
      <c r="I4793" t="str">
        <f t="shared" si="149"/>
        <v>Naip2_3285</v>
      </c>
      <c r="J4793" s="3">
        <v>0</v>
      </c>
      <c r="K4793" s="3">
        <v>215</v>
      </c>
      <c r="L4793" s="3">
        <v>0</v>
      </c>
      <c r="M4793" s="3">
        <v>3070</v>
      </c>
      <c r="N4793" s="3">
        <v>0</v>
      </c>
    </row>
    <row r="4794" spans="1:14" x14ac:dyDescent="0.2">
      <c r="A4794" s="5" t="str">
        <f>HYPERLINK("http://www.ncbi.nlm.nih.gov/protein/257153454","Nampt")</f>
        <v>Nampt</v>
      </c>
      <c r="B4794" s="4"/>
      <c r="C4794" s="3">
        <v>3442</v>
      </c>
      <c r="D4794" s="3">
        <v>16815</v>
      </c>
      <c r="E4794" s="3">
        <v>10596</v>
      </c>
      <c r="F4794" s="3">
        <v>43261</v>
      </c>
      <c r="G4794" s="3">
        <v>358779</v>
      </c>
      <c r="H4794" s="2">
        <f t="shared" si="148"/>
        <v>432893</v>
      </c>
      <c r="I4794" t="str">
        <f t="shared" si="149"/>
        <v>Nampt_432893</v>
      </c>
      <c r="J4794" s="3">
        <v>3442</v>
      </c>
      <c r="K4794" s="3">
        <v>16815</v>
      </c>
      <c r="L4794" s="3">
        <v>10596</v>
      </c>
      <c r="M4794" s="3">
        <v>43261</v>
      </c>
      <c r="N4794" s="3">
        <v>358779</v>
      </c>
    </row>
    <row r="4795" spans="1:14" x14ac:dyDescent="0.2">
      <c r="A4795" s="5" t="str">
        <f>HYPERLINK("http://www.ncbi.nlm.nih.gov/protein/13385586","Nanp")</f>
        <v>Nanp</v>
      </c>
      <c r="B4795" s="4"/>
      <c r="C4795" s="3">
        <v>0</v>
      </c>
      <c r="D4795" s="3">
        <v>0</v>
      </c>
      <c r="E4795" s="3">
        <v>80</v>
      </c>
      <c r="F4795" s="3">
        <v>0</v>
      </c>
      <c r="G4795" s="3">
        <v>4337</v>
      </c>
      <c r="H4795" s="2">
        <f t="shared" si="148"/>
        <v>4417</v>
      </c>
      <c r="I4795" t="str">
        <f t="shared" si="149"/>
        <v>Nanp_4417</v>
      </c>
      <c r="J4795" s="3">
        <v>0</v>
      </c>
      <c r="K4795" s="3">
        <v>0</v>
      </c>
      <c r="L4795" s="3">
        <v>80</v>
      </c>
      <c r="M4795" s="3">
        <v>0</v>
      </c>
      <c r="N4795" s="3">
        <v>4337</v>
      </c>
    </row>
    <row r="4796" spans="1:14" x14ac:dyDescent="0.2">
      <c r="A4796" s="5" t="str">
        <f>HYPERLINK("http://www.ncbi.nlm.nih.gov/protein/16716467","Nans")</f>
        <v>Nans</v>
      </c>
      <c r="B4796" s="4"/>
      <c r="C4796" s="3">
        <v>0</v>
      </c>
      <c r="D4796" s="3">
        <v>35</v>
      </c>
      <c r="E4796" s="3">
        <v>4643</v>
      </c>
      <c r="F4796" s="3">
        <v>8341</v>
      </c>
      <c r="G4796" s="3">
        <v>78008</v>
      </c>
      <c r="H4796" s="2">
        <f t="shared" si="148"/>
        <v>91027</v>
      </c>
      <c r="I4796" t="str">
        <f t="shared" si="149"/>
        <v>Nans_91027</v>
      </c>
      <c r="J4796" s="3">
        <v>0</v>
      </c>
      <c r="K4796" s="3">
        <v>35</v>
      </c>
      <c r="L4796" s="3">
        <v>4643</v>
      </c>
      <c r="M4796" s="3">
        <v>8341</v>
      </c>
      <c r="N4796" s="3">
        <v>78008</v>
      </c>
    </row>
    <row r="4797" spans="1:14" x14ac:dyDescent="0.2">
      <c r="A4797" s="5" t="str">
        <f>HYPERLINK("http://www.ncbi.nlm.nih.gov/protein/226443026","Nap1l1")</f>
        <v>Nap1l1</v>
      </c>
      <c r="B4797" s="4"/>
      <c r="C4797" s="3">
        <v>2160</v>
      </c>
      <c r="D4797" s="3">
        <v>1660</v>
      </c>
      <c r="E4797" s="3">
        <v>4579</v>
      </c>
      <c r="F4797" s="3">
        <v>12025</v>
      </c>
      <c r="G4797" s="3">
        <v>102629</v>
      </c>
      <c r="H4797" s="2">
        <f t="shared" si="148"/>
        <v>123053</v>
      </c>
      <c r="I4797" t="str">
        <f t="shared" si="149"/>
        <v>Nap1l1_123053</v>
      </c>
      <c r="J4797" s="3">
        <v>2160</v>
      </c>
      <c r="K4797" s="3">
        <v>1660</v>
      </c>
      <c r="L4797" s="3">
        <v>4579</v>
      </c>
      <c r="M4797" s="3">
        <v>12025</v>
      </c>
      <c r="N4797" s="3">
        <v>102629</v>
      </c>
    </row>
    <row r="4798" spans="1:14" x14ac:dyDescent="0.2">
      <c r="A4798" s="5" t="str">
        <f>HYPERLINK("http://www.ncbi.nlm.nih.gov/protein/7657357","Nap1l1")</f>
        <v>Nap1l1</v>
      </c>
      <c r="B4798" s="4"/>
      <c r="C4798" s="3">
        <v>2160</v>
      </c>
      <c r="D4798" s="3">
        <v>1660</v>
      </c>
      <c r="E4798" s="3">
        <v>4579</v>
      </c>
      <c r="F4798" s="3">
        <v>12819</v>
      </c>
      <c r="G4798" s="3">
        <v>102629</v>
      </c>
      <c r="H4798" s="2">
        <f t="shared" si="148"/>
        <v>123847</v>
      </c>
      <c r="I4798" t="str">
        <f t="shared" si="149"/>
        <v>Nap1l1_123847</v>
      </c>
      <c r="J4798" s="3">
        <v>2160</v>
      </c>
      <c r="K4798" s="3">
        <v>1660</v>
      </c>
      <c r="L4798" s="3">
        <v>4579</v>
      </c>
      <c r="M4798" s="3">
        <v>12819</v>
      </c>
      <c r="N4798" s="3">
        <v>102629</v>
      </c>
    </row>
    <row r="4799" spans="1:14" x14ac:dyDescent="0.2">
      <c r="A4799" s="5" t="str">
        <f>HYPERLINK("http://www.ncbi.nlm.nih.gov/protein/6679012","Nap1l4")</f>
        <v>Nap1l4</v>
      </c>
      <c r="B4799" s="4"/>
      <c r="C4799" s="3">
        <v>0</v>
      </c>
      <c r="D4799" s="3">
        <v>2816</v>
      </c>
      <c r="E4799" s="3">
        <v>3461</v>
      </c>
      <c r="F4799" s="3">
        <v>19072</v>
      </c>
      <c r="G4799" s="3">
        <v>120514</v>
      </c>
      <c r="H4799" s="2">
        <f t="shared" si="148"/>
        <v>145863</v>
      </c>
      <c r="I4799" t="str">
        <f t="shared" si="149"/>
        <v>Nap1l4_145863</v>
      </c>
      <c r="J4799" s="3">
        <v>0</v>
      </c>
      <c r="K4799" s="3">
        <v>2816</v>
      </c>
      <c r="L4799" s="3">
        <v>3461</v>
      </c>
      <c r="M4799" s="3">
        <v>19072</v>
      </c>
      <c r="N4799" s="3">
        <v>120514</v>
      </c>
    </row>
    <row r="4800" spans="1:14" x14ac:dyDescent="0.2">
      <c r="A4800" s="5" t="str">
        <f>HYPERLINK("http://www.ncbi.nlm.nih.gov/protein/13385392","Napa")</f>
        <v>Napa</v>
      </c>
      <c r="B4800" s="4"/>
      <c r="C4800" s="3">
        <v>19844</v>
      </c>
      <c r="D4800" s="3">
        <v>26463</v>
      </c>
      <c r="E4800" s="3">
        <v>14847</v>
      </c>
      <c r="F4800" s="3">
        <v>29419</v>
      </c>
      <c r="G4800" s="3">
        <v>0</v>
      </c>
      <c r="H4800" s="2">
        <f t="shared" si="148"/>
        <v>90573</v>
      </c>
      <c r="I4800" t="str">
        <f t="shared" si="149"/>
        <v>Napa_90573</v>
      </c>
      <c r="J4800" s="3">
        <v>19844</v>
      </c>
      <c r="K4800" s="3">
        <v>26463</v>
      </c>
      <c r="L4800" s="3">
        <v>14847</v>
      </c>
      <c r="M4800" s="3">
        <v>29419</v>
      </c>
      <c r="N4800" s="3">
        <v>0</v>
      </c>
    </row>
    <row r="4801" spans="1:14" x14ac:dyDescent="0.2">
      <c r="A4801" s="5" t="str">
        <f>HYPERLINK("http://www.ncbi.nlm.nih.gov/protein/29789104","Napb")</f>
        <v>Napb</v>
      </c>
      <c r="B4801" s="4"/>
      <c r="C4801" s="3">
        <v>6700</v>
      </c>
      <c r="D4801" s="3">
        <v>1841</v>
      </c>
      <c r="E4801" s="3">
        <v>1737</v>
      </c>
      <c r="F4801" s="3">
        <v>3986</v>
      </c>
      <c r="G4801" s="3">
        <v>0</v>
      </c>
      <c r="H4801" s="2">
        <f t="shared" si="148"/>
        <v>14264</v>
      </c>
      <c r="I4801" t="str">
        <f t="shared" si="149"/>
        <v>Napb_14264</v>
      </c>
      <c r="J4801" s="3">
        <v>6700</v>
      </c>
      <c r="K4801" s="3">
        <v>1841</v>
      </c>
      <c r="L4801" s="3">
        <v>1737</v>
      </c>
      <c r="M4801" s="3">
        <v>3986</v>
      </c>
      <c r="N4801" s="3">
        <v>0</v>
      </c>
    </row>
    <row r="4802" spans="1:14" x14ac:dyDescent="0.2">
      <c r="A4802" s="5" t="str">
        <f>HYPERLINK("http://www.ncbi.nlm.nih.gov/protein/110625902","Napg")</f>
        <v>Napg</v>
      </c>
      <c r="B4802" s="4"/>
      <c r="C4802" s="3">
        <v>0</v>
      </c>
      <c r="D4802" s="3">
        <v>38</v>
      </c>
      <c r="E4802" s="3">
        <v>3148</v>
      </c>
      <c r="F4802" s="3">
        <v>0</v>
      </c>
      <c r="G4802" s="3">
        <v>0</v>
      </c>
      <c r="H4802" s="2">
        <f t="shared" ref="H4802:H4865" si="150">SUM(C4802:G4802)</f>
        <v>3186</v>
      </c>
      <c r="I4802" t="str">
        <f t="shared" ref="I4802:I4865" si="151">A4802&amp;"_"&amp;H4802</f>
        <v>Napg_3186</v>
      </c>
      <c r="J4802" s="3">
        <v>0</v>
      </c>
      <c r="K4802" s="3">
        <v>38</v>
      </c>
      <c r="L4802" s="3">
        <v>3148</v>
      </c>
      <c r="M4802" s="3">
        <v>0</v>
      </c>
      <c r="N4802" s="3">
        <v>0</v>
      </c>
    </row>
    <row r="4803" spans="1:14" x14ac:dyDescent="0.2">
      <c r="A4803" s="5" t="str">
        <f>HYPERLINK("http://www.ncbi.nlm.nih.gov/protein/6680552","Napsa")</f>
        <v>Napsa</v>
      </c>
      <c r="B4803" s="4"/>
      <c r="C4803" s="3">
        <v>0</v>
      </c>
      <c r="D4803" s="3">
        <v>6924</v>
      </c>
      <c r="E4803" s="3">
        <v>3756</v>
      </c>
      <c r="F4803" s="3">
        <v>0</v>
      </c>
      <c r="G4803" s="3">
        <v>0</v>
      </c>
      <c r="H4803" s="2">
        <f t="shared" si="150"/>
        <v>10680</v>
      </c>
      <c r="I4803" t="str">
        <f t="shared" si="151"/>
        <v>Napsa_10680</v>
      </c>
      <c r="J4803" s="3">
        <v>0</v>
      </c>
      <c r="K4803" s="3">
        <v>6924</v>
      </c>
      <c r="L4803" s="3">
        <v>3756</v>
      </c>
      <c r="M4803" s="3">
        <v>0</v>
      </c>
      <c r="N4803" s="3">
        <v>0</v>
      </c>
    </row>
    <row r="4804" spans="1:14" x14ac:dyDescent="0.2">
      <c r="A4804" s="5" t="str">
        <f>HYPERLINK("http://www.ncbi.nlm.nih.gov/protein/163954939","Narf")</f>
        <v>Narf</v>
      </c>
      <c r="B4804" s="4"/>
      <c r="C4804" s="3">
        <v>0</v>
      </c>
      <c r="D4804" s="3">
        <v>0</v>
      </c>
      <c r="E4804" s="3">
        <v>0</v>
      </c>
      <c r="F4804" s="3">
        <v>0</v>
      </c>
      <c r="G4804" s="3">
        <v>1863</v>
      </c>
      <c r="H4804" s="2">
        <f t="shared" si="150"/>
        <v>1863</v>
      </c>
      <c r="I4804" t="str">
        <f t="shared" si="151"/>
        <v>Narf_1863</v>
      </c>
      <c r="J4804" s="3">
        <v>0</v>
      </c>
      <c r="K4804" s="3">
        <v>0</v>
      </c>
      <c r="L4804" s="3">
        <v>0</v>
      </c>
      <c r="M4804" s="3">
        <v>0</v>
      </c>
      <c r="N4804" s="3">
        <v>1863</v>
      </c>
    </row>
    <row r="4805" spans="1:14" x14ac:dyDescent="0.2">
      <c r="A4805" s="5" t="str">
        <f>HYPERLINK("http://www.ncbi.nlm.nih.gov/protein/254911120","Narfl")</f>
        <v>Narfl</v>
      </c>
      <c r="B4805" s="4"/>
      <c r="C4805" s="3">
        <v>0</v>
      </c>
      <c r="D4805" s="3">
        <v>0</v>
      </c>
      <c r="E4805" s="3">
        <v>0</v>
      </c>
      <c r="F4805" s="3">
        <v>0</v>
      </c>
      <c r="G4805" s="3">
        <v>8257</v>
      </c>
      <c r="H4805" s="2">
        <f t="shared" si="150"/>
        <v>8257</v>
      </c>
      <c r="I4805" t="str">
        <f t="shared" si="151"/>
        <v>Narfl_8257</v>
      </c>
      <c r="J4805" s="3">
        <v>0</v>
      </c>
      <c r="K4805" s="3">
        <v>0</v>
      </c>
      <c r="L4805" s="3">
        <v>0</v>
      </c>
      <c r="M4805" s="3">
        <v>0</v>
      </c>
      <c r="N4805" s="3">
        <v>8257</v>
      </c>
    </row>
    <row r="4806" spans="1:14" x14ac:dyDescent="0.2">
      <c r="A4806" s="5" t="str">
        <f>HYPERLINK("http://www.ncbi.nlm.nih.gov/protein/219275596","Nars")</f>
        <v>Nars</v>
      </c>
      <c r="B4806" s="4"/>
      <c r="C4806" s="3">
        <v>0</v>
      </c>
      <c r="D4806" s="3">
        <v>13571</v>
      </c>
      <c r="E4806" s="3">
        <v>10567</v>
      </c>
      <c r="F4806" s="3">
        <v>82666</v>
      </c>
      <c r="G4806" s="3">
        <v>17585</v>
      </c>
      <c r="H4806" s="2">
        <f t="shared" si="150"/>
        <v>124389</v>
      </c>
      <c r="I4806" t="str">
        <f t="shared" si="151"/>
        <v>Nars_124389</v>
      </c>
      <c r="J4806" s="3">
        <v>0</v>
      </c>
      <c r="K4806" s="3">
        <v>13571</v>
      </c>
      <c r="L4806" s="3">
        <v>10567</v>
      </c>
      <c r="M4806" s="3">
        <v>82666</v>
      </c>
      <c r="N4806" s="3">
        <v>17585</v>
      </c>
    </row>
    <row r="4807" spans="1:14" x14ac:dyDescent="0.2">
      <c r="A4807" s="5" t="str">
        <f>HYPERLINK("http://www.ncbi.nlm.nih.gov/protein/219276601","Nars")</f>
        <v>Nars</v>
      </c>
      <c r="B4807" s="4"/>
      <c r="C4807" s="3">
        <v>0</v>
      </c>
      <c r="D4807" s="3">
        <v>13571</v>
      </c>
      <c r="E4807" s="3">
        <v>10567</v>
      </c>
      <c r="F4807" s="3">
        <v>82666</v>
      </c>
      <c r="G4807" s="3">
        <v>17585</v>
      </c>
      <c r="H4807" s="2">
        <f t="shared" si="150"/>
        <v>124389</v>
      </c>
      <c r="I4807" t="str">
        <f t="shared" si="151"/>
        <v>Nars_124389</v>
      </c>
      <c r="J4807" s="3">
        <v>0</v>
      </c>
      <c r="K4807" s="3">
        <v>13571</v>
      </c>
      <c r="L4807" s="3">
        <v>10567</v>
      </c>
      <c r="M4807" s="3">
        <v>82666</v>
      </c>
      <c r="N4807" s="3">
        <v>17585</v>
      </c>
    </row>
    <row r="4808" spans="1:14" x14ac:dyDescent="0.2">
      <c r="A4808" s="5" t="str">
        <f>HYPERLINK("http://www.ncbi.nlm.nih.gov/protein/125490378","Nasp")</f>
        <v>Nasp</v>
      </c>
      <c r="B4808" s="4"/>
      <c r="C4808" s="3">
        <v>0</v>
      </c>
      <c r="D4808" s="3">
        <v>545</v>
      </c>
      <c r="E4808" s="3">
        <v>1190</v>
      </c>
      <c r="F4808" s="3">
        <v>0</v>
      </c>
      <c r="G4808" s="3">
        <v>225874</v>
      </c>
      <c r="H4808" s="2">
        <f t="shared" si="150"/>
        <v>227609</v>
      </c>
      <c r="I4808" t="str">
        <f t="shared" si="151"/>
        <v>Nasp_227609</v>
      </c>
      <c r="J4808" s="3">
        <v>0</v>
      </c>
      <c r="K4808" s="3">
        <v>545</v>
      </c>
      <c r="L4808" s="3">
        <v>1190</v>
      </c>
      <c r="M4808" s="3">
        <v>0</v>
      </c>
      <c r="N4808" s="3">
        <v>225874</v>
      </c>
    </row>
    <row r="4809" spans="1:14" x14ac:dyDescent="0.2">
      <c r="A4809" s="5" t="str">
        <f>HYPERLINK("http://www.ncbi.nlm.nih.gov/protein/126090505","Nasp")</f>
        <v>Nasp</v>
      </c>
      <c r="B4809" s="4"/>
      <c r="C4809" s="3">
        <v>0</v>
      </c>
      <c r="D4809" s="3">
        <v>194</v>
      </c>
      <c r="E4809" s="3">
        <v>748</v>
      </c>
      <c r="F4809" s="3">
        <v>0</v>
      </c>
      <c r="G4809" s="3">
        <v>115845</v>
      </c>
      <c r="H4809" s="2">
        <f t="shared" si="150"/>
        <v>116787</v>
      </c>
      <c r="I4809" t="str">
        <f t="shared" si="151"/>
        <v>Nasp_116787</v>
      </c>
      <c r="J4809" s="3">
        <v>0</v>
      </c>
      <c r="K4809" s="3">
        <v>194</v>
      </c>
      <c r="L4809" s="3">
        <v>748</v>
      </c>
      <c r="M4809" s="3">
        <v>0</v>
      </c>
      <c r="N4809" s="3">
        <v>115845</v>
      </c>
    </row>
    <row r="4810" spans="1:14" x14ac:dyDescent="0.2">
      <c r="A4810" s="5" t="str">
        <f>HYPERLINK("http://www.ncbi.nlm.nih.gov/protein/23346561","Nat10")</f>
        <v>Nat10</v>
      </c>
      <c r="B4810" s="4"/>
      <c r="C4810" s="3">
        <v>1831</v>
      </c>
      <c r="D4810" s="3">
        <v>0</v>
      </c>
      <c r="E4810" s="3">
        <v>101</v>
      </c>
      <c r="F4810" s="3">
        <v>458</v>
      </c>
      <c r="G4810" s="3">
        <v>0</v>
      </c>
      <c r="H4810" s="2">
        <f t="shared" si="150"/>
        <v>2390</v>
      </c>
      <c r="I4810" t="str">
        <f t="shared" si="151"/>
        <v>Nat10_2390</v>
      </c>
      <c r="J4810" s="3">
        <v>1831</v>
      </c>
      <c r="K4810" s="3">
        <v>0</v>
      </c>
      <c r="L4810" s="3">
        <v>101</v>
      </c>
      <c r="M4810" s="3">
        <v>458</v>
      </c>
      <c r="N4810" s="3">
        <v>0</v>
      </c>
    </row>
    <row r="4811" spans="1:14" x14ac:dyDescent="0.2">
      <c r="A4811" s="5" t="str">
        <f>HYPERLINK("http://www.ncbi.nlm.nih.gov/protein/6754794","Nat2")</f>
        <v>Nat2</v>
      </c>
      <c r="B4811" s="4"/>
      <c r="C4811" s="3">
        <v>0</v>
      </c>
      <c r="D4811" s="3">
        <v>0</v>
      </c>
      <c r="E4811" s="3">
        <v>0</v>
      </c>
      <c r="F4811" s="3">
        <v>0</v>
      </c>
      <c r="G4811" s="3">
        <v>396</v>
      </c>
      <c r="H4811" s="2">
        <f t="shared" si="150"/>
        <v>396</v>
      </c>
      <c r="I4811" t="str">
        <f t="shared" si="151"/>
        <v>Nat2_396</v>
      </c>
      <c r="J4811" s="3">
        <v>0</v>
      </c>
      <c r="K4811" s="3">
        <v>0</v>
      </c>
      <c r="L4811" s="3">
        <v>0</v>
      </c>
      <c r="M4811" s="3">
        <v>0</v>
      </c>
      <c r="N4811" s="3">
        <v>396</v>
      </c>
    </row>
    <row r="4812" spans="1:14" x14ac:dyDescent="0.2">
      <c r="A4812" s="5" t="str">
        <f>HYPERLINK("http://www.ncbi.nlm.nih.gov/protein/13384782","Nat9")</f>
        <v>Nat9</v>
      </c>
      <c r="B4812" s="4"/>
      <c r="C4812" s="3">
        <v>0</v>
      </c>
      <c r="D4812" s="3">
        <v>0</v>
      </c>
      <c r="E4812" s="3">
        <v>0</v>
      </c>
      <c r="F4812" s="3">
        <v>0</v>
      </c>
      <c r="G4812" s="3">
        <v>675</v>
      </c>
      <c r="H4812" s="2">
        <f t="shared" si="150"/>
        <v>675</v>
      </c>
      <c r="I4812" t="str">
        <f t="shared" si="151"/>
        <v>Nat9_675</v>
      </c>
      <c r="J4812" s="3">
        <v>0</v>
      </c>
      <c r="K4812" s="3">
        <v>0</v>
      </c>
      <c r="L4812" s="3">
        <v>0</v>
      </c>
      <c r="M4812" s="3">
        <v>0</v>
      </c>
      <c r="N4812" s="3">
        <v>675</v>
      </c>
    </row>
    <row r="4813" spans="1:14" x14ac:dyDescent="0.2">
      <c r="A4813" s="5" t="str">
        <f>HYPERLINK("http://www.ncbi.nlm.nih.gov/protein/167466222","Nav2")</f>
        <v>Nav2</v>
      </c>
      <c r="B4813" s="4"/>
      <c r="C4813" s="3">
        <v>0</v>
      </c>
      <c r="D4813" s="3">
        <v>0</v>
      </c>
      <c r="E4813" s="3">
        <v>0</v>
      </c>
      <c r="F4813" s="3">
        <v>0</v>
      </c>
      <c r="G4813" s="3">
        <v>18538</v>
      </c>
      <c r="H4813" s="2">
        <f t="shared" si="150"/>
        <v>18538</v>
      </c>
      <c r="I4813" t="str">
        <f t="shared" si="151"/>
        <v>Nav2_18538</v>
      </c>
      <c r="J4813" s="3">
        <v>0</v>
      </c>
      <c r="K4813" s="3">
        <v>0</v>
      </c>
      <c r="L4813" s="3">
        <v>0</v>
      </c>
      <c r="M4813" s="3">
        <v>0</v>
      </c>
      <c r="N4813" s="3">
        <v>18538</v>
      </c>
    </row>
    <row r="4814" spans="1:14" x14ac:dyDescent="0.2">
      <c r="A4814" s="5" t="str">
        <f>HYPERLINK("http://www.ncbi.nlm.nih.gov/protein/167466226","Nav2")</f>
        <v>Nav2</v>
      </c>
      <c r="B4814" s="4"/>
      <c r="C4814" s="3">
        <v>0</v>
      </c>
      <c r="D4814" s="3">
        <v>0</v>
      </c>
      <c r="E4814" s="3">
        <v>0</v>
      </c>
      <c r="F4814" s="3">
        <v>0</v>
      </c>
      <c r="G4814" s="3">
        <v>18538</v>
      </c>
      <c r="H4814" s="2">
        <f t="shared" si="150"/>
        <v>18538</v>
      </c>
      <c r="I4814" t="str">
        <f t="shared" si="151"/>
        <v>Nav2_18538</v>
      </c>
      <c r="J4814" s="3">
        <v>0</v>
      </c>
      <c r="K4814" s="3">
        <v>0</v>
      </c>
      <c r="L4814" s="3">
        <v>0</v>
      </c>
      <c r="M4814" s="3">
        <v>0</v>
      </c>
      <c r="N4814" s="3">
        <v>18538</v>
      </c>
    </row>
    <row r="4815" spans="1:14" x14ac:dyDescent="0.2">
      <c r="A4815" s="5" t="str">
        <f>HYPERLINK("http://www.ncbi.nlm.nih.gov/protein/255003837","Nbas")</f>
        <v>Nbas</v>
      </c>
      <c r="B4815" s="4"/>
      <c r="C4815" s="3">
        <v>0</v>
      </c>
      <c r="D4815" s="3">
        <v>687</v>
      </c>
      <c r="E4815" s="3">
        <v>25</v>
      </c>
      <c r="F4815" s="3">
        <v>0</v>
      </c>
      <c r="G4815" s="3">
        <v>0</v>
      </c>
      <c r="H4815" s="2">
        <f t="shared" si="150"/>
        <v>712</v>
      </c>
      <c r="I4815" t="str">
        <f t="shared" si="151"/>
        <v>Nbas_712</v>
      </c>
      <c r="J4815" s="3">
        <v>0</v>
      </c>
      <c r="K4815" s="3">
        <v>687</v>
      </c>
      <c r="L4815" s="3">
        <v>25</v>
      </c>
      <c r="M4815" s="3">
        <v>0</v>
      </c>
      <c r="N4815" s="3">
        <v>0</v>
      </c>
    </row>
    <row r="4816" spans="1:14" x14ac:dyDescent="0.2">
      <c r="A4816" s="5" t="str">
        <f>HYPERLINK("http://www.ncbi.nlm.nih.gov/protein/158854037","Nbea")</f>
        <v>Nbea</v>
      </c>
      <c r="B4816" s="4"/>
      <c r="C4816" s="3">
        <v>3808</v>
      </c>
      <c r="D4816" s="3">
        <v>4659</v>
      </c>
      <c r="E4816" s="3">
        <v>8443</v>
      </c>
      <c r="F4816" s="3">
        <v>51512</v>
      </c>
      <c r="G4816" s="3">
        <v>133965</v>
      </c>
      <c r="H4816" s="2">
        <f t="shared" si="150"/>
        <v>202387</v>
      </c>
      <c r="I4816" t="str">
        <f t="shared" si="151"/>
        <v>Nbea_202387</v>
      </c>
      <c r="J4816" s="3">
        <v>3808</v>
      </c>
      <c r="K4816" s="3">
        <v>4659</v>
      </c>
      <c r="L4816" s="3">
        <v>8443</v>
      </c>
      <c r="M4816" s="3">
        <v>51512</v>
      </c>
      <c r="N4816" s="3">
        <v>133965</v>
      </c>
    </row>
    <row r="4817" spans="1:14" x14ac:dyDescent="0.2">
      <c r="A4817" s="5" t="str">
        <f>HYPERLINK("http://www.ncbi.nlm.nih.gov/protein/153791557","Nbeal1")</f>
        <v>Nbeal1</v>
      </c>
      <c r="B4817" s="4"/>
      <c r="C4817" s="3">
        <v>0</v>
      </c>
      <c r="D4817" s="3">
        <v>0</v>
      </c>
      <c r="E4817" s="3">
        <v>26</v>
      </c>
      <c r="F4817" s="3">
        <v>229</v>
      </c>
      <c r="G4817" s="3">
        <v>17596</v>
      </c>
      <c r="H4817" s="2">
        <f t="shared" si="150"/>
        <v>17851</v>
      </c>
      <c r="I4817" t="str">
        <f t="shared" si="151"/>
        <v>Nbeal1_17851</v>
      </c>
      <c r="J4817" s="3">
        <v>0</v>
      </c>
      <c r="K4817" s="3">
        <v>0</v>
      </c>
      <c r="L4817" s="3">
        <v>26</v>
      </c>
      <c r="M4817" s="3">
        <v>229</v>
      </c>
      <c r="N4817" s="3">
        <v>17596</v>
      </c>
    </row>
    <row r="4818" spans="1:14" x14ac:dyDescent="0.2">
      <c r="A4818" s="5" t="str">
        <f>HYPERLINK("http://www.ncbi.nlm.nih.gov/protein/254911027","Nbeal2")</f>
        <v>Nbeal2</v>
      </c>
      <c r="B4818" s="4"/>
      <c r="C4818" s="3">
        <v>0</v>
      </c>
      <c r="D4818" s="3">
        <v>236</v>
      </c>
      <c r="E4818" s="3">
        <v>1453</v>
      </c>
      <c r="F4818" s="3">
        <v>21684</v>
      </c>
      <c r="G4818" s="3">
        <v>19502</v>
      </c>
      <c r="H4818" s="2">
        <f t="shared" si="150"/>
        <v>42875</v>
      </c>
      <c r="I4818" t="str">
        <f t="shared" si="151"/>
        <v>Nbeal2_42875</v>
      </c>
      <c r="J4818" s="3">
        <v>0</v>
      </c>
      <c r="K4818" s="3">
        <v>236</v>
      </c>
      <c r="L4818" s="3">
        <v>1453</v>
      </c>
      <c r="M4818" s="3">
        <v>21684</v>
      </c>
      <c r="N4818" s="3">
        <v>19502</v>
      </c>
    </row>
    <row r="4819" spans="1:14" x14ac:dyDescent="0.2">
      <c r="A4819" s="5" t="str">
        <f>HYPERLINK("http://www.ncbi.nlm.nih.gov/protein/31324569","Ncald")</f>
        <v>Ncald</v>
      </c>
      <c r="B4819" s="4"/>
      <c r="C4819" s="3">
        <v>0</v>
      </c>
      <c r="D4819" s="3">
        <v>655</v>
      </c>
      <c r="E4819" s="3">
        <v>517</v>
      </c>
      <c r="F4819" s="3">
        <v>589</v>
      </c>
      <c r="G4819" s="3">
        <v>0</v>
      </c>
      <c r="H4819" s="2">
        <f t="shared" si="150"/>
        <v>1761</v>
      </c>
      <c r="I4819" t="str">
        <f t="shared" si="151"/>
        <v>Ncald_1761</v>
      </c>
      <c r="J4819" s="3">
        <v>0</v>
      </c>
      <c r="K4819" s="3">
        <v>655</v>
      </c>
      <c r="L4819" s="3">
        <v>517</v>
      </c>
      <c r="M4819" s="3">
        <v>589</v>
      </c>
      <c r="N4819" s="3">
        <v>0</v>
      </c>
    </row>
    <row r="4820" spans="1:14" x14ac:dyDescent="0.2">
      <c r="A4820" s="5" t="str">
        <f>HYPERLINK("http://www.ncbi.nlm.nih.gov/protein/22165392","Ncapd2")</f>
        <v>Ncapd2</v>
      </c>
      <c r="B4820" s="4"/>
      <c r="C4820" s="3">
        <v>0</v>
      </c>
      <c r="D4820" s="3">
        <v>0</v>
      </c>
      <c r="E4820" s="3">
        <v>1320</v>
      </c>
      <c r="F4820" s="3">
        <v>15160</v>
      </c>
      <c r="G4820" s="3">
        <v>10870</v>
      </c>
      <c r="H4820" s="2">
        <f t="shared" si="150"/>
        <v>27350</v>
      </c>
      <c r="I4820" t="str">
        <f t="shared" si="151"/>
        <v>Ncapd2_27350</v>
      </c>
      <c r="J4820" s="3">
        <v>0</v>
      </c>
      <c r="K4820" s="3">
        <v>0</v>
      </c>
      <c r="L4820" s="3">
        <v>1320</v>
      </c>
      <c r="M4820" s="3">
        <v>15160</v>
      </c>
      <c r="N4820" s="3">
        <v>10870</v>
      </c>
    </row>
    <row r="4821" spans="1:14" x14ac:dyDescent="0.2">
      <c r="A4821" s="5" t="str">
        <f>HYPERLINK("http://www.ncbi.nlm.nih.gov/protein/161016797","Ncapd3")</f>
        <v>Ncapd3</v>
      </c>
      <c r="B4821" s="4"/>
      <c r="C4821" s="3">
        <v>55</v>
      </c>
      <c r="D4821" s="3">
        <v>0</v>
      </c>
      <c r="E4821" s="3">
        <v>10179</v>
      </c>
      <c r="F4821" s="3">
        <v>2431</v>
      </c>
      <c r="G4821" s="3">
        <v>0</v>
      </c>
      <c r="H4821" s="2">
        <f t="shared" si="150"/>
        <v>12665</v>
      </c>
      <c r="I4821" t="str">
        <f t="shared" si="151"/>
        <v>Ncapd3_12665</v>
      </c>
      <c r="J4821" s="3">
        <v>55</v>
      </c>
      <c r="K4821" s="3">
        <v>0</v>
      </c>
      <c r="L4821" s="3">
        <v>10179</v>
      </c>
      <c r="M4821" s="3">
        <v>2431</v>
      </c>
      <c r="N4821" s="3">
        <v>0</v>
      </c>
    </row>
    <row r="4822" spans="1:14" x14ac:dyDescent="0.2">
      <c r="A4822" s="5" t="str">
        <f>HYPERLINK("http://www.ncbi.nlm.nih.gov/protein/169234780","Ncapg")</f>
        <v>Ncapg</v>
      </c>
      <c r="B4822" s="4"/>
      <c r="C4822" s="3">
        <v>4503</v>
      </c>
      <c r="D4822" s="3">
        <v>524</v>
      </c>
      <c r="E4822" s="3">
        <v>15505</v>
      </c>
      <c r="F4822" s="3">
        <v>16756</v>
      </c>
      <c r="G4822" s="3">
        <v>3127</v>
      </c>
      <c r="H4822" s="2">
        <f t="shared" si="150"/>
        <v>40415</v>
      </c>
      <c r="I4822" t="str">
        <f t="shared" si="151"/>
        <v>Ncapg_40415</v>
      </c>
      <c r="J4822" s="3">
        <v>4503</v>
      </c>
      <c r="K4822" s="3">
        <v>524</v>
      </c>
      <c r="L4822" s="3">
        <v>15505</v>
      </c>
      <c r="M4822" s="3">
        <v>16756</v>
      </c>
      <c r="N4822" s="3">
        <v>3127</v>
      </c>
    </row>
    <row r="4823" spans="1:14" x14ac:dyDescent="0.2">
      <c r="A4823" s="5" t="str">
        <f>HYPERLINK("http://www.ncbi.nlm.nih.gov/protein/91208439","Ncapg2")</f>
        <v>Ncapg2</v>
      </c>
      <c r="B4823" s="4"/>
      <c r="C4823" s="3">
        <v>0</v>
      </c>
      <c r="D4823" s="3">
        <v>142</v>
      </c>
      <c r="E4823" s="3">
        <v>9718</v>
      </c>
      <c r="F4823" s="3">
        <v>4551</v>
      </c>
      <c r="G4823" s="3">
        <v>0</v>
      </c>
      <c r="H4823" s="2">
        <f t="shared" si="150"/>
        <v>14411</v>
      </c>
      <c r="I4823" t="str">
        <f t="shared" si="151"/>
        <v>Ncapg2_14411</v>
      </c>
      <c r="J4823" s="3">
        <v>0</v>
      </c>
      <c r="K4823" s="3">
        <v>142</v>
      </c>
      <c r="L4823" s="3">
        <v>9718</v>
      </c>
      <c r="M4823" s="3">
        <v>4551</v>
      </c>
      <c r="N4823" s="3">
        <v>0</v>
      </c>
    </row>
    <row r="4824" spans="1:14" x14ac:dyDescent="0.2">
      <c r="A4824" s="5" t="str">
        <f>HYPERLINK("http://www.ncbi.nlm.nih.gov/protein/295389521","Ncaph")</f>
        <v>Ncaph</v>
      </c>
      <c r="B4824" s="4"/>
      <c r="C4824" s="3">
        <v>0</v>
      </c>
      <c r="D4824" s="3">
        <v>6</v>
      </c>
      <c r="E4824" s="3">
        <v>41</v>
      </c>
      <c r="F4824" s="3">
        <v>2104</v>
      </c>
      <c r="G4824" s="3">
        <v>332</v>
      </c>
      <c r="H4824" s="2">
        <f t="shared" si="150"/>
        <v>2483</v>
      </c>
      <c r="I4824" t="str">
        <f t="shared" si="151"/>
        <v>Ncaph_2483</v>
      </c>
      <c r="J4824" s="3">
        <v>0</v>
      </c>
      <c r="K4824" s="3">
        <v>6</v>
      </c>
      <c r="L4824" s="3">
        <v>41</v>
      </c>
      <c r="M4824" s="3">
        <v>2104</v>
      </c>
      <c r="N4824" s="3">
        <v>332</v>
      </c>
    </row>
    <row r="4825" spans="1:14" x14ac:dyDescent="0.2">
      <c r="A4825" s="5" t="str">
        <f>HYPERLINK("http://www.ncbi.nlm.nih.gov/protein/169646203","Ncaph2")</f>
        <v>Ncaph2</v>
      </c>
      <c r="B4825" s="4"/>
      <c r="C4825" s="3">
        <v>0</v>
      </c>
      <c r="D4825" s="3">
        <v>0</v>
      </c>
      <c r="E4825" s="3">
        <v>10755</v>
      </c>
      <c r="F4825" s="3">
        <v>1318</v>
      </c>
      <c r="G4825" s="3">
        <v>118</v>
      </c>
      <c r="H4825" s="2">
        <f t="shared" si="150"/>
        <v>12191</v>
      </c>
      <c r="I4825" t="str">
        <f t="shared" si="151"/>
        <v>Ncaph2_12191</v>
      </c>
      <c r="J4825" s="3">
        <v>0</v>
      </c>
      <c r="K4825" s="3">
        <v>0</v>
      </c>
      <c r="L4825" s="3">
        <v>10755</v>
      </c>
      <c r="M4825" s="3">
        <v>1318</v>
      </c>
      <c r="N4825" s="3">
        <v>118</v>
      </c>
    </row>
    <row r="4826" spans="1:14" x14ac:dyDescent="0.2">
      <c r="A4826" s="5" t="str">
        <f>HYPERLINK("http://www.ncbi.nlm.nih.gov/protein/409971409","Ncaph2")</f>
        <v>Ncaph2</v>
      </c>
      <c r="B4826" s="4"/>
      <c r="C4826" s="3">
        <v>0</v>
      </c>
      <c r="D4826" s="3">
        <v>0</v>
      </c>
      <c r="E4826" s="3">
        <v>10755</v>
      </c>
      <c r="F4826" s="3">
        <v>1318</v>
      </c>
      <c r="G4826" s="3">
        <v>118</v>
      </c>
      <c r="H4826" s="2">
        <f t="shared" si="150"/>
        <v>12191</v>
      </c>
      <c r="I4826" t="str">
        <f t="shared" si="151"/>
        <v>Ncaph2_12191</v>
      </c>
      <c r="J4826" s="3">
        <v>0</v>
      </c>
      <c r="K4826" s="3">
        <v>0</v>
      </c>
      <c r="L4826" s="3">
        <v>10755</v>
      </c>
      <c r="M4826" s="3">
        <v>1318</v>
      </c>
      <c r="N4826" s="3">
        <v>118</v>
      </c>
    </row>
    <row r="4827" spans="1:14" x14ac:dyDescent="0.2">
      <c r="A4827" s="5" t="str">
        <f>HYPERLINK("http://www.ncbi.nlm.nih.gov/protein/409971411","Ncaph2")</f>
        <v>Ncaph2</v>
      </c>
      <c r="B4827" s="4"/>
      <c r="C4827" s="3">
        <v>0</v>
      </c>
      <c r="D4827" s="3">
        <v>0</v>
      </c>
      <c r="E4827" s="3">
        <v>10755</v>
      </c>
      <c r="F4827" s="3">
        <v>1318</v>
      </c>
      <c r="G4827" s="3">
        <v>118</v>
      </c>
      <c r="H4827" s="2">
        <f t="shared" si="150"/>
        <v>12191</v>
      </c>
      <c r="I4827" t="str">
        <f t="shared" si="151"/>
        <v>Ncaph2_12191</v>
      </c>
      <c r="J4827" s="3">
        <v>0</v>
      </c>
      <c r="K4827" s="3">
        <v>0</v>
      </c>
      <c r="L4827" s="3">
        <v>10755</v>
      </c>
      <c r="M4827" s="3">
        <v>1318</v>
      </c>
      <c r="N4827" s="3">
        <v>118</v>
      </c>
    </row>
    <row r="4828" spans="1:14" x14ac:dyDescent="0.2">
      <c r="A4828" s="5" t="str">
        <f>HYPERLINK("http://www.ncbi.nlm.nih.gov/protein/144922627","Ncbp1")</f>
        <v>Ncbp1</v>
      </c>
      <c r="B4828" s="4"/>
      <c r="C4828" s="3">
        <v>1153</v>
      </c>
      <c r="D4828" s="3">
        <v>0</v>
      </c>
      <c r="E4828" s="3">
        <v>4693</v>
      </c>
      <c r="F4828" s="3">
        <v>20570</v>
      </c>
      <c r="G4828" s="3">
        <v>5194</v>
      </c>
      <c r="H4828" s="2">
        <f t="shared" si="150"/>
        <v>31610</v>
      </c>
      <c r="I4828" t="str">
        <f t="shared" si="151"/>
        <v>Ncbp1_31610</v>
      </c>
      <c r="J4828" s="3">
        <v>1153</v>
      </c>
      <c r="K4828" s="3">
        <v>0</v>
      </c>
      <c r="L4828" s="3">
        <v>4693</v>
      </c>
      <c r="M4828" s="3">
        <v>20570</v>
      </c>
      <c r="N4828" s="3">
        <v>5194</v>
      </c>
    </row>
    <row r="4829" spans="1:14" x14ac:dyDescent="0.2">
      <c r="A4829" s="5" t="str">
        <f>HYPERLINK("http://www.ncbi.nlm.nih.gov/protein/13386056","Ncbp2")</f>
        <v>Ncbp2</v>
      </c>
      <c r="B4829" s="4"/>
      <c r="C4829" s="3">
        <v>0</v>
      </c>
      <c r="D4829" s="3">
        <v>610</v>
      </c>
      <c r="E4829" s="3">
        <v>534</v>
      </c>
      <c r="F4829" s="3">
        <v>859</v>
      </c>
      <c r="G4829" s="3">
        <v>4316</v>
      </c>
      <c r="H4829" s="2">
        <f t="shared" si="150"/>
        <v>6319</v>
      </c>
      <c r="I4829" t="str">
        <f t="shared" si="151"/>
        <v>Ncbp2_6319</v>
      </c>
      <c r="J4829" s="3">
        <v>0</v>
      </c>
      <c r="K4829" s="3">
        <v>610</v>
      </c>
      <c r="L4829" s="3">
        <v>534</v>
      </c>
      <c r="M4829" s="3">
        <v>859</v>
      </c>
      <c r="N4829" s="3">
        <v>4316</v>
      </c>
    </row>
    <row r="4830" spans="1:14" x14ac:dyDescent="0.2">
      <c r="A4830" s="5" t="str">
        <f>HYPERLINK("http://www.ncbi.nlm.nih.gov/protein/172072590","Ncdn")</f>
        <v>Ncdn</v>
      </c>
      <c r="B4830" s="4"/>
      <c r="C4830" s="3">
        <v>0</v>
      </c>
      <c r="D4830" s="3">
        <v>0</v>
      </c>
      <c r="E4830" s="3">
        <v>45</v>
      </c>
      <c r="F4830" s="3">
        <v>16</v>
      </c>
      <c r="G4830" s="3">
        <v>21</v>
      </c>
      <c r="H4830" s="2">
        <f t="shared" si="150"/>
        <v>82</v>
      </c>
      <c r="I4830" t="str">
        <f t="shared" si="151"/>
        <v>Ncdn_82</v>
      </c>
      <c r="J4830" s="3">
        <v>0</v>
      </c>
      <c r="K4830" s="3">
        <v>0</v>
      </c>
      <c r="L4830" s="3">
        <v>45</v>
      </c>
      <c r="M4830" s="3">
        <v>16</v>
      </c>
      <c r="N4830" s="3">
        <v>21</v>
      </c>
    </row>
    <row r="4831" spans="1:14" x14ac:dyDescent="0.2">
      <c r="A4831" s="5" t="str">
        <f>HYPERLINK("http://www.ncbi.nlm.nih.gov/protein/30520239","Nceh1")</f>
        <v>Nceh1</v>
      </c>
      <c r="B4831" s="4"/>
      <c r="C4831" s="3">
        <v>97718</v>
      </c>
      <c r="D4831" s="3">
        <v>17387</v>
      </c>
      <c r="E4831" s="3">
        <v>11254</v>
      </c>
      <c r="F4831" s="3">
        <v>1334</v>
      </c>
      <c r="G4831" s="3">
        <v>0</v>
      </c>
      <c r="H4831" s="2">
        <f t="shared" si="150"/>
        <v>127693</v>
      </c>
      <c r="I4831" t="str">
        <f t="shared" si="151"/>
        <v>Nceh1_127693</v>
      </c>
      <c r="J4831" s="3">
        <v>97718</v>
      </c>
      <c r="K4831" s="3">
        <v>17387</v>
      </c>
      <c r="L4831" s="3">
        <v>11254</v>
      </c>
      <c r="M4831" s="3">
        <v>1334</v>
      </c>
      <c r="N4831" s="3">
        <v>0</v>
      </c>
    </row>
    <row r="4832" spans="1:14" x14ac:dyDescent="0.2">
      <c r="A4832" s="5" t="str">
        <f>HYPERLINK("http://www.ncbi.nlm.nih.gov/protein/34328187","Nck1")</f>
        <v>Nck1</v>
      </c>
      <c r="B4832" s="4"/>
      <c r="C4832" s="3">
        <v>0</v>
      </c>
      <c r="D4832" s="3">
        <v>246</v>
      </c>
      <c r="E4832" s="3">
        <v>391</v>
      </c>
      <c r="F4832" s="3">
        <v>0</v>
      </c>
      <c r="G4832" s="3">
        <v>1521</v>
      </c>
      <c r="H4832" s="2">
        <f t="shared" si="150"/>
        <v>2158</v>
      </c>
      <c r="I4832" t="str">
        <f t="shared" si="151"/>
        <v>Nck1_2158</v>
      </c>
      <c r="J4832" s="3">
        <v>0</v>
      </c>
      <c r="K4832" s="3">
        <v>246</v>
      </c>
      <c r="L4832" s="3">
        <v>391</v>
      </c>
      <c r="M4832" s="3">
        <v>0</v>
      </c>
      <c r="N4832" s="3">
        <v>1521</v>
      </c>
    </row>
    <row r="4833" spans="1:14" x14ac:dyDescent="0.2">
      <c r="A4833" s="5" t="str">
        <f>HYPERLINK("http://www.ncbi.nlm.nih.gov/protein/190610036","Nck2")</f>
        <v>Nck2</v>
      </c>
      <c r="B4833" s="4"/>
      <c r="C4833" s="3">
        <v>0</v>
      </c>
      <c r="D4833" s="3">
        <v>618</v>
      </c>
      <c r="E4833" s="3">
        <v>581</v>
      </c>
      <c r="F4833" s="3">
        <v>0</v>
      </c>
      <c r="G4833" s="3">
        <v>0</v>
      </c>
      <c r="H4833" s="2">
        <f t="shared" si="150"/>
        <v>1199</v>
      </c>
      <c r="I4833" t="str">
        <f t="shared" si="151"/>
        <v>Nck2_1199</v>
      </c>
      <c r="J4833" s="3">
        <v>0</v>
      </c>
      <c r="K4833" s="3">
        <v>618</v>
      </c>
      <c r="L4833" s="3">
        <v>581</v>
      </c>
      <c r="M4833" s="3">
        <v>0</v>
      </c>
      <c r="N4833" s="3">
        <v>0</v>
      </c>
    </row>
    <row r="4834" spans="1:14" x14ac:dyDescent="0.2">
      <c r="A4834" s="5" t="str">
        <f>HYPERLINK("http://www.ncbi.nlm.nih.gov/protein/28395023","Nckap1")</f>
        <v>Nckap1</v>
      </c>
      <c r="B4834" s="4"/>
      <c r="C4834" s="3">
        <v>0</v>
      </c>
      <c r="D4834" s="3">
        <v>887</v>
      </c>
      <c r="E4834" s="3">
        <v>24243</v>
      </c>
      <c r="F4834" s="3">
        <v>10494</v>
      </c>
      <c r="G4834" s="3">
        <v>1971</v>
      </c>
      <c r="H4834" s="2">
        <f t="shared" si="150"/>
        <v>37595</v>
      </c>
      <c r="I4834" t="str">
        <f t="shared" si="151"/>
        <v>Nckap1_37595</v>
      </c>
      <c r="J4834" s="3">
        <v>0</v>
      </c>
      <c r="K4834" s="3">
        <v>887</v>
      </c>
      <c r="L4834" s="3">
        <v>24243</v>
      </c>
      <c r="M4834" s="3">
        <v>10494</v>
      </c>
      <c r="N4834" s="3">
        <v>1971</v>
      </c>
    </row>
    <row r="4835" spans="1:14" x14ac:dyDescent="0.2">
      <c r="A4835" s="5" t="str">
        <f>HYPERLINK("http://www.ncbi.nlm.nih.gov/protein/23943795","Nckap1l")</f>
        <v>Nckap1l</v>
      </c>
      <c r="B4835" s="4"/>
      <c r="C4835" s="3">
        <v>0</v>
      </c>
      <c r="D4835" s="3">
        <v>0</v>
      </c>
      <c r="E4835" s="3">
        <v>471</v>
      </c>
      <c r="F4835" s="3">
        <v>0</v>
      </c>
      <c r="G4835" s="3">
        <v>0</v>
      </c>
      <c r="H4835" s="2">
        <f t="shared" si="150"/>
        <v>471</v>
      </c>
      <c r="I4835" t="str">
        <f t="shared" si="151"/>
        <v>Nckap1l_471</v>
      </c>
      <c r="J4835" s="3">
        <v>0</v>
      </c>
      <c r="K4835" s="3">
        <v>0</v>
      </c>
      <c r="L4835" s="3">
        <v>471</v>
      </c>
      <c r="M4835" s="3">
        <v>0</v>
      </c>
      <c r="N4835" s="3">
        <v>0</v>
      </c>
    </row>
    <row r="4836" spans="1:14" x14ac:dyDescent="0.2">
      <c r="A4836" s="5" t="str">
        <f>HYPERLINK("http://www.ncbi.nlm.nih.gov/protein/49258190","Nckipsd")</f>
        <v>Nckipsd</v>
      </c>
      <c r="B4836" s="4"/>
      <c r="C4836" s="3">
        <v>0</v>
      </c>
      <c r="D4836" s="3">
        <v>0</v>
      </c>
      <c r="E4836" s="3">
        <v>92</v>
      </c>
      <c r="F4836" s="3">
        <v>0</v>
      </c>
      <c r="G4836" s="3">
        <v>0</v>
      </c>
      <c r="H4836" s="2">
        <f t="shared" si="150"/>
        <v>92</v>
      </c>
      <c r="I4836" t="str">
        <f t="shared" si="151"/>
        <v>Nckipsd_92</v>
      </c>
      <c r="J4836" s="3">
        <v>0</v>
      </c>
      <c r="K4836" s="3">
        <v>0</v>
      </c>
      <c r="L4836" s="3">
        <v>92</v>
      </c>
      <c r="M4836" s="3">
        <v>0</v>
      </c>
      <c r="N4836" s="3">
        <v>0</v>
      </c>
    </row>
    <row r="4837" spans="1:14" x14ac:dyDescent="0.2">
      <c r="A4837" s="5" t="str">
        <f>HYPERLINK("http://www.ncbi.nlm.nih.gov/protein/84875537","Ncl")</f>
        <v>Ncl</v>
      </c>
      <c r="B4837" s="4"/>
      <c r="C4837" s="3">
        <v>360043</v>
      </c>
      <c r="D4837" s="3">
        <v>40099</v>
      </c>
      <c r="E4837" s="3">
        <v>216167</v>
      </c>
      <c r="F4837" s="3">
        <v>878655</v>
      </c>
      <c r="G4837" s="3">
        <v>73917</v>
      </c>
      <c r="H4837" s="2">
        <f t="shared" si="150"/>
        <v>1568881</v>
      </c>
      <c r="I4837" t="str">
        <f t="shared" si="151"/>
        <v>Ncl_1568881</v>
      </c>
      <c r="J4837" s="3">
        <v>360043</v>
      </c>
      <c r="K4837" s="3">
        <v>40099</v>
      </c>
      <c r="L4837" s="3">
        <v>216167</v>
      </c>
      <c r="M4837" s="3">
        <v>878655</v>
      </c>
      <c r="N4837" s="3">
        <v>73917</v>
      </c>
    </row>
    <row r="4838" spans="1:14" x14ac:dyDescent="0.2">
      <c r="A4838" s="5" t="str">
        <f>HYPERLINK("http://www.ncbi.nlm.nih.gov/protein/33469043","Ncln")</f>
        <v>Ncln</v>
      </c>
      <c r="B4838" s="4"/>
      <c r="C4838" s="3">
        <v>421</v>
      </c>
      <c r="D4838" s="3">
        <v>3563</v>
      </c>
      <c r="E4838" s="3">
        <v>2460</v>
      </c>
      <c r="F4838" s="3">
        <v>0</v>
      </c>
      <c r="G4838" s="3">
        <v>0</v>
      </c>
      <c r="H4838" s="2">
        <f t="shared" si="150"/>
        <v>6444</v>
      </c>
      <c r="I4838" t="str">
        <f t="shared" si="151"/>
        <v>Ncln_6444</v>
      </c>
      <c r="J4838" s="3">
        <v>421</v>
      </c>
      <c r="K4838" s="3">
        <v>3563</v>
      </c>
      <c r="L4838" s="3">
        <v>2460</v>
      </c>
      <c r="M4838" s="3">
        <v>0</v>
      </c>
      <c r="N4838" s="3">
        <v>0</v>
      </c>
    </row>
    <row r="4839" spans="1:14" x14ac:dyDescent="0.2">
      <c r="A4839" s="5" t="str">
        <f>HYPERLINK("http://www.ncbi.nlm.nih.gov/protein/118026940","Ncoa2")</f>
        <v>Ncoa2</v>
      </c>
      <c r="B4839" s="4"/>
      <c r="C4839" s="3">
        <v>0</v>
      </c>
      <c r="D4839" s="3">
        <v>0</v>
      </c>
      <c r="E4839" s="3">
        <v>0</v>
      </c>
      <c r="F4839" s="3">
        <v>0</v>
      </c>
      <c r="G4839" s="3">
        <v>610</v>
      </c>
      <c r="H4839" s="2">
        <f t="shared" si="150"/>
        <v>610</v>
      </c>
      <c r="I4839" t="str">
        <f t="shared" si="151"/>
        <v>Ncoa2_610</v>
      </c>
      <c r="J4839" s="3">
        <v>0</v>
      </c>
      <c r="K4839" s="3">
        <v>0</v>
      </c>
      <c r="L4839" s="3">
        <v>0</v>
      </c>
      <c r="M4839" s="3">
        <v>0</v>
      </c>
      <c r="N4839" s="3">
        <v>610</v>
      </c>
    </row>
    <row r="4840" spans="1:14" x14ac:dyDescent="0.2">
      <c r="A4840" s="5" t="str">
        <f>HYPERLINK("http://www.ncbi.nlm.nih.gov/protein/118026944","Ncoa2")</f>
        <v>Ncoa2</v>
      </c>
      <c r="B4840" s="4"/>
      <c r="C4840" s="3">
        <v>0</v>
      </c>
      <c r="D4840" s="3">
        <v>0</v>
      </c>
      <c r="E4840" s="3">
        <v>0</v>
      </c>
      <c r="F4840" s="3">
        <v>0</v>
      </c>
      <c r="G4840" s="3">
        <v>610</v>
      </c>
      <c r="H4840" s="2">
        <f t="shared" si="150"/>
        <v>610</v>
      </c>
      <c r="I4840" t="str">
        <f t="shared" si="151"/>
        <v>Ncoa2_610</v>
      </c>
      <c r="J4840" s="3">
        <v>0</v>
      </c>
      <c r="K4840" s="3">
        <v>0</v>
      </c>
      <c r="L4840" s="3">
        <v>0</v>
      </c>
      <c r="M4840" s="3">
        <v>0</v>
      </c>
      <c r="N4840" s="3">
        <v>610</v>
      </c>
    </row>
    <row r="4841" spans="1:14" x14ac:dyDescent="0.2">
      <c r="A4841" s="5" t="str">
        <f>HYPERLINK("http://www.ncbi.nlm.nih.gov/protein/118026946","Ncoa3")</f>
        <v>Ncoa3</v>
      </c>
      <c r="B4841" s="4"/>
      <c r="C4841" s="3">
        <v>0</v>
      </c>
      <c r="D4841" s="3">
        <v>0</v>
      </c>
      <c r="E4841" s="3">
        <v>0</v>
      </c>
      <c r="F4841" s="3">
        <v>0</v>
      </c>
      <c r="G4841" s="3">
        <v>257</v>
      </c>
      <c r="H4841" s="2">
        <f t="shared" si="150"/>
        <v>257</v>
      </c>
      <c r="I4841" t="str">
        <f t="shared" si="151"/>
        <v>Ncoa3_257</v>
      </c>
      <c r="J4841" s="3">
        <v>0</v>
      </c>
      <c r="K4841" s="3">
        <v>0</v>
      </c>
      <c r="L4841" s="3">
        <v>0</v>
      </c>
      <c r="M4841" s="3">
        <v>0</v>
      </c>
      <c r="N4841" s="3">
        <v>257</v>
      </c>
    </row>
    <row r="4842" spans="1:14" x14ac:dyDescent="0.2">
      <c r="A4842" s="5" t="str">
        <f>HYPERLINK("http://www.ncbi.nlm.nih.gov/protein/21450271","Ncoa5")</f>
        <v>Ncoa5</v>
      </c>
      <c r="B4842" s="4"/>
      <c r="C4842" s="3">
        <v>1172</v>
      </c>
      <c r="D4842" s="3">
        <v>6</v>
      </c>
      <c r="E4842" s="3">
        <v>0</v>
      </c>
      <c r="F4842" s="3">
        <v>0</v>
      </c>
      <c r="G4842" s="3">
        <v>0</v>
      </c>
      <c r="H4842" s="2">
        <f t="shared" si="150"/>
        <v>1178</v>
      </c>
      <c r="I4842" t="str">
        <f t="shared" si="151"/>
        <v>Ncoa5_1178</v>
      </c>
      <c r="J4842" s="3">
        <v>1172</v>
      </c>
      <c r="K4842" s="3">
        <v>6</v>
      </c>
      <c r="L4842" s="3">
        <v>0</v>
      </c>
      <c r="M4842" s="3">
        <v>0</v>
      </c>
      <c r="N4842" s="3">
        <v>0</v>
      </c>
    </row>
    <row r="4843" spans="1:14" x14ac:dyDescent="0.2">
      <c r="A4843" s="5" t="str">
        <f>HYPERLINK("http://www.ncbi.nlm.nih.gov/protein/224809376","Ncstn")</f>
        <v>Ncstn</v>
      </c>
      <c r="B4843" s="4"/>
      <c r="C4843" s="3">
        <v>8769</v>
      </c>
      <c r="D4843" s="3">
        <v>1380</v>
      </c>
      <c r="E4843" s="3">
        <v>18347</v>
      </c>
      <c r="F4843" s="3">
        <v>573</v>
      </c>
      <c r="G4843" s="3">
        <v>0</v>
      </c>
      <c r="H4843" s="2">
        <f t="shared" si="150"/>
        <v>29069</v>
      </c>
      <c r="I4843" t="str">
        <f t="shared" si="151"/>
        <v>Ncstn_29069</v>
      </c>
      <c r="J4843" s="3">
        <v>8769</v>
      </c>
      <c r="K4843" s="3">
        <v>1380</v>
      </c>
      <c r="L4843" s="3">
        <v>18347</v>
      </c>
      <c r="M4843" s="3">
        <v>573</v>
      </c>
      <c r="N4843" s="3">
        <v>0</v>
      </c>
    </row>
    <row r="4844" spans="1:14" x14ac:dyDescent="0.2">
      <c r="A4844" s="5" t="str">
        <f>HYPERLINK("http://www.ncbi.nlm.nih.gov/protein/226453475","ND1")</f>
        <v>ND1</v>
      </c>
      <c r="B4844" s="4"/>
      <c r="C4844" s="3">
        <v>0</v>
      </c>
      <c r="D4844" s="3">
        <v>841</v>
      </c>
      <c r="E4844" s="3">
        <v>121</v>
      </c>
      <c r="F4844" s="3">
        <v>0</v>
      </c>
      <c r="G4844" s="3">
        <v>0</v>
      </c>
      <c r="H4844" s="2">
        <f t="shared" si="150"/>
        <v>962</v>
      </c>
      <c r="I4844" t="str">
        <f t="shared" si="151"/>
        <v>ND1_962</v>
      </c>
      <c r="J4844" s="3">
        <v>0</v>
      </c>
      <c r="K4844" s="3">
        <v>841</v>
      </c>
      <c r="L4844" s="3">
        <v>121</v>
      </c>
      <c r="M4844" s="3">
        <v>0</v>
      </c>
      <c r="N4844" s="3">
        <v>0</v>
      </c>
    </row>
    <row r="4845" spans="1:14" x14ac:dyDescent="0.2">
      <c r="A4845" s="5" t="str">
        <f>HYPERLINK("http://www.ncbi.nlm.nih.gov/protein/167716837","ND1")</f>
        <v>ND1</v>
      </c>
      <c r="B4845" s="4"/>
      <c r="C4845" s="3">
        <v>3332</v>
      </c>
      <c r="D4845" s="3">
        <v>887</v>
      </c>
      <c r="E4845" s="3">
        <v>121</v>
      </c>
      <c r="F4845" s="3">
        <v>0</v>
      </c>
      <c r="G4845" s="3">
        <v>0</v>
      </c>
      <c r="H4845" s="2">
        <f t="shared" si="150"/>
        <v>4340</v>
      </c>
      <c r="I4845" t="str">
        <f t="shared" si="151"/>
        <v>ND1_4340</v>
      </c>
      <c r="J4845" s="3">
        <v>3332</v>
      </c>
      <c r="K4845" s="3">
        <v>887</v>
      </c>
      <c r="L4845" s="3">
        <v>121</v>
      </c>
      <c r="M4845" s="3">
        <v>0</v>
      </c>
      <c r="N4845" s="3">
        <v>0</v>
      </c>
    </row>
    <row r="4846" spans="1:14" x14ac:dyDescent="0.2">
      <c r="A4846" s="5" t="str">
        <f>HYPERLINK("http://www.ncbi.nlm.nih.gov/protein/34538598","ND1")</f>
        <v>ND1</v>
      </c>
      <c r="B4846" s="4"/>
      <c r="C4846" s="3">
        <v>3332</v>
      </c>
      <c r="D4846" s="3">
        <v>887</v>
      </c>
      <c r="E4846" s="3">
        <v>121</v>
      </c>
      <c r="F4846" s="3">
        <v>0</v>
      </c>
      <c r="G4846" s="3">
        <v>0</v>
      </c>
      <c r="H4846" s="2">
        <f t="shared" si="150"/>
        <v>4340</v>
      </c>
      <c r="I4846" t="str">
        <f t="shared" si="151"/>
        <v>ND1_4340</v>
      </c>
      <c r="J4846" s="3">
        <v>3332</v>
      </c>
      <c r="K4846" s="3">
        <v>887</v>
      </c>
      <c r="L4846" s="3">
        <v>121</v>
      </c>
      <c r="M4846" s="3">
        <v>0</v>
      </c>
      <c r="N4846" s="3">
        <v>0</v>
      </c>
    </row>
    <row r="4847" spans="1:14" x14ac:dyDescent="0.2">
      <c r="A4847" s="5" t="str">
        <f>HYPERLINK("http://www.ncbi.nlm.nih.gov/protein/62184369","ND1")</f>
        <v>ND1</v>
      </c>
      <c r="B4847" s="4"/>
      <c r="C4847" s="3">
        <v>3332</v>
      </c>
      <c r="D4847" s="3">
        <v>887</v>
      </c>
      <c r="E4847" s="3">
        <v>121</v>
      </c>
      <c r="F4847" s="3">
        <v>0</v>
      </c>
      <c r="G4847" s="3">
        <v>0</v>
      </c>
      <c r="H4847" s="2">
        <f t="shared" si="150"/>
        <v>4340</v>
      </c>
      <c r="I4847" t="str">
        <f t="shared" si="151"/>
        <v>ND1_4340</v>
      </c>
      <c r="J4847" s="3">
        <v>3332</v>
      </c>
      <c r="K4847" s="3">
        <v>887</v>
      </c>
      <c r="L4847" s="3">
        <v>121</v>
      </c>
      <c r="M4847" s="3">
        <v>0</v>
      </c>
      <c r="N4847" s="3">
        <v>0</v>
      </c>
    </row>
    <row r="4848" spans="1:14" x14ac:dyDescent="0.2">
      <c r="A4848" s="5" t="str">
        <f>HYPERLINK("http://www.ncbi.nlm.nih.gov/protein/167716838","ND2")</f>
        <v>ND2</v>
      </c>
      <c r="B4848" s="4"/>
      <c r="C4848" s="3">
        <v>0</v>
      </c>
      <c r="D4848" s="3">
        <v>127</v>
      </c>
      <c r="E4848" s="3">
        <v>20</v>
      </c>
      <c r="F4848" s="3">
        <v>0</v>
      </c>
      <c r="G4848" s="3">
        <v>0</v>
      </c>
      <c r="H4848" s="2">
        <f t="shared" si="150"/>
        <v>147</v>
      </c>
      <c r="I4848" t="str">
        <f t="shared" si="151"/>
        <v>ND2_147</v>
      </c>
      <c r="J4848" s="3">
        <v>0</v>
      </c>
      <c r="K4848" s="3">
        <v>127</v>
      </c>
      <c r="L4848" s="3">
        <v>20</v>
      </c>
      <c r="M4848" s="3">
        <v>0</v>
      </c>
      <c r="N4848" s="3">
        <v>0</v>
      </c>
    </row>
    <row r="4849" spans="1:14" x14ac:dyDescent="0.2">
      <c r="A4849" s="5" t="str">
        <f>HYPERLINK("http://www.ncbi.nlm.nih.gov/protein/226453476","ND2")</f>
        <v>ND2</v>
      </c>
      <c r="B4849" s="4"/>
      <c r="C4849" s="3">
        <v>0</v>
      </c>
      <c r="D4849" s="3">
        <v>127</v>
      </c>
      <c r="E4849" s="3">
        <v>20</v>
      </c>
      <c r="F4849" s="3">
        <v>0</v>
      </c>
      <c r="G4849" s="3">
        <v>0</v>
      </c>
      <c r="H4849" s="2">
        <f t="shared" si="150"/>
        <v>147</v>
      </c>
      <c r="I4849" t="str">
        <f t="shared" si="151"/>
        <v>ND2_147</v>
      </c>
      <c r="J4849" s="3">
        <v>0</v>
      </c>
      <c r="K4849" s="3">
        <v>127</v>
      </c>
      <c r="L4849" s="3">
        <v>20</v>
      </c>
      <c r="M4849" s="3">
        <v>0</v>
      </c>
      <c r="N4849" s="3">
        <v>0</v>
      </c>
    </row>
    <row r="4850" spans="1:14" x14ac:dyDescent="0.2">
      <c r="A4850" s="5" t="str">
        <f>HYPERLINK("http://www.ncbi.nlm.nih.gov/protein/34538599","ND2")</f>
        <v>ND2</v>
      </c>
      <c r="B4850" s="4"/>
      <c r="C4850" s="3">
        <v>0</v>
      </c>
      <c r="D4850" s="3">
        <v>127</v>
      </c>
      <c r="E4850" s="3">
        <v>20</v>
      </c>
      <c r="F4850" s="3">
        <v>0</v>
      </c>
      <c r="G4850" s="3">
        <v>0</v>
      </c>
      <c r="H4850" s="2">
        <f t="shared" si="150"/>
        <v>147</v>
      </c>
      <c r="I4850" t="str">
        <f t="shared" si="151"/>
        <v>ND2_147</v>
      </c>
      <c r="J4850" s="3">
        <v>0</v>
      </c>
      <c r="K4850" s="3">
        <v>127</v>
      </c>
      <c r="L4850" s="3">
        <v>20</v>
      </c>
      <c r="M4850" s="3">
        <v>0</v>
      </c>
      <c r="N4850" s="3">
        <v>0</v>
      </c>
    </row>
    <row r="4851" spans="1:14" x14ac:dyDescent="0.2">
      <c r="A4851" s="5" t="str">
        <f>HYPERLINK("http://www.ncbi.nlm.nih.gov/protein/62184370","ND2")</f>
        <v>ND2</v>
      </c>
      <c r="B4851" s="4"/>
      <c r="C4851" s="3">
        <v>0</v>
      </c>
      <c r="D4851" s="3">
        <v>127</v>
      </c>
      <c r="E4851" s="3">
        <v>20</v>
      </c>
      <c r="F4851" s="3">
        <v>0</v>
      </c>
      <c r="G4851" s="3">
        <v>0</v>
      </c>
      <c r="H4851" s="2">
        <f t="shared" si="150"/>
        <v>147</v>
      </c>
      <c r="I4851" t="str">
        <f t="shared" si="151"/>
        <v>ND2_147</v>
      </c>
      <c r="J4851" s="3">
        <v>0</v>
      </c>
      <c r="K4851" s="3">
        <v>127</v>
      </c>
      <c r="L4851" s="3">
        <v>20</v>
      </c>
      <c r="M4851" s="3">
        <v>0</v>
      </c>
      <c r="N4851" s="3">
        <v>0</v>
      </c>
    </row>
    <row r="4852" spans="1:14" x14ac:dyDescent="0.2">
      <c r="A4852" s="5" t="str">
        <f>HYPERLINK("http://www.ncbi.nlm.nih.gov/protein/226453482","ND3")</f>
        <v>ND3</v>
      </c>
      <c r="B4852" s="4"/>
      <c r="C4852" s="3">
        <v>2545</v>
      </c>
      <c r="D4852" s="3">
        <v>756</v>
      </c>
      <c r="E4852" s="3">
        <v>1187</v>
      </c>
      <c r="F4852" s="3">
        <v>0</v>
      </c>
      <c r="G4852" s="3">
        <v>0</v>
      </c>
      <c r="H4852" s="2">
        <f t="shared" si="150"/>
        <v>4488</v>
      </c>
      <c r="I4852" t="str">
        <f t="shared" si="151"/>
        <v>ND3_4488</v>
      </c>
      <c r="J4852" s="3">
        <v>2545</v>
      </c>
      <c r="K4852" s="3">
        <v>756</v>
      </c>
      <c r="L4852" s="3">
        <v>1187</v>
      </c>
      <c r="M4852" s="3">
        <v>0</v>
      </c>
      <c r="N4852" s="3">
        <v>0</v>
      </c>
    </row>
    <row r="4853" spans="1:14" x14ac:dyDescent="0.2">
      <c r="A4853" s="5" t="str">
        <f>HYPERLINK("http://www.ncbi.nlm.nih.gov/protein/34538605","ND3")</f>
        <v>ND3</v>
      </c>
      <c r="B4853" s="4"/>
      <c r="C4853" s="3">
        <v>2545</v>
      </c>
      <c r="D4853" s="3">
        <v>756</v>
      </c>
      <c r="E4853" s="3">
        <v>1187</v>
      </c>
      <c r="F4853" s="3">
        <v>0</v>
      </c>
      <c r="G4853" s="3">
        <v>0</v>
      </c>
      <c r="H4853" s="2">
        <f t="shared" si="150"/>
        <v>4488</v>
      </c>
      <c r="I4853" t="str">
        <f t="shared" si="151"/>
        <v>ND3_4488</v>
      </c>
      <c r="J4853" s="3">
        <v>2545</v>
      </c>
      <c r="K4853" s="3">
        <v>756</v>
      </c>
      <c r="L4853" s="3">
        <v>1187</v>
      </c>
      <c r="M4853" s="3">
        <v>0</v>
      </c>
      <c r="N4853" s="3">
        <v>0</v>
      </c>
    </row>
    <row r="4854" spans="1:14" x14ac:dyDescent="0.2">
      <c r="A4854" s="5" t="str">
        <f>HYPERLINK("http://www.ncbi.nlm.nih.gov/protein/167716846","ND4")</f>
        <v>ND4</v>
      </c>
      <c r="B4854" s="4"/>
      <c r="C4854" s="3">
        <v>55</v>
      </c>
      <c r="D4854" s="3">
        <v>0</v>
      </c>
      <c r="E4854" s="3">
        <v>0</v>
      </c>
      <c r="F4854" s="3">
        <v>0</v>
      </c>
      <c r="G4854" s="3">
        <v>0</v>
      </c>
      <c r="H4854" s="2">
        <f t="shared" si="150"/>
        <v>55</v>
      </c>
      <c r="I4854" t="str">
        <f t="shared" si="151"/>
        <v>ND4_55</v>
      </c>
      <c r="J4854" s="3">
        <v>55</v>
      </c>
      <c r="K4854" s="3">
        <v>0</v>
      </c>
      <c r="L4854" s="3">
        <v>0</v>
      </c>
      <c r="M4854" s="3">
        <v>0</v>
      </c>
      <c r="N4854" s="3">
        <v>0</v>
      </c>
    </row>
    <row r="4855" spans="1:14" x14ac:dyDescent="0.2">
      <c r="A4855" s="5" t="str">
        <f>HYPERLINK("http://www.ncbi.nlm.nih.gov/protein/226453484","ND4")</f>
        <v>ND4</v>
      </c>
      <c r="B4855" s="4"/>
      <c r="C4855" s="3">
        <v>55</v>
      </c>
      <c r="D4855" s="3">
        <v>0</v>
      </c>
      <c r="E4855" s="3">
        <v>0</v>
      </c>
      <c r="F4855" s="3">
        <v>0</v>
      </c>
      <c r="G4855" s="3">
        <v>0</v>
      </c>
      <c r="H4855" s="2">
        <f t="shared" si="150"/>
        <v>55</v>
      </c>
      <c r="I4855" t="str">
        <f t="shared" si="151"/>
        <v>ND4_55</v>
      </c>
      <c r="J4855" s="3">
        <v>55</v>
      </c>
      <c r="K4855" s="3">
        <v>0</v>
      </c>
      <c r="L4855" s="3">
        <v>0</v>
      </c>
      <c r="M4855" s="3">
        <v>0</v>
      </c>
      <c r="N4855" s="3">
        <v>0</v>
      </c>
    </row>
    <row r="4856" spans="1:14" x14ac:dyDescent="0.2">
      <c r="A4856" s="5" t="str">
        <f>HYPERLINK("http://www.ncbi.nlm.nih.gov/protein/34538607","ND4")</f>
        <v>ND4</v>
      </c>
      <c r="B4856" s="4"/>
      <c r="C4856" s="3">
        <v>55</v>
      </c>
      <c r="D4856" s="3">
        <v>0</v>
      </c>
      <c r="E4856" s="3">
        <v>0</v>
      </c>
      <c r="F4856" s="3">
        <v>0</v>
      </c>
      <c r="G4856" s="3">
        <v>0</v>
      </c>
      <c r="H4856" s="2">
        <f t="shared" si="150"/>
        <v>55</v>
      </c>
      <c r="I4856" t="str">
        <f t="shared" si="151"/>
        <v>ND4_55</v>
      </c>
      <c r="J4856" s="3">
        <v>55</v>
      </c>
      <c r="K4856" s="3">
        <v>0</v>
      </c>
      <c r="L4856" s="3">
        <v>0</v>
      </c>
      <c r="M4856" s="3">
        <v>0</v>
      </c>
      <c r="N4856" s="3">
        <v>0</v>
      </c>
    </row>
    <row r="4857" spans="1:14" x14ac:dyDescent="0.2">
      <c r="A4857" s="5" t="str">
        <f>HYPERLINK("http://www.ncbi.nlm.nih.gov/protein/62184378","ND4")</f>
        <v>ND4</v>
      </c>
      <c r="B4857" s="4"/>
      <c r="C4857" s="3">
        <v>55</v>
      </c>
      <c r="D4857" s="3">
        <v>0</v>
      </c>
      <c r="E4857" s="3">
        <v>0</v>
      </c>
      <c r="F4857" s="3">
        <v>0</v>
      </c>
      <c r="G4857" s="3">
        <v>0</v>
      </c>
      <c r="H4857" s="2">
        <f t="shared" si="150"/>
        <v>55</v>
      </c>
      <c r="I4857" t="str">
        <f t="shared" si="151"/>
        <v>ND4_55</v>
      </c>
      <c r="J4857" s="3">
        <v>55</v>
      </c>
      <c r="K4857" s="3">
        <v>0</v>
      </c>
      <c r="L4857" s="3">
        <v>0</v>
      </c>
      <c r="M4857" s="3">
        <v>0</v>
      </c>
      <c r="N4857" s="3">
        <v>0</v>
      </c>
    </row>
    <row r="4858" spans="1:14" x14ac:dyDescent="0.2">
      <c r="A4858" s="5" t="str">
        <f>HYPERLINK("http://www.ncbi.nlm.nih.gov/protein/167716847","ND5")</f>
        <v>ND5</v>
      </c>
      <c r="B4858" s="4"/>
      <c r="C4858" s="3">
        <v>0</v>
      </c>
      <c r="D4858" s="3">
        <v>10</v>
      </c>
      <c r="E4858" s="3">
        <v>0</v>
      </c>
      <c r="F4858" s="3">
        <v>0</v>
      </c>
      <c r="G4858" s="3">
        <v>0</v>
      </c>
      <c r="H4858" s="2">
        <f t="shared" si="150"/>
        <v>10</v>
      </c>
      <c r="I4858" t="str">
        <f t="shared" si="151"/>
        <v>ND5_10</v>
      </c>
      <c r="J4858" s="3">
        <v>0</v>
      </c>
      <c r="K4858" s="3">
        <v>10</v>
      </c>
      <c r="L4858" s="3">
        <v>0</v>
      </c>
      <c r="M4858" s="3">
        <v>0</v>
      </c>
      <c r="N4858" s="3">
        <v>0</v>
      </c>
    </row>
    <row r="4859" spans="1:14" x14ac:dyDescent="0.2">
      <c r="A4859" s="5" t="str">
        <f>HYPERLINK("http://www.ncbi.nlm.nih.gov/protein/226453485","ND5")</f>
        <v>ND5</v>
      </c>
      <c r="B4859" s="4"/>
      <c r="C4859" s="3">
        <v>0</v>
      </c>
      <c r="D4859" s="3">
        <v>10</v>
      </c>
      <c r="E4859" s="3">
        <v>0</v>
      </c>
      <c r="F4859" s="3">
        <v>0</v>
      </c>
      <c r="G4859" s="3">
        <v>0</v>
      </c>
      <c r="H4859" s="2">
        <f t="shared" si="150"/>
        <v>10</v>
      </c>
      <c r="I4859" t="str">
        <f t="shared" si="151"/>
        <v>ND5_10</v>
      </c>
      <c r="J4859" s="3">
        <v>0</v>
      </c>
      <c r="K4859" s="3">
        <v>10</v>
      </c>
      <c r="L4859" s="3">
        <v>0</v>
      </c>
      <c r="M4859" s="3">
        <v>0</v>
      </c>
      <c r="N4859" s="3">
        <v>0</v>
      </c>
    </row>
    <row r="4860" spans="1:14" x14ac:dyDescent="0.2">
      <c r="A4860" s="5" t="str">
        <f>HYPERLINK("http://www.ncbi.nlm.nih.gov/protein/34538608","ND5")</f>
        <v>ND5</v>
      </c>
      <c r="B4860" s="4"/>
      <c r="C4860" s="3">
        <v>0</v>
      </c>
      <c r="D4860" s="3">
        <v>10</v>
      </c>
      <c r="E4860" s="3">
        <v>0</v>
      </c>
      <c r="F4860" s="3">
        <v>0</v>
      </c>
      <c r="G4860" s="3">
        <v>0</v>
      </c>
      <c r="H4860" s="2">
        <f t="shared" si="150"/>
        <v>10</v>
      </c>
      <c r="I4860" t="str">
        <f t="shared" si="151"/>
        <v>ND5_10</v>
      </c>
      <c r="J4860" s="3">
        <v>0</v>
      </c>
      <c r="K4860" s="3">
        <v>10</v>
      </c>
      <c r="L4860" s="3">
        <v>0</v>
      </c>
      <c r="M4860" s="3">
        <v>0</v>
      </c>
      <c r="N4860" s="3">
        <v>0</v>
      </c>
    </row>
    <row r="4861" spans="1:14" x14ac:dyDescent="0.2">
      <c r="A4861" s="5" t="str">
        <f>HYPERLINK("http://www.ncbi.nlm.nih.gov/protein/62184379","ND5")</f>
        <v>ND5</v>
      </c>
      <c r="B4861" s="4"/>
      <c r="C4861" s="3">
        <v>0</v>
      </c>
      <c r="D4861" s="3">
        <v>10</v>
      </c>
      <c r="E4861" s="3">
        <v>0</v>
      </c>
      <c r="F4861" s="3">
        <v>0</v>
      </c>
      <c r="G4861" s="3">
        <v>0</v>
      </c>
      <c r="H4861" s="2">
        <f t="shared" si="150"/>
        <v>10</v>
      </c>
      <c r="I4861" t="str">
        <f t="shared" si="151"/>
        <v>ND5_10</v>
      </c>
      <c r="J4861" s="3">
        <v>0</v>
      </c>
      <c r="K4861" s="3">
        <v>10</v>
      </c>
      <c r="L4861" s="3">
        <v>0</v>
      </c>
      <c r="M4861" s="3">
        <v>0</v>
      </c>
      <c r="N4861" s="3">
        <v>0</v>
      </c>
    </row>
    <row r="4862" spans="1:14" x14ac:dyDescent="0.2">
      <c r="A4862" s="5" t="str">
        <f>HYPERLINK("http://www.ncbi.nlm.nih.gov/protein/166197652","Nde1")</f>
        <v>Nde1</v>
      </c>
      <c r="B4862" s="4"/>
      <c r="C4862" s="3">
        <v>0</v>
      </c>
      <c r="D4862" s="3">
        <v>0</v>
      </c>
      <c r="E4862" s="3">
        <v>40</v>
      </c>
      <c r="F4862" s="3">
        <v>286</v>
      </c>
      <c r="G4862" s="3">
        <v>0</v>
      </c>
      <c r="H4862" s="2">
        <f t="shared" si="150"/>
        <v>326</v>
      </c>
      <c r="I4862" t="str">
        <f t="shared" si="151"/>
        <v>Nde1_326</v>
      </c>
      <c r="J4862" s="3">
        <v>0</v>
      </c>
      <c r="K4862" s="3">
        <v>0</v>
      </c>
      <c r="L4862" s="3">
        <v>40</v>
      </c>
      <c r="M4862" s="3">
        <v>286</v>
      </c>
      <c r="N4862" s="3">
        <v>0</v>
      </c>
    </row>
    <row r="4863" spans="1:14" x14ac:dyDescent="0.2">
      <c r="A4863" s="5" t="str">
        <f>HYPERLINK("http://www.ncbi.nlm.nih.gov/protein/166197654","Nde1")</f>
        <v>Nde1</v>
      </c>
      <c r="B4863" s="4"/>
      <c r="C4863" s="3">
        <v>0</v>
      </c>
      <c r="D4863" s="3">
        <v>0</v>
      </c>
      <c r="E4863" s="3">
        <v>40</v>
      </c>
      <c r="F4863" s="3">
        <v>286</v>
      </c>
      <c r="G4863" s="3">
        <v>0</v>
      </c>
      <c r="H4863" s="2">
        <f t="shared" si="150"/>
        <v>326</v>
      </c>
      <c r="I4863" t="str">
        <f t="shared" si="151"/>
        <v>Nde1_326</v>
      </c>
      <c r="J4863" s="3">
        <v>0</v>
      </c>
      <c r="K4863" s="3">
        <v>0</v>
      </c>
      <c r="L4863" s="3">
        <v>40</v>
      </c>
      <c r="M4863" s="3">
        <v>286</v>
      </c>
      <c r="N4863" s="3">
        <v>0</v>
      </c>
    </row>
    <row r="4864" spans="1:14" x14ac:dyDescent="0.2">
      <c r="A4864" s="5" t="str">
        <f>HYPERLINK("http://www.ncbi.nlm.nih.gov/protein/238550188","Ndel1")</f>
        <v>Ndel1</v>
      </c>
      <c r="B4864" s="4"/>
      <c r="C4864" s="3">
        <v>0</v>
      </c>
      <c r="D4864" s="3">
        <v>0</v>
      </c>
      <c r="E4864" s="3">
        <v>40</v>
      </c>
      <c r="F4864" s="3">
        <v>286</v>
      </c>
      <c r="G4864" s="3">
        <v>0</v>
      </c>
      <c r="H4864" s="2">
        <f t="shared" si="150"/>
        <v>326</v>
      </c>
      <c r="I4864" t="str">
        <f t="shared" si="151"/>
        <v>Ndel1_326</v>
      </c>
      <c r="J4864" s="3">
        <v>0</v>
      </c>
      <c r="K4864" s="3">
        <v>0</v>
      </c>
      <c r="L4864" s="3">
        <v>40</v>
      </c>
      <c r="M4864" s="3">
        <v>286</v>
      </c>
      <c r="N4864" s="3">
        <v>0</v>
      </c>
    </row>
    <row r="4865" spans="1:14" x14ac:dyDescent="0.2">
      <c r="A4865" s="5" t="str">
        <f>HYPERLINK("http://www.ncbi.nlm.nih.gov/protein/12963595","Ndnl2")</f>
        <v>Ndnl2</v>
      </c>
      <c r="B4865" s="4"/>
      <c r="C4865" s="3">
        <v>330</v>
      </c>
      <c r="D4865" s="3">
        <v>50</v>
      </c>
      <c r="E4865" s="3">
        <v>0</v>
      </c>
      <c r="F4865" s="3">
        <v>0</v>
      </c>
      <c r="G4865" s="3">
        <v>0</v>
      </c>
      <c r="H4865" s="2">
        <f t="shared" si="150"/>
        <v>380</v>
      </c>
      <c r="I4865" t="str">
        <f t="shared" si="151"/>
        <v>Ndnl2_380</v>
      </c>
      <c r="J4865" s="3">
        <v>330</v>
      </c>
      <c r="K4865" s="3">
        <v>50</v>
      </c>
      <c r="L4865" s="3">
        <v>0</v>
      </c>
      <c r="M4865" s="3">
        <v>0</v>
      </c>
      <c r="N4865" s="3">
        <v>0</v>
      </c>
    </row>
    <row r="4866" spans="1:14" x14ac:dyDescent="0.2">
      <c r="A4866" s="5" t="str">
        <f>HYPERLINK("http://www.ncbi.nlm.nih.gov/protein/118150658","Ndrg1")</f>
        <v>Ndrg1</v>
      </c>
      <c r="B4866" s="4"/>
      <c r="C4866" s="3">
        <v>124060</v>
      </c>
      <c r="D4866" s="3">
        <v>41604</v>
      </c>
      <c r="E4866" s="3">
        <v>83981</v>
      </c>
      <c r="F4866" s="3">
        <v>9217</v>
      </c>
      <c r="G4866" s="3">
        <v>232203</v>
      </c>
      <c r="H4866" s="2">
        <f t="shared" ref="H4866:H4929" si="152">SUM(C4866:G4866)</f>
        <v>491065</v>
      </c>
      <c r="I4866" t="str">
        <f t="shared" ref="I4866:I4929" si="153">A4866&amp;"_"&amp;H4866</f>
        <v>Ndrg1_491065</v>
      </c>
      <c r="J4866" s="3">
        <v>124060</v>
      </c>
      <c r="K4866" s="3">
        <v>41604</v>
      </c>
      <c r="L4866" s="3">
        <v>83981</v>
      </c>
      <c r="M4866" s="3">
        <v>9217</v>
      </c>
      <c r="N4866" s="3">
        <v>232203</v>
      </c>
    </row>
    <row r="4867" spans="1:14" x14ac:dyDescent="0.2">
      <c r="A4867" s="5" t="str">
        <f>HYPERLINK("http://www.ncbi.nlm.nih.gov/protein/255918147","Ndrg3")</f>
        <v>Ndrg3</v>
      </c>
      <c r="B4867" s="4"/>
      <c r="C4867" s="3">
        <v>0</v>
      </c>
      <c r="D4867" s="3">
        <v>401</v>
      </c>
      <c r="E4867" s="3">
        <v>57</v>
      </c>
      <c r="F4867" s="3">
        <v>0</v>
      </c>
      <c r="G4867" s="3">
        <v>27245</v>
      </c>
      <c r="H4867" s="2">
        <f t="shared" si="152"/>
        <v>27703</v>
      </c>
      <c r="I4867" t="str">
        <f t="shared" si="153"/>
        <v>Ndrg3_27703</v>
      </c>
      <c r="J4867" s="3">
        <v>0</v>
      </c>
      <c r="K4867" s="3">
        <v>401</v>
      </c>
      <c r="L4867" s="3">
        <v>57</v>
      </c>
      <c r="M4867" s="3">
        <v>0</v>
      </c>
      <c r="N4867" s="3">
        <v>27245</v>
      </c>
    </row>
    <row r="4868" spans="1:14" x14ac:dyDescent="0.2">
      <c r="A4868" s="5" t="str">
        <f>HYPERLINK("http://www.ncbi.nlm.nih.gov/protein/7305307","Ndrg3")</f>
        <v>Ndrg3</v>
      </c>
      <c r="B4868" s="4"/>
      <c r="C4868" s="3">
        <v>0</v>
      </c>
      <c r="D4868" s="3">
        <v>401</v>
      </c>
      <c r="E4868" s="3">
        <v>57</v>
      </c>
      <c r="F4868" s="3">
        <v>0</v>
      </c>
      <c r="G4868" s="3">
        <v>27245</v>
      </c>
      <c r="H4868" s="2">
        <f t="shared" si="152"/>
        <v>27703</v>
      </c>
      <c r="I4868" t="str">
        <f t="shared" si="153"/>
        <v>Ndrg3_27703</v>
      </c>
      <c r="J4868" s="3">
        <v>0</v>
      </c>
      <c r="K4868" s="3">
        <v>401</v>
      </c>
      <c r="L4868" s="3">
        <v>57</v>
      </c>
      <c r="M4868" s="3">
        <v>0</v>
      </c>
      <c r="N4868" s="3">
        <v>27245</v>
      </c>
    </row>
    <row r="4869" spans="1:14" x14ac:dyDescent="0.2">
      <c r="A4869" s="5" t="str">
        <f>HYPERLINK("http://www.ncbi.nlm.nih.gov/protein/9506911","Ndufa1")</f>
        <v>Ndufa1</v>
      </c>
      <c r="B4869" s="4"/>
      <c r="C4869" s="3">
        <v>0</v>
      </c>
      <c r="D4869" s="3">
        <v>1037</v>
      </c>
      <c r="E4869" s="3">
        <v>82</v>
      </c>
      <c r="F4869" s="3">
        <v>0</v>
      </c>
      <c r="G4869" s="3">
        <v>0</v>
      </c>
      <c r="H4869" s="2">
        <f t="shared" si="152"/>
        <v>1119</v>
      </c>
      <c r="I4869" t="str">
        <f t="shared" si="153"/>
        <v>Ndufa1_1119</v>
      </c>
      <c r="J4869" s="3">
        <v>0</v>
      </c>
      <c r="K4869" s="3">
        <v>1037</v>
      </c>
      <c r="L4869" s="3">
        <v>82</v>
      </c>
      <c r="M4869" s="3">
        <v>0</v>
      </c>
      <c r="N4869" s="3">
        <v>0</v>
      </c>
    </row>
    <row r="4870" spans="1:14" x14ac:dyDescent="0.2">
      <c r="A4870" s="5" t="str">
        <f>HYPERLINK("http://www.ncbi.nlm.nih.gov/protein/13195624","Ndufa10")</f>
        <v>Ndufa10</v>
      </c>
      <c r="B4870" s="4"/>
      <c r="C4870" s="3">
        <v>34031</v>
      </c>
      <c r="D4870" s="3">
        <v>2113</v>
      </c>
      <c r="E4870" s="3">
        <v>1424</v>
      </c>
      <c r="F4870" s="3">
        <v>123</v>
      </c>
      <c r="G4870" s="3">
        <v>0</v>
      </c>
      <c r="H4870" s="2">
        <f t="shared" si="152"/>
        <v>37691</v>
      </c>
      <c r="I4870" t="str">
        <f t="shared" si="153"/>
        <v>Ndufa10_37691</v>
      </c>
      <c r="J4870" s="3">
        <v>34031</v>
      </c>
      <c r="K4870" s="3">
        <v>2113</v>
      </c>
      <c r="L4870" s="3">
        <v>1424</v>
      </c>
      <c r="M4870" s="3">
        <v>123</v>
      </c>
      <c r="N4870" s="3">
        <v>0</v>
      </c>
    </row>
    <row r="4871" spans="1:14" x14ac:dyDescent="0.2">
      <c r="A4871" s="5" t="str">
        <f>HYPERLINK("http://www.ncbi.nlm.nih.gov/protein/226437665","Ndufa11")</f>
        <v>Ndufa11</v>
      </c>
      <c r="B4871" s="4"/>
      <c r="C4871" s="3">
        <v>3020</v>
      </c>
      <c r="D4871" s="3">
        <v>2812</v>
      </c>
      <c r="E4871" s="3">
        <v>116</v>
      </c>
      <c r="F4871" s="3">
        <v>0</v>
      </c>
      <c r="G4871" s="3">
        <v>0</v>
      </c>
      <c r="H4871" s="2">
        <f t="shared" si="152"/>
        <v>5948</v>
      </c>
      <c r="I4871" t="str">
        <f t="shared" si="153"/>
        <v>Ndufa11_5948</v>
      </c>
      <c r="J4871" s="3">
        <v>3020</v>
      </c>
      <c r="K4871" s="3">
        <v>2812</v>
      </c>
      <c r="L4871" s="3">
        <v>116</v>
      </c>
      <c r="M4871" s="3">
        <v>0</v>
      </c>
      <c r="N4871" s="3">
        <v>0</v>
      </c>
    </row>
    <row r="4872" spans="1:14" x14ac:dyDescent="0.2">
      <c r="A4872" s="5" t="str">
        <f>HYPERLINK("http://www.ncbi.nlm.nih.gov/protein/27228985","Ndufa12")</f>
        <v>Ndufa12</v>
      </c>
      <c r="B4872" s="4"/>
      <c r="C4872" s="3">
        <v>19624</v>
      </c>
      <c r="D4872" s="3">
        <v>10667</v>
      </c>
      <c r="E4872" s="3">
        <v>1297</v>
      </c>
      <c r="F4872" s="3">
        <v>0</v>
      </c>
      <c r="G4872" s="3">
        <v>0</v>
      </c>
      <c r="H4872" s="2">
        <f t="shared" si="152"/>
        <v>31588</v>
      </c>
      <c r="I4872" t="str">
        <f t="shared" si="153"/>
        <v>Ndufa12_31588</v>
      </c>
      <c r="J4872" s="3">
        <v>19624</v>
      </c>
      <c r="K4872" s="3">
        <v>10667</v>
      </c>
      <c r="L4872" s="3">
        <v>1297</v>
      </c>
      <c r="M4872" s="3">
        <v>0</v>
      </c>
      <c r="N4872" s="3">
        <v>0</v>
      </c>
    </row>
    <row r="4873" spans="1:14" x14ac:dyDescent="0.2">
      <c r="A4873" s="5" t="str">
        <f>HYPERLINK("http://www.ncbi.nlm.nih.gov/protein/12963633","Ndufa13")</f>
        <v>Ndufa13</v>
      </c>
      <c r="B4873" s="4"/>
      <c r="C4873" s="3">
        <v>35935</v>
      </c>
      <c r="D4873" s="3">
        <v>31119</v>
      </c>
      <c r="E4873" s="3">
        <v>2366</v>
      </c>
      <c r="F4873" s="3">
        <v>0</v>
      </c>
      <c r="G4873" s="3">
        <v>0</v>
      </c>
      <c r="H4873" s="2">
        <f t="shared" si="152"/>
        <v>69420</v>
      </c>
      <c r="I4873" t="str">
        <f t="shared" si="153"/>
        <v>Ndufa13_69420</v>
      </c>
      <c r="J4873" s="3">
        <v>35935</v>
      </c>
      <c r="K4873" s="3">
        <v>31119</v>
      </c>
      <c r="L4873" s="3">
        <v>2366</v>
      </c>
      <c r="M4873" s="3">
        <v>0</v>
      </c>
      <c r="N4873" s="3">
        <v>0</v>
      </c>
    </row>
    <row r="4874" spans="1:14" x14ac:dyDescent="0.2">
      <c r="A4874" s="5" t="str">
        <f>HYPERLINK("http://www.ncbi.nlm.nih.gov/protein/31981600","Ndufa2")</f>
        <v>Ndufa2</v>
      </c>
      <c r="B4874" s="4"/>
      <c r="C4874" s="3">
        <v>12228</v>
      </c>
      <c r="D4874" s="3">
        <v>3219</v>
      </c>
      <c r="E4874" s="3">
        <v>1064</v>
      </c>
      <c r="F4874" s="3">
        <v>90</v>
      </c>
      <c r="G4874" s="3">
        <v>0</v>
      </c>
      <c r="H4874" s="2">
        <f t="shared" si="152"/>
        <v>16601</v>
      </c>
      <c r="I4874" t="str">
        <f t="shared" si="153"/>
        <v>Ndufa2_16601</v>
      </c>
      <c r="J4874" s="3">
        <v>12228</v>
      </c>
      <c r="K4874" s="3">
        <v>3219</v>
      </c>
      <c r="L4874" s="3">
        <v>1064</v>
      </c>
      <c r="M4874" s="3">
        <v>90</v>
      </c>
      <c r="N4874" s="3">
        <v>0</v>
      </c>
    </row>
    <row r="4875" spans="1:14" x14ac:dyDescent="0.2">
      <c r="A4875" s="5" t="str">
        <f>HYPERLINK("http://www.ncbi.nlm.nih.gov/protein/21539587","Ndufa3")</f>
        <v>Ndufa3</v>
      </c>
      <c r="B4875" s="4"/>
      <c r="C4875" s="3">
        <v>1593</v>
      </c>
      <c r="D4875" s="3">
        <v>3695</v>
      </c>
      <c r="E4875" s="3">
        <v>66</v>
      </c>
      <c r="F4875" s="3">
        <v>0</v>
      </c>
      <c r="G4875" s="3">
        <v>0</v>
      </c>
      <c r="H4875" s="2">
        <f t="shared" si="152"/>
        <v>5354</v>
      </c>
      <c r="I4875" t="str">
        <f t="shared" si="153"/>
        <v>Ndufa3_5354</v>
      </c>
      <c r="J4875" s="3">
        <v>1593</v>
      </c>
      <c r="K4875" s="3">
        <v>3695</v>
      </c>
      <c r="L4875" s="3">
        <v>66</v>
      </c>
      <c r="M4875" s="3">
        <v>0</v>
      </c>
      <c r="N4875" s="3">
        <v>0</v>
      </c>
    </row>
    <row r="4876" spans="1:14" x14ac:dyDescent="0.2">
      <c r="A4876" s="5" t="str">
        <f>HYPERLINK("http://www.ncbi.nlm.nih.gov/protein/33563266","Ndufa4")</f>
        <v>Ndufa4</v>
      </c>
      <c r="B4876" s="4"/>
      <c r="C4876" s="3">
        <v>191518</v>
      </c>
      <c r="D4876" s="3">
        <v>18435</v>
      </c>
      <c r="E4876" s="3">
        <v>5577</v>
      </c>
      <c r="F4876" s="3">
        <v>0</v>
      </c>
      <c r="G4876" s="3">
        <v>0</v>
      </c>
      <c r="H4876" s="2">
        <f t="shared" si="152"/>
        <v>215530</v>
      </c>
      <c r="I4876" t="str">
        <f t="shared" si="153"/>
        <v>Ndufa4_215530</v>
      </c>
      <c r="J4876" s="3">
        <v>191518</v>
      </c>
      <c r="K4876" s="3">
        <v>18435</v>
      </c>
      <c r="L4876" s="3">
        <v>5577</v>
      </c>
      <c r="M4876" s="3">
        <v>0</v>
      </c>
      <c r="N4876" s="3">
        <v>0</v>
      </c>
    </row>
    <row r="4877" spans="1:14" x14ac:dyDescent="0.2">
      <c r="A4877" s="5" t="str">
        <f>HYPERLINK("http://www.ncbi.nlm.nih.gov/protein/13386100","Ndufa5")</f>
        <v>Ndufa5</v>
      </c>
      <c r="B4877" s="4"/>
      <c r="C4877" s="3">
        <v>10965</v>
      </c>
      <c r="D4877" s="3">
        <v>3046</v>
      </c>
      <c r="E4877" s="3">
        <v>871</v>
      </c>
      <c r="F4877" s="3">
        <v>90</v>
      </c>
      <c r="G4877" s="3">
        <v>0</v>
      </c>
      <c r="H4877" s="2">
        <f t="shared" si="152"/>
        <v>14972</v>
      </c>
      <c r="I4877" t="str">
        <f t="shared" si="153"/>
        <v>Ndufa5_14972</v>
      </c>
      <c r="J4877" s="3">
        <v>10965</v>
      </c>
      <c r="K4877" s="3">
        <v>3046</v>
      </c>
      <c r="L4877" s="3">
        <v>871</v>
      </c>
      <c r="M4877" s="3">
        <v>90</v>
      </c>
      <c r="N4877" s="3">
        <v>0</v>
      </c>
    </row>
    <row r="4878" spans="1:14" x14ac:dyDescent="0.2">
      <c r="A4878" s="5" t="str">
        <f>HYPERLINK("http://www.ncbi.nlm.nih.gov/protein/13385492","Ndufa6")</f>
        <v>Ndufa6</v>
      </c>
      <c r="B4878" s="4"/>
      <c r="C4878" s="3">
        <v>16073</v>
      </c>
      <c r="D4878" s="3">
        <v>1666</v>
      </c>
      <c r="E4878" s="3">
        <v>382</v>
      </c>
      <c r="F4878" s="3">
        <v>352</v>
      </c>
      <c r="G4878" s="3">
        <v>0</v>
      </c>
      <c r="H4878" s="2">
        <f t="shared" si="152"/>
        <v>18473</v>
      </c>
      <c r="I4878" t="str">
        <f t="shared" si="153"/>
        <v>Ndufa6_18473</v>
      </c>
      <c r="J4878" s="3">
        <v>16073</v>
      </c>
      <c r="K4878" s="3">
        <v>1666</v>
      </c>
      <c r="L4878" s="3">
        <v>382</v>
      </c>
      <c r="M4878" s="3">
        <v>352</v>
      </c>
      <c r="N4878" s="3">
        <v>0</v>
      </c>
    </row>
    <row r="4879" spans="1:14" x14ac:dyDescent="0.2">
      <c r="A4879" s="5" t="str">
        <f>HYPERLINK("http://www.ncbi.nlm.nih.gov/protein/12963571","Ndufa7")</f>
        <v>Ndufa7</v>
      </c>
      <c r="B4879" s="4"/>
      <c r="C4879" s="3">
        <v>1648</v>
      </c>
      <c r="D4879" s="3">
        <v>4039</v>
      </c>
      <c r="E4879" s="3">
        <v>639</v>
      </c>
      <c r="F4879" s="3">
        <v>0</v>
      </c>
      <c r="G4879" s="3">
        <v>0</v>
      </c>
      <c r="H4879" s="2">
        <f t="shared" si="152"/>
        <v>6326</v>
      </c>
      <c r="I4879" t="str">
        <f t="shared" si="153"/>
        <v>Ndufa7_6326</v>
      </c>
      <c r="J4879" s="3">
        <v>1648</v>
      </c>
      <c r="K4879" s="3">
        <v>4039</v>
      </c>
      <c r="L4879" s="3">
        <v>639</v>
      </c>
      <c r="M4879" s="3">
        <v>0</v>
      </c>
      <c r="N4879" s="3">
        <v>0</v>
      </c>
    </row>
    <row r="4880" spans="1:14" x14ac:dyDescent="0.2">
      <c r="A4880" s="5" t="str">
        <f>HYPERLINK("http://www.ncbi.nlm.nih.gov/protein/21312012","Ndufa8")</f>
        <v>Ndufa8</v>
      </c>
      <c r="B4880" s="4"/>
      <c r="C4880" s="3">
        <v>53637</v>
      </c>
      <c r="D4880" s="3">
        <v>11369</v>
      </c>
      <c r="E4880" s="3">
        <v>1381</v>
      </c>
      <c r="F4880" s="3">
        <v>98</v>
      </c>
      <c r="G4880" s="3">
        <v>0</v>
      </c>
      <c r="H4880" s="2">
        <f t="shared" si="152"/>
        <v>66485</v>
      </c>
      <c r="I4880" t="str">
        <f t="shared" si="153"/>
        <v>Ndufa8_66485</v>
      </c>
      <c r="J4880" s="3">
        <v>53637</v>
      </c>
      <c r="K4880" s="3">
        <v>11369</v>
      </c>
      <c r="L4880" s="3">
        <v>1381</v>
      </c>
      <c r="M4880" s="3">
        <v>98</v>
      </c>
      <c r="N4880" s="3">
        <v>0</v>
      </c>
    </row>
    <row r="4881" spans="1:14" x14ac:dyDescent="0.2">
      <c r="A4881" s="5" t="str">
        <f>HYPERLINK("http://www.ncbi.nlm.nih.gov/protein/254692859","Ndufa9")</f>
        <v>Ndufa9</v>
      </c>
      <c r="B4881" s="4"/>
      <c r="C4881" s="3">
        <v>45930</v>
      </c>
      <c r="D4881" s="3">
        <v>15880</v>
      </c>
      <c r="E4881" s="3">
        <v>451</v>
      </c>
      <c r="F4881" s="3">
        <v>0</v>
      </c>
      <c r="G4881" s="3">
        <v>0</v>
      </c>
      <c r="H4881" s="2">
        <f t="shared" si="152"/>
        <v>62261</v>
      </c>
      <c r="I4881" t="str">
        <f t="shared" si="153"/>
        <v>Ndufa9_62261</v>
      </c>
      <c r="J4881" s="3">
        <v>45930</v>
      </c>
      <c r="K4881" s="3">
        <v>15880</v>
      </c>
      <c r="L4881" s="3">
        <v>451</v>
      </c>
      <c r="M4881" s="3">
        <v>0</v>
      </c>
      <c r="N4881" s="3">
        <v>0</v>
      </c>
    </row>
    <row r="4882" spans="1:14" x14ac:dyDescent="0.2">
      <c r="A4882" s="5" t="str">
        <f>HYPERLINK("http://www.ncbi.nlm.nih.gov/protein/27754007","Ndufab1")</f>
        <v>Ndufab1</v>
      </c>
      <c r="B4882" s="4"/>
      <c r="C4882" s="3">
        <v>183</v>
      </c>
      <c r="D4882" s="3">
        <v>1298</v>
      </c>
      <c r="E4882" s="3">
        <v>0</v>
      </c>
      <c r="F4882" s="3">
        <v>0</v>
      </c>
      <c r="G4882" s="3">
        <v>0</v>
      </c>
      <c r="H4882" s="2">
        <f t="shared" si="152"/>
        <v>1481</v>
      </c>
      <c r="I4882" t="str">
        <f t="shared" si="153"/>
        <v>Ndufab1_1481</v>
      </c>
      <c r="J4882" s="3">
        <v>183</v>
      </c>
      <c r="K4882" s="3">
        <v>1298</v>
      </c>
      <c r="L4882" s="3">
        <v>0</v>
      </c>
      <c r="M4882" s="3">
        <v>0</v>
      </c>
      <c r="N4882" s="3">
        <v>0</v>
      </c>
    </row>
    <row r="4883" spans="1:14" x14ac:dyDescent="0.2">
      <c r="A4883" s="5" t="str">
        <f>HYPERLINK("http://www.ncbi.nlm.nih.gov/protein/188035926","Ndufaf2")</f>
        <v>Ndufaf2</v>
      </c>
      <c r="B4883" s="4"/>
      <c r="C4883" s="3">
        <v>0</v>
      </c>
      <c r="D4883" s="3">
        <v>1420</v>
      </c>
      <c r="E4883" s="3">
        <v>0</v>
      </c>
      <c r="F4883" s="3">
        <v>0</v>
      </c>
      <c r="G4883" s="3">
        <v>0</v>
      </c>
      <c r="H4883" s="2">
        <f t="shared" si="152"/>
        <v>1420</v>
      </c>
      <c r="I4883" t="str">
        <f t="shared" si="153"/>
        <v>Ndufaf2_1420</v>
      </c>
      <c r="J4883" s="3">
        <v>0</v>
      </c>
      <c r="K4883" s="3">
        <v>1420</v>
      </c>
      <c r="L4883" s="3">
        <v>0</v>
      </c>
      <c r="M4883" s="3">
        <v>0</v>
      </c>
      <c r="N4883" s="3">
        <v>0</v>
      </c>
    </row>
    <row r="4884" spans="1:14" x14ac:dyDescent="0.2">
      <c r="A4884" s="5" t="str">
        <f>HYPERLINK("http://www.ncbi.nlm.nih.gov/protein/12963603","Ndufaf3")</f>
        <v>Ndufaf3</v>
      </c>
      <c r="B4884" s="4"/>
      <c r="C4884" s="3">
        <v>0</v>
      </c>
      <c r="D4884" s="3">
        <v>200</v>
      </c>
      <c r="E4884" s="3">
        <v>0</v>
      </c>
      <c r="F4884" s="3">
        <v>0</v>
      </c>
      <c r="G4884" s="3">
        <v>0</v>
      </c>
      <c r="H4884" s="2">
        <f t="shared" si="152"/>
        <v>200</v>
      </c>
      <c r="I4884" t="str">
        <f t="shared" si="153"/>
        <v>Ndufaf3_200</v>
      </c>
      <c r="J4884" s="3">
        <v>0</v>
      </c>
      <c r="K4884" s="3">
        <v>200</v>
      </c>
      <c r="L4884" s="3">
        <v>0</v>
      </c>
      <c r="M4884" s="3">
        <v>0</v>
      </c>
      <c r="N4884" s="3">
        <v>0</v>
      </c>
    </row>
    <row r="4885" spans="1:14" x14ac:dyDescent="0.2">
      <c r="A4885" s="5" t="str">
        <f>HYPERLINK("http://www.ncbi.nlm.nih.gov/protein/21624617","Ndufaf4")</f>
        <v>Ndufaf4</v>
      </c>
      <c r="B4885" s="4"/>
      <c r="C4885" s="3">
        <v>0</v>
      </c>
      <c r="D4885" s="3">
        <v>891</v>
      </c>
      <c r="E4885" s="3">
        <v>0</v>
      </c>
      <c r="F4885" s="3">
        <v>0</v>
      </c>
      <c r="G4885" s="3">
        <v>0</v>
      </c>
      <c r="H4885" s="2">
        <f t="shared" si="152"/>
        <v>891</v>
      </c>
      <c r="I4885" t="str">
        <f t="shared" si="153"/>
        <v>Ndufaf4_891</v>
      </c>
      <c r="J4885" s="3">
        <v>0</v>
      </c>
      <c r="K4885" s="3">
        <v>891</v>
      </c>
      <c r="L4885" s="3">
        <v>0</v>
      </c>
      <c r="M4885" s="3">
        <v>0</v>
      </c>
      <c r="N4885" s="3">
        <v>0</v>
      </c>
    </row>
    <row r="4886" spans="1:14" x14ac:dyDescent="0.2">
      <c r="A4886" s="5" t="str">
        <f>HYPERLINK("http://www.ncbi.nlm.nih.gov/protein/166295190","Ndufaf5")</f>
        <v>Ndufaf5</v>
      </c>
      <c r="B4886" s="4"/>
      <c r="C4886" s="3">
        <v>0</v>
      </c>
      <c r="D4886" s="3">
        <v>184</v>
      </c>
      <c r="E4886" s="3">
        <v>0</v>
      </c>
      <c r="F4886" s="3">
        <v>0</v>
      </c>
      <c r="G4886" s="3">
        <v>0</v>
      </c>
      <c r="H4886" s="2">
        <f t="shared" si="152"/>
        <v>184</v>
      </c>
      <c r="I4886" t="str">
        <f t="shared" si="153"/>
        <v>Ndufaf5_184</v>
      </c>
      <c r="J4886" s="3">
        <v>0</v>
      </c>
      <c r="K4886" s="3">
        <v>184</v>
      </c>
      <c r="L4886" s="3">
        <v>0</v>
      </c>
      <c r="M4886" s="3">
        <v>0</v>
      </c>
      <c r="N4886" s="3">
        <v>0</v>
      </c>
    </row>
    <row r="4887" spans="1:14" x14ac:dyDescent="0.2">
      <c r="A4887" s="5" t="str">
        <f>HYPERLINK("http://www.ncbi.nlm.nih.gov/protein/158937256","Ndufaf7")</f>
        <v>Ndufaf7</v>
      </c>
      <c r="B4887" s="4"/>
      <c r="C4887" s="3">
        <v>0</v>
      </c>
      <c r="D4887" s="3">
        <v>1657</v>
      </c>
      <c r="E4887" s="3">
        <v>0</v>
      </c>
      <c r="F4887" s="3">
        <v>0</v>
      </c>
      <c r="G4887" s="3">
        <v>0</v>
      </c>
      <c r="H4887" s="2">
        <f t="shared" si="152"/>
        <v>1657</v>
      </c>
      <c r="I4887" t="str">
        <f t="shared" si="153"/>
        <v>Ndufaf7_1657</v>
      </c>
      <c r="J4887" s="3">
        <v>0</v>
      </c>
      <c r="K4887" s="3">
        <v>1657</v>
      </c>
      <c r="L4887" s="3">
        <v>0</v>
      </c>
      <c r="M4887" s="3">
        <v>0</v>
      </c>
      <c r="N4887" s="3">
        <v>0</v>
      </c>
    </row>
    <row r="4888" spans="1:14" x14ac:dyDescent="0.2">
      <c r="A4888" s="5" t="str">
        <f>HYPERLINK("http://www.ncbi.nlm.nih.gov/protein/58037109","Ndufb10")</f>
        <v>Ndufb10</v>
      </c>
      <c r="B4888" s="4"/>
      <c r="C4888" s="3">
        <v>25372</v>
      </c>
      <c r="D4888" s="3">
        <v>12114</v>
      </c>
      <c r="E4888" s="3">
        <v>1248</v>
      </c>
      <c r="F4888" s="3">
        <v>0</v>
      </c>
      <c r="G4888" s="3">
        <v>0</v>
      </c>
      <c r="H4888" s="2">
        <f t="shared" si="152"/>
        <v>38734</v>
      </c>
      <c r="I4888" t="str">
        <f t="shared" si="153"/>
        <v>Ndufb10_38734</v>
      </c>
      <c r="J4888" s="3">
        <v>25372</v>
      </c>
      <c r="K4888" s="3">
        <v>12114</v>
      </c>
      <c r="L4888" s="3">
        <v>1248</v>
      </c>
      <c r="M4888" s="3">
        <v>0</v>
      </c>
      <c r="N4888" s="3">
        <v>0</v>
      </c>
    </row>
    <row r="4889" spans="1:14" x14ac:dyDescent="0.2">
      <c r="A4889" s="5" t="str">
        <f>HYPERLINK("http://www.ncbi.nlm.nih.gov/protein/158631246","Ndufb11")</f>
        <v>Ndufb11</v>
      </c>
      <c r="B4889" s="4"/>
      <c r="C4889" s="3">
        <v>1190</v>
      </c>
      <c r="D4889" s="3">
        <v>1040</v>
      </c>
      <c r="E4889" s="3">
        <v>20</v>
      </c>
      <c r="F4889" s="3">
        <v>0</v>
      </c>
      <c r="G4889" s="3">
        <v>0</v>
      </c>
      <c r="H4889" s="2">
        <f t="shared" si="152"/>
        <v>2250</v>
      </c>
      <c r="I4889" t="str">
        <f t="shared" si="153"/>
        <v>Ndufb11_2250</v>
      </c>
      <c r="J4889" s="3">
        <v>1190</v>
      </c>
      <c r="K4889" s="3">
        <v>1040</v>
      </c>
      <c r="L4889" s="3">
        <v>20</v>
      </c>
      <c r="M4889" s="3">
        <v>0</v>
      </c>
      <c r="N4889" s="3">
        <v>0</v>
      </c>
    </row>
    <row r="4890" spans="1:14" x14ac:dyDescent="0.2">
      <c r="A4890" s="5" t="str">
        <f>HYPERLINK("http://www.ncbi.nlm.nih.gov/protein/13385054","Ndufb3")</f>
        <v>Ndufb3</v>
      </c>
      <c r="B4890" s="4"/>
      <c r="C4890" s="3">
        <v>8732</v>
      </c>
      <c r="D4890" s="3">
        <v>7031</v>
      </c>
      <c r="E4890" s="3">
        <v>537</v>
      </c>
      <c r="F4890" s="3">
        <v>0</v>
      </c>
      <c r="G4890" s="3">
        <v>0</v>
      </c>
      <c r="H4890" s="2">
        <f t="shared" si="152"/>
        <v>16300</v>
      </c>
      <c r="I4890" t="str">
        <f t="shared" si="153"/>
        <v>Ndufb3_16300</v>
      </c>
      <c r="J4890" s="3">
        <v>8732</v>
      </c>
      <c r="K4890" s="3">
        <v>7031</v>
      </c>
      <c r="L4890" s="3">
        <v>537</v>
      </c>
      <c r="M4890" s="3">
        <v>0</v>
      </c>
      <c r="N4890" s="3">
        <v>0</v>
      </c>
    </row>
    <row r="4891" spans="1:14" x14ac:dyDescent="0.2">
      <c r="A4891" s="5" t="str">
        <f>HYPERLINK("http://www.ncbi.nlm.nih.gov/protein/27754144","Ndufb5")</f>
        <v>Ndufb5</v>
      </c>
      <c r="B4891" s="4"/>
      <c r="C4891" s="3">
        <v>45179</v>
      </c>
      <c r="D4891" s="3">
        <v>3152</v>
      </c>
      <c r="E4891" s="3">
        <v>288</v>
      </c>
      <c r="F4891" s="3">
        <v>0</v>
      </c>
      <c r="G4891" s="3">
        <v>0</v>
      </c>
      <c r="H4891" s="2">
        <f t="shared" si="152"/>
        <v>48619</v>
      </c>
      <c r="I4891" t="str">
        <f t="shared" si="153"/>
        <v>Ndufb5_48619</v>
      </c>
      <c r="J4891" s="3">
        <v>45179</v>
      </c>
      <c r="K4891" s="3">
        <v>3152</v>
      </c>
      <c r="L4891" s="3">
        <v>288</v>
      </c>
      <c r="M4891" s="3">
        <v>0</v>
      </c>
      <c r="N4891" s="3">
        <v>0</v>
      </c>
    </row>
    <row r="4892" spans="1:14" x14ac:dyDescent="0.2">
      <c r="A4892" s="5" t="str">
        <f>HYPERLINK("http://www.ncbi.nlm.nih.gov/protein/84781779","Ndufb6")</f>
        <v>Ndufb6</v>
      </c>
      <c r="B4892" s="4"/>
      <c r="C4892" s="3">
        <v>677</v>
      </c>
      <c r="D4892" s="3">
        <v>2996</v>
      </c>
      <c r="E4892" s="3">
        <v>0</v>
      </c>
      <c r="F4892" s="3">
        <v>0</v>
      </c>
      <c r="G4892" s="3">
        <v>0</v>
      </c>
      <c r="H4892" s="2">
        <f t="shared" si="152"/>
        <v>3673</v>
      </c>
      <c r="I4892" t="str">
        <f t="shared" si="153"/>
        <v>Ndufb6_3673</v>
      </c>
      <c r="J4892" s="3">
        <v>677</v>
      </c>
      <c r="K4892" s="3">
        <v>2996</v>
      </c>
      <c r="L4892" s="3">
        <v>0</v>
      </c>
      <c r="M4892" s="3">
        <v>0</v>
      </c>
      <c r="N4892" s="3">
        <v>0</v>
      </c>
    </row>
    <row r="4893" spans="1:14" x14ac:dyDescent="0.2">
      <c r="A4893" s="5" t="str">
        <f>HYPERLINK("http://www.ncbi.nlm.nih.gov/protein/13385322","Ndufb7")</f>
        <v>Ndufb7</v>
      </c>
      <c r="B4893" s="4"/>
      <c r="C4893" s="3">
        <v>12228</v>
      </c>
      <c r="D4893" s="3">
        <v>11383</v>
      </c>
      <c r="E4893" s="3">
        <v>350</v>
      </c>
      <c r="F4893" s="3">
        <v>0</v>
      </c>
      <c r="G4893" s="3">
        <v>0</v>
      </c>
      <c r="H4893" s="2">
        <f t="shared" si="152"/>
        <v>23961</v>
      </c>
      <c r="I4893" t="str">
        <f t="shared" si="153"/>
        <v>Ndufb7_23961</v>
      </c>
      <c r="J4893" s="3">
        <v>12228</v>
      </c>
      <c r="K4893" s="3">
        <v>11383</v>
      </c>
      <c r="L4893" s="3">
        <v>350</v>
      </c>
      <c r="M4893" s="3">
        <v>0</v>
      </c>
      <c r="N4893" s="3">
        <v>0</v>
      </c>
    </row>
    <row r="4894" spans="1:14" x14ac:dyDescent="0.2">
      <c r="A4894" s="5" t="str">
        <f>HYPERLINK("http://www.ncbi.nlm.nih.gov/protein/13385558","Ndufb8")</f>
        <v>Ndufb8</v>
      </c>
      <c r="B4894" s="4"/>
      <c r="C4894" s="3">
        <v>3313</v>
      </c>
      <c r="D4894" s="3">
        <v>7336</v>
      </c>
      <c r="E4894" s="3">
        <v>60</v>
      </c>
      <c r="F4894" s="3">
        <v>0</v>
      </c>
      <c r="G4894" s="3">
        <v>0</v>
      </c>
      <c r="H4894" s="2">
        <f t="shared" si="152"/>
        <v>10709</v>
      </c>
      <c r="I4894" t="str">
        <f t="shared" si="153"/>
        <v>Ndufb8_10709</v>
      </c>
      <c r="J4894" s="3">
        <v>3313</v>
      </c>
      <c r="K4894" s="3">
        <v>7336</v>
      </c>
      <c r="L4894" s="3">
        <v>60</v>
      </c>
      <c r="M4894" s="3">
        <v>0</v>
      </c>
      <c r="N4894" s="3">
        <v>0</v>
      </c>
    </row>
    <row r="4895" spans="1:14" x14ac:dyDescent="0.2">
      <c r="A4895" s="5" t="str">
        <f>HYPERLINK("http://www.ncbi.nlm.nih.gov/protein/29789148","Ndufb9")</f>
        <v>Ndufb9</v>
      </c>
      <c r="B4895" s="4"/>
      <c r="C4895" s="3">
        <v>1190</v>
      </c>
      <c r="D4895" s="3">
        <v>3165</v>
      </c>
      <c r="E4895" s="3">
        <v>0</v>
      </c>
      <c r="F4895" s="3">
        <v>0</v>
      </c>
      <c r="G4895" s="3">
        <v>0</v>
      </c>
      <c r="H4895" s="2">
        <f t="shared" si="152"/>
        <v>4355</v>
      </c>
      <c r="I4895" t="str">
        <f t="shared" si="153"/>
        <v>Ndufb9_4355</v>
      </c>
      <c r="J4895" s="3">
        <v>1190</v>
      </c>
      <c r="K4895" s="3">
        <v>3165</v>
      </c>
      <c r="L4895" s="3">
        <v>0</v>
      </c>
      <c r="M4895" s="3">
        <v>0</v>
      </c>
      <c r="N4895" s="3">
        <v>0</v>
      </c>
    </row>
    <row r="4896" spans="1:14" x14ac:dyDescent="0.2">
      <c r="A4896" s="5" t="str">
        <f>HYPERLINK("http://www.ncbi.nlm.nih.gov/protein/18859597","Ndufc2")</f>
        <v>Ndufc2</v>
      </c>
      <c r="B4896" s="4"/>
      <c r="C4896" s="3">
        <v>8933</v>
      </c>
      <c r="D4896" s="3">
        <v>6480</v>
      </c>
      <c r="E4896" s="3">
        <v>190</v>
      </c>
      <c r="F4896" s="3">
        <v>0</v>
      </c>
      <c r="G4896" s="3">
        <v>0</v>
      </c>
      <c r="H4896" s="2">
        <f t="shared" si="152"/>
        <v>15603</v>
      </c>
      <c r="I4896" t="str">
        <f t="shared" si="153"/>
        <v>Ndufc2_15603</v>
      </c>
      <c r="J4896" s="3">
        <v>8933</v>
      </c>
      <c r="K4896" s="3">
        <v>6480</v>
      </c>
      <c r="L4896" s="3">
        <v>190</v>
      </c>
      <c r="M4896" s="3">
        <v>0</v>
      </c>
      <c r="N4896" s="3">
        <v>0</v>
      </c>
    </row>
    <row r="4897" spans="1:14" x14ac:dyDescent="0.2">
      <c r="A4897" s="5" t="str">
        <f>HYPERLINK("http://www.ncbi.nlm.nih.gov/protein/229892316","Ndufs1")</f>
        <v>Ndufs1</v>
      </c>
      <c r="B4897" s="4"/>
      <c r="C4897" s="3">
        <v>165816</v>
      </c>
      <c r="D4897" s="3">
        <v>24082</v>
      </c>
      <c r="E4897" s="3">
        <v>6079</v>
      </c>
      <c r="F4897" s="3">
        <v>0</v>
      </c>
      <c r="G4897" s="3">
        <v>0</v>
      </c>
      <c r="H4897" s="2">
        <f t="shared" si="152"/>
        <v>195977</v>
      </c>
      <c r="I4897" t="str">
        <f t="shared" si="153"/>
        <v>Ndufs1_195977</v>
      </c>
      <c r="J4897" s="3">
        <v>165816</v>
      </c>
      <c r="K4897" s="3">
        <v>24082</v>
      </c>
      <c r="L4897" s="3">
        <v>6079</v>
      </c>
      <c r="M4897" s="3">
        <v>0</v>
      </c>
      <c r="N4897" s="3">
        <v>0</v>
      </c>
    </row>
    <row r="4898" spans="1:14" x14ac:dyDescent="0.2">
      <c r="A4898" s="5" t="str">
        <f>HYPERLINK("http://www.ncbi.nlm.nih.gov/protein/23346461","Ndufs2")</f>
        <v>Ndufs2</v>
      </c>
      <c r="B4898" s="4"/>
      <c r="C4898" s="3">
        <v>915</v>
      </c>
      <c r="D4898" s="3">
        <v>28125</v>
      </c>
      <c r="E4898" s="3">
        <v>2871</v>
      </c>
      <c r="F4898" s="3">
        <v>0</v>
      </c>
      <c r="G4898" s="3">
        <v>0</v>
      </c>
      <c r="H4898" s="2">
        <f t="shared" si="152"/>
        <v>31911</v>
      </c>
      <c r="I4898" t="str">
        <f t="shared" si="153"/>
        <v>Ndufs2_31911</v>
      </c>
      <c r="J4898" s="3">
        <v>915</v>
      </c>
      <c r="K4898" s="3">
        <v>28125</v>
      </c>
      <c r="L4898" s="3">
        <v>2871</v>
      </c>
      <c r="M4898" s="3">
        <v>0</v>
      </c>
      <c r="N4898" s="3">
        <v>0</v>
      </c>
    </row>
    <row r="4899" spans="1:14" x14ac:dyDescent="0.2">
      <c r="A4899" s="5" t="str">
        <f>HYPERLINK("http://www.ncbi.nlm.nih.gov/protein/58037117","Ndufs3")</f>
        <v>Ndufs3</v>
      </c>
      <c r="B4899" s="4"/>
      <c r="C4899" s="3">
        <v>76263</v>
      </c>
      <c r="D4899" s="3">
        <v>8383</v>
      </c>
      <c r="E4899" s="3">
        <v>2318</v>
      </c>
      <c r="F4899" s="3">
        <v>368</v>
      </c>
      <c r="G4899" s="3">
        <v>0</v>
      </c>
      <c r="H4899" s="2">
        <f t="shared" si="152"/>
        <v>87332</v>
      </c>
      <c r="I4899" t="str">
        <f t="shared" si="153"/>
        <v>Ndufs3_87332</v>
      </c>
      <c r="J4899" s="3">
        <v>76263</v>
      </c>
      <c r="K4899" s="3">
        <v>8383</v>
      </c>
      <c r="L4899" s="3">
        <v>2318</v>
      </c>
      <c r="M4899" s="3">
        <v>368</v>
      </c>
      <c r="N4899" s="3">
        <v>0</v>
      </c>
    </row>
    <row r="4900" spans="1:14" x14ac:dyDescent="0.2">
      <c r="A4900" s="5" t="str">
        <f>HYPERLINK("http://www.ncbi.nlm.nih.gov/protein/281485615","Ndufs4")</f>
        <v>Ndufs4</v>
      </c>
      <c r="B4900" s="4"/>
      <c r="C4900" s="3">
        <v>677</v>
      </c>
      <c r="D4900" s="3">
        <v>5931</v>
      </c>
      <c r="E4900" s="3">
        <v>31</v>
      </c>
      <c r="F4900" s="3">
        <v>0</v>
      </c>
      <c r="G4900" s="3">
        <v>0</v>
      </c>
      <c r="H4900" s="2">
        <f t="shared" si="152"/>
        <v>6639</v>
      </c>
      <c r="I4900" t="str">
        <f t="shared" si="153"/>
        <v>Ndufs4_6639</v>
      </c>
      <c r="J4900" s="3">
        <v>677</v>
      </c>
      <c r="K4900" s="3">
        <v>5931</v>
      </c>
      <c r="L4900" s="3">
        <v>31</v>
      </c>
      <c r="M4900" s="3">
        <v>0</v>
      </c>
      <c r="N4900" s="3">
        <v>0</v>
      </c>
    </row>
    <row r="4901" spans="1:14" x14ac:dyDescent="0.2">
      <c r="A4901" s="5" t="str">
        <f>HYPERLINK("http://www.ncbi.nlm.nih.gov/protein/56711244","Ndufs6")</f>
        <v>Ndufs6</v>
      </c>
      <c r="B4901" s="4"/>
      <c r="C4901" s="3">
        <v>8384</v>
      </c>
      <c r="D4901" s="3">
        <v>1081</v>
      </c>
      <c r="E4901" s="3">
        <v>10</v>
      </c>
      <c r="F4901" s="3">
        <v>0</v>
      </c>
      <c r="G4901" s="3">
        <v>0</v>
      </c>
      <c r="H4901" s="2">
        <f t="shared" si="152"/>
        <v>9475</v>
      </c>
      <c r="I4901" t="str">
        <f t="shared" si="153"/>
        <v>Ndufs6_9475</v>
      </c>
      <c r="J4901" s="3">
        <v>8384</v>
      </c>
      <c r="K4901" s="3">
        <v>1081</v>
      </c>
      <c r="L4901" s="3">
        <v>10</v>
      </c>
      <c r="M4901" s="3">
        <v>0</v>
      </c>
      <c r="N4901" s="3">
        <v>0</v>
      </c>
    </row>
    <row r="4902" spans="1:14" x14ac:dyDescent="0.2">
      <c r="A4902" s="5" t="str">
        <f>HYPERLINK("http://www.ncbi.nlm.nih.gov/protein/21312950","Ndufs7")</f>
        <v>Ndufs7</v>
      </c>
      <c r="B4902" s="4"/>
      <c r="C4902" s="3">
        <v>34232</v>
      </c>
      <c r="D4902" s="3">
        <v>6985</v>
      </c>
      <c r="E4902" s="3">
        <v>511</v>
      </c>
      <c r="F4902" s="3">
        <v>0</v>
      </c>
      <c r="G4902" s="3">
        <v>0</v>
      </c>
      <c r="H4902" s="2">
        <f t="shared" si="152"/>
        <v>41728</v>
      </c>
      <c r="I4902" t="str">
        <f t="shared" si="153"/>
        <v>Ndufs7_41728</v>
      </c>
      <c r="J4902" s="3">
        <v>34232</v>
      </c>
      <c r="K4902" s="3">
        <v>6985</v>
      </c>
      <c r="L4902" s="3">
        <v>511</v>
      </c>
      <c r="M4902" s="3">
        <v>0</v>
      </c>
      <c r="N4902" s="3">
        <v>0</v>
      </c>
    </row>
    <row r="4903" spans="1:14" x14ac:dyDescent="0.2">
      <c r="A4903" s="5" t="str">
        <f>HYPERLINK("http://www.ncbi.nlm.nih.gov/protein/46195430","Ndufs8")</f>
        <v>Ndufs8</v>
      </c>
      <c r="B4903" s="4"/>
      <c r="C4903" s="3">
        <v>5711</v>
      </c>
      <c r="D4903" s="3">
        <v>2090</v>
      </c>
      <c r="E4903" s="3">
        <v>446</v>
      </c>
      <c r="F4903" s="3">
        <v>0</v>
      </c>
      <c r="G4903" s="3">
        <v>0</v>
      </c>
      <c r="H4903" s="2">
        <f t="shared" si="152"/>
        <v>8247</v>
      </c>
      <c r="I4903" t="str">
        <f t="shared" si="153"/>
        <v>Ndufs8_8247</v>
      </c>
      <c r="J4903" s="3">
        <v>5711</v>
      </c>
      <c r="K4903" s="3">
        <v>2090</v>
      </c>
      <c r="L4903" s="3">
        <v>446</v>
      </c>
      <c r="M4903" s="3">
        <v>0</v>
      </c>
      <c r="N4903" s="3">
        <v>0</v>
      </c>
    </row>
    <row r="4904" spans="1:14" x14ac:dyDescent="0.2">
      <c r="A4904" s="5" t="str">
        <f>HYPERLINK("http://www.ncbi.nlm.nih.gov/protein/19526814","Ndufv1")</f>
        <v>Ndufv1</v>
      </c>
      <c r="B4904" s="4"/>
      <c r="C4904" s="3">
        <v>50561</v>
      </c>
      <c r="D4904" s="3">
        <v>13502</v>
      </c>
      <c r="E4904" s="3">
        <v>4721</v>
      </c>
      <c r="F4904" s="3">
        <v>0</v>
      </c>
      <c r="G4904" s="3">
        <v>0</v>
      </c>
      <c r="H4904" s="2">
        <f t="shared" si="152"/>
        <v>68784</v>
      </c>
      <c r="I4904" t="str">
        <f t="shared" si="153"/>
        <v>Ndufv1_68784</v>
      </c>
      <c r="J4904" s="3">
        <v>50561</v>
      </c>
      <c r="K4904" s="3">
        <v>13502</v>
      </c>
      <c r="L4904" s="3">
        <v>4721</v>
      </c>
      <c r="M4904" s="3">
        <v>0</v>
      </c>
      <c r="N4904" s="3">
        <v>0</v>
      </c>
    </row>
    <row r="4905" spans="1:14" x14ac:dyDescent="0.2">
      <c r="A4905" s="5" t="str">
        <f>HYPERLINK("http://www.ncbi.nlm.nih.gov/protein/510025446","Ndufv2")</f>
        <v>Ndufv2</v>
      </c>
      <c r="B4905" s="4"/>
      <c r="C4905" s="3">
        <v>10196</v>
      </c>
      <c r="D4905" s="3">
        <v>0</v>
      </c>
      <c r="E4905" s="3">
        <v>0</v>
      </c>
      <c r="F4905" s="3">
        <v>0</v>
      </c>
      <c r="G4905" s="3">
        <v>0</v>
      </c>
      <c r="H4905" s="2">
        <f t="shared" si="152"/>
        <v>10196</v>
      </c>
      <c r="I4905" t="str">
        <f t="shared" si="153"/>
        <v>Ndufv2_10196</v>
      </c>
      <c r="J4905" s="3">
        <v>10196</v>
      </c>
      <c r="K4905" s="3">
        <v>0</v>
      </c>
      <c r="L4905" s="3">
        <v>0</v>
      </c>
      <c r="M4905" s="3">
        <v>0</v>
      </c>
      <c r="N4905" s="3">
        <v>0</v>
      </c>
    </row>
    <row r="4906" spans="1:14" x14ac:dyDescent="0.2">
      <c r="A4906" s="5" t="str">
        <f>HYPERLINK("http://www.ncbi.nlm.nih.gov/protein/110625954","Ndufv2")</f>
        <v>Ndufv2</v>
      </c>
      <c r="B4906" s="4"/>
      <c r="C4906" s="3">
        <v>11588</v>
      </c>
      <c r="D4906" s="3">
        <v>12632</v>
      </c>
      <c r="E4906" s="3">
        <v>708</v>
      </c>
      <c r="F4906" s="3">
        <v>0</v>
      </c>
      <c r="G4906" s="3">
        <v>0</v>
      </c>
      <c r="H4906" s="2">
        <f t="shared" si="152"/>
        <v>24928</v>
      </c>
      <c r="I4906" t="str">
        <f t="shared" si="153"/>
        <v>Ndufv2_24928</v>
      </c>
      <c r="J4906" s="3">
        <v>11588</v>
      </c>
      <c r="K4906" s="3">
        <v>12632</v>
      </c>
      <c r="L4906" s="3">
        <v>708</v>
      </c>
      <c r="M4906" s="3">
        <v>0</v>
      </c>
      <c r="N4906" s="3">
        <v>0</v>
      </c>
    </row>
    <row r="4907" spans="1:14" x14ac:dyDescent="0.2">
      <c r="A4907" s="5" t="str">
        <f>HYPERLINK("http://www.ncbi.nlm.nih.gov/protein/140969946","Ndufv3")</f>
        <v>Ndufv3</v>
      </c>
      <c r="B4907" s="4"/>
      <c r="C4907" s="3">
        <v>92</v>
      </c>
      <c r="D4907" s="3">
        <v>0</v>
      </c>
      <c r="E4907" s="3">
        <v>0</v>
      </c>
      <c r="F4907" s="3">
        <v>0</v>
      </c>
      <c r="G4907" s="3">
        <v>0</v>
      </c>
      <c r="H4907" s="2">
        <f t="shared" si="152"/>
        <v>92</v>
      </c>
      <c r="I4907" t="str">
        <f t="shared" si="153"/>
        <v>Ndufv3_92</v>
      </c>
      <c r="J4907" s="3">
        <v>92</v>
      </c>
      <c r="K4907" s="3">
        <v>0</v>
      </c>
      <c r="L4907" s="3">
        <v>0</v>
      </c>
      <c r="M4907" s="3">
        <v>0</v>
      </c>
      <c r="N4907" s="3">
        <v>0</v>
      </c>
    </row>
    <row r="4908" spans="1:14" x14ac:dyDescent="0.2">
      <c r="A4908" s="5" t="str">
        <f>HYPERLINK("http://www.ncbi.nlm.nih.gov/protein/140972309","Ndufv3")</f>
        <v>Ndufv3</v>
      </c>
      <c r="B4908" s="4"/>
      <c r="C4908" s="3">
        <v>751</v>
      </c>
      <c r="D4908" s="3">
        <v>2305</v>
      </c>
      <c r="E4908" s="3">
        <v>0</v>
      </c>
      <c r="F4908" s="3">
        <v>0</v>
      </c>
      <c r="G4908" s="3">
        <v>0</v>
      </c>
      <c r="H4908" s="2">
        <f t="shared" si="152"/>
        <v>3056</v>
      </c>
      <c r="I4908" t="str">
        <f t="shared" si="153"/>
        <v>Ndufv3_3056</v>
      </c>
      <c r="J4908" s="3">
        <v>751</v>
      </c>
      <c r="K4908" s="3">
        <v>2305</v>
      </c>
      <c r="L4908" s="3">
        <v>0</v>
      </c>
      <c r="M4908" s="3">
        <v>0</v>
      </c>
      <c r="N4908" s="3">
        <v>0</v>
      </c>
    </row>
    <row r="4909" spans="1:14" x14ac:dyDescent="0.2">
      <c r="A4909" s="5" t="str">
        <f>HYPERLINK("http://www.ncbi.nlm.nih.gov/protein/21311871","Nebl")</f>
        <v>Nebl</v>
      </c>
      <c r="B4909" s="4"/>
      <c r="C4909" s="3">
        <v>384</v>
      </c>
      <c r="D4909" s="3">
        <v>0</v>
      </c>
      <c r="E4909" s="3">
        <v>0</v>
      </c>
      <c r="F4909" s="3">
        <v>0</v>
      </c>
      <c r="G4909" s="3">
        <v>0</v>
      </c>
      <c r="H4909" s="2">
        <f t="shared" si="152"/>
        <v>384</v>
      </c>
      <c r="I4909" t="str">
        <f t="shared" si="153"/>
        <v>Nebl_384</v>
      </c>
      <c r="J4909" s="3">
        <v>384</v>
      </c>
      <c r="K4909" s="3">
        <v>0</v>
      </c>
      <c r="L4909" s="3">
        <v>0</v>
      </c>
      <c r="M4909" s="3">
        <v>0</v>
      </c>
      <c r="N4909" s="3">
        <v>0</v>
      </c>
    </row>
    <row r="4910" spans="1:14" x14ac:dyDescent="0.2">
      <c r="A4910" s="5" t="str">
        <f>HYPERLINK("http://www.ncbi.nlm.nih.gov/protein/27229051","Necap1")</f>
        <v>Necap1</v>
      </c>
      <c r="B4910" s="4"/>
      <c r="C4910" s="3">
        <v>0</v>
      </c>
      <c r="D4910" s="3">
        <v>0</v>
      </c>
      <c r="E4910" s="3">
        <v>0</v>
      </c>
      <c r="F4910" s="3">
        <v>0</v>
      </c>
      <c r="G4910" s="3">
        <v>1124</v>
      </c>
      <c r="H4910" s="2">
        <f t="shared" si="152"/>
        <v>1124</v>
      </c>
      <c r="I4910" t="str">
        <f t="shared" si="153"/>
        <v>Necap1_1124</v>
      </c>
      <c r="J4910" s="3">
        <v>0</v>
      </c>
      <c r="K4910" s="3">
        <v>0</v>
      </c>
      <c r="L4910" s="3">
        <v>0</v>
      </c>
      <c r="M4910" s="3">
        <v>0</v>
      </c>
      <c r="N4910" s="3">
        <v>1124</v>
      </c>
    </row>
    <row r="4911" spans="1:14" x14ac:dyDescent="0.2">
      <c r="A4911" s="5" t="str">
        <f>HYPERLINK("http://www.ncbi.nlm.nih.gov/protein/13384758","Necap2")</f>
        <v>Necap2</v>
      </c>
      <c r="B4911" s="4"/>
      <c r="C4911" s="3">
        <v>0</v>
      </c>
      <c r="D4911" s="3">
        <v>674</v>
      </c>
      <c r="E4911" s="3">
        <v>0</v>
      </c>
      <c r="F4911" s="3">
        <v>3593</v>
      </c>
      <c r="G4911" s="3">
        <v>2110</v>
      </c>
      <c r="H4911" s="2">
        <f t="shared" si="152"/>
        <v>6377</v>
      </c>
      <c r="I4911" t="str">
        <f t="shared" si="153"/>
        <v>Necap2_6377</v>
      </c>
      <c r="J4911" s="3">
        <v>0</v>
      </c>
      <c r="K4911" s="3">
        <v>674</v>
      </c>
      <c r="L4911" s="3">
        <v>0</v>
      </c>
      <c r="M4911" s="3">
        <v>3593</v>
      </c>
      <c r="N4911" s="3">
        <v>2110</v>
      </c>
    </row>
    <row r="4912" spans="1:14" x14ac:dyDescent="0.2">
      <c r="A4912" s="5" t="str">
        <f>HYPERLINK("http://www.ncbi.nlm.nih.gov/protein/171543875","Nedd1")</f>
        <v>Nedd1</v>
      </c>
      <c r="B4912" s="4"/>
      <c r="C4912" s="3">
        <v>0</v>
      </c>
      <c r="D4912" s="3">
        <v>33</v>
      </c>
      <c r="E4912" s="3">
        <v>173</v>
      </c>
      <c r="F4912" s="3">
        <v>25</v>
      </c>
      <c r="G4912" s="3">
        <v>0</v>
      </c>
      <c r="H4912" s="2">
        <f t="shared" si="152"/>
        <v>231</v>
      </c>
      <c r="I4912" t="str">
        <f t="shared" si="153"/>
        <v>Nedd1_231</v>
      </c>
      <c r="J4912" s="3">
        <v>0</v>
      </c>
      <c r="K4912" s="3">
        <v>33</v>
      </c>
      <c r="L4912" s="3">
        <v>173</v>
      </c>
      <c r="M4912" s="3">
        <v>25</v>
      </c>
      <c r="N4912" s="3">
        <v>0</v>
      </c>
    </row>
    <row r="4913" spans="1:14" x14ac:dyDescent="0.2">
      <c r="A4913" s="5" t="str">
        <f>HYPERLINK("http://www.ncbi.nlm.nih.gov/protein/56699423","Nedd4")</f>
        <v>Nedd4</v>
      </c>
      <c r="B4913" s="4"/>
      <c r="C4913" s="3">
        <v>1428</v>
      </c>
      <c r="D4913" s="3">
        <v>1012</v>
      </c>
      <c r="E4913" s="3">
        <v>13275</v>
      </c>
      <c r="F4913" s="3">
        <v>19490</v>
      </c>
      <c r="G4913" s="3">
        <v>121724</v>
      </c>
      <c r="H4913" s="2">
        <f t="shared" si="152"/>
        <v>156929</v>
      </c>
      <c r="I4913" t="str">
        <f t="shared" si="153"/>
        <v>Nedd4_156929</v>
      </c>
      <c r="J4913" s="3">
        <v>1428</v>
      </c>
      <c r="K4913" s="3">
        <v>1012</v>
      </c>
      <c r="L4913" s="3">
        <v>13275</v>
      </c>
      <c r="M4913" s="3">
        <v>19490</v>
      </c>
      <c r="N4913" s="3">
        <v>121724</v>
      </c>
    </row>
    <row r="4914" spans="1:14" x14ac:dyDescent="0.2">
      <c r="A4914" s="5" t="str">
        <f>HYPERLINK("http://www.ncbi.nlm.nih.gov/protein/167466243","Nedd4l")</f>
        <v>Nedd4l</v>
      </c>
      <c r="B4914" s="4"/>
      <c r="C4914" s="3">
        <v>0</v>
      </c>
      <c r="D4914" s="3">
        <v>21</v>
      </c>
      <c r="E4914" s="3">
        <v>5852</v>
      </c>
      <c r="F4914" s="3">
        <v>3733</v>
      </c>
      <c r="G4914" s="3">
        <v>2827</v>
      </c>
      <c r="H4914" s="2">
        <f t="shared" si="152"/>
        <v>12433</v>
      </c>
      <c r="I4914" t="str">
        <f t="shared" si="153"/>
        <v>Nedd4l_12433</v>
      </c>
      <c r="J4914" s="3">
        <v>0</v>
      </c>
      <c r="K4914" s="3">
        <v>21</v>
      </c>
      <c r="L4914" s="3">
        <v>5852</v>
      </c>
      <c r="M4914" s="3">
        <v>3733</v>
      </c>
      <c r="N4914" s="3">
        <v>2827</v>
      </c>
    </row>
    <row r="4915" spans="1:14" x14ac:dyDescent="0.2">
      <c r="A4915" s="5" t="str">
        <f>HYPERLINK("http://www.ncbi.nlm.nih.gov/protein/167466245","Nedd4l")</f>
        <v>Nedd4l</v>
      </c>
      <c r="B4915" s="4"/>
      <c r="C4915" s="3">
        <v>0</v>
      </c>
      <c r="D4915" s="3">
        <v>21</v>
      </c>
      <c r="E4915" s="3">
        <v>6257</v>
      </c>
      <c r="F4915" s="3">
        <v>5132</v>
      </c>
      <c r="G4915" s="3">
        <v>4776</v>
      </c>
      <c r="H4915" s="2">
        <f t="shared" si="152"/>
        <v>16186</v>
      </c>
      <c r="I4915" t="str">
        <f t="shared" si="153"/>
        <v>Nedd4l_16186</v>
      </c>
      <c r="J4915" s="3">
        <v>0</v>
      </c>
      <c r="K4915" s="3">
        <v>21</v>
      </c>
      <c r="L4915" s="3">
        <v>6257</v>
      </c>
      <c r="M4915" s="3">
        <v>5132</v>
      </c>
      <c r="N4915" s="3">
        <v>4776</v>
      </c>
    </row>
    <row r="4916" spans="1:14" x14ac:dyDescent="0.2">
      <c r="A4916" s="5" t="str">
        <f>HYPERLINK("http://www.ncbi.nlm.nih.gov/protein/6679034","Nedd8")</f>
        <v>Nedd8</v>
      </c>
      <c r="B4916" s="4"/>
      <c r="C4916" s="3">
        <v>37</v>
      </c>
      <c r="D4916" s="3">
        <v>157</v>
      </c>
      <c r="E4916" s="3">
        <v>265</v>
      </c>
      <c r="F4916" s="3">
        <v>0</v>
      </c>
      <c r="G4916" s="3">
        <v>0</v>
      </c>
      <c r="H4916" s="2">
        <f t="shared" si="152"/>
        <v>459</v>
      </c>
      <c r="I4916" t="str">
        <f t="shared" si="153"/>
        <v>Nedd8_459</v>
      </c>
      <c r="J4916" s="3">
        <v>37</v>
      </c>
      <c r="K4916" s="3">
        <v>157</v>
      </c>
      <c r="L4916" s="3">
        <v>265</v>
      </c>
      <c r="M4916" s="3">
        <v>0</v>
      </c>
      <c r="N4916" s="3">
        <v>0</v>
      </c>
    </row>
    <row r="4917" spans="1:14" x14ac:dyDescent="0.2">
      <c r="A4917" s="5" t="str">
        <f>HYPERLINK("http://www.ncbi.nlm.nih.gov/protein/22094129","Neil1")</f>
        <v>Neil1</v>
      </c>
      <c r="B4917" s="4"/>
      <c r="C4917" s="3">
        <v>0</v>
      </c>
      <c r="D4917" s="3">
        <v>0</v>
      </c>
      <c r="E4917" s="3">
        <v>22</v>
      </c>
      <c r="F4917" s="3">
        <v>0</v>
      </c>
      <c r="G4917" s="3">
        <v>0</v>
      </c>
      <c r="H4917" s="2">
        <f t="shared" si="152"/>
        <v>22</v>
      </c>
      <c r="I4917" t="str">
        <f t="shared" si="153"/>
        <v>Neil1_22</v>
      </c>
      <c r="J4917" s="3">
        <v>0</v>
      </c>
      <c r="K4917" s="3">
        <v>0</v>
      </c>
      <c r="L4917" s="3">
        <v>22</v>
      </c>
      <c r="M4917" s="3">
        <v>0</v>
      </c>
      <c r="N4917" s="3">
        <v>0</v>
      </c>
    </row>
    <row r="4918" spans="1:14" x14ac:dyDescent="0.2">
      <c r="A4918" s="5" t="str">
        <f>HYPERLINK("http://www.ncbi.nlm.nih.gov/protein/124107627","Nek1")</f>
        <v>Nek1</v>
      </c>
      <c r="B4918" s="4"/>
      <c r="C4918" s="3">
        <v>4174</v>
      </c>
      <c r="D4918" s="3">
        <v>0</v>
      </c>
      <c r="E4918" s="3">
        <v>94</v>
      </c>
      <c r="F4918" s="3">
        <v>401</v>
      </c>
      <c r="G4918" s="3">
        <v>0</v>
      </c>
      <c r="H4918" s="2">
        <f t="shared" si="152"/>
        <v>4669</v>
      </c>
      <c r="I4918" t="str">
        <f t="shared" si="153"/>
        <v>Nek1_4669</v>
      </c>
      <c r="J4918" s="3">
        <v>4174</v>
      </c>
      <c r="K4918" s="3">
        <v>0</v>
      </c>
      <c r="L4918" s="3">
        <v>94</v>
      </c>
      <c r="M4918" s="3">
        <v>401</v>
      </c>
      <c r="N4918" s="3">
        <v>0</v>
      </c>
    </row>
    <row r="4919" spans="1:14" x14ac:dyDescent="0.2">
      <c r="A4919" s="5" t="str">
        <f>HYPERLINK("http://www.ncbi.nlm.nih.gov/protein/11037794","Nek6")</f>
        <v>Nek6</v>
      </c>
      <c r="B4919" s="4"/>
      <c r="C4919" s="3">
        <v>0</v>
      </c>
      <c r="D4919" s="3">
        <v>0</v>
      </c>
      <c r="E4919" s="3">
        <v>294</v>
      </c>
      <c r="F4919" s="3">
        <v>1555</v>
      </c>
      <c r="G4919" s="3">
        <v>1810</v>
      </c>
      <c r="H4919" s="2">
        <f t="shared" si="152"/>
        <v>3659</v>
      </c>
      <c r="I4919" t="str">
        <f t="shared" si="153"/>
        <v>Nek6_3659</v>
      </c>
      <c r="J4919" s="3">
        <v>0</v>
      </c>
      <c r="K4919" s="3">
        <v>0</v>
      </c>
      <c r="L4919" s="3">
        <v>294</v>
      </c>
      <c r="M4919" s="3">
        <v>1555</v>
      </c>
      <c r="N4919" s="3">
        <v>1810</v>
      </c>
    </row>
    <row r="4920" spans="1:14" x14ac:dyDescent="0.2">
      <c r="A4920" s="5" t="str">
        <f>HYPERLINK("http://www.ncbi.nlm.nih.gov/protein/11037792","Nek7")</f>
        <v>Nek7</v>
      </c>
      <c r="B4920" s="4"/>
      <c r="C4920" s="3">
        <v>0</v>
      </c>
      <c r="D4920" s="3">
        <v>3284</v>
      </c>
      <c r="E4920" s="3">
        <v>509</v>
      </c>
      <c r="F4920" s="3">
        <v>7776</v>
      </c>
      <c r="G4920" s="3">
        <v>6950</v>
      </c>
      <c r="H4920" s="2">
        <f t="shared" si="152"/>
        <v>18519</v>
      </c>
      <c r="I4920" t="str">
        <f t="shared" si="153"/>
        <v>Nek7_18519</v>
      </c>
      <c r="J4920" s="3">
        <v>0</v>
      </c>
      <c r="K4920" s="3">
        <v>3284</v>
      </c>
      <c r="L4920" s="3">
        <v>509</v>
      </c>
      <c r="M4920" s="3">
        <v>7776</v>
      </c>
      <c r="N4920" s="3">
        <v>6950</v>
      </c>
    </row>
    <row r="4921" spans="1:14" x14ac:dyDescent="0.2">
      <c r="A4921" s="5" t="str">
        <f>HYPERLINK("http://www.ncbi.nlm.nih.gov/protein/158631240","Nek9")</f>
        <v>Nek9</v>
      </c>
      <c r="B4921" s="4"/>
      <c r="C4921" s="3">
        <v>0</v>
      </c>
      <c r="D4921" s="3">
        <v>0</v>
      </c>
      <c r="E4921" s="3">
        <v>742</v>
      </c>
      <c r="F4921" s="3">
        <v>2341</v>
      </c>
      <c r="G4921" s="3">
        <v>8942</v>
      </c>
      <c r="H4921" s="2">
        <f t="shared" si="152"/>
        <v>12025</v>
      </c>
      <c r="I4921" t="str">
        <f t="shared" si="153"/>
        <v>Nek9_12025</v>
      </c>
      <c r="J4921" s="3">
        <v>0</v>
      </c>
      <c r="K4921" s="3">
        <v>0</v>
      </c>
      <c r="L4921" s="3">
        <v>742</v>
      </c>
      <c r="M4921" s="3">
        <v>2341</v>
      </c>
      <c r="N4921" s="3">
        <v>8942</v>
      </c>
    </row>
    <row r="4922" spans="1:14" x14ac:dyDescent="0.2">
      <c r="A4922" s="5" t="str">
        <f>HYPERLINK("http://www.ncbi.nlm.nih.gov/protein/33859652","Nelfa")</f>
        <v>Nelfa</v>
      </c>
      <c r="B4922" s="4"/>
      <c r="C4922" s="3">
        <v>0</v>
      </c>
      <c r="D4922" s="3">
        <v>0</v>
      </c>
      <c r="E4922" s="3">
        <v>560</v>
      </c>
      <c r="F4922" s="3">
        <v>2431</v>
      </c>
      <c r="G4922" s="3">
        <v>0</v>
      </c>
      <c r="H4922" s="2">
        <f t="shared" si="152"/>
        <v>2991</v>
      </c>
      <c r="I4922" t="str">
        <f t="shared" si="153"/>
        <v>Nelfa_2991</v>
      </c>
      <c r="J4922" s="3">
        <v>0</v>
      </c>
      <c r="K4922" s="3">
        <v>0</v>
      </c>
      <c r="L4922" s="3">
        <v>560</v>
      </c>
      <c r="M4922" s="3">
        <v>2431</v>
      </c>
      <c r="N4922" s="3">
        <v>0</v>
      </c>
    </row>
    <row r="4923" spans="1:14" x14ac:dyDescent="0.2">
      <c r="A4923" s="5" t="str">
        <f>HYPERLINK("http://www.ncbi.nlm.nih.gov/protein/165377251","Nelfb")</f>
        <v>Nelfb</v>
      </c>
      <c r="B4923" s="4"/>
      <c r="C4923" s="3">
        <v>1336</v>
      </c>
      <c r="D4923" s="3">
        <v>386</v>
      </c>
      <c r="E4923" s="3">
        <v>2946</v>
      </c>
      <c r="F4923" s="3">
        <v>12417</v>
      </c>
      <c r="G4923" s="3">
        <v>5494</v>
      </c>
      <c r="H4923" s="2">
        <f t="shared" si="152"/>
        <v>22579</v>
      </c>
      <c r="I4923" t="str">
        <f t="shared" si="153"/>
        <v>Nelfb_22579</v>
      </c>
      <c r="J4923" s="3">
        <v>1336</v>
      </c>
      <c r="K4923" s="3">
        <v>386</v>
      </c>
      <c r="L4923" s="3">
        <v>2946</v>
      </c>
      <c r="M4923" s="3">
        <v>12417</v>
      </c>
      <c r="N4923" s="3">
        <v>5494</v>
      </c>
    </row>
    <row r="4924" spans="1:14" x14ac:dyDescent="0.2">
      <c r="A4924" s="5" t="str">
        <f>HYPERLINK("http://www.ncbi.nlm.nih.gov/protein/91982765","Nelfcd")</f>
        <v>Nelfcd</v>
      </c>
      <c r="B4924" s="4"/>
      <c r="C4924" s="3">
        <v>0</v>
      </c>
      <c r="D4924" s="3">
        <v>1722</v>
      </c>
      <c r="E4924" s="3">
        <v>3998</v>
      </c>
      <c r="F4924" s="3">
        <v>14652</v>
      </c>
      <c r="G4924" s="3">
        <v>0</v>
      </c>
      <c r="H4924" s="2">
        <f t="shared" si="152"/>
        <v>20372</v>
      </c>
      <c r="I4924" t="str">
        <f t="shared" si="153"/>
        <v>Nelfcd_20372</v>
      </c>
      <c r="J4924" s="3">
        <v>0</v>
      </c>
      <c r="K4924" s="3">
        <v>1722</v>
      </c>
      <c r="L4924" s="3">
        <v>3998</v>
      </c>
      <c r="M4924" s="3">
        <v>14652</v>
      </c>
      <c r="N4924" s="3">
        <v>0</v>
      </c>
    </row>
    <row r="4925" spans="1:14" x14ac:dyDescent="0.2">
      <c r="A4925" s="5" t="str">
        <f>HYPERLINK("http://www.ncbi.nlm.nih.gov/protein/114052226","Nelfe")</f>
        <v>Nelfe</v>
      </c>
      <c r="B4925" s="4"/>
      <c r="C4925" s="3">
        <v>0</v>
      </c>
      <c r="D4925" s="3">
        <v>0</v>
      </c>
      <c r="E4925" s="3">
        <v>376</v>
      </c>
      <c r="F4925" s="3">
        <v>434</v>
      </c>
      <c r="G4925" s="3">
        <v>8075</v>
      </c>
      <c r="H4925" s="2">
        <f t="shared" si="152"/>
        <v>8885</v>
      </c>
      <c r="I4925" t="str">
        <f t="shared" si="153"/>
        <v>Nelfe_8885</v>
      </c>
      <c r="J4925" s="3">
        <v>0</v>
      </c>
      <c r="K4925" s="3">
        <v>0</v>
      </c>
      <c r="L4925" s="3">
        <v>376</v>
      </c>
      <c r="M4925" s="3">
        <v>434</v>
      </c>
      <c r="N4925" s="3">
        <v>8075</v>
      </c>
    </row>
    <row r="4926" spans="1:14" x14ac:dyDescent="0.2">
      <c r="A4926" s="5" t="str">
        <f>HYPERLINK("http://www.ncbi.nlm.nih.gov/protein/32130521","Nemf")</f>
        <v>Nemf</v>
      </c>
      <c r="B4926" s="4"/>
      <c r="C4926" s="3">
        <v>0</v>
      </c>
      <c r="D4926" s="3">
        <v>528</v>
      </c>
      <c r="E4926" s="3">
        <v>2884</v>
      </c>
      <c r="F4926" s="3">
        <v>29075</v>
      </c>
      <c r="G4926" s="3">
        <v>0</v>
      </c>
      <c r="H4926" s="2">
        <f t="shared" si="152"/>
        <v>32487</v>
      </c>
      <c r="I4926" t="str">
        <f t="shared" si="153"/>
        <v>Nemf_32487</v>
      </c>
      <c r="J4926" s="3">
        <v>0</v>
      </c>
      <c r="K4926" s="3">
        <v>528</v>
      </c>
      <c r="L4926" s="3">
        <v>2884</v>
      </c>
      <c r="M4926" s="3">
        <v>29075</v>
      </c>
      <c r="N4926" s="3">
        <v>0</v>
      </c>
    </row>
    <row r="4927" spans="1:14" x14ac:dyDescent="0.2">
      <c r="A4927" s="5" t="str">
        <f>HYPERLINK("http://www.ncbi.nlm.nih.gov/protein/13384818","Nenf")</f>
        <v>Nenf</v>
      </c>
      <c r="B4927" s="4"/>
      <c r="C4927" s="3">
        <v>0</v>
      </c>
      <c r="D4927" s="3">
        <v>0</v>
      </c>
      <c r="E4927" s="3">
        <v>48</v>
      </c>
      <c r="F4927" s="3">
        <v>0</v>
      </c>
      <c r="G4927" s="3">
        <v>0</v>
      </c>
      <c r="H4927" s="2">
        <f t="shared" si="152"/>
        <v>48</v>
      </c>
      <c r="I4927" t="str">
        <f t="shared" si="153"/>
        <v>Nenf_48</v>
      </c>
      <c r="J4927" s="3">
        <v>0</v>
      </c>
      <c r="K4927" s="3">
        <v>0</v>
      </c>
      <c r="L4927" s="3">
        <v>48</v>
      </c>
      <c r="M4927" s="3">
        <v>0</v>
      </c>
      <c r="N4927" s="3">
        <v>0</v>
      </c>
    </row>
    <row r="4928" spans="1:14" x14ac:dyDescent="0.2">
      <c r="A4928" s="5" t="str">
        <f>HYPERLINK("http://www.ncbi.nlm.nih.gov/protein/112363082","Neo1")</f>
        <v>Neo1</v>
      </c>
      <c r="B4928" s="4"/>
      <c r="C4928" s="3">
        <v>0</v>
      </c>
      <c r="D4928" s="3">
        <v>0</v>
      </c>
      <c r="E4928" s="3">
        <v>0</v>
      </c>
      <c r="F4928" s="3">
        <v>0</v>
      </c>
      <c r="G4928" s="3">
        <v>493</v>
      </c>
      <c r="H4928" s="2">
        <f t="shared" si="152"/>
        <v>493</v>
      </c>
      <c r="I4928" t="str">
        <f t="shared" si="153"/>
        <v>Neo1_493</v>
      </c>
      <c r="J4928" s="3">
        <v>0</v>
      </c>
      <c r="K4928" s="3">
        <v>0</v>
      </c>
      <c r="L4928" s="3">
        <v>0</v>
      </c>
      <c r="M4928" s="3">
        <v>0</v>
      </c>
      <c r="N4928" s="3">
        <v>493</v>
      </c>
    </row>
    <row r="4929" spans="1:14" x14ac:dyDescent="0.2">
      <c r="A4929" s="5" t="str">
        <f>HYPERLINK("http://www.ncbi.nlm.nih.gov/protein/112363084","Neo1")</f>
        <v>Neo1</v>
      </c>
      <c r="B4929" s="4"/>
      <c r="C4929" s="3">
        <v>0</v>
      </c>
      <c r="D4929" s="3">
        <v>0</v>
      </c>
      <c r="E4929" s="3">
        <v>0</v>
      </c>
      <c r="F4929" s="3">
        <v>0</v>
      </c>
      <c r="G4929" s="3">
        <v>493</v>
      </c>
      <c r="H4929" s="2">
        <f t="shared" si="152"/>
        <v>493</v>
      </c>
      <c r="I4929" t="str">
        <f t="shared" si="153"/>
        <v>Neo1_493</v>
      </c>
      <c r="J4929" s="3">
        <v>0</v>
      </c>
      <c r="K4929" s="3">
        <v>0</v>
      </c>
      <c r="L4929" s="3">
        <v>0</v>
      </c>
      <c r="M4929" s="3">
        <v>0</v>
      </c>
      <c r="N4929" s="3">
        <v>493</v>
      </c>
    </row>
    <row r="4930" spans="1:14" x14ac:dyDescent="0.2">
      <c r="A4930" s="5" t="str">
        <f>HYPERLINK("http://www.ncbi.nlm.nih.gov/protein/50363232","Nes")</f>
        <v>Nes</v>
      </c>
      <c r="B4930" s="4"/>
      <c r="C4930" s="3">
        <v>0</v>
      </c>
      <c r="D4930" s="3">
        <v>0</v>
      </c>
      <c r="E4930" s="3">
        <v>0</v>
      </c>
      <c r="F4930" s="3">
        <v>0</v>
      </c>
      <c r="G4930" s="3">
        <v>31357</v>
      </c>
      <c r="H4930" s="2">
        <f t="shared" ref="H4930:H4993" si="154">SUM(C4930:G4930)</f>
        <v>31357</v>
      </c>
      <c r="I4930" t="str">
        <f t="shared" ref="I4930:I4993" si="155">A4930&amp;"_"&amp;H4930</f>
        <v>Nes_31357</v>
      </c>
      <c r="J4930" s="3">
        <v>0</v>
      </c>
      <c r="K4930" s="3">
        <v>0</v>
      </c>
      <c r="L4930" s="3">
        <v>0</v>
      </c>
      <c r="M4930" s="3">
        <v>0</v>
      </c>
      <c r="N4930" s="3">
        <v>31357</v>
      </c>
    </row>
    <row r="4931" spans="1:14" x14ac:dyDescent="0.2">
      <c r="A4931" s="5" t="str">
        <f>HYPERLINK("http://www.ncbi.nlm.nih.gov/protein/254939721","Neu1")</f>
        <v>Neu1</v>
      </c>
      <c r="B4931" s="4"/>
      <c r="C4931" s="3">
        <v>146</v>
      </c>
      <c r="D4931" s="3">
        <v>4599</v>
      </c>
      <c r="E4931" s="3">
        <v>277</v>
      </c>
      <c r="F4931" s="3">
        <v>0</v>
      </c>
      <c r="G4931" s="3">
        <v>0</v>
      </c>
      <c r="H4931" s="2">
        <f t="shared" si="154"/>
        <v>5022</v>
      </c>
      <c r="I4931" t="str">
        <f t="shared" si="155"/>
        <v>Neu1_5022</v>
      </c>
      <c r="J4931" s="3">
        <v>146</v>
      </c>
      <c r="K4931" s="3">
        <v>4599</v>
      </c>
      <c r="L4931" s="3">
        <v>277</v>
      </c>
      <c r="M4931" s="3">
        <v>0</v>
      </c>
      <c r="N4931" s="3">
        <v>0</v>
      </c>
    </row>
    <row r="4932" spans="1:14" x14ac:dyDescent="0.2">
      <c r="A4932" s="5" t="str">
        <f>HYPERLINK("http://www.ncbi.nlm.nih.gov/protein/240849436","Nexn")</f>
        <v>Nexn</v>
      </c>
      <c r="B4932" s="4"/>
      <c r="C4932" s="3">
        <v>2984</v>
      </c>
      <c r="D4932" s="3">
        <v>4559</v>
      </c>
      <c r="E4932" s="3">
        <v>366</v>
      </c>
      <c r="F4932" s="3">
        <v>3291</v>
      </c>
      <c r="G4932" s="3">
        <v>100327</v>
      </c>
      <c r="H4932" s="2">
        <f t="shared" si="154"/>
        <v>111527</v>
      </c>
      <c r="I4932" t="str">
        <f t="shared" si="155"/>
        <v>Nexn_111527</v>
      </c>
      <c r="J4932" s="3">
        <v>2984</v>
      </c>
      <c r="K4932" s="3">
        <v>4559</v>
      </c>
      <c r="L4932" s="3">
        <v>366</v>
      </c>
      <c r="M4932" s="3">
        <v>3291</v>
      </c>
      <c r="N4932" s="3">
        <v>100327</v>
      </c>
    </row>
    <row r="4933" spans="1:14" x14ac:dyDescent="0.2">
      <c r="A4933" s="5" t="str">
        <f>HYPERLINK("http://www.ncbi.nlm.nih.gov/protein/34878892","Nf1")</f>
        <v>Nf1</v>
      </c>
      <c r="B4933" s="4"/>
      <c r="C4933" s="3">
        <v>0</v>
      </c>
      <c r="D4933" s="3">
        <v>0</v>
      </c>
      <c r="E4933" s="3">
        <v>2747</v>
      </c>
      <c r="F4933" s="3">
        <v>467</v>
      </c>
      <c r="G4933" s="3">
        <v>0</v>
      </c>
      <c r="H4933" s="2">
        <f t="shared" si="154"/>
        <v>3214</v>
      </c>
      <c r="I4933" t="str">
        <f t="shared" si="155"/>
        <v>Nf1_3214</v>
      </c>
      <c r="J4933" s="3">
        <v>0</v>
      </c>
      <c r="K4933" s="3">
        <v>0</v>
      </c>
      <c r="L4933" s="3">
        <v>2747</v>
      </c>
      <c r="M4933" s="3">
        <v>467</v>
      </c>
      <c r="N4933" s="3">
        <v>0</v>
      </c>
    </row>
    <row r="4934" spans="1:14" x14ac:dyDescent="0.2">
      <c r="A4934" s="5" t="str">
        <f>HYPERLINK("http://www.ncbi.nlm.nih.gov/protein/117606364","Nfkb1")</f>
        <v>Nfkb1</v>
      </c>
      <c r="B4934" s="4"/>
      <c r="C4934" s="3">
        <v>0</v>
      </c>
      <c r="D4934" s="3">
        <v>150</v>
      </c>
      <c r="E4934" s="3">
        <v>60</v>
      </c>
      <c r="F4934" s="3">
        <v>982</v>
      </c>
      <c r="G4934" s="3">
        <v>20112</v>
      </c>
      <c r="H4934" s="2">
        <f t="shared" si="154"/>
        <v>21304</v>
      </c>
      <c r="I4934" t="str">
        <f t="shared" si="155"/>
        <v>Nfkb1_21304</v>
      </c>
      <c r="J4934" s="3">
        <v>0</v>
      </c>
      <c r="K4934" s="3">
        <v>150</v>
      </c>
      <c r="L4934" s="3">
        <v>60</v>
      </c>
      <c r="M4934" s="3">
        <v>982</v>
      </c>
      <c r="N4934" s="3">
        <v>20112</v>
      </c>
    </row>
    <row r="4935" spans="1:14" x14ac:dyDescent="0.2">
      <c r="A4935" s="5" t="str">
        <f>HYPERLINK("http://www.ncbi.nlm.nih.gov/protein/293651548","Nfkb2")</f>
        <v>Nfkb2</v>
      </c>
      <c r="B4935" s="4"/>
      <c r="C4935" s="3">
        <v>0</v>
      </c>
      <c r="D4935" s="3">
        <v>0</v>
      </c>
      <c r="E4935" s="3">
        <v>133</v>
      </c>
      <c r="F4935" s="3">
        <v>3995</v>
      </c>
      <c r="G4935" s="3">
        <v>21526</v>
      </c>
      <c r="H4935" s="2">
        <f t="shared" si="154"/>
        <v>25654</v>
      </c>
      <c r="I4935" t="str">
        <f t="shared" si="155"/>
        <v>Nfkb2_25654</v>
      </c>
      <c r="J4935" s="3">
        <v>0</v>
      </c>
      <c r="K4935" s="3">
        <v>0</v>
      </c>
      <c r="L4935" s="3">
        <v>133</v>
      </c>
      <c r="M4935" s="3">
        <v>3995</v>
      </c>
      <c r="N4935" s="3">
        <v>21526</v>
      </c>
    </row>
    <row r="4936" spans="1:14" x14ac:dyDescent="0.2">
      <c r="A4936" s="5" t="str">
        <f>HYPERLINK("http://www.ncbi.nlm.nih.gov/protein/9506921","Nfkb2")</f>
        <v>Nfkb2</v>
      </c>
      <c r="B4936" s="4"/>
      <c r="C4936" s="3">
        <v>0</v>
      </c>
      <c r="D4936" s="3">
        <v>0</v>
      </c>
      <c r="E4936" s="3">
        <v>133</v>
      </c>
      <c r="F4936" s="3">
        <v>3995</v>
      </c>
      <c r="G4936" s="3">
        <v>21526</v>
      </c>
      <c r="H4936" s="2">
        <f t="shared" si="154"/>
        <v>25654</v>
      </c>
      <c r="I4936" t="str">
        <f t="shared" si="155"/>
        <v>Nfkb2_25654</v>
      </c>
      <c r="J4936" s="3">
        <v>0</v>
      </c>
      <c r="K4936" s="3">
        <v>0</v>
      </c>
      <c r="L4936" s="3">
        <v>133</v>
      </c>
      <c r="M4936" s="3">
        <v>3995</v>
      </c>
      <c r="N4936" s="3">
        <v>21526</v>
      </c>
    </row>
    <row r="4937" spans="1:14" x14ac:dyDescent="0.2">
      <c r="A4937" s="5" t="str">
        <f>HYPERLINK("http://www.ncbi.nlm.nih.gov/protein/226052096","Nfkbia")</f>
        <v>Nfkbia</v>
      </c>
      <c r="B4937" s="4"/>
      <c r="C4937" s="3">
        <v>0</v>
      </c>
      <c r="D4937" s="3">
        <v>0</v>
      </c>
      <c r="E4937" s="3">
        <v>0</v>
      </c>
      <c r="F4937" s="3">
        <v>0</v>
      </c>
      <c r="G4937" s="3">
        <v>150</v>
      </c>
      <c r="H4937" s="2">
        <f t="shared" si="154"/>
        <v>150</v>
      </c>
      <c r="I4937" t="str">
        <f t="shared" si="155"/>
        <v>Nfkbia_150</v>
      </c>
      <c r="J4937" s="3">
        <v>0</v>
      </c>
      <c r="K4937" s="3">
        <v>0</v>
      </c>
      <c r="L4937" s="3">
        <v>0</v>
      </c>
      <c r="M4937" s="3">
        <v>0</v>
      </c>
      <c r="N4937" s="3">
        <v>150</v>
      </c>
    </row>
    <row r="4938" spans="1:14" x14ac:dyDescent="0.2">
      <c r="A4938" s="5" t="str">
        <f>HYPERLINK("http://www.ncbi.nlm.nih.gov/protein/24111253","Nfkbib")</f>
        <v>Nfkbib</v>
      </c>
      <c r="B4938" s="4"/>
      <c r="C4938" s="3">
        <v>0</v>
      </c>
      <c r="D4938" s="3">
        <v>0</v>
      </c>
      <c r="E4938" s="3">
        <v>9</v>
      </c>
      <c r="F4938" s="3">
        <v>0</v>
      </c>
      <c r="G4938" s="3">
        <v>0</v>
      </c>
      <c r="H4938" s="2">
        <f t="shared" si="154"/>
        <v>9</v>
      </c>
      <c r="I4938" t="str">
        <f t="shared" si="155"/>
        <v>Nfkbib_9</v>
      </c>
      <c r="J4938" s="3">
        <v>0</v>
      </c>
      <c r="K4938" s="3">
        <v>0</v>
      </c>
      <c r="L4938" s="3">
        <v>9</v>
      </c>
      <c r="M4938" s="3">
        <v>0</v>
      </c>
      <c r="N4938" s="3">
        <v>0</v>
      </c>
    </row>
    <row r="4939" spans="1:14" x14ac:dyDescent="0.2">
      <c r="A4939" s="5" t="str">
        <f>HYPERLINK("http://www.ncbi.nlm.nih.gov/protein/161016824","Nfs1")</f>
        <v>Nfs1</v>
      </c>
      <c r="B4939" s="4"/>
      <c r="C4939" s="3">
        <v>13070</v>
      </c>
      <c r="D4939" s="3">
        <v>5697</v>
      </c>
      <c r="E4939" s="3">
        <v>0</v>
      </c>
      <c r="F4939" s="3">
        <v>0</v>
      </c>
      <c r="G4939" s="3">
        <v>0</v>
      </c>
      <c r="H4939" s="2">
        <f t="shared" si="154"/>
        <v>18767</v>
      </c>
      <c r="I4939" t="str">
        <f t="shared" si="155"/>
        <v>Nfs1_18767</v>
      </c>
      <c r="J4939" s="3">
        <v>13070</v>
      </c>
      <c r="K4939" s="3">
        <v>5697</v>
      </c>
      <c r="L4939" s="3">
        <v>0</v>
      </c>
      <c r="M4939" s="3">
        <v>0</v>
      </c>
      <c r="N4939" s="3">
        <v>0</v>
      </c>
    </row>
    <row r="4940" spans="1:14" x14ac:dyDescent="0.2">
      <c r="A4940" s="5" t="str">
        <f>HYPERLINK("http://www.ncbi.nlm.nih.gov/protein/282154801","Nfu1")</f>
        <v>Nfu1</v>
      </c>
      <c r="B4940" s="4"/>
      <c r="C4940" s="3">
        <v>9775</v>
      </c>
      <c r="D4940" s="3">
        <v>4597</v>
      </c>
      <c r="E4940" s="3">
        <v>69</v>
      </c>
      <c r="F4940" s="3">
        <v>0</v>
      </c>
      <c r="G4940" s="3">
        <v>1435</v>
      </c>
      <c r="H4940" s="2">
        <f t="shared" si="154"/>
        <v>15876</v>
      </c>
      <c r="I4940" t="str">
        <f t="shared" si="155"/>
        <v>Nfu1_15876</v>
      </c>
      <c r="J4940" s="3">
        <v>9775</v>
      </c>
      <c r="K4940" s="3">
        <v>4597</v>
      </c>
      <c r="L4940" s="3">
        <v>69</v>
      </c>
      <c r="M4940" s="3">
        <v>0</v>
      </c>
      <c r="N4940" s="3">
        <v>1435</v>
      </c>
    </row>
    <row r="4941" spans="1:14" x14ac:dyDescent="0.2">
      <c r="A4941" s="5" t="str">
        <f>HYPERLINK("http://www.ncbi.nlm.nih.gov/protein/282154803","Nfu1")</f>
        <v>Nfu1</v>
      </c>
      <c r="B4941" s="4"/>
      <c r="C4941" s="3">
        <v>9775</v>
      </c>
      <c r="D4941" s="3">
        <v>4597</v>
      </c>
      <c r="E4941" s="3">
        <v>69</v>
      </c>
      <c r="F4941" s="3">
        <v>0</v>
      </c>
      <c r="G4941" s="3">
        <v>1435</v>
      </c>
      <c r="H4941" s="2">
        <f t="shared" si="154"/>
        <v>15876</v>
      </c>
      <c r="I4941" t="str">
        <f t="shared" si="155"/>
        <v>Nfu1_15876</v>
      </c>
      <c r="J4941" s="3">
        <v>9775</v>
      </c>
      <c r="K4941" s="3">
        <v>4597</v>
      </c>
      <c r="L4941" s="3">
        <v>69</v>
      </c>
      <c r="M4941" s="3">
        <v>0</v>
      </c>
      <c r="N4941" s="3">
        <v>1435</v>
      </c>
    </row>
    <row r="4942" spans="1:14" x14ac:dyDescent="0.2">
      <c r="A4942" s="5" t="str">
        <f>HYPERLINK("http://www.ncbi.nlm.nih.gov/protein/124301201","Nfxl1")</f>
        <v>Nfxl1</v>
      </c>
      <c r="B4942" s="4"/>
      <c r="C4942" s="3">
        <v>165</v>
      </c>
      <c r="D4942" s="3">
        <v>13</v>
      </c>
      <c r="E4942" s="3">
        <v>164</v>
      </c>
      <c r="F4942" s="3">
        <v>0</v>
      </c>
      <c r="G4942" s="3">
        <v>0</v>
      </c>
      <c r="H4942" s="2">
        <f t="shared" si="154"/>
        <v>342</v>
      </c>
      <c r="I4942" t="str">
        <f t="shared" si="155"/>
        <v>Nfxl1_342</v>
      </c>
      <c r="J4942" s="3">
        <v>165</v>
      </c>
      <c r="K4942" s="3">
        <v>13</v>
      </c>
      <c r="L4942" s="3">
        <v>164</v>
      </c>
      <c r="M4942" s="3">
        <v>0</v>
      </c>
      <c r="N4942" s="3">
        <v>0</v>
      </c>
    </row>
    <row r="4943" spans="1:14" x14ac:dyDescent="0.2">
      <c r="A4943" s="5" t="str">
        <f>HYPERLINK("http://www.ncbi.nlm.nih.gov/protein/161016831","Nfya")</f>
        <v>Nfya</v>
      </c>
      <c r="B4943" s="4"/>
      <c r="C4943" s="3">
        <v>0</v>
      </c>
      <c r="D4943" s="3">
        <v>0</v>
      </c>
      <c r="E4943" s="3">
        <v>0</v>
      </c>
      <c r="F4943" s="3">
        <v>393</v>
      </c>
      <c r="G4943" s="3">
        <v>0</v>
      </c>
      <c r="H4943" s="2">
        <f t="shared" si="154"/>
        <v>393</v>
      </c>
      <c r="I4943" t="str">
        <f t="shared" si="155"/>
        <v>Nfya_393</v>
      </c>
      <c r="J4943" s="3">
        <v>0</v>
      </c>
      <c r="K4943" s="3">
        <v>0</v>
      </c>
      <c r="L4943" s="3">
        <v>0</v>
      </c>
      <c r="M4943" s="3">
        <v>393</v>
      </c>
      <c r="N4943" s="3">
        <v>0</v>
      </c>
    </row>
    <row r="4944" spans="1:14" x14ac:dyDescent="0.2">
      <c r="A4944" s="5" t="str">
        <f>HYPERLINK("http://www.ncbi.nlm.nih.gov/protein/6754848","Nfya")</f>
        <v>Nfya</v>
      </c>
      <c r="B4944" s="4"/>
      <c r="C4944" s="3">
        <v>0</v>
      </c>
      <c r="D4944" s="3">
        <v>0</v>
      </c>
      <c r="E4944" s="3">
        <v>0</v>
      </c>
      <c r="F4944" s="3">
        <v>393</v>
      </c>
      <c r="G4944" s="3">
        <v>0</v>
      </c>
      <c r="H4944" s="2">
        <f t="shared" si="154"/>
        <v>393</v>
      </c>
      <c r="I4944" t="str">
        <f t="shared" si="155"/>
        <v>Nfya_393</v>
      </c>
      <c r="J4944" s="3">
        <v>0</v>
      </c>
      <c r="K4944" s="3">
        <v>0</v>
      </c>
      <c r="L4944" s="3">
        <v>0</v>
      </c>
      <c r="M4944" s="3">
        <v>393</v>
      </c>
      <c r="N4944" s="3">
        <v>0</v>
      </c>
    </row>
    <row r="4945" spans="1:14" x14ac:dyDescent="0.2">
      <c r="A4945" s="5" t="str">
        <f>HYPERLINK("http://www.ncbi.nlm.nih.gov/protein/31560663","Nfyc")</f>
        <v>Nfyc</v>
      </c>
      <c r="B4945" s="4"/>
      <c r="C4945" s="3">
        <v>0</v>
      </c>
      <c r="D4945" s="3">
        <v>0</v>
      </c>
      <c r="E4945" s="3">
        <v>56</v>
      </c>
      <c r="F4945" s="3">
        <v>0</v>
      </c>
      <c r="G4945" s="3">
        <v>0</v>
      </c>
      <c r="H4945" s="2">
        <f t="shared" si="154"/>
        <v>56</v>
      </c>
      <c r="I4945" t="str">
        <f t="shared" si="155"/>
        <v>Nfyc_56</v>
      </c>
      <c r="J4945" s="3">
        <v>0</v>
      </c>
      <c r="K4945" s="3">
        <v>0</v>
      </c>
      <c r="L4945" s="3">
        <v>56</v>
      </c>
      <c r="M4945" s="3">
        <v>0</v>
      </c>
      <c r="N4945" s="3">
        <v>0</v>
      </c>
    </row>
    <row r="4946" spans="1:14" x14ac:dyDescent="0.2">
      <c r="A4946" s="5" t="str">
        <f>HYPERLINK("http://www.ncbi.nlm.nih.gov/protein/162417957","Ngef")</f>
        <v>Ngef</v>
      </c>
      <c r="B4946" s="4"/>
      <c r="C4946" s="3">
        <v>0</v>
      </c>
      <c r="D4946" s="3">
        <v>0</v>
      </c>
      <c r="E4946" s="3">
        <v>73</v>
      </c>
      <c r="F4946" s="3">
        <v>0</v>
      </c>
      <c r="G4946" s="3">
        <v>0</v>
      </c>
      <c r="H4946" s="2">
        <f t="shared" si="154"/>
        <v>73</v>
      </c>
      <c r="I4946" t="str">
        <f t="shared" si="155"/>
        <v>Ngef_73</v>
      </c>
      <c r="J4946" s="3">
        <v>0</v>
      </c>
      <c r="K4946" s="3">
        <v>0</v>
      </c>
      <c r="L4946" s="3">
        <v>73</v>
      </c>
      <c r="M4946" s="3">
        <v>0</v>
      </c>
      <c r="N4946" s="3">
        <v>0</v>
      </c>
    </row>
    <row r="4947" spans="1:14" x14ac:dyDescent="0.2">
      <c r="A4947" s="5" t="str">
        <f>HYPERLINK("http://www.ncbi.nlm.nih.gov/protein/162417959","Ngef")</f>
        <v>Ngef</v>
      </c>
      <c r="B4947" s="4"/>
      <c r="C4947" s="3">
        <v>0</v>
      </c>
      <c r="D4947" s="3">
        <v>0</v>
      </c>
      <c r="E4947" s="3">
        <v>73</v>
      </c>
      <c r="F4947" s="3">
        <v>0</v>
      </c>
      <c r="G4947" s="3">
        <v>0</v>
      </c>
      <c r="H4947" s="2">
        <f t="shared" si="154"/>
        <v>73</v>
      </c>
      <c r="I4947" t="str">
        <f t="shared" si="155"/>
        <v>Ngef_73</v>
      </c>
      <c r="J4947" s="3">
        <v>0</v>
      </c>
      <c r="K4947" s="3">
        <v>0</v>
      </c>
      <c r="L4947" s="3">
        <v>73</v>
      </c>
      <c r="M4947" s="3">
        <v>0</v>
      </c>
      <c r="N4947" s="3">
        <v>0</v>
      </c>
    </row>
    <row r="4948" spans="1:14" x14ac:dyDescent="0.2">
      <c r="A4948" s="5" t="str">
        <f>HYPERLINK("http://www.ncbi.nlm.nih.gov/protein/158517917","Nhej1")</f>
        <v>Nhej1</v>
      </c>
      <c r="B4948" s="4"/>
      <c r="C4948" s="3">
        <v>0</v>
      </c>
      <c r="D4948" s="3">
        <v>0</v>
      </c>
      <c r="E4948" s="3">
        <v>3</v>
      </c>
      <c r="F4948" s="3">
        <v>0</v>
      </c>
      <c r="G4948" s="3">
        <v>0</v>
      </c>
      <c r="H4948" s="2">
        <f t="shared" si="154"/>
        <v>3</v>
      </c>
      <c r="I4948" t="str">
        <f t="shared" si="155"/>
        <v>Nhej1_3</v>
      </c>
      <c r="J4948" s="3">
        <v>0</v>
      </c>
      <c r="K4948" s="3">
        <v>0</v>
      </c>
      <c r="L4948" s="3">
        <v>3</v>
      </c>
      <c r="M4948" s="3">
        <v>0</v>
      </c>
      <c r="N4948" s="3">
        <v>0</v>
      </c>
    </row>
    <row r="4949" spans="1:14" x14ac:dyDescent="0.2">
      <c r="A4949" s="5" t="str">
        <f>HYPERLINK("http://www.ncbi.nlm.nih.gov/protein/29789158","Nhlrc2")</f>
        <v>Nhlrc2</v>
      </c>
      <c r="B4949" s="4"/>
      <c r="C4949" s="3">
        <v>0</v>
      </c>
      <c r="D4949" s="3">
        <v>0</v>
      </c>
      <c r="E4949" s="3">
        <v>347</v>
      </c>
      <c r="F4949" s="3">
        <v>0</v>
      </c>
      <c r="G4949" s="3">
        <v>14908</v>
      </c>
      <c r="H4949" s="2">
        <f t="shared" si="154"/>
        <v>15255</v>
      </c>
      <c r="I4949" t="str">
        <f t="shared" si="155"/>
        <v>Nhlrc2_15255</v>
      </c>
      <c r="J4949" s="3">
        <v>0</v>
      </c>
      <c r="K4949" s="3">
        <v>0</v>
      </c>
      <c r="L4949" s="3">
        <v>347</v>
      </c>
      <c r="M4949" s="3">
        <v>0</v>
      </c>
      <c r="N4949" s="3">
        <v>14908</v>
      </c>
    </row>
    <row r="4950" spans="1:14" x14ac:dyDescent="0.2">
      <c r="A4950" s="5" t="str">
        <f>HYPERLINK("http://www.ncbi.nlm.nih.gov/protein/27369692","Nhlrc3")</f>
        <v>Nhlrc3</v>
      </c>
      <c r="B4950" s="4"/>
      <c r="C4950" s="3">
        <v>2435</v>
      </c>
      <c r="D4950" s="3">
        <v>4398</v>
      </c>
      <c r="E4950" s="3">
        <v>0</v>
      </c>
      <c r="F4950" s="3">
        <v>0</v>
      </c>
      <c r="G4950" s="3">
        <v>0</v>
      </c>
      <c r="H4950" s="2">
        <f t="shared" si="154"/>
        <v>6833</v>
      </c>
      <c r="I4950" t="str">
        <f t="shared" si="155"/>
        <v>Nhlrc3_6833</v>
      </c>
      <c r="J4950" s="3">
        <v>2435</v>
      </c>
      <c r="K4950" s="3">
        <v>4398</v>
      </c>
      <c r="L4950" s="3">
        <v>0</v>
      </c>
      <c r="M4950" s="3">
        <v>0</v>
      </c>
      <c r="N4950" s="3">
        <v>0</v>
      </c>
    </row>
    <row r="4951" spans="1:14" x14ac:dyDescent="0.2">
      <c r="A4951" s="5" t="str">
        <f>HYPERLINK("http://www.ncbi.nlm.nih.gov/protein/13386120","Nhp2")</f>
        <v>Nhp2</v>
      </c>
      <c r="B4951" s="4"/>
      <c r="C4951" s="3">
        <v>5236</v>
      </c>
      <c r="D4951" s="3">
        <v>71</v>
      </c>
      <c r="E4951" s="3">
        <v>268</v>
      </c>
      <c r="F4951" s="3">
        <v>2186</v>
      </c>
      <c r="G4951" s="3">
        <v>236</v>
      </c>
      <c r="H4951" s="2">
        <f t="shared" si="154"/>
        <v>7997</v>
      </c>
      <c r="I4951" t="str">
        <f t="shared" si="155"/>
        <v>Nhp2_7997</v>
      </c>
      <c r="J4951" s="3">
        <v>5236</v>
      </c>
      <c r="K4951" s="3">
        <v>71</v>
      </c>
      <c r="L4951" s="3">
        <v>268</v>
      </c>
      <c r="M4951" s="3">
        <v>2186</v>
      </c>
      <c r="N4951" s="3">
        <v>236</v>
      </c>
    </row>
    <row r="4952" spans="1:14" x14ac:dyDescent="0.2">
      <c r="A4952" s="5" t="str">
        <f>HYPERLINK("http://www.ncbi.nlm.nih.gov/protein/124486678","Nhs")</f>
        <v>Nhs</v>
      </c>
      <c r="B4952" s="4"/>
      <c r="C4952" s="3">
        <v>0</v>
      </c>
      <c r="D4952" s="3">
        <v>0</v>
      </c>
      <c r="E4952" s="3">
        <v>31</v>
      </c>
      <c r="F4952" s="3">
        <v>0</v>
      </c>
      <c r="G4952" s="3">
        <v>0</v>
      </c>
      <c r="H4952" s="2">
        <f t="shared" si="154"/>
        <v>31</v>
      </c>
      <c r="I4952" t="str">
        <f t="shared" si="155"/>
        <v>Nhs_31</v>
      </c>
      <c r="J4952" s="3">
        <v>0</v>
      </c>
      <c r="K4952" s="3">
        <v>0</v>
      </c>
      <c r="L4952" s="3">
        <v>31</v>
      </c>
      <c r="M4952" s="3">
        <v>0</v>
      </c>
      <c r="N4952" s="3">
        <v>0</v>
      </c>
    </row>
    <row r="4953" spans="1:14" x14ac:dyDescent="0.2">
      <c r="A4953" s="5" t="str">
        <f>HYPERLINK("http://www.ncbi.nlm.nih.gov/protein/41056093","Nif3l1")</f>
        <v>Nif3l1</v>
      </c>
      <c r="B4953" s="4"/>
      <c r="C4953" s="3">
        <v>0</v>
      </c>
      <c r="D4953" s="3">
        <v>48</v>
      </c>
      <c r="E4953" s="3">
        <v>697</v>
      </c>
      <c r="F4953" s="3">
        <v>16813</v>
      </c>
      <c r="G4953" s="3">
        <v>22747</v>
      </c>
      <c r="H4953" s="2">
        <f t="shared" si="154"/>
        <v>40305</v>
      </c>
      <c r="I4953" t="str">
        <f t="shared" si="155"/>
        <v>Nif3l1_40305</v>
      </c>
      <c r="J4953" s="3">
        <v>0</v>
      </c>
      <c r="K4953" s="3">
        <v>48</v>
      </c>
      <c r="L4953" s="3">
        <v>697</v>
      </c>
      <c r="M4953" s="3">
        <v>16813</v>
      </c>
      <c r="N4953" s="3">
        <v>22747</v>
      </c>
    </row>
    <row r="4954" spans="1:14" x14ac:dyDescent="0.2">
      <c r="A4954" s="5" t="str">
        <f>HYPERLINK("http://www.ncbi.nlm.nih.gov/protein/224809384","Nifk")</f>
        <v>Nifk</v>
      </c>
      <c r="B4954" s="4"/>
      <c r="C4954" s="3">
        <v>0</v>
      </c>
      <c r="D4954" s="3">
        <v>0</v>
      </c>
      <c r="E4954" s="3">
        <v>146</v>
      </c>
      <c r="F4954" s="3">
        <v>1514</v>
      </c>
      <c r="G4954" s="3">
        <v>0</v>
      </c>
      <c r="H4954" s="2">
        <f t="shared" si="154"/>
        <v>1660</v>
      </c>
      <c r="I4954" t="str">
        <f t="shared" si="155"/>
        <v>Nifk_1660</v>
      </c>
      <c r="J4954" s="3">
        <v>0</v>
      </c>
      <c r="K4954" s="3">
        <v>0</v>
      </c>
      <c r="L4954" s="3">
        <v>146</v>
      </c>
      <c r="M4954" s="3">
        <v>1514</v>
      </c>
      <c r="N4954" s="3">
        <v>0</v>
      </c>
    </row>
    <row r="4955" spans="1:14" x14ac:dyDescent="0.2">
      <c r="A4955" s="5" t="str">
        <f>HYPERLINK("http://www.ncbi.nlm.nih.gov/protein/7305315","Ninj1")</f>
        <v>Ninj1</v>
      </c>
      <c r="B4955" s="4"/>
      <c r="C4955" s="3">
        <v>0</v>
      </c>
      <c r="D4955" s="3">
        <v>4</v>
      </c>
      <c r="E4955" s="3">
        <v>0</v>
      </c>
      <c r="F4955" s="3">
        <v>0</v>
      </c>
      <c r="G4955" s="3">
        <v>0</v>
      </c>
      <c r="H4955" s="2">
        <f t="shared" si="154"/>
        <v>4</v>
      </c>
      <c r="I4955" t="str">
        <f t="shared" si="155"/>
        <v>Ninj1_4</v>
      </c>
      <c r="J4955" s="3">
        <v>0</v>
      </c>
      <c r="K4955" s="3">
        <v>4</v>
      </c>
      <c r="L4955" s="3">
        <v>0</v>
      </c>
      <c r="M4955" s="3">
        <v>0</v>
      </c>
      <c r="N4955" s="3">
        <v>0</v>
      </c>
    </row>
    <row r="4956" spans="1:14" x14ac:dyDescent="0.2">
      <c r="A4956" s="5" t="str">
        <f>HYPERLINK("http://www.ncbi.nlm.nih.gov/protein/257153334","Nip7")</f>
        <v>Nip7</v>
      </c>
      <c r="B4956" s="4"/>
      <c r="C4956" s="3">
        <v>0</v>
      </c>
      <c r="D4956" s="3">
        <v>0</v>
      </c>
      <c r="E4956" s="3">
        <v>0</v>
      </c>
      <c r="F4956" s="3">
        <v>3241</v>
      </c>
      <c r="G4956" s="3">
        <v>0</v>
      </c>
      <c r="H4956" s="2">
        <f t="shared" si="154"/>
        <v>3241</v>
      </c>
      <c r="I4956" t="str">
        <f t="shared" si="155"/>
        <v>Nip7_3241</v>
      </c>
      <c r="J4956" s="3">
        <v>0</v>
      </c>
      <c r="K4956" s="3">
        <v>0</v>
      </c>
      <c r="L4956" s="3">
        <v>0</v>
      </c>
      <c r="M4956" s="3">
        <v>3241</v>
      </c>
      <c r="N4956" s="3">
        <v>0</v>
      </c>
    </row>
    <row r="4957" spans="1:14" x14ac:dyDescent="0.2">
      <c r="A4957" s="5" t="str">
        <f>HYPERLINK("http://www.ncbi.nlm.nih.gov/protein/257153336","Nip7")</f>
        <v>Nip7</v>
      </c>
      <c r="B4957" s="4"/>
      <c r="C4957" s="3">
        <v>0</v>
      </c>
      <c r="D4957" s="3">
        <v>0</v>
      </c>
      <c r="E4957" s="3">
        <v>0</v>
      </c>
      <c r="F4957" s="3">
        <v>3487</v>
      </c>
      <c r="G4957" s="3">
        <v>0</v>
      </c>
      <c r="H4957" s="2">
        <f t="shared" si="154"/>
        <v>3487</v>
      </c>
      <c r="I4957" t="str">
        <f t="shared" si="155"/>
        <v>Nip7_3487</v>
      </c>
      <c r="J4957" s="3">
        <v>0</v>
      </c>
      <c r="K4957" s="3">
        <v>0</v>
      </c>
      <c r="L4957" s="3">
        <v>0</v>
      </c>
      <c r="M4957" s="3">
        <v>3487</v>
      </c>
      <c r="N4957" s="3">
        <v>0</v>
      </c>
    </row>
    <row r="4958" spans="1:14" x14ac:dyDescent="0.2">
      <c r="A4958" s="5" t="str">
        <f>HYPERLINK("http://www.ncbi.nlm.nih.gov/protein/49169845","Nipbl")</f>
        <v>Nipbl</v>
      </c>
      <c r="B4958" s="4"/>
      <c r="C4958" s="3">
        <v>1483</v>
      </c>
      <c r="D4958" s="3">
        <v>0</v>
      </c>
      <c r="E4958" s="3">
        <v>0</v>
      </c>
      <c r="F4958" s="3">
        <v>0</v>
      </c>
      <c r="G4958" s="3">
        <v>0</v>
      </c>
      <c r="H4958" s="2">
        <f t="shared" si="154"/>
        <v>1483</v>
      </c>
      <c r="I4958" t="str">
        <f t="shared" si="155"/>
        <v>Nipbl_1483</v>
      </c>
      <c r="J4958" s="3">
        <v>1483</v>
      </c>
      <c r="K4958" s="3">
        <v>0</v>
      </c>
      <c r="L4958" s="3">
        <v>0</v>
      </c>
      <c r="M4958" s="3">
        <v>0</v>
      </c>
      <c r="N4958" s="3">
        <v>0</v>
      </c>
    </row>
    <row r="4959" spans="1:14" x14ac:dyDescent="0.2">
      <c r="A4959" s="5" t="str">
        <f>HYPERLINK("http://www.ncbi.nlm.nih.gov/protein/51371928","Nipbl")</f>
        <v>Nipbl</v>
      </c>
      <c r="B4959" s="4"/>
      <c r="C4959" s="3">
        <v>1483</v>
      </c>
      <c r="D4959" s="3">
        <v>0</v>
      </c>
      <c r="E4959" s="3">
        <v>0</v>
      </c>
      <c r="F4959" s="3">
        <v>0</v>
      </c>
      <c r="G4959" s="3">
        <v>0</v>
      </c>
      <c r="H4959" s="2">
        <f t="shared" si="154"/>
        <v>1483</v>
      </c>
      <c r="I4959" t="str">
        <f t="shared" si="155"/>
        <v>Nipbl_1483</v>
      </c>
      <c r="J4959" s="3">
        <v>1483</v>
      </c>
      <c r="K4959" s="3">
        <v>0</v>
      </c>
      <c r="L4959" s="3">
        <v>0</v>
      </c>
      <c r="M4959" s="3">
        <v>0</v>
      </c>
      <c r="N4959" s="3">
        <v>0</v>
      </c>
    </row>
    <row r="4960" spans="1:14" x14ac:dyDescent="0.2">
      <c r="A4960" s="5" t="str">
        <f>HYPERLINK("http://www.ncbi.nlm.nih.gov/protein/6679066","Nipsnap1")</f>
        <v>Nipsnap1</v>
      </c>
      <c r="B4960" s="4"/>
      <c r="C4960" s="3">
        <v>1428</v>
      </c>
      <c r="D4960" s="3">
        <v>5323</v>
      </c>
      <c r="E4960" s="3">
        <v>0</v>
      </c>
      <c r="F4960" s="3">
        <v>377</v>
      </c>
      <c r="G4960" s="3">
        <v>0</v>
      </c>
      <c r="H4960" s="2">
        <f t="shared" si="154"/>
        <v>7128</v>
      </c>
      <c r="I4960" t="str">
        <f t="shared" si="155"/>
        <v>Nipsnap1_7128</v>
      </c>
      <c r="J4960" s="3">
        <v>1428</v>
      </c>
      <c r="K4960" s="3">
        <v>5323</v>
      </c>
      <c r="L4960" s="3">
        <v>0</v>
      </c>
      <c r="M4960" s="3">
        <v>377</v>
      </c>
      <c r="N4960" s="3">
        <v>0</v>
      </c>
    </row>
    <row r="4961" spans="1:14" x14ac:dyDescent="0.2">
      <c r="A4961" s="5" t="str">
        <f>HYPERLINK("http://www.ncbi.nlm.nih.gov/protein/13385084","Nipsnap3b")</f>
        <v>Nipsnap3b</v>
      </c>
      <c r="B4961" s="4"/>
      <c r="C4961" s="3">
        <v>0</v>
      </c>
      <c r="D4961" s="3">
        <v>1056</v>
      </c>
      <c r="E4961" s="3">
        <v>0</v>
      </c>
      <c r="F4961" s="3">
        <v>0</v>
      </c>
      <c r="G4961" s="3">
        <v>0</v>
      </c>
      <c r="H4961" s="2">
        <f t="shared" si="154"/>
        <v>1056</v>
      </c>
      <c r="I4961" t="str">
        <f t="shared" si="155"/>
        <v>Nipsnap3b_1056</v>
      </c>
      <c r="J4961" s="3">
        <v>0</v>
      </c>
      <c r="K4961" s="3">
        <v>1056</v>
      </c>
      <c r="L4961" s="3">
        <v>0</v>
      </c>
      <c r="M4961" s="3">
        <v>0</v>
      </c>
      <c r="N4961" s="3">
        <v>0</v>
      </c>
    </row>
    <row r="4962" spans="1:14" x14ac:dyDescent="0.2">
      <c r="A4962" s="5" t="str">
        <f>HYPERLINK("http://www.ncbi.nlm.nih.gov/protein/114158672","Nisch")</f>
        <v>Nisch</v>
      </c>
      <c r="B4962" s="4"/>
      <c r="C4962" s="3">
        <v>0</v>
      </c>
      <c r="D4962" s="3">
        <v>699</v>
      </c>
      <c r="E4962" s="3">
        <v>32</v>
      </c>
      <c r="F4962" s="3">
        <v>0</v>
      </c>
      <c r="G4962" s="3">
        <v>17189</v>
      </c>
      <c r="H4962" s="2">
        <f t="shared" si="154"/>
        <v>17920</v>
      </c>
      <c r="I4962" t="str">
        <f t="shared" si="155"/>
        <v>Nisch_17920</v>
      </c>
      <c r="J4962" s="3">
        <v>0</v>
      </c>
      <c r="K4962" s="3">
        <v>699</v>
      </c>
      <c r="L4962" s="3">
        <v>32</v>
      </c>
      <c r="M4962" s="3">
        <v>0</v>
      </c>
      <c r="N4962" s="3">
        <v>17189</v>
      </c>
    </row>
    <row r="4963" spans="1:14" x14ac:dyDescent="0.2">
      <c r="A4963" s="5" t="str">
        <f>HYPERLINK("http://www.ncbi.nlm.nih.gov/protein/336088630","Nit1")</f>
        <v>Nit1</v>
      </c>
      <c r="B4963" s="4"/>
      <c r="C4963" s="3">
        <v>0</v>
      </c>
      <c r="D4963" s="3">
        <v>1184</v>
      </c>
      <c r="E4963" s="3">
        <v>618</v>
      </c>
      <c r="F4963" s="3">
        <v>3684</v>
      </c>
      <c r="G4963" s="3">
        <v>31775</v>
      </c>
      <c r="H4963" s="2">
        <f t="shared" si="154"/>
        <v>37261</v>
      </c>
      <c r="I4963" t="str">
        <f t="shared" si="155"/>
        <v>Nit1_37261</v>
      </c>
      <c r="J4963" s="3">
        <v>0</v>
      </c>
      <c r="K4963" s="3">
        <v>1184</v>
      </c>
      <c r="L4963" s="3">
        <v>618</v>
      </c>
      <c r="M4963" s="3">
        <v>3684</v>
      </c>
      <c r="N4963" s="3">
        <v>31775</v>
      </c>
    </row>
    <row r="4964" spans="1:14" x14ac:dyDescent="0.2">
      <c r="A4964" s="5" t="str">
        <f>HYPERLINK("http://www.ncbi.nlm.nih.gov/protein/6754856","Nit1")</f>
        <v>Nit1</v>
      </c>
      <c r="B4964" s="4"/>
      <c r="C4964" s="3">
        <v>0</v>
      </c>
      <c r="D4964" s="3">
        <v>1184</v>
      </c>
      <c r="E4964" s="3">
        <v>618</v>
      </c>
      <c r="F4964" s="3">
        <v>3684</v>
      </c>
      <c r="G4964" s="3">
        <v>31775</v>
      </c>
      <c r="H4964" s="2">
        <f t="shared" si="154"/>
        <v>37261</v>
      </c>
      <c r="I4964" t="str">
        <f t="shared" si="155"/>
        <v>Nit1_37261</v>
      </c>
      <c r="J4964" s="3">
        <v>0</v>
      </c>
      <c r="K4964" s="3">
        <v>1184</v>
      </c>
      <c r="L4964" s="3">
        <v>618</v>
      </c>
      <c r="M4964" s="3">
        <v>3684</v>
      </c>
      <c r="N4964" s="3">
        <v>31775</v>
      </c>
    </row>
    <row r="4965" spans="1:14" x14ac:dyDescent="0.2">
      <c r="A4965" s="5" t="str">
        <f>HYPERLINK("http://www.ncbi.nlm.nih.gov/protein/12963555","Nit2")</f>
        <v>Nit2</v>
      </c>
      <c r="B4965" s="4"/>
      <c r="C4965" s="3">
        <v>0</v>
      </c>
      <c r="D4965" s="3">
        <v>2960</v>
      </c>
      <c r="E4965" s="3">
        <v>2114</v>
      </c>
      <c r="F4965" s="3">
        <v>409</v>
      </c>
      <c r="G4965" s="3">
        <v>31925</v>
      </c>
      <c r="H4965" s="2">
        <f t="shared" si="154"/>
        <v>37408</v>
      </c>
      <c r="I4965" t="str">
        <f t="shared" si="155"/>
        <v>Nit2_37408</v>
      </c>
      <c r="J4965" s="3">
        <v>0</v>
      </c>
      <c r="K4965" s="3">
        <v>2960</v>
      </c>
      <c r="L4965" s="3">
        <v>2114</v>
      </c>
      <c r="M4965" s="3">
        <v>409</v>
      </c>
      <c r="N4965" s="3">
        <v>31925</v>
      </c>
    </row>
    <row r="4966" spans="1:14" x14ac:dyDescent="0.2">
      <c r="A4966" s="5" t="str">
        <f>HYPERLINK("http://www.ncbi.nlm.nih.gov/protein/257153408","Nkap")</f>
        <v>Nkap</v>
      </c>
      <c r="B4966" s="4"/>
      <c r="C4966" s="3">
        <v>0</v>
      </c>
      <c r="D4966" s="3">
        <v>150</v>
      </c>
      <c r="E4966" s="3">
        <v>183</v>
      </c>
      <c r="F4966" s="3">
        <v>638</v>
      </c>
      <c r="G4966" s="3">
        <v>0</v>
      </c>
      <c r="H4966" s="2">
        <f t="shared" si="154"/>
        <v>971</v>
      </c>
      <c r="I4966" t="str">
        <f t="shared" si="155"/>
        <v>Nkap_971</v>
      </c>
      <c r="J4966" s="3">
        <v>0</v>
      </c>
      <c r="K4966" s="3">
        <v>150</v>
      </c>
      <c r="L4966" s="3">
        <v>183</v>
      </c>
      <c r="M4966" s="3">
        <v>638</v>
      </c>
      <c r="N4966" s="3">
        <v>0</v>
      </c>
    </row>
    <row r="4967" spans="1:14" x14ac:dyDescent="0.2">
      <c r="A4967" s="5" t="str">
        <f>HYPERLINK("http://www.ncbi.nlm.nih.gov/protein/254553396","Nkapl")</f>
        <v>Nkapl</v>
      </c>
      <c r="B4967" s="4"/>
      <c r="C4967" s="3">
        <v>0</v>
      </c>
      <c r="D4967" s="3">
        <v>150</v>
      </c>
      <c r="E4967" s="3">
        <v>183</v>
      </c>
      <c r="F4967" s="3">
        <v>638</v>
      </c>
      <c r="G4967" s="3">
        <v>0</v>
      </c>
      <c r="H4967" s="2">
        <f t="shared" si="154"/>
        <v>971</v>
      </c>
      <c r="I4967" t="str">
        <f t="shared" si="155"/>
        <v>Nkapl_971</v>
      </c>
      <c r="J4967" s="3">
        <v>0</v>
      </c>
      <c r="K4967" s="3">
        <v>150</v>
      </c>
      <c r="L4967" s="3">
        <v>183</v>
      </c>
      <c r="M4967" s="3">
        <v>638</v>
      </c>
      <c r="N4967" s="3">
        <v>0</v>
      </c>
    </row>
    <row r="4968" spans="1:14" x14ac:dyDescent="0.2">
      <c r="A4968" s="5" t="str">
        <f>HYPERLINK("http://www.ncbi.nlm.nih.gov/protein/21312616","Nkiras2")</f>
        <v>Nkiras2</v>
      </c>
      <c r="B4968" s="4"/>
      <c r="C4968" s="3">
        <v>0</v>
      </c>
      <c r="D4968" s="3">
        <v>190</v>
      </c>
      <c r="E4968" s="3">
        <v>1162</v>
      </c>
      <c r="F4968" s="3">
        <v>2578</v>
      </c>
      <c r="G4968" s="3">
        <v>1124</v>
      </c>
      <c r="H4968" s="2">
        <f t="shared" si="154"/>
        <v>5054</v>
      </c>
      <c r="I4968" t="str">
        <f t="shared" si="155"/>
        <v>Nkiras2_5054</v>
      </c>
      <c r="J4968" s="3">
        <v>0</v>
      </c>
      <c r="K4968" s="3">
        <v>190</v>
      </c>
      <c r="L4968" s="3">
        <v>1162</v>
      </c>
      <c r="M4968" s="3">
        <v>2578</v>
      </c>
      <c r="N4968" s="3">
        <v>1124</v>
      </c>
    </row>
    <row r="4969" spans="1:14" x14ac:dyDescent="0.2">
      <c r="A4969" s="5" t="str">
        <f>HYPERLINK("http://www.ncbi.nlm.nih.gov/protein/62526130","Nktr")</f>
        <v>Nktr</v>
      </c>
      <c r="B4969" s="4"/>
      <c r="C4969" s="3">
        <v>0</v>
      </c>
      <c r="D4969" s="3">
        <v>0</v>
      </c>
      <c r="E4969" s="3">
        <v>22</v>
      </c>
      <c r="F4969" s="3">
        <v>990</v>
      </c>
      <c r="G4969" s="3">
        <v>0</v>
      </c>
      <c r="H4969" s="2">
        <f t="shared" si="154"/>
        <v>1012</v>
      </c>
      <c r="I4969" t="str">
        <f t="shared" si="155"/>
        <v>Nktr_1012</v>
      </c>
      <c r="J4969" s="3">
        <v>0</v>
      </c>
      <c r="K4969" s="3">
        <v>0</v>
      </c>
      <c r="L4969" s="3">
        <v>22</v>
      </c>
      <c r="M4969" s="3">
        <v>990</v>
      </c>
      <c r="N4969" s="3">
        <v>0</v>
      </c>
    </row>
    <row r="4970" spans="1:14" x14ac:dyDescent="0.2">
      <c r="A4970" s="5" t="str">
        <f>HYPERLINK("http://www.ncbi.nlm.nih.gov/protein/21450629","Nkx6-1")</f>
        <v>Nkx6-1</v>
      </c>
      <c r="B4970" s="4"/>
      <c r="C4970" s="3">
        <v>0</v>
      </c>
      <c r="D4970" s="3">
        <v>7718</v>
      </c>
      <c r="E4970" s="3">
        <v>0</v>
      </c>
      <c r="F4970" s="3">
        <v>0</v>
      </c>
      <c r="G4970" s="3">
        <v>0</v>
      </c>
      <c r="H4970" s="2">
        <f t="shared" si="154"/>
        <v>7718</v>
      </c>
      <c r="I4970" t="str">
        <f t="shared" si="155"/>
        <v>Nkx6-1_7718</v>
      </c>
      <c r="J4970" s="3">
        <v>0</v>
      </c>
      <c r="K4970" s="3">
        <v>7718</v>
      </c>
      <c r="L4970" s="3">
        <v>0</v>
      </c>
      <c r="M4970" s="3">
        <v>0</v>
      </c>
      <c r="N4970" s="3">
        <v>0</v>
      </c>
    </row>
    <row r="4971" spans="1:14" x14ac:dyDescent="0.2">
      <c r="A4971" s="5" t="str">
        <f>HYPERLINK("http://www.ncbi.nlm.nih.gov/protein/238624156","Nle1")</f>
        <v>Nle1</v>
      </c>
      <c r="B4971" s="4"/>
      <c r="C4971" s="3">
        <v>0</v>
      </c>
      <c r="D4971" s="3">
        <v>0</v>
      </c>
      <c r="E4971" s="3">
        <v>83</v>
      </c>
      <c r="F4971" s="3">
        <v>0</v>
      </c>
      <c r="G4971" s="3">
        <v>2731</v>
      </c>
      <c r="H4971" s="2">
        <f t="shared" si="154"/>
        <v>2814</v>
      </c>
      <c r="I4971" t="str">
        <f t="shared" si="155"/>
        <v>Nle1_2814</v>
      </c>
      <c r="J4971" s="3">
        <v>0</v>
      </c>
      <c r="K4971" s="3">
        <v>0</v>
      </c>
      <c r="L4971" s="3">
        <v>83</v>
      </c>
      <c r="M4971" s="3">
        <v>0</v>
      </c>
      <c r="N4971" s="3">
        <v>2731</v>
      </c>
    </row>
    <row r="4972" spans="1:14" x14ac:dyDescent="0.2">
      <c r="A4972" s="5" t="str">
        <f>HYPERLINK("http://www.ncbi.nlm.nih.gov/protein/149408132","Nlk")</f>
        <v>Nlk</v>
      </c>
      <c r="B4972" s="4"/>
      <c r="C4972" s="3">
        <v>0</v>
      </c>
      <c r="D4972" s="3">
        <v>202</v>
      </c>
      <c r="E4972" s="3">
        <v>6785</v>
      </c>
      <c r="F4972" s="3">
        <v>36254</v>
      </c>
      <c r="G4972" s="3">
        <v>73039</v>
      </c>
      <c r="H4972" s="2">
        <f t="shared" si="154"/>
        <v>116280</v>
      </c>
      <c r="I4972" t="str">
        <f t="shared" si="155"/>
        <v>Nlk_116280</v>
      </c>
      <c r="J4972" s="3">
        <v>0</v>
      </c>
      <c r="K4972" s="3">
        <v>202</v>
      </c>
      <c r="L4972" s="3">
        <v>6785</v>
      </c>
      <c r="M4972" s="3">
        <v>36254</v>
      </c>
      <c r="N4972" s="3">
        <v>73039</v>
      </c>
    </row>
    <row r="4973" spans="1:14" x14ac:dyDescent="0.2">
      <c r="A4973" s="5" t="str">
        <f>HYPERLINK("http://www.ncbi.nlm.nih.gov/protein/28077051","Nln")</f>
        <v>Nln</v>
      </c>
      <c r="B4973" s="4"/>
      <c r="C4973" s="3">
        <v>0</v>
      </c>
      <c r="D4973" s="3">
        <v>75</v>
      </c>
      <c r="E4973" s="3">
        <v>0</v>
      </c>
      <c r="F4973" s="3">
        <v>0</v>
      </c>
      <c r="G4973" s="3">
        <v>1071</v>
      </c>
      <c r="H4973" s="2">
        <f t="shared" si="154"/>
        <v>1146</v>
      </c>
      <c r="I4973" t="str">
        <f t="shared" si="155"/>
        <v>Nln_1146</v>
      </c>
      <c r="J4973" s="3">
        <v>0</v>
      </c>
      <c r="K4973" s="3">
        <v>75</v>
      </c>
      <c r="L4973" s="3">
        <v>0</v>
      </c>
      <c r="M4973" s="3">
        <v>0</v>
      </c>
      <c r="N4973" s="3">
        <v>1071</v>
      </c>
    </row>
    <row r="4974" spans="1:14" x14ac:dyDescent="0.2">
      <c r="A4974" s="5" t="str">
        <f>HYPERLINK("http://www.ncbi.nlm.nih.gov/protein/241666421","Nlrp1a")</f>
        <v>Nlrp1a</v>
      </c>
      <c r="B4974" s="4"/>
      <c r="C4974" s="3">
        <v>13327</v>
      </c>
      <c r="D4974" s="3">
        <v>1353</v>
      </c>
      <c r="E4974" s="3">
        <v>1652</v>
      </c>
      <c r="F4974" s="3">
        <v>3749</v>
      </c>
      <c r="G4974" s="3">
        <v>0</v>
      </c>
      <c r="H4974" s="2">
        <f t="shared" si="154"/>
        <v>20081</v>
      </c>
      <c r="I4974" t="str">
        <f t="shared" si="155"/>
        <v>Nlrp1a_20081</v>
      </c>
      <c r="J4974" s="3">
        <v>13327</v>
      </c>
      <c r="K4974" s="3">
        <v>1353</v>
      </c>
      <c r="L4974" s="3">
        <v>1652</v>
      </c>
      <c r="M4974" s="3">
        <v>3749</v>
      </c>
      <c r="N4974" s="3">
        <v>0</v>
      </c>
    </row>
    <row r="4975" spans="1:14" x14ac:dyDescent="0.2">
      <c r="A4975" s="5" t="str">
        <f>HYPERLINK("http://www.ncbi.nlm.nih.gov/protein/22003870","Nlrp3")</f>
        <v>Nlrp3</v>
      </c>
      <c r="B4975" s="4"/>
      <c r="C4975" s="3">
        <v>0</v>
      </c>
      <c r="D4975" s="3">
        <v>0</v>
      </c>
      <c r="E4975" s="3">
        <v>606</v>
      </c>
      <c r="F4975" s="3">
        <v>0</v>
      </c>
      <c r="G4975" s="3">
        <v>0</v>
      </c>
      <c r="H4975" s="2">
        <f t="shared" si="154"/>
        <v>606</v>
      </c>
      <c r="I4975" t="str">
        <f t="shared" si="155"/>
        <v>Nlrp3_606</v>
      </c>
      <c r="J4975" s="3">
        <v>0</v>
      </c>
      <c r="K4975" s="3">
        <v>0</v>
      </c>
      <c r="L4975" s="3">
        <v>606</v>
      </c>
      <c r="M4975" s="3">
        <v>0</v>
      </c>
      <c r="N4975" s="3">
        <v>0</v>
      </c>
    </row>
    <row r="4976" spans="1:14" x14ac:dyDescent="0.2">
      <c r="A4976" s="5" t="str">
        <f>HYPERLINK("http://www.ncbi.nlm.nih.gov/protein/7106379","Nlrp5")</f>
        <v>Nlrp5</v>
      </c>
      <c r="B4976" s="4"/>
      <c r="C4976" s="3">
        <v>0</v>
      </c>
      <c r="D4976" s="3">
        <v>0</v>
      </c>
      <c r="E4976" s="3">
        <v>0</v>
      </c>
      <c r="F4976" s="3">
        <v>16052</v>
      </c>
      <c r="G4976" s="3">
        <v>0</v>
      </c>
      <c r="H4976" s="2">
        <f t="shared" si="154"/>
        <v>16052</v>
      </c>
      <c r="I4976" t="str">
        <f t="shared" si="155"/>
        <v>Nlrp5_16052</v>
      </c>
      <c r="J4976" s="3">
        <v>0</v>
      </c>
      <c r="K4976" s="3">
        <v>0</v>
      </c>
      <c r="L4976" s="3">
        <v>0</v>
      </c>
      <c r="M4976" s="3">
        <v>16052</v>
      </c>
      <c r="N4976" s="3">
        <v>0</v>
      </c>
    </row>
    <row r="4977" spans="1:14" x14ac:dyDescent="0.2">
      <c r="A4977" s="5" t="str">
        <f>HYPERLINK("http://www.ncbi.nlm.nih.gov/protein/85362740","Nlrp5")</f>
        <v>Nlrp5</v>
      </c>
      <c r="B4977" s="4"/>
      <c r="C4977" s="3">
        <v>0</v>
      </c>
      <c r="D4977" s="3">
        <v>0</v>
      </c>
      <c r="E4977" s="3">
        <v>0</v>
      </c>
      <c r="F4977" s="3">
        <v>16052</v>
      </c>
      <c r="G4977" s="3">
        <v>0</v>
      </c>
      <c r="H4977" s="2">
        <f t="shared" si="154"/>
        <v>16052</v>
      </c>
      <c r="I4977" t="str">
        <f t="shared" si="155"/>
        <v>Nlrp5_16052</v>
      </c>
      <c r="J4977" s="3">
        <v>0</v>
      </c>
      <c r="K4977" s="3">
        <v>0</v>
      </c>
      <c r="L4977" s="3">
        <v>0</v>
      </c>
      <c r="M4977" s="3">
        <v>16052</v>
      </c>
      <c r="N4977" s="3">
        <v>0</v>
      </c>
    </row>
    <row r="4978" spans="1:14" x14ac:dyDescent="0.2">
      <c r="A4978" s="5" t="str">
        <f>HYPERLINK("http://www.ncbi.nlm.nih.gov/protein/37700232","Nme1")</f>
        <v>Nme1</v>
      </c>
      <c r="B4978" s="4"/>
      <c r="C4978" s="3">
        <v>11844</v>
      </c>
      <c r="D4978" s="3">
        <v>62598</v>
      </c>
      <c r="E4978" s="3">
        <v>71376</v>
      </c>
      <c r="F4978" s="3">
        <v>204664</v>
      </c>
      <c r="G4978" s="3">
        <v>609724</v>
      </c>
      <c r="H4978" s="2">
        <f t="shared" si="154"/>
        <v>960206</v>
      </c>
      <c r="I4978" t="str">
        <f t="shared" si="155"/>
        <v>Nme1_960206</v>
      </c>
      <c r="J4978" s="3">
        <v>11844</v>
      </c>
      <c r="K4978" s="3">
        <v>62598</v>
      </c>
      <c r="L4978" s="3">
        <v>71376</v>
      </c>
      <c r="M4978" s="3">
        <v>204664</v>
      </c>
      <c r="N4978" s="3">
        <v>609724</v>
      </c>
    </row>
    <row r="4979" spans="1:14" x14ac:dyDescent="0.2">
      <c r="A4979" s="5" t="str">
        <f>HYPERLINK("http://www.ncbi.nlm.nih.gov/protein/6679078","Nme2")</f>
        <v>Nme2</v>
      </c>
      <c r="B4979" s="4"/>
      <c r="C4979" s="3">
        <v>51458</v>
      </c>
      <c r="D4979" s="3">
        <v>53138</v>
      </c>
      <c r="E4979" s="3">
        <v>87392</v>
      </c>
      <c r="F4979" s="3">
        <v>226961</v>
      </c>
      <c r="G4979" s="3">
        <v>715149</v>
      </c>
      <c r="H4979" s="2">
        <f t="shared" si="154"/>
        <v>1134098</v>
      </c>
      <c r="I4979" t="str">
        <f t="shared" si="155"/>
        <v>Nme2_1134098</v>
      </c>
      <c r="J4979" s="3">
        <v>51458</v>
      </c>
      <c r="K4979" s="3">
        <v>53138</v>
      </c>
      <c r="L4979" s="3">
        <v>87392</v>
      </c>
      <c r="M4979" s="3">
        <v>226961</v>
      </c>
      <c r="N4979" s="3">
        <v>715149</v>
      </c>
    </row>
    <row r="4980" spans="1:14" x14ac:dyDescent="0.2">
      <c r="A4980" s="5" t="str">
        <f>HYPERLINK("http://www.ncbi.nlm.nih.gov/protein/255308888","Nme3")</f>
        <v>Nme3</v>
      </c>
      <c r="B4980" s="4"/>
      <c r="C4980" s="3">
        <v>4210</v>
      </c>
      <c r="D4980" s="3">
        <v>4355</v>
      </c>
      <c r="E4980" s="3">
        <v>755</v>
      </c>
      <c r="F4980" s="3">
        <v>917</v>
      </c>
      <c r="G4980" s="3">
        <v>910</v>
      </c>
      <c r="H4980" s="2">
        <f t="shared" si="154"/>
        <v>11147</v>
      </c>
      <c r="I4980" t="str">
        <f t="shared" si="155"/>
        <v>Nme3_11147</v>
      </c>
      <c r="J4980" s="3">
        <v>4210</v>
      </c>
      <c r="K4980" s="3">
        <v>4355</v>
      </c>
      <c r="L4980" s="3">
        <v>755</v>
      </c>
      <c r="M4980" s="3">
        <v>917</v>
      </c>
      <c r="N4980" s="3">
        <v>910</v>
      </c>
    </row>
    <row r="4981" spans="1:14" x14ac:dyDescent="0.2">
      <c r="A4981" s="5" t="str">
        <f>HYPERLINK("http://www.ncbi.nlm.nih.gov/protein/9055290","Nme6")</f>
        <v>Nme6</v>
      </c>
      <c r="B4981" s="4"/>
      <c r="C4981" s="3">
        <v>0</v>
      </c>
      <c r="D4981" s="3">
        <v>184</v>
      </c>
      <c r="E4981" s="3">
        <v>0</v>
      </c>
      <c r="F4981" s="3">
        <v>0</v>
      </c>
      <c r="G4981" s="3">
        <v>0</v>
      </c>
      <c r="H4981" s="2">
        <f t="shared" si="154"/>
        <v>184</v>
      </c>
      <c r="I4981" t="str">
        <f t="shared" si="155"/>
        <v>Nme6_184</v>
      </c>
      <c r="J4981" s="3">
        <v>0</v>
      </c>
      <c r="K4981" s="3">
        <v>184</v>
      </c>
      <c r="L4981" s="3">
        <v>0</v>
      </c>
      <c r="M4981" s="3">
        <v>0</v>
      </c>
      <c r="N4981" s="3">
        <v>0</v>
      </c>
    </row>
    <row r="4982" spans="1:14" x14ac:dyDescent="0.2">
      <c r="A4982" s="5" t="str">
        <f>HYPERLINK("http://www.ncbi.nlm.nih.gov/protein/167000069","Nme8")</f>
        <v>Nme8</v>
      </c>
      <c r="B4982" s="4"/>
      <c r="C4982" s="3">
        <v>0</v>
      </c>
      <c r="D4982" s="3">
        <v>152</v>
      </c>
      <c r="E4982" s="3">
        <v>0</v>
      </c>
      <c r="F4982" s="3">
        <v>8</v>
      </c>
      <c r="G4982" s="3">
        <v>0</v>
      </c>
      <c r="H4982" s="2">
        <f t="shared" si="154"/>
        <v>160</v>
      </c>
      <c r="I4982" t="str">
        <f t="shared" si="155"/>
        <v>Nme8_160</v>
      </c>
      <c r="J4982" s="3">
        <v>0</v>
      </c>
      <c r="K4982" s="3">
        <v>152</v>
      </c>
      <c r="L4982" s="3">
        <v>0</v>
      </c>
      <c r="M4982" s="3">
        <v>8</v>
      </c>
      <c r="N4982" s="3">
        <v>0</v>
      </c>
    </row>
    <row r="4983" spans="1:14" x14ac:dyDescent="0.2">
      <c r="A4983" s="5" t="str">
        <f>HYPERLINK("http://www.ncbi.nlm.nih.gov/protein/268836142","Nme8")</f>
        <v>Nme8</v>
      </c>
      <c r="B4983" s="4"/>
      <c r="C4983" s="3">
        <v>0</v>
      </c>
      <c r="D4983" s="3">
        <v>152</v>
      </c>
      <c r="E4983" s="3">
        <v>0</v>
      </c>
      <c r="F4983" s="3">
        <v>8</v>
      </c>
      <c r="G4983" s="3">
        <v>0</v>
      </c>
      <c r="H4983" s="2">
        <f t="shared" si="154"/>
        <v>160</v>
      </c>
      <c r="I4983" t="str">
        <f t="shared" si="155"/>
        <v>Nme8_160</v>
      </c>
      <c r="J4983" s="3">
        <v>0</v>
      </c>
      <c r="K4983" s="3">
        <v>152</v>
      </c>
      <c r="L4983" s="3">
        <v>0</v>
      </c>
      <c r="M4983" s="3">
        <v>8</v>
      </c>
      <c r="N4983" s="3">
        <v>0</v>
      </c>
    </row>
    <row r="4984" spans="1:14" x14ac:dyDescent="0.2">
      <c r="A4984" s="5" t="str">
        <f>HYPERLINK("http://www.ncbi.nlm.nih.gov/protein/33469125","Nmi")</f>
        <v>Nmi</v>
      </c>
      <c r="B4984" s="4"/>
      <c r="C4984" s="3">
        <v>0</v>
      </c>
      <c r="D4984" s="3">
        <v>21</v>
      </c>
      <c r="E4984" s="3">
        <v>1632</v>
      </c>
      <c r="F4984" s="3">
        <v>10592</v>
      </c>
      <c r="G4984" s="3">
        <v>20145</v>
      </c>
      <c r="H4984" s="2">
        <f t="shared" si="154"/>
        <v>32390</v>
      </c>
      <c r="I4984" t="str">
        <f t="shared" si="155"/>
        <v>Nmi_32390</v>
      </c>
      <c r="J4984" s="3">
        <v>0</v>
      </c>
      <c r="K4984" s="3">
        <v>21</v>
      </c>
      <c r="L4984" s="3">
        <v>1632</v>
      </c>
      <c r="M4984" s="3">
        <v>10592</v>
      </c>
      <c r="N4984" s="3">
        <v>20145</v>
      </c>
    </row>
    <row r="4985" spans="1:14" x14ac:dyDescent="0.2">
      <c r="A4985" s="5" t="str">
        <f>HYPERLINK("http://www.ncbi.nlm.nih.gov/protein/57527870","Nmnat1")</f>
        <v>Nmnat1</v>
      </c>
      <c r="B4985" s="4"/>
      <c r="C4985" s="3">
        <v>0</v>
      </c>
      <c r="D4985" s="3">
        <v>81</v>
      </c>
      <c r="E4985" s="3">
        <v>1010</v>
      </c>
      <c r="F4985" s="3">
        <v>589</v>
      </c>
      <c r="G4985" s="3">
        <v>0</v>
      </c>
      <c r="H4985" s="2">
        <f t="shared" si="154"/>
        <v>1680</v>
      </c>
      <c r="I4985" t="str">
        <f t="shared" si="155"/>
        <v>Nmnat1_1680</v>
      </c>
      <c r="J4985" s="3">
        <v>0</v>
      </c>
      <c r="K4985" s="3">
        <v>81</v>
      </c>
      <c r="L4985" s="3">
        <v>1010</v>
      </c>
      <c r="M4985" s="3">
        <v>589</v>
      </c>
      <c r="N4985" s="3">
        <v>0</v>
      </c>
    </row>
    <row r="4986" spans="1:14" x14ac:dyDescent="0.2">
      <c r="A4986" s="5" t="str">
        <f>HYPERLINK("http://www.ncbi.nlm.nih.gov/protein/21362329","Nmnat3")</f>
        <v>Nmnat3</v>
      </c>
      <c r="B4986" s="4"/>
      <c r="C4986" s="3">
        <v>0</v>
      </c>
      <c r="D4986" s="3">
        <v>1889</v>
      </c>
      <c r="E4986" s="3">
        <v>10</v>
      </c>
      <c r="F4986" s="3">
        <v>0</v>
      </c>
      <c r="G4986" s="3">
        <v>0</v>
      </c>
      <c r="H4986" s="2">
        <f t="shared" si="154"/>
        <v>1899</v>
      </c>
      <c r="I4986" t="str">
        <f t="shared" si="155"/>
        <v>Nmnat3_1899</v>
      </c>
      <c r="J4986" s="3">
        <v>0</v>
      </c>
      <c r="K4986" s="3">
        <v>1889</v>
      </c>
      <c r="L4986" s="3">
        <v>10</v>
      </c>
      <c r="M4986" s="3">
        <v>0</v>
      </c>
      <c r="N4986" s="3">
        <v>0</v>
      </c>
    </row>
    <row r="4987" spans="1:14" x14ac:dyDescent="0.2">
      <c r="A4987" s="5" t="str">
        <f>HYPERLINK("http://www.ncbi.nlm.nih.gov/protein/24431937","Nmral1")</f>
        <v>Nmral1</v>
      </c>
      <c r="B4987" s="4"/>
      <c r="C4987" s="3">
        <v>0</v>
      </c>
      <c r="D4987" s="3">
        <v>589</v>
      </c>
      <c r="E4987" s="3">
        <v>269</v>
      </c>
      <c r="F4987" s="3">
        <v>123</v>
      </c>
      <c r="G4987" s="3">
        <v>43738</v>
      </c>
      <c r="H4987" s="2">
        <f t="shared" si="154"/>
        <v>44719</v>
      </c>
      <c r="I4987" t="str">
        <f t="shared" si="155"/>
        <v>Nmral1_44719</v>
      </c>
      <c r="J4987" s="3">
        <v>0</v>
      </c>
      <c r="K4987" s="3">
        <v>589</v>
      </c>
      <c r="L4987" s="3">
        <v>269</v>
      </c>
      <c r="M4987" s="3">
        <v>123</v>
      </c>
      <c r="N4987" s="3">
        <v>43738</v>
      </c>
    </row>
    <row r="4988" spans="1:14" x14ac:dyDescent="0.2">
      <c r="A4988" s="5" t="str">
        <f>HYPERLINK("http://www.ncbi.nlm.nih.gov/protein/21703978","Nmrk1")</f>
        <v>Nmrk1</v>
      </c>
      <c r="B4988" s="4"/>
      <c r="C4988" s="3">
        <v>0</v>
      </c>
      <c r="D4988" s="3">
        <v>123</v>
      </c>
      <c r="E4988" s="3">
        <v>54</v>
      </c>
      <c r="F4988" s="3">
        <v>0</v>
      </c>
      <c r="G4988" s="3">
        <v>3973</v>
      </c>
      <c r="H4988" s="2">
        <f t="shared" si="154"/>
        <v>4150</v>
      </c>
      <c r="I4988" t="str">
        <f t="shared" si="155"/>
        <v>Nmrk1_4150</v>
      </c>
      <c r="J4988" s="3">
        <v>0</v>
      </c>
      <c r="K4988" s="3">
        <v>123</v>
      </c>
      <c r="L4988" s="3">
        <v>54</v>
      </c>
      <c r="M4988" s="3">
        <v>0</v>
      </c>
      <c r="N4988" s="3">
        <v>3973</v>
      </c>
    </row>
    <row r="4989" spans="1:14" x14ac:dyDescent="0.2">
      <c r="A4989" s="5" t="str">
        <f>HYPERLINK("http://www.ncbi.nlm.nih.gov/protein/6679082","Nmt1")</f>
        <v>Nmt1</v>
      </c>
      <c r="B4989" s="4"/>
      <c r="C4989" s="3">
        <v>6938</v>
      </c>
      <c r="D4989" s="3">
        <v>9308</v>
      </c>
      <c r="E4989" s="3">
        <v>66489</v>
      </c>
      <c r="F4989" s="3">
        <v>81700</v>
      </c>
      <c r="G4989" s="3">
        <v>96</v>
      </c>
      <c r="H4989" s="2">
        <f t="shared" si="154"/>
        <v>164531</v>
      </c>
      <c r="I4989" t="str">
        <f t="shared" si="155"/>
        <v>Nmt1_164531</v>
      </c>
      <c r="J4989" s="3">
        <v>6938</v>
      </c>
      <c r="K4989" s="3">
        <v>9308</v>
      </c>
      <c r="L4989" s="3">
        <v>66489</v>
      </c>
      <c r="M4989" s="3">
        <v>81700</v>
      </c>
      <c r="N4989" s="3">
        <v>96</v>
      </c>
    </row>
    <row r="4990" spans="1:14" x14ac:dyDescent="0.2">
      <c r="A4990" s="5" t="str">
        <f>HYPERLINK("http://www.ncbi.nlm.nih.gov/protein/6679084","Nmt2")</f>
        <v>Nmt2</v>
      </c>
      <c r="B4990" s="4"/>
      <c r="C4990" s="3">
        <v>6023</v>
      </c>
      <c r="D4990" s="3">
        <v>1280</v>
      </c>
      <c r="E4990" s="3">
        <v>26932</v>
      </c>
      <c r="F4990" s="3">
        <v>39806</v>
      </c>
      <c r="G4990" s="3">
        <v>0</v>
      </c>
      <c r="H4990" s="2">
        <f t="shared" si="154"/>
        <v>74041</v>
      </c>
      <c r="I4990" t="str">
        <f t="shared" si="155"/>
        <v>Nmt2_74041</v>
      </c>
      <c r="J4990" s="3">
        <v>6023</v>
      </c>
      <c r="K4990" s="3">
        <v>1280</v>
      </c>
      <c r="L4990" s="3">
        <v>26932</v>
      </c>
      <c r="M4990" s="3">
        <v>39806</v>
      </c>
      <c r="N4990" s="3">
        <v>0</v>
      </c>
    </row>
    <row r="4991" spans="1:14" x14ac:dyDescent="0.2">
      <c r="A4991" s="5" t="str">
        <f>HYPERLINK("http://www.ncbi.nlm.nih.gov/protein/9790049","Noa1")</f>
        <v>Noa1</v>
      </c>
      <c r="B4991" s="4"/>
      <c r="C4991" s="3">
        <v>0</v>
      </c>
      <c r="D4991" s="3">
        <v>357</v>
      </c>
      <c r="E4991" s="3">
        <v>0</v>
      </c>
      <c r="F4991" s="3">
        <v>0</v>
      </c>
      <c r="G4991" s="3">
        <v>0</v>
      </c>
      <c r="H4991" s="2">
        <f t="shared" si="154"/>
        <v>357</v>
      </c>
      <c r="I4991" t="str">
        <f t="shared" si="155"/>
        <v>Noa1_357</v>
      </c>
      <c r="J4991" s="3">
        <v>0</v>
      </c>
      <c r="K4991" s="3">
        <v>357</v>
      </c>
      <c r="L4991" s="3">
        <v>0</v>
      </c>
      <c r="M4991" s="3">
        <v>0</v>
      </c>
      <c r="N4991" s="3">
        <v>0</v>
      </c>
    </row>
    <row r="4992" spans="1:14" x14ac:dyDescent="0.2">
      <c r="A4992" s="5" t="str">
        <f>HYPERLINK("http://www.ncbi.nlm.nih.gov/protein/30794454","Nob1")</f>
        <v>Nob1</v>
      </c>
      <c r="B4992" s="4"/>
      <c r="C4992" s="3">
        <v>0</v>
      </c>
      <c r="D4992" s="3">
        <v>0</v>
      </c>
      <c r="E4992" s="3">
        <v>56</v>
      </c>
      <c r="F4992" s="3">
        <v>82</v>
      </c>
      <c r="G4992" s="3">
        <v>0</v>
      </c>
      <c r="H4992" s="2">
        <f t="shared" si="154"/>
        <v>138</v>
      </c>
      <c r="I4992" t="str">
        <f t="shared" si="155"/>
        <v>Nob1_138</v>
      </c>
      <c r="J4992" s="3">
        <v>0</v>
      </c>
      <c r="K4992" s="3">
        <v>0</v>
      </c>
      <c r="L4992" s="3">
        <v>56</v>
      </c>
      <c r="M4992" s="3">
        <v>82</v>
      </c>
      <c r="N4992" s="3">
        <v>0</v>
      </c>
    </row>
    <row r="4993" spans="1:14" x14ac:dyDescent="0.2">
      <c r="A4993" s="5" t="str">
        <f>HYPERLINK("http://www.ncbi.nlm.nih.gov/protein/124301227","Noc2l")</f>
        <v>Noc2l</v>
      </c>
      <c r="B4993" s="4"/>
      <c r="C4993" s="3">
        <v>0</v>
      </c>
      <c r="D4993" s="3">
        <v>0</v>
      </c>
      <c r="E4993" s="3">
        <v>0</v>
      </c>
      <c r="F4993" s="3">
        <v>237</v>
      </c>
      <c r="G4993" s="3">
        <v>0</v>
      </c>
      <c r="H4993" s="2">
        <f t="shared" si="154"/>
        <v>237</v>
      </c>
      <c r="I4993" t="str">
        <f t="shared" si="155"/>
        <v>Noc2l_237</v>
      </c>
      <c r="J4993" s="3">
        <v>0</v>
      </c>
      <c r="K4993" s="3">
        <v>0</v>
      </c>
      <c r="L4993" s="3">
        <v>0</v>
      </c>
      <c r="M4993" s="3">
        <v>237</v>
      </c>
      <c r="N4993" s="3">
        <v>0</v>
      </c>
    </row>
    <row r="4994" spans="1:14" x14ac:dyDescent="0.2">
      <c r="A4994" s="5" t="str">
        <f>HYPERLINK("http://www.ncbi.nlm.nih.gov/protein/83977454","Nod2")</f>
        <v>Nod2</v>
      </c>
      <c r="B4994" s="4"/>
      <c r="C4994" s="3">
        <v>0</v>
      </c>
      <c r="D4994" s="3">
        <v>589</v>
      </c>
      <c r="E4994" s="3">
        <v>322</v>
      </c>
      <c r="F4994" s="3">
        <v>0</v>
      </c>
      <c r="G4994" s="3">
        <v>0</v>
      </c>
      <c r="H4994" s="2">
        <f t="shared" ref="H4994:H5057" si="156">SUM(C4994:G4994)</f>
        <v>911</v>
      </c>
      <c r="I4994" t="str">
        <f t="shared" ref="I4994:I5057" si="157">A4994&amp;"_"&amp;H4994</f>
        <v>Nod2_911</v>
      </c>
      <c r="J4994" s="3">
        <v>0</v>
      </c>
      <c r="K4994" s="3">
        <v>589</v>
      </c>
      <c r="L4994" s="3">
        <v>322</v>
      </c>
      <c r="M4994" s="3">
        <v>0</v>
      </c>
      <c r="N4994" s="3">
        <v>0</v>
      </c>
    </row>
    <row r="4995" spans="1:14" x14ac:dyDescent="0.2">
      <c r="A4995" s="5" t="str">
        <f>HYPERLINK("http://www.ncbi.nlm.nih.gov/protein/227430356","Nol9")</f>
        <v>Nol9</v>
      </c>
      <c r="B4995" s="4"/>
      <c r="C4995" s="3">
        <v>0</v>
      </c>
      <c r="D4995" s="3">
        <v>0</v>
      </c>
      <c r="E4995" s="3">
        <v>196</v>
      </c>
      <c r="F4995" s="3">
        <v>0</v>
      </c>
      <c r="G4995" s="3">
        <v>0</v>
      </c>
      <c r="H4995" s="2">
        <f t="shared" si="156"/>
        <v>196</v>
      </c>
      <c r="I4995" t="str">
        <f t="shared" si="157"/>
        <v>Nol9_196</v>
      </c>
      <c r="J4995" s="3">
        <v>0</v>
      </c>
      <c r="K4995" s="3">
        <v>0</v>
      </c>
      <c r="L4995" s="3">
        <v>196</v>
      </c>
      <c r="M4995" s="3">
        <v>0</v>
      </c>
      <c r="N4995" s="3">
        <v>0</v>
      </c>
    </row>
    <row r="4996" spans="1:14" x14ac:dyDescent="0.2">
      <c r="A4996" s="5" t="str">
        <f>HYPERLINK("http://www.ncbi.nlm.nih.gov/protein/227430358","Nol9")</f>
        <v>Nol9</v>
      </c>
      <c r="B4996" s="4"/>
      <c r="C4996" s="3">
        <v>0</v>
      </c>
      <c r="D4996" s="3">
        <v>0</v>
      </c>
      <c r="E4996" s="3">
        <v>196</v>
      </c>
      <c r="F4996" s="3">
        <v>0</v>
      </c>
      <c r="G4996" s="3">
        <v>0</v>
      </c>
      <c r="H4996" s="2">
        <f t="shared" si="156"/>
        <v>196</v>
      </c>
      <c r="I4996" t="str">
        <f t="shared" si="157"/>
        <v>Nol9_196</v>
      </c>
      <c r="J4996" s="3">
        <v>0</v>
      </c>
      <c r="K4996" s="3">
        <v>0</v>
      </c>
      <c r="L4996" s="3">
        <v>196</v>
      </c>
      <c r="M4996" s="3">
        <v>0</v>
      </c>
      <c r="N4996" s="3">
        <v>0</v>
      </c>
    </row>
    <row r="4997" spans="1:14" x14ac:dyDescent="0.2">
      <c r="A4997" s="5" t="str">
        <f>HYPERLINK("http://www.ncbi.nlm.nih.gov/protein/86198327","Nolc1")</f>
        <v>Nolc1</v>
      </c>
      <c r="B4997" s="4"/>
      <c r="C4997" s="3">
        <v>6242</v>
      </c>
      <c r="D4997" s="3">
        <v>795</v>
      </c>
      <c r="E4997" s="3">
        <v>146</v>
      </c>
      <c r="F4997" s="3">
        <v>0</v>
      </c>
      <c r="G4997" s="3">
        <v>0</v>
      </c>
      <c r="H4997" s="2">
        <f t="shared" si="156"/>
        <v>7183</v>
      </c>
      <c r="I4997" t="str">
        <f t="shared" si="157"/>
        <v>Nolc1_7183</v>
      </c>
      <c r="J4997" s="3">
        <v>6242</v>
      </c>
      <c r="K4997" s="3">
        <v>795</v>
      </c>
      <c r="L4997" s="3">
        <v>146</v>
      </c>
      <c r="M4997" s="3">
        <v>0</v>
      </c>
      <c r="N4997" s="3">
        <v>0</v>
      </c>
    </row>
    <row r="4998" spans="1:14" x14ac:dyDescent="0.2">
      <c r="A4998" s="5" t="str">
        <f>HYPERLINK("http://www.ncbi.nlm.nih.gov/protein/86198329","Nolc1")</f>
        <v>Nolc1</v>
      </c>
      <c r="B4998" s="4"/>
      <c r="C4998" s="3">
        <v>6242</v>
      </c>
      <c r="D4998" s="3">
        <v>795</v>
      </c>
      <c r="E4998" s="3">
        <v>146</v>
      </c>
      <c r="F4998" s="3">
        <v>0</v>
      </c>
      <c r="G4998" s="3">
        <v>0</v>
      </c>
      <c r="H4998" s="2">
        <f t="shared" si="156"/>
        <v>7183</v>
      </c>
      <c r="I4998" t="str">
        <f t="shared" si="157"/>
        <v>Nolc1_7183</v>
      </c>
      <c r="J4998" s="3">
        <v>6242</v>
      </c>
      <c r="K4998" s="3">
        <v>795</v>
      </c>
      <c r="L4998" s="3">
        <v>146</v>
      </c>
      <c r="M4998" s="3">
        <v>0</v>
      </c>
      <c r="N4998" s="3">
        <v>0</v>
      </c>
    </row>
    <row r="4999" spans="1:14" x14ac:dyDescent="0.2">
      <c r="A4999" s="5" t="str">
        <f>HYPERLINK("http://www.ncbi.nlm.nih.gov/protein/86198331","Nolc1")</f>
        <v>Nolc1</v>
      </c>
      <c r="B4999" s="4"/>
      <c r="C4999" s="3">
        <v>6242</v>
      </c>
      <c r="D4999" s="3">
        <v>795</v>
      </c>
      <c r="E4999" s="3">
        <v>146</v>
      </c>
      <c r="F4999" s="3">
        <v>0</v>
      </c>
      <c r="G4999" s="3">
        <v>0</v>
      </c>
      <c r="H4999" s="2">
        <f t="shared" si="156"/>
        <v>7183</v>
      </c>
      <c r="I4999" t="str">
        <f t="shared" si="157"/>
        <v>Nolc1_7183</v>
      </c>
      <c r="J4999" s="3">
        <v>6242</v>
      </c>
      <c r="K4999" s="3">
        <v>795</v>
      </c>
      <c r="L4999" s="3">
        <v>146</v>
      </c>
      <c r="M4999" s="3">
        <v>0</v>
      </c>
      <c r="N4999" s="3">
        <v>0</v>
      </c>
    </row>
    <row r="5000" spans="1:14" x14ac:dyDescent="0.2">
      <c r="A5000" s="5" t="str">
        <f>HYPERLINK("http://www.ncbi.nlm.nih.gov/protein/86198333","Nolc1")</f>
        <v>Nolc1</v>
      </c>
      <c r="B5000" s="4"/>
      <c r="C5000" s="3">
        <v>6242</v>
      </c>
      <c r="D5000" s="3">
        <v>795</v>
      </c>
      <c r="E5000" s="3">
        <v>146</v>
      </c>
      <c r="F5000" s="3">
        <v>0</v>
      </c>
      <c r="G5000" s="3">
        <v>0</v>
      </c>
      <c r="H5000" s="2">
        <f t="shared" si="156"/>
        <v>7183</v>
      </c>
      <c r="I5000" t="str">
        <f t="shared" si="157"/>
        <v>Nolc1_7183</v>
      </c>
      <c r="J5000" s="3">
        <v>6242</v>
      </c>
      <c r="K5000" s="3">
        <v>795</v>
      </c>
      <c r="L5000" s="3">
        <v>146</v>
      </c>
      <c r="M5000" s="3">
        <v>0</v>
      </c>
      <c r="N5000" s="3">
        <v>0</v>
      </c>
    </row>
    <row r="5001" spans="1:14" x14ac:dyDescent="0.2">
      <c r="A5001" s="5" t="str">
        <f>HYPERLINK("http://www.ncbi.nlm.nih.gov/protein/134288861","Nom1")</f>
        <v>Nom1</v>
      </c>
      <c r="B5001" s="4"/>
      <c r="C5001" s="3">
        <v>0</v>
      </c>
      <c r="D5001" s="3">
        <v>0</v>
      </c>
      <c r="E5001" s="3">
        <v>20</v>
      </c>
      <c r="F5001" s="3">
        <v>0</v>
      </c>
      <c r="G5001" s="3">
        <v>0</v>
      </c>
      <c r="H5001" s="2">
        <f t="shared" si="156"/>
        <v>20</v>
      </c>
      <c r="I5001" t="str">
        <f t="shared" si="157"/>
        <v>Nom1_20</v>
      </c>
      <c r="J5001" s="3">
        <v>0</v>
      </c>
      <c r="K5001" s="3">
        <v>0</v>
      </c>
      <c r="L5001" s="3">
        <v>20</v>
      </c>
      <c r="M5001" s="3">
        <v>0</v>
      </c>
      <c r="N5001" s="3">
        <v>0</v>
      </c>
    </row>
    <row r="5002" spans="1:14" x14ac:dyDescent="0.2">
      <c r="A5002" s="5" t="str">
        <f>HYPERLINK("http://www.ncbi.nlm.nih.gov/protein/227908803","Nomo1")</f>
        <v>Nomo1</v>
      </c>
      <c r="B5002" s="4"/>
      <c r="C5002" s="3">
        <v>2233</v>
      </c>
      <c r="D5002" s="3">
        <v>10408</v>
      </c>
      <c r="E5002" s="3">
        <v>3682</v>
      </c>
      <c r="F5002" s="3">
        <v>0</v>
      </c>
      <c r="G5002" s="3">
        <v>0</v>
      </c>
      <c r="H5002" s="2">
        <f t="shared" si="156"/>
        <v>16323</v>
      </c>
      <c r="I5002" t="str">
        <f t="shared" si="157"/>
        <v>Nomo1_16323</v>
      </c>
      <c r="J5002" s="3">
        <v>2233</v>
      </c>
      <c r="K5002" s="3">
        <v>10408</v>
      </c>
      <c r="L5002" s="3">
        <v>3682</v>
      </c>
      <c r="M5002" s="3">
        <v>0</v>
      </c>
      <c r="N5002" s="3">
        <v>0</v>
      </c>
    </row>
    <row r="5003" spans="1:14" x14ac:dyDescent="0.2">
      <c r="A5003" s="5" t="str">
        <f>HYPERLINK("http://www.ncbi.nlm.nih.gov/protein/357394934;255958247","Nono")</f>
        <v>Nono</v>
      </c>
      <c r="B5003" s="4"/>
      <c r="C5003" s="3">
        <v>0</v>
      </c>
      <c r="D5003" s="3">
        <v>0</v>
      </c>
      <c r="E5003" s="3">
        <v>26040</v>
      </c>
      <c r="F5003" s="3">
        <v>0</v>
      </c>
      <c r="G5003" s="3">
        <v>0</v>
      </c>
      <c r="H5003" s="2">
        <f t="shared" si="156"/>
        <v>26040</v>
      </c>
      <c r="I5003" t="str">
        <f t="shared" si="157"/>
        <v>Nono_26040</v>
      </c>
      <c r="J5003" s="3">
        <v>0</v>
      </c>
      <c r="K5003" s="3">
        <v>0</v>
      </c>
      <c r="L5003" s="3">
        <v>26040</v>
      </c>
      <c r="M5003" s="3">
        <v>0</v>
      </c>
      <c r="N5003" s="3">
        <v>0</v>
      </c>
    </row>
    <row r="5004" spans="1:14" x14ac:dyDescent="0.2">
      <c r="A5004" s="5" t="str">
        <f>HYPERLINK("http://www.ncbi.nlm.nih.gov/protein/255958247","Nono")</f>
        <v>Nono</v>
      </c>
      <c r="B5004" s="4"/>
      <c r="C5004" s="3">
        <v>254197</v>
      </c>
      <c r="D5004" s="3">
        <v>2674</v>
      </c>
      <c r="E5004" s="3">
        <v>0</v>
      </c>
      <c r="F5004" s="3">
        <v>21741</v>
      </c>
      <c r="G5004" s="3">
        <v>0</v>
      </c>
      <c r="H5004" s="2">
        <f t="shared" si="156"/>
        <v>278612</v>
      </c>
      <c r="I5004" t="str">
        <f t="shared" si="157"/>
        <v>Nono_278612</v>
      </c>
      <c r="J5004" s="3">
        <v>254197</v>
      </c>
      <c r="K5004" s="3">
        <v>2674</v>
      </c>
      <c r="L5004" s="3">
        <v>0</v>
      </c>
      <c r="M5004" s="3">
        <v>21741</v>
      </c>
      <c r="N5004" s="3">
        <v>0</v>
      </c>
    </row>
    <row r="5005" spans="1:14" x14ac:dyDescent="0.2">
      <c r="A5005" s="5" t="str">
        <f>HYPERLINK("http://www.ncbi.nlm.nih.gov/protein/13384790","Nop10")</f>
        <v>Nop10</v>
      </c>
      <c r="B5005" s="4"/>
      <c r="C5005" s="3">
        <v>0</v>
      </c>
      <c r="D5005" s="3">
        <v>0</v>
      </c>
      <c r="E5005" s="3">
        <v>0</v>
      </c>
      <c r="F5005" s="3">
        <v>8</v>
      </c>
      <c r="G5005" s="3">
        <v>0</v>
      </c>
      <c r="H5005" s="2">
        <f t="shared" si="156"/>
        <v>8</v>
      </c>
      <c r="I5005" t="str">
        <f t="shared" si="157"/>
        <v>Nop10_8</v>
      </c>
      <c r="J5005" s="3">
        <v>0</v>
      </c>
      <c r="K5005" s="3">
        <v>0</v>
      </c>
      <c r="L5005" s="3">
        <v>0</v>
      </c>
      <c r="M5005" s="3">
        <v>8</v>
      </c>
      <c r="N5005" s="3">
        <v>0</v>
      </c>
    </row>
    <row r="5006" spans="1:14" x14ac:dyDescent="0.2">
      <c r="A5006" s="5" t="str">
        <f>HYPERLINK("http://www.ncbi.nlm.nih.gov/protein/30519925","Nop16")</f>
        <v>Nop16</v>
      </c>
      <c r="B5006" s="4"/>
      <c r="C5006" s="3">
        <v>0</v>
      </c>
      <c r="D5006" s="3">
        <v>0</v>
      </c>
      <c r="E5006" s="3">
        <v>45</v>
      </c>
      <c r="F5006" s="3">
        <v>377</v>
      </c>
      <c r="G5006" s="3">
        <v>0</v>
      </c>
      <c r="H5006" s="2">
        <f t="shared" si="156"/>
        <v>422</v>
      </c>
      <c r="I5006" t="str">
        <f t="shared" si="157"/>
        <v>Nop16_422</v>
      </c>
      <c r="J5006" s="3">
        <v>0</v>
      </c>
      <c r="K5006" s="3">
        <v>0</v>
      </c>
      <c r="L5006" s="3">
        <v>45</v>
      </c>
      <c r="M5006" s="3">
        <v>377</v>
      </c>
      <c r="N5006" s="3">
        <v>0</v>
      </c>
    </row>
    <row r="5007" spans="1:14" x14ac:dyDescent="0.2">
      <c r="A5007" s="5" t="str">
        <f>HYPERLINK("http://www.ncbi.nlm.nih.gov/protein/158966689","Nop2")</f>
        <v>Nop2</v>
      </c>
      <c r="B5007" s="4"/>
      <c r="C5007" s="3">
        <v>8970</v>
      </c>
      <c r="D5007" s="3">
        <v>0</v>
      </c>
      <c r="E5007" s="3">
        <v>2394</v>
      </c>
      <c r="F5007" s="3">
        <v>0</v>
      </c>
      <c r="G5007" s="3">
        <v>0</v>
      </c>
      <c r="H5007" s="2">
        <f t="shared" si="156"/>
        <v>11364</v>
      </c>
      <c r="I5007" t="str">
        <f t="shared" si="157"/>
        <v>Nop2_11364</v>
      </c>
      <c r="J5007" s="3">
        <v>8970</v>
      </c>
      <c r="K5007" s="3">
        <v>0</v>
      </c>
      <c r="L5007" s="3">
        <v>2394</v>
      </c>
      <c r="M5007" s="3">
        <v>0</v>
      </c>
      <c r="N5007" s="3">
        <v>0</v>
      </c>
    </row>
    <row r="5008" spans="1:14" x14ac:dyDescent="0.2">
      <c r="A5008" s="5" t="str">
        <f>HYPERLINK("http://www.ncbi.nlm.nih.gov/protein/126090932","Nop56")</f>
        <v>Nop56</v>
      </c>
      <c r="B5008" s="4"/>
      <c r="C5008" s="3">
        <v>321344</v>
      </c>
      <c r="D5008" s="3">
        <v>6805</v>
      </c>
      <c r="E5008" s="3">
        <v>5138</v>
      </c>
      <c r="F5008" s="3">
        <v>30958</v>
      </c>
      <c r="G5008" s="3">
        <v>21</v>
      </c>
      <c r="H5008" s="2">
        <f t="shared" si="156"/>
        <v>364266</v>
      </c>
      <c r="I5008" t="str">
        <f t="shared" si="157"/>
        <v>Nop56_364266</v>
      </c>
      <c r="J5008" s="3">
        <v>321344</v>
      </c>
      <c r="K5008" s="3">
        <v>6805</v>
      </c>
      <c r="L5008" s="3">
        <v>5138</v>
      </c>
      <c r="M5008" s="3">
        <v>30958</v>
      </c>
      <c r="N5008" s="3">
        <v>21</v>
      </c>
    </row>
    <row r="5009" spans="1:14" x14ac:dyDescent="0.2">
      <c r="A5009" s="5" t="str">
        <f>HYPERLINK("http://www.ncbi.nlm.nih.gov/protein/120407050","Nop58")</f>
        <v>Nop58</v>
      </c>
      <c r="B5009" s="4"/>
      <c r="C5009" s="3">
        <v>208707</v>
      </c>
      <c r="D5009" s="3">
        <v>3580</v>
      </c>
      <c r="E5009" s="3">
        <v>14749</v>
      </c>
      <c r="F5009" s="3">
        <v>48385</v>
      </c>
      <c r="G5009" s="3">
        <v>203</v>
      </c>
      <c r="H5009" s="2">
        <f t="shared" si="156"/>
        <v>275624</v>
      </c>
      <c r="I5009" t="str">
        <f t="shared" si="157"/>
        <v>Nop58_275624</v>
      </c>
      <c r="J5009" s="3">
        <v>208707</v>
      </c>
      <c r="K5009" s="3">
        <v>3580</v>
      </c>
      <c r="L5009" s="3">
        <v>14749</v>
      </c>
      <c r="M5009" s="3">
        <v>48385</v>
      </c>
      <c r="N5009" s="3">
        <v>203</v>
      </c>
    </row>
    <row r="5010" spans="1:14" x14ac:dyDescent="0.2">
      <c r="A5010" s="5" t="str">
        <f>HYPERLINK("http://www.ncbi.nlm.nih.gov/protein/169646352","Nop9")</f>
        <v>Nop9</v>
      </c>
      <c r="B5010" s="4"/>
      <c r="C5010" s="3">
        <v>0</v>
      </c>
      <c r="D5010" s="3">
        <v>104</v>
      </c>
      <c r="E5010" s="3">
        <v>631</v>
      </c>
      <c r="F5010" s="3">
        <v>5296</v>
      </c>
      <c r="G5010" s="3">
        <v>0</v>
      </c>
      <c r="H5010" s="2">
        <f t="shared" si="156"/>
        <v>6031</v>
      </c>
      <c r="I5010" t="str">
        <f t="shared" si="157"/>
        <v>Nop9_6031</v>
      </c>
      <c r="J5010" s="3">
        <v>0</v>
      </c>
      <c r="K5010" s="3">
        <v>104</v>
      </c>
      <c r="L5010" s="3">
        <v>631</v>
      </c>
      <c r="M5010" s="3">
        <v>5296</v>
      </c>
      <c r="N5010" s="3">
        <v>0</v>
      </c>
    </row>
    <row r="5011" spans="1:14" x14ac:dyDescent="0.2">
      <c r="A5011" s="5" t="str">
        <f>HYPERLINK("http://www.ncbi.nlm.nih.gov/protein/110625798","Nos1ap")</f>
        <v>Nos1ap</v>
      </c>
      <c r="B5011" s="4"/>
      <c r="C5011" s="3">
        <v>0</v>
      </c>
      <c r="D5011" s="3">
        <v>0</v>
      </c>
      <c r="E5011" s="3">
        <v>34</v>
      </c>
      <c r="F5011" s="3">
        <v>0</v>
      </c>
      <c r="G5011" s="3">
        <v>0</v>
      </c>
      <c r="H5011" s="2">
        <f t="shared" si="156"/>
        <v>34</v>
      </c>
      <c r="I5011" t="str">
        <f t="shared" si="157"/>
        <v>Nos1ap_34</v>
      </c>
      <c r="J5011" s="3">
        <v>0</v>
      </c>
      <c r="K5011" s="3">
        <v>0</v>
      </c>
      <c r="L5011" s="3">
        <v>34</v>
      </c>
      <c r="M5011" s="3">
        <v>0</v>
      </c>
      <c r="N5011" s="3">
        <v>0</v>
      </c>
    </row>
    <row r="5012" spans="1:14" x14ac:dyDescent="0.2">
      <c r="A5012" s="5" t="str">
        <f>HYPERLINK("http://www.ncbi.nlm.nih.gov/protein/158508485","Nos1ap")</f>
        <v>Nos1ap</v>
      </c>
      <c r="B5012" s="4"/>
      <c r="C5012" s="3">
        <v>0</v>
      </c>
      <c r="D5012" s="3">
        <v>0</v>
      </c>
      <c r="E5012" s="3">
        <v>34</v>
      </c>
      <c r="F5012" s="3">
        <v>0</v>
      </c>
      <c r="G5012" s="3">
        <v>0</v>
      </c>
      <c r="H5012" s="2">
        <f t="shared" si="156"/>
        <v>34</v>
      </c>
      <c r="I5012" t="str">
        <f t="shared" si="157"/>
        <v>Nos1ap_34</v>
      </c>
      <c r="J5012" s="3">
        <v>0</v>
      </c>
      <c r="K5012" s="3">
        <v>0</v>
      </c>
      <c r="L5012" s="3">
        <v>34</v>
      </c>
      <c r="M5012" s="3">
        <v>0</v>
      </c>
      <c r="N5012" s="3">
        <v>0</v>
      </c>
    </row>
    <row r="5013" spans="1:14" x14ac:dyDescent="0.2">
      <c r="A5013" s="5" t="str">
        <f>HYPERLINK("http://www.ncbi.nlm.nih.gov/protein/254826728","Nosip")</f>
        <v>Nosip</v>
      </c>
      <c r="B5013" s="4"/>
      <c r="C5013" s="3">
        <v>256</v>
      </c>
      <c r="D5013" s="3">
        <v>443</v>
      </c>
      <c r="E5013" s="3">
        <v>0</v>
      </c>
      <c r="F5013" s="3">
        <v>1383</v>
      </c>
      <c r="G5013" s="3">
        <v>3823</v>
      </c>
      <c r="H5013" s="2">
        <f t="shared" si="156"/>
        <v>5905</v>
      </c>
      <c r="I5013" t="str">
        <f t="shared" si="157"/>
        <v>Nosip_5905</v>
      </c>
      <c r="J5013" s="3">
        <v>256</v>
      </c>
      <c r="K5013" s="3">
        <v>443</v>
      </c>
      <c r="L5013" s="3">
        <v>0</v>
      </c>
      <c r="M5013" s="3">
        <v>1383</v>
      </c>
      <c r="N5013" s="3">
        <v>3823</v>
      </c>
    </row>
    <row r="5014" spans="1:14" x14ac:dyDescent="0.2">
      <c r="A5014" s="5" t="str">
        <f>HYPERLINK("http://www.ncbi.nlm.nih.gov/protein/13384956","Nosip")</f>
        <v>Nosip</v>
      </c>
      <c r="B5014" s="4"/>
      <c r="C5014" s="3">
        <v>256</v>
      </c>
      <c r="D5014" s="3">
        <v>443</v>
      </c>
      <c r="E5014" s="3">
        <v>34</v>
      </c>
      <c r="F5014" s="3">
        <v>1383</v>
      </c>
      <c r="G5014" s="3">
        <v>7422</v>
      </c>
      <c r="H5014" s="2">
        <f t="shared" si="156"/>
        <v>9538</v>
      </c>
      <c r="I5014" t="str">
        <f t="shared" si="157"/>
        <v>Nosip_9538</v>
      </c>
      <c r="J5014" s="3">
        <v>256</v>
      </c>
      <c r="K5014" s="3">
        <v>443</v>
      </c>
      <c r="L5014" s="3">
        <v>34</v>
      </c>
      <c r="M5014" s="3">
        <v>1383</v>
      </c>
      <c r="N5014" s="3">
        <v>7422</v>
      </c>
    </row>
    <row r="5015" spans="1:14" x14ac:dyDescent="0.2">
      <c r="A5015" s="5" t="str">
        <f>HYPERLINK("http://www.ncbi.nlm.nih.gov/protein/134288853","Notch2")</f>
        <v>Notch2</v>
      </c>
      <c r="B5015" s="4"/>
      <c r="C5015" s="3">
        <v>0</v>
      </c>
      <c r="D5015" s="3">
        <v>106</v>
      </c>
      <c r="E5015" s="3">
        <v>174</v>
      </c>
      <c r="F5015" s="3">
        <v>0</v>
      </c>
      <c r="G5015" s="3">
        <v>0</v>
      </c>
      <c r="H5015" s="2">
        <f t="shared" si="156"/>
        <v>280</v>
      </c>
      <c r="I5015" t="str">
        <f t="shared" si="157"/>
        <v>Notch2_280</v>
      </c>
      <c r="J5015" s="3">
        <v>0</v>
      </c>
      <c r="K5015" s="3">
        <v>106</v>
      </c>
      <c r="L5015" s="3">
        <v>174</v>
      </c>
      <c r="M5015" s="3">
        <v>0</v>
      </c>
      <c r="N5015" s="3">
        <v>0</v>
      </c>
    </row>
    <row r="5016" spans="1:14" x14ac:dyDescent="0.2">
      <c r="A5016" s="5" t="str">
        <f>HYPERLINK("http://www.ncbi.nlm.nih.gov/protein/6679096","Notch3")</f>
        <v>Notch3</v>
      </c>
      <c r="B5016" s="4"/>
      <c r="C5016" s="3">
        <v>0</v>
      </c>
      <c r="D5016" s="3">
        <v>0</v>
      </c>
      <c r="E5016" s="3">
        <v>0</v>
      </c>
      <c r="F5016" s="3">
        <v>0</v>
      </c>
      <c r="G5016" s="3">
        <v>1028</v>
      </c>
      <c r="H5016" s="2">
        <f t="shared" si="156"/>
        <v>1028</v>
      </c>
      <c r="I5016" t="str">
        <f t="shared" si="157"/>
        <v>Notch3_1028</v>
      </c>
      <c r="J5016" s="3">
        <v>0</v>
      </c>
      <c r="K5016" s="3">
        <v>0</v>
      </c>
      <c r="L5016" s="3">
        <v>0</v>
      </c>
      <c r="M5016" s="3">
        <v>0</v>
      </c>
      <c r="N5016" s="3">
        <v>1028</v>
      </c>
    </row>
    <row r="5017" spans="1:14" x14ac:dyDescent="0.2">
      <c r="A5017" s="5" t="str">
        <f>HYPERLINK("http://www.ncbi.nlm.nih.gov/protein/24233564","Npas4")</f>
        <v>Npas4</v>
      </c>
      <c r="B5017" s="4"/>
      <c r="C5017" s="3">
        <v>29894</v>
      </c>
      <c r="D5017" s="3">
        <v>4296</v>
      </c>
      <c r="E5017" s="3">
        <v>18251</v>
      </c>
      <c r="F5017" s="3">
        <v>4355</v>
      </c>
      <c r="G5017" s="3">
        <v>82046</v>
      </c>
      <c r="H5017" s="2">
        <f t="shared" si="156"/>
        <v>138842</v>
      </c>
      <c r="I5017" t="str">
        <f t="shared" si="157"/>
        <v>Npas4_138842</v>
      </c>
      <c r="J5017" s="3">
        <v>29894</v>
      </c>
      <c r="K5017" s="3">
        <v>4296</v>
      </c>
      <c r="L5017" s="3">
        <v>18251</v>
      </c>
      <c r="M5017" s="3">
        <v>4355</v>
      </c>
      <c r="N5017" s="3">
        <v>82046</v>
      </c>
    </row>
    <row r="5018" spans="1:14" x14ac:dyDescent="0.2">
      <c r="A5018" s="5" t="str">
        <f>HYPERLINK("http://www.ncbi.nlm.nih.gov/protein/89242146","Npc1")</f>
        <v>Npc1</v>
      </c>
      <c r="B5018" s="4"/>
      <c r="C5018" s="3">
        <v>0</v>
      </c>
      <c r="D5018" s="3">
        <v>1374</v>
      </c>
      <c r="E5018" s="3">
        <v>389</v>
      </c>
      <c r="F5018" s="3">
        <v>0</v>
      </c>
      <c r="G5018" s="3">
        <v>0</v>
      </c>
      <c r="H5018" s="2">
        <f t="shared" si="156"/>
        <v>1763</v>
      </c>
      <c r="I5018" t="str">
        <f t="shared" si="157"/>
        <v>Npc1_1763</v>
      </c>
      <c r="J5018" s="3">
        <v>0</v>
      </c>
      <c r="K5018" s="3">
        <v>1374</v>
      </c>
      <c r="L5018" s="3">
        <v>389</v>
      </c>
      <c r="M5018" s="3">
        <v>0</v>
      </c>
      <c r="N5018" s="3">
        <v>0</v>
      </c>
    </row>
    <row r="5019" spans="1:14" x14ac:dyDescent="0.2">
      <c r="A5019" s="5" t="str">
        <f>HYPERLINK("http://www.ncbi.nlm.nih.gov/protein/12963667","Npc2")</f>
        <v>Npc2</v>
      </c>
      <c r="B5019" s="4"/>
      <c r="C5019" s="3">
        <v>73425</v>
      </c>
      <c r="D5019" s="3">
        <v>21662</v>
      </c>
      <c r="E5019" s="3">
        <v>2810</v>
      </c>
      <c r="F5019" s="3">
        <v>0</v>
      </c>
      <c r="G5019" s="3">
        <v>109837</v>
      </c>
      <c r="H5019" s="2">
        <f t="shared" si="156"/>
        <v>207734</v>
      </c>
      <c r="I5019" t="str">
        <f t="shared" si="157"/>
        <v>Npc2_207734</v>
      </c>
      <c r="J5019" s="3">
        <v>73425</v>
      </c>
      <c r="K5019" s="3">
        <v>21662</v>
      </c>
      <c r="L5019" s="3">
        <v>2810</v>
      </c>
      <c r="M5019" s="3">
        <v>0</v>
      </c>
      <c r="N5019" s="3">
        <v>109837</v>
      </c>
    </row>
    <row r="5020" spans="1:14" x14ac:dyDescent="0.2">
      <c r="A5020" s="5" t="str">
        <f>HYPERLINK("http://www.ncbi.nlm.nih.gov/protein/47523981","Npepl1")</f>
        <v>Npepl1</v>
      </c>
      <c r="B5020" s="4"/>
      <c r="C5020" s="3">
        <v>0</v>
      </c>
      <c r="D5020" s="3">
        <v>0</v>
      </c>
      <c r="E5020" s="3">
        <v>2602</v>
      </c>
      <c r="F5020" s="3">
        <v>32955</v>
      </c>
      <c r="G5020" s="3">
        <v>7871</v>
      </c>
      <c r="H5020" s="2">
        <f t="shared" si="156"/>
        <v>43428</v>
      </c>
      <c r="I5020" t="str">
        <f t="shared" si="157"/>
        <v>Npepl1_43428</v>
      </c>
      <c r="J5020" s="3">
        <v>0</v>
      </c>
      <c r="K5020" s="3">
        <v>0</v>
      </c>
      <c r="L5020" s="3">
        <v>2602</v>
      </c>
      <c r="M5020" s="3">
        <v>32955</v>
      </c>
      <c r="N5020" s="3">
        <v>7871</v>
      </c>
    </row>
    <row r="5021" spans="1:14" x14ac:dyDescent="0.2">
      <c r="A5021" s="5" t="str">
        <f>HYPERLINK("http://www.ncbi.nlm.nih.gov/protein/68226731","Npepps")</f>
        <v>Npepps</v>
      </c>
      <c r="B5021" s="4"/>
      <c r="C5021" s="3">
        <v>6334</v>
      </c>
      <c r="D5021" s="3">
        <v>19762</v>
      </c>
      <c r="E5021" s="3">
        <v>24323</v>
      </c>
      <c r="F5021" s="3">
        <v>20243</v>
      </c>
      <c r="G5021" s="3">
        <v>190062</v>
      </c>
      <c r="H5021" s="2">
        <f t="shared" si="156"/>
        <v>260724</v>
      </c>
      <c r="I5021" t="str">
        <f t="shared" si="157"/>
        <v>Npepps_260724</v>
      </c>
      <c r="J5021" s="3">
        <v>6334</v>
      </c>
      <c r="K5021" s="3">
        <v>19762</v>
      </c>
      <c r="L5021" s="3">
        <v>24323</v>
      </c>
      <c r="M5021" s="3">
        <v>20243</v>
      </c>
      <c r="N5021" s="3">
        <v>190062</v>
      </c>
    </row>
    <row r="5022" spans="1:14" x14ac:dyDescent="0.2">
      <c r="A5022" s="5" t="str">
        <f>HYPERLINK("http://www.ncbi.nlm.nih.gov/protein/303324586","Nploc4")</f>
        <v>Nploc4</v>
      </c>
      <c r="B5022" s="4"/>
      <c r="C5022" s="3">
        <v>0</v>
      </c>
      <c r="D5022" s="3">
        <v>1415</v>
      </c>
      <c r="E5022" s="3">
        <v>645</v>
      </c>
      <c r="F5022" s="3">
        <v>4175</v>
      </c>
      <c r="G5022" s="3">
        <v>707</v>
      </c>
      <c r="H5022" s="2">
        <f t="shared" si="156"/>
        <v>6942</v>
      </c>
      <c r="I5022" t="str">
        <f t="shared" si="157"/>
        <v>Nploc4_6942</v>
      </c>
      <c r="J5022" s="3">
        <v>0</v>
      </c>
      <c r="K5022" s="3">
        <v>1415</v>
      </c>
      <c r="L5022" s="3">
        <v>645</v>
      </c>
      <c r="M5022" s="3">
        <v>4175</v>
      </c>
      <c r="N5022" s="3">
        <v>707</v>
      </c>
    </row>
    <row r="5023" spans="1:14" x14ac:dyDescent="0.2">
      <c r="A5023" s="5" t="str">
        <f>HYPERLINK("http://www.ncbi.nlm.nih.gov/protein/41054974","Nploc4")</f>
        <v>Nploc4</v>
      </c>
      <c r="B5023" s="4"/>
      <c r="C5023" s="3">
        <v>0</v>
      </c>
      <c r="D5023" s="3">
        <v>1415</v>
      </c>
      <c r="E5023" s="3">
        <v>645</v>
      </c>
      <c r="F5023" s="3">
        <v>4175</v>
      </c>
      <c r="G5023" s="3">
        <v>707</v>
      </c>
      <c r="H5023" s="2">
        <f t="shared" si="156"/>
        <v>6942</v>
      </c>
      <c r="I5023" t="str">
        <f t="shared" si="157"/>
        <v>Nploc4_6942</v>
      </c>
      <c r="J5023" s="3">
        <v>0</v>
      </c>
      <c r="K5023" s="3">
        <v>1415</v>
      </c>
      <c r="L5023" s="3">
        <v>645</v>
      </c>
      <c r="M5023" s="3">
        <v>4175</v>
      </c>
      <c r="N5023" s="3">
        <v>707</v>
      </c>
    </row>
    <row r="5024" spans="1:14" x14ac:dyDescent="0.2">
      <c r="A5024" s="5" t="str">
        <f>HYPERLINK("http://www.ncbi.nlm.nih.gov/protein/356582423","Npm1")</f>
        <v>Npm1</v>
      </c>
      <c r="B5024" s="4"/>
      <c r="C5024" s="3">
        <v>72089</v>
      </c>
      <c r="D5024" s="3">
        <v>244</v>
      </c>
      <c r="E5024" s="3">
        <v>23893</v>
      </c>
      <c r="F5024" s="3">
        <v>107239</v>
      </c>
      <c r="G5024" s="3">
        <v>22929</v>
      </c>
      <c r="H5024" s="2">
        <f t="shared" si="156"/>
        <v>226394</v>
      </c>
      <c r="I5024" t="str">
        <f t="shared" si="157"/>
        <v>Npm1_226394</v>
      </c>
      <c r="J5024" s="3">
        <v>72089</v>
      </c>
      <c r="K5024" s="3">
        <v>244</v>
      </c>
      <c r="L5024" s="3">
        <v>23893</v>
      </c>
      <c r="M5024" s="3">
        <v>107239</v>
      </c>
      <c r="N5024" s="3">
        <v>22929</v>
      </c>
    </row>
    <row r="5025" spans="1:14" x14ac:dyDescent="0.2">
      <c r="A5025" s="5" t="str">
        <f>HYPERLINK("http://www.ncbi.nlm.nih.gov/protein/356582426","Npm1")</f>
        <v>Npm1</v>
      </c>
      <c r="B5025" s="4"/>
      <c r="C5025" s="3">
        <v>280778</v>
      </c>
      <c r="D5025" s="3">
        <v>2620</v>
      </c>
      <c r="E5025" s="3">
        <v>63035</v>
      </c>
      <c r="F5025" s="3">
        <v>168344</v>
      </c>
      <c r="G5025" s="3">
        <v>49639</v>
      </c>
      <c r="H5025" s="2">
        <f t="shared" si="156"/>
        <v>564416</v>
      </c>
      <c r="I5025" t="str">
        <f t="shared" si="157"/>
        <v>Npm1_564416</v>
      </c>
      <c r="J5025" s="3">
        <v>280778</v>
      </c>
      <c r="K5025" s="3">
        <v>2620</v>
      </c>
      <c r="L5025" s="3">
        <v>63035</v>
      </c>
      <c r="M5025" s="3">
        <v>168344</v>
      </c>
      <c r="N5025" s="3">
        <v>49639</v>
      </c>
    </row>
    <row r="5026" spans="1:14" x14ac:dyDescent="0.2">
      <c r="A5026" s="5" t="str">
        <f>HYPERLINK("http://www.ncbi.nlm.nih.gov/protein/6679108","Npm1")</f>
        <v>Npm1</v>
      </c>
      <c r="B5026" s="4"/>
      <c r="C5026" s="3">
        <v>298113</v>
      </c>
      <c r="D5026" s="3">
        <v>2662</v>
      </c>
      <c r="E5026" s="3">
        <v>63071</v>
      </c>
      <c r="F5026" s="3">
        <v>168999</v>
      </c>
      <c r="G5026" s="3">
        <v>49639</v>
      </c>
      <c r="H5026" s="2">
        <f t="shared" si="156"/>
        <v>582484</v>
      </c>
      <c r="I5026" t="str">
        <f t="shared" si="157"/>
        <v>Npm1_582484</v>
      </c>
      <c r="J5026" s="3">
        <v>298113</v>
      </c>
      <c r="K5026" s="3">
        <v>2662</v>
      </c>
      <c r="L5026" s="3">
        <v>63071</v>
      </c>
      <c r="M5026" s="3">
        <v>168999</v>
      </c>
      <c r="N5026" s="3">
        <v>49639</v>
      </c>
    </row>
    <row r="5027" spans="1:14" x14ac:dyDescent="0.2">
      <c r="A5027" s="5" t="str">
        <f>HYPERLINK("http://www.ncbi.nlm.nih.gov/protein/6679110","Npm3")</f>
        <v>Npm3</v>
      </c>
      <c r="B5027" s="4"/>
      <c r="C5027" s="3">
        <v>549</v>
      </c>
      <c r="D5027" s="3">
        <v>248</v>
      </c>
      <c r="E5027" s="3">
        <v>1084</v>
      </c>
      <c r="F5027" s="3">
        <v>7105</v>
      </c>
      <c r="G5027" s="3">
        <v>1896</v>
      </c>
      <c r="H5027" s="2">
        <f t="shared" si="156"/>
        <v>10882</v>
      </c>
      <c r="I5027" t="str">
        <f t="shared" si="157"/>
        <v>Npm3_10882</v>
      </c>
      <c r="J5027" s="3">
        <v>549</v>
      </c>
      <c r="K5027" s="3">
        <v>248</v>
      </c>
      <c r="L5027" s="3">
        <v>1084</v>
      </c>
      <c r="M5027" s="3">
        <v>7105</v>
      </c>
      <c r="N5027" s="3">
        <v>1896</v>
      </c>
    </row>
    <row r="5028" spans="1:14" x14ac:dyDescent="0.2">
      <c r="A5028" s="5" t="str">
        <f>HYPERLINK("http://www.ncbi.nlm.nih.gov/protein/71067128","Npnt")</f>
        <v>Npnt</v>
      </c>
      <c r="B5028" s="4"/>
      <c r="C5028" s="3">
        <v>0</v>
      </c>
      <c r="D5028" s="3">
        <v>81</v>
      </c>
      <c r="E5028" s="3">
        <v>0</v>
      </c>
      <c r="F5028" s="3">
        <v>0</v>
      </c>
      <c r="G5028" s="3">
        <v>0</v>
      </c>
      <c r="H5028" s="2">
        <f t="shared" si="156"/>
        <v>81</v>
      </c>
      <c r="I5028" t="str">
        <f t="shared" si="157"/>
        <v>Npnt_81</v>
      </c>
      <c r="J5028" s="3">
        <v>0</v>
      </c>
      <c r="K5028" s="3">
        <v>81</v>
      </c>
      <c r="L5028" s="3">
        <v>0</v>
      </c>
      <c r="M5028" s="3">
        <v>0</v>
      </c>
      <c r="N5028" s="3">
        <v>0</v>
      </c>
    </row>
    <row r="5029" spans="1:14" x14ac:dyDescent="0.2">
      <c r="A5029" s="5" t="str">
        <f>HYPERLINK("http://www.ncbi.nlm.nih.gov/protein/73088940","Npnt")</f>
        <v>Npnt</v>
      </c>
      <c r="B5029" s="4"/>
      <c r="C5029" s="3">
        <v>0</v>
      </c>
      <c r="D5029" s="3">
        <v>81</v>
      </c>
      <c r="E5029" s="3">
        <v>0</v>
      </c>
      <c r="F5029" s="3">
        <v>0</v>
      </c>
      <c r="G5029" s="3">
        <v>0</v>
      </c>
      <c r="H5029" s="2">
        <f t="shared" si="156"/>
        <v>81</v>
      </c>
      <c r="I5029" t="str">
        <f t="shared" si="157"/>
        <v>Npnt_81</v>
      </c>
      <c r="J5029" s="3">
        <v>0</v>
      </c>
      <c r="K5029" s="3">
        <v>81</v>
      </c>
      <c r="L5029" s="3">
        <v>0</v>
      </c>
      <c r="M5029" s="3">
        <v>0</v>
      </c>
      <c r="N5029" s="3">
        <v>0</v>
      </c>
    </row>
    <row r="5030" spans="1:14" x14ac:dyDescent="0.2">
      <c r="A5030" s="5" t="str">
        <f>HYPERLINK("http://www.ncbi.nlm.nih.gov/protein/38194222","Nprl3")</f>
        <v>Nprl3</v>
      </c>
      <c r="B5030" s="4"/>
      <c r="C5030" s="3">
        <v>0</v>
      </c>
      <c r="D5030" s="3">
        <v>0</v>
      </c>
      <c r="E5030" s="3">
        <v>12</v>
      </c>
      <c r="F5030" s="3">
        <v>0</v>
      </c>
      <c r="G5030" s="3">
        <v>0</v>
      </c>
      <c r="H5030" s="2">
        <f t="shared" si="156"/>
        <v>12</v>
      </c>
      <c r="I5030" t="str">
        <f t="shared" si="157"/>
        <v>Nprl3_12</v>
      </c>
      <c r="J5030" s="3">
        <v>0</v>
      </c>
      <c r="K5030" s="3">
        <v>0</v>
      </c>
      <c r="L5030" s="3">
        <v>12</v>
      </c>
      <c r="M5030" s="3">
        <v>0</v>
      </c>
      <c r="N5030" s="3">
        <v>0</v>
      </c>
    </row>
    <row r="5031" spans="1:14" x14ac:dyDescent="0.2">
      <c r="A5031" s="5" t="str">
        <f>HYPERLINK("http://www.ncbi.nlm.nih.gov/protein/153945724","Nptn")</f>
        <v>Nptn</v>
      </c>
      <c r="B5031" s="4"/>
      <c r="C5031" s="3">
        <v>0</v>
      </c>
      <c r="D5031" s="3">
        <v>175</v>
      </c>
      <c r="E5031" s="3">
        <v>457</v>
      </c>
      <c r="F5031" s="3">
        <v>0</v>
      </c>
      <c r="G5031" s="3">
        <v>0</v>
      </c>
      <c r="H5031" s="2">
        <f t="shared" si="156"/>
        <v>632</v>
      </c>
      <c r="I5031" t="str">
        <f t="shared" si="157"/>
        <v>Nptn_632</v>
      </c>
      <c r="J5031" s="3">
        <v>0</v>
      </c>
      <c r="K5031" s="3">
        <v>175</v>
      </c>
      <c r="L5031" s="3">
        <v>457</v>
      </c>
      <c r="M5031" s="3">
        <v>0</v>
      </c>
      <c r="N5031" s="3">
        <v>0</v>
      </c>
    </row>
    <row r="5032" spans="1:14" x14ac:dyDescent="0.2">
      <c r="A5032" s="5" t="str">
        <f>HYPERLINK("http://www.ncbi.nlm.nih.gov/protein/94400773","Nqo1")</f>
        <v>Nqo1</v>
      </c>
      <c r="B5032" s="4"/>
      <c r="C5032" s="3">
        <v>220</v>
      </c>
      <c r="D5032" s="3">
        <v>1937</v>
      </c>
      <c r="E5032" s="3">
        <v>5735</v>
      </c>
      <c r="F5032" s="3">
        <v>6753</v>
      </c>
      <c r="G5032" s="3">
        <v>112407</v>
      </c>
      <c r="H5032" s="2">
        <f t="shared" si="156"/>
        <v>127052</v>
      </c>
      <c r="I5032" t="str">
        <f t="shared" si="157"/>
        <v>Nqo1_127052</v>
      </c>
      <c r="J5032" s="3">
        <v>220</v>
      </c>
      <c r="K5032" s="3">
        <v>1937</v>
      </c>
      <c r="L5032" s="3">
        <v>5735</v>
      </c>
      <c r="M5032" s="3">
        <v>6753</v>
      </c>
      <c r="N5032" s="3">
        <v>112407</v>
      </c>
    </row>
    <row r="5033" spans="1:14" x14ac:dyDescent="0.2">
      <c r="A5033" s="5" t="str">
        <f>HYPERLINK("http://www.ncbi.nlm.nih.gov/protein/253795451","Nqo2")</f>
        <v>Nqo2</v>
      </c>
      <c r="B5033" s="4"/>
      <c r="C5033" s="3">
        <v>0</v>
      </c>
      <c r="D5033" s="3">
        <v>0</v>
      </c>
      <c r="E5033" s="3">
        <v>0</v>
      </c>
      <c r="F5033" s="3">
        <v>0</v>
      </c>
      <c r="G5033" s="3">
        <v>12530</v>
      </c>
      <c r="H5033" s="2">
        <f t="shared" si="156"/>
        <v>12530</v>
      </c>
      <c r="I5033" t="str">
        <f t="shared" si="157"/>
        <v>Nqo2_12530</v>
      </c>
      <c r="J5033" s="3">
        <v>0</v>
      </c>
      <c r="K5033" s="3">
        <v>0</v>
      </c>
      <c r="L5033" s="3">
        <v>0</v>
      </c>
      <c r="M5033" s="3">
        <v>0</v>
      </c>
      <c r="N5033" s="3">
        <v>12530</v>
      </c>
    </row>
    <row r="5034" spans="1:14" x14ac:dyDescent="0.2">
      <c r="A5034" s="5" t="str">
        <f>HYPERLINK("http://www.ncbi.nlm.nih.gov/protein/253795453","Nqo2")</f>
        <v>Nqo2</v>
      </c>
      <c r="B5034" s="4"/>
      <c r="C5034" s="3">
        <v>0</v>
      </c>
      <c r="D5034" s="3">
        <v>0</v>
      </c>
      <c r="E5034" s="3">
        <v>0</v>
      </c>
      <c r="F5034" s="3">
        <v>0</v>
      </c>
      <c r="G5034" s="3">
        <v>15711</v>
      </c>
      <c r="H5034" s="2">
        <f t="shared" si="156"/>
        <v>15711</v>
      </c>
      <c r="I5034" t="str">
        <f t="shared" si="157"/>
        <v>Nqo2_15711</v>
      </c>
      <c r="J5034" s="3">
        <v>0</v>
      </c>
      <c r="K5034" s="3">
        <v>0</v>
      </c>
      <c r="L5034" s="3">
        <v>0</v>
      </c>
      <c r="M5034" s="3">
        <v>0</v>
      </c>
      <c r="N5034" s="3">
        <v>15711</v>
      </c>
    </row>
    <row r="5035" spans="1:14" x14ac:dyDescent="0.2">
      <c r="A5035" s="5" t="str">
        <f>HYPERLINK("http://www.ncbi.nlm.nih.gov/protein/70980537","Nr2c2ap")</f>
        <v>Nr2c2ap</v>
      </c>
      <c r="B5035" s="4"/>
      <c r="C5035" s="3">
        <v>0</v>
      </c>
      <c r="D5035" s="3">
        <v>0</v>
      </c>
      <c r="E5035" s="3">
        <v>0</v>
      </c>
      <c r="F5035" s="3">
        <v>74</v>
      </c>
      <c r="G5035" s="3">
        <v>0</v>
      </c>
      <c r="H5035" s="2">
        <f t="shared" si="156"/>
        <v>74</v>
      </c>
      <c r="I5035" t="str">
        <f t="shared" si="157"/>
        <v>Nr2c2ap_74</v>
      </c>
      <c r="J5035" s="3">
        <v>0</v>
      </c>
      <c r="K5035" s="3">
        <v>0</v>
      </c>
      <c r="L5035" s="3">
        <v>0</v>
      </c>
      <c r="M5035" s="3">
        <v>74</v>
      </c>
      <c r="N5035" s="3">
        <v>0</v>
      </c>
    </row>
    <row r="5036" spans="1:14" x14ac:dyDescent="0.2">
      <c r="A5036" s="5" t="str">
        <f>HYPERLINK("http://www.ncbi.nlm.nih.gov/protein/121247453","Nr3c1")</f>
        <v>Nr3c1</v>
      </c>
      <c r="B5036" s="4"/>
      <c r="C5036" s="3">
        <v>0</v>
      </c>
      <c r="D5036" s="3">
        <v>0</v>
      </c>
      <c r="E5036" s="3">
        <v>0</v>
      </c>
      <c r="F5036" s="3">
        <v>147</v>
      </c>
      <c r="G5036" s="3">
        <v>3084</v>
      </c>
      <c r="H5036" s="2">
        <f t="shared" si="156"/>
        <v>3231</v>
      </c>
      <c r="I5036" t="str">
        <f t="shared" si="157"/>
        <v>Nr3c1_3231</v>
      </c>
      <c r="J5036" s="3">
        <v>0</v>
      </c>
      <c r="K5036" s="3">
        <v>0</v>
      </c>
      <c r="L5036" s="3">
        <v>0</v>
      </c>
      <c r="M5036" s="3">
        <v>147</v>
      </c>
      <c r="N5036" s="3">
        <v>3084</v>
      </c>
    </row>
    <row r="5037" spans="1:14" x14ac:dyDescent="0.2">
      <c r="A5037" s="5" t="str">
        <f>HYPERLINK("http://www.ncbi.nlm.nih.gov/protein/111154109","Nras")</f>
        <v>Nras</v>
      </c>
      <c r="B5037" s="4"/>
      <c r="C5037" s="3">
        <v>11331</v>
      </c>
      <c r="D5037" s="3">
        <v>15289</v>
      </c>
      <c r="E5037" s="3">
        <v>26599</v>
      </c>
      <c r="F5037" s="3">
        <v>11206</v>
      </c>
      <c r="G5037" s="3">
        <v>3834</v>
      </c>
      <c r="H5037" s="2">
        <f t="shared" si="156"/>
        <v>68259</v>
      </c>
      <c r="I5037" t="str">
        <f t="shared" si="157"/>
        <v>Nras_68259</v>
      </c>
      <c r="J5037" s="3">
        <v>11331</v>
      </c>
      <c r="K5037" s="3">
        <v>15289</v>
      </c>
      <c r="L5037" s="3">
        <v>26599</v>
      </c>
      <c r="M5037" s="3">
        <v>11206</v>
      </c>
      <c r="N5037" s="3">
        <v>3834</v>
      </c>
    </row>
    <row r="5038" spans="1:14" x14ac:dyDescent="0.2">
      <c r="A5038" s="5" t="str">
        <f>HYPERLINK("http://www.ncbi.nlm.nih.gov/protein/22219434","Nrbp1")</f>
        <v>Nrbp1</v>
      </c>
      <c r="B5038" s="4"/>
      <c r="C5038" s="3">
        <v>0</v>
      </c>
      <c r="D5038" s="3">
        <v>180</v>
      </c>
      <c r="E5038" s="3">
        <v>405</v>
      </c>
      <c r="F5038" s="3">
        <v>1072</v>
      </c>
      <c r="G5038" s="3">
        <v>396</v>
      </c>
      <c r="H5038" s="2">
        <f t="shared" si="156"/>
        <v>2053</v>
      </c>
      <c r="I5038" t="str">
        <f t="shared" si="157"/>
        <v>Nrbp1_2053</v>
      </c>
      <c r="J5038" s="3">
        <v>0</v>
      </c>
      <c r="K5038" s="3">
        <v>180</v>
      </c>
      <c r="L5038" s="3">
        <v>405</v>
      </c>
      <c r="M5038" s="3">
        <v>1072</v>
      </c>
      <c r="N5038" s="3">
        <v>396</v>
      </c>
    </row>
    <row r="5039" spans="1:14" x14ac:dyDescent="0.2">
      <c r="A5039" s="5" t="str">
        <f>HYPERLINK("http://www.ncbi.nlm.nih.gov/protein/21450055","Nrbp2")</f>
        <v>Nrbp2</v>
      </c>
      <c r="B5039" s="4"/>
      <c r="C5039" s="3">
        <v>0</v>
      </c>
      <c r="D5039" s="3">
        <v>0</v>
      </c>
      <c r="E5039" s="3">
        <v>0</v>
      </c>
      <c r="F5039" s="3">
        <v>0</v>
      </c>
      <c r="G5039" s="3">
        <v>1296</v>
      </c>
      <c r="H5039" s="2">
        <f t="shared" si="156"/>
        <v>1296</v>
      </c>
      <c r="I5039" t="str">
        <f t="shared" si="157"/>
        <v>Nrbp2_1296</v>
      </c>
      <c r="J5039" s="3">
        <v>0</v>
      </c>
      <c r="K5039" s="3">
        <v>0</v>
      </c>
      <c r="L5039" s="3">
        <v>0</v>
      </c>
      <c r="M5039" s="3">
        <v>0</v>
      </c>
      <c r="N5039" s="3">
        <v>1296</v>
      </c>
    </row>
    <row r="5040" spans="1:14" x14ac:dyDescent="0.2">
      <c r="A5040" s="5" t="str">
        <f>HYPERLINK("http://www.ncbi.nlm.nih.gov/protein/31559918","Nrd1")</f>
        <v>Nrd1</v>
      </c>
      <c r="B5040" s="4"/>
      <c r="C5040" s="3">
        <v>0</v>
      </c>
      <c r="D5040" s="3">
        <v>0</v>
      </c>
      <c r="E5040" s="3">
        <v>187</v>
      </c>
      <c r="F5040" s="3">
        <v>0</v>
      </c>
      <c r="G5040" s="3">
        <v>32803</v>
      </c>
      <c r="H5040" s="2">
        <f t="shared" si="156"/>
        <v>32990</v>
      </c>
      <c r="I5040" t="str">
        <f t="shared" si="157"/>
        <v>Nrd1_32990</v>
      </c>
      <c r="J5040" s="3">
        <v>0</v>
      </c>
      <c r="K5040" s="3">
        <v>0</v>
      </c>
      <c r="L5040" s="3">
        <v>187</v>
      </c>
      <c r="M5040" s="3">
        <v>0</v>
      </c>
      <c r="N5040" s="3">
        <v>32803</v>
      </c>
    </row>
    <row r="5041" spans="1:14" x14ac:dyDescent="0.2">
      <c r="A5041" s="5" t="str">
        <f>HYPERLINK("http://www.ncbi.nlm.nih.gov/protein/6679132","Nrl")</f>
        <v>Nrl</v>
      </c>
      <c r="B5041" s="4"/>
      <c r="C5041" s="3">
        <v>0</v>
      </c>
      <c r="D5041" s="3">
        <v>0</v>
      </c>
      <c r="E5041" s="3">
        <v>205</v>
      </c>
      <c r="F5041" s="3">
        <v>6982</v>
      </c>
      <c r="G5041" s="3">
        <v>0</v>
      </c>
      <c r="H5041" s="2">
        <f t="shared" si="156"/>
        <v>7187</v>
      </c>
      <c r="I5041" t="str">
        <f t="shared" si="157"/>
        <v>Nrl_7187</v>
      </c>
      <c r="J5041" s="3">
        <v>0</v>
      </c>
      <c r="K5041" s="3">
        <v>0</v>
      </c>
      <c r="L5041" s="3">
        <v>205</v>
      </c>
      <c r="M5041" s="3">
        <v>6982</v>
      </c>
      <c r="N5041" s="3">
        <v>0</v>
      </c>
    </row>
    <row r="5042" spans="1:14" x14ac:dyDescent="0.2">
      <c r="A5042" s="5" t="str">
        <f>HYPERLINK("http://www.ncbi.nlm.nih.gov/protein/19527352","Nrm")</f>
        <v>Nrm</v>
      </c>
      <c r="B5042" s="4"/>
      <c r="C5042" s="3">
        <v>7707</v>
      </c>
      <c r="D5042" s="3">
        <v>0</v>
      </c>
      <c r="E5042" s="3">
        <v>0</v>
      </c>
      <c r="F5042" s="3">
        <v>0</v>
      </c>
      <c r="G5042" s="3">
        <v>0</v>
      </c>
      <c r="H5042" s="2">
        <f t="shared" si="156"/>
        <v>7707</v>
      </c>
      <c r="I5042" t="str">
        <f t="shared" si="157"/>
        <v>Nrm_7707</v>
      </c>
      <c r="J5042" s="3">
        <v>7707</v>
      </c>
      <c r="K5042" s="3">
        <v>0</v>
      </c>
      <c r="L5042" s="3">
        <v>0</v>
      </c>
      <c r="M5042" s="3">
        <v>0</v>
      </c>
      <c r="N5042" s="3">
        <v>0</v>
      </c>
    </row>
    <row r="5043" spans="1:14" x14ac:dyDescent="0.2">
      <c r="A5043" s="5" t="str">
        <f>HYPERLINK("http://www.ncbi.nlm.nih.gov/protein/244792700","Nrp1")</f>
        <v>Nrp1</v>
      </c>
      <c r="B5043" s="4"/>
      <c r="C5043" s="3">
        <v>0</v>
      </c>
      <c r="D5043" s="3">
        <v>4</v>
      </c>
      <c r="E5043" s="3">
        <v>116</v>
      </c>
      <c r="F5043" s="3">
        <v>0</v>
      </c>
      <c r="G5043" s="3">
        <v>0</v>
      </c>
      <c r="H5043" s="2">
        <f t="shared" si="156"/>
        <v>120</v>
      </c>
      <c r="I5043" t="str">
        <f t="shared" si="157"/>
        <v>Nrp1_120</v>
      </c>
      <c r="J5043" s="3">
        <v>0</v>
      </c>
      <c r="K5043" s="3">
        <v>4</v>
      </c>
      <c r="L5043" s="3">
        <v>116</v>
      </c>
      <c r="M5043" s="3">
        <v>0</v>
      </c>
      <c r="N5043" s="3">
        <v>0</v>
      </c>
    </row>
    <row r="5044" spans="1:14" x14ac:dyDescent="0.2">
      <c r="A5044" s="5" t="str">
        <f>HYPERLINK("http://www.ncbi.nlm.nih.gov/protein/31982437","Nsdhl")</f>
        <v>Nsdhl</v>
      </c>
      <c r="B5044" s="4"/>
      <c r="C5044" s="3">
        <v>458</v>
      </c>
      <c r="D5044" s="3">
        <v>7847</v>
      </c>
      <c r="E5044" s="3">
        <v>4485</v>
      </c>
      <c r="F5044" s="3">
        <v>0</v>
      </c>
      <c r="G5044" s="3">
        <v>0</v>
      </c>
      <c r="H5044" s="2">
        <f t="shared" si="156"/>
        <v>12790</v>
      </c>
      <c r="I5044" t="str">
        <f t="shared" si="157"/>
        <v>Nsdhl_12790</v>
      </c>
      <c r="J5044" s="3">
        <v>458</v>
      </c>
      <c r="K5044" s="3">
        <v>7847</v>
      </c>
      <c r="L5044" s="3">
        <v>4485</v>
      </c>
      <c r="M5044" s="3">
        <v>0</v>
      </c>
      <c r="N5044" s="3">
        <v>0</v>
      </c>
    </row>
    <row r="5045" spans="1:14" x14ac:dyDescent="0.2">
      <c r="A5045" s="5" t="str">
        <f>HYPERLINK("http://www.ncbi.nlm.nih.gov/protein/31543349","Nsf")</f>
        <v>Nsf</v>
      </c>
      <c r="B5045" s="4"/>
      <c r="C5045" s="3">
        <v>7908</v>
      </c>
      <c r="D5045" s="3">
        <v>11903</v>
      </c>
      <c r="E5045" s="3">
        <v>39147</v>
      </c>
      <c r="F5045" s="3">
        <v>14734</v>
      </c>
      <c r="G5045" s="3">
        <v>0</v>
      </c>
      <c r="H5045" s="2">
        <f t="shared" si="156"/>
        <v>73692</v>
      </c>
      <c r="I5045" t="str">
        <f t="shared" si="157"/>
        <v>Nsf_73692</v>
      </c>
      <c r="J5045" s="3">
        <v>7908</v>
      </c>
      <c r="K5045" s="3">
        <v>11903</v>
      </c>
      <c r="L5045" s="3">
        <v>39147</v>
      </c>
      <c r="M5045" s="3">
        <v>14734</v>
      </c>
      <c r="N5045" s="3">
        <v>0</v>
      </c>
    </row>
    <row r="5046" spans="1:14" x14ac:dyDescent="0.2">
      <c r="A5046" s="5" t="str">
        <f>HYPERLINK("http://www.ncbi.nlm.nih.gov/protein/38198665","Nsfl1c")</f>
        <v>Nsfl1c</v>
      </c>
      <c r="B5046" s="4"/>
      <c r="C5046" s="3">
        <v>0</v>
      </c>
      <c r="D5046" s="3">
        <v>9934</v>
      </c>
      <c r="E5046" s="3">
        <v>12210</v>
      </c>
      <c r="F5046" s="3">
        <v>32808</v>
      </c>
      <c r="G5046" s="3">
        <v>148776</v>
      </c>
      <c r="H5046" s="2">
        <f t="shared" si="156"/>
        <v>203728</v>
      </c>
      <c r="I5046" t="str">
        <f t="shared" si="157"/>
        <v>Nsfl1c_203728</v>
      </c>
      <c r="J5046" s="3">
        <v>0</v>
      </c>
      <c r="K5046" s="3">
        <v>9934</v>
      </c>
      <c r="L5046" s="3">
        <v>12210</v>
      </c>
      <c r="M5046" s="3">
        <v>32808</v>
      </c>
      <c r="N5046" s="3">
        <v>148776</v>
      </c>
    </row>
    <row r="5047" spans="1:14" x14ac:dyDescent="0.2">
      <c r="A5047" s="5" t="str">
        <f>HYPERLINK("http://www.ncbi.nlm.nih.gov/protein/257196205","Nsmce2")</f>
        <v>Nsmce2</v>
      </c>
      <c r="B5047" s="4"/>
      <c r="C5047" s="3">
        <v>897</v>
      </c>
      <c r="D5047" s="3">
        <v>0</v>
      </c>
      <c r="E5047" s="3">
        <v>0</v>
      </c>
      <c r="F5047" s="3">
        <v>0</v>
      </c>
      <c r="G5047" s="3">
        <v>0</v>
      </c>
      <c r="H5047" s="2">
        <f t="shared" si="156"/>
        <v>897</v>
      </c>
      <c r="I5047" t="str">
        <f t="shared" si="157"/>
        <v>Nsmce2_897</v>
      </c>
      <c r="J5047" s="3">
        <v>897</v>
      </c>
      <c r="K5047" s="3">
        <v>0</v>
      </c>
      <c r="L5047" s="3">
        <v>0</v>
      </c>
      <c r="M5047" s="3">
        <v>0</v>
      </c>
      <c r="N5047" s="3">
        <v>0</v>
      </c>
    </row>
    <row r="5048" spans="1:14" x14ac:dyDescent="0.2">
      <c r="A5048" s="5" t="str">
        <f>HYPERLINK("http://www.ncbi.nlm.nih.gov/protein/257196207","Nsmce2")</f>
        <v>Nsmce2</v>
      </c>
      <c r="B5048" s="4"/>
      <c r="C5048" s="3">
        <v>897</v>
      </c>
      <c r="D5048" s="3">
        <v>0</v>
      </c>
      <c r="E5048" s="3">
        <v>0</v>
      </c>
      <c r="F5048" s="3">
        <v>0</v>
      </c>
      <c r="G5048" s="3">
        <v>0</v>
      </c>
      <c r="H5048" s="2">
        <f t="shared" si="156"/>
        <v>897</v>
      </c>
      <c r="I5048" t="str">
        <f t="shared" si="157"/>
        <v>Nsmce2_897</v>
      </c>
      <c r="J5048" s="3">
        <v>897</v>
      </c>
      <c r="K5048" s="3">
        <v>0</v>
      </c>
      <c r="L5048" s="3">
        <v>0</v>
      </c>
      <c r="M5048" s="3">
        <v>0</v>
      </c>
      <c r="N5048" s="3">
        <v>0</v>
      </c>
    </row>
    <row r="5049" spans="1:14" x14ac:dyDescent="0.2">
      <c r="A5049" s="5" t="str">
        <f>HYPERLINK("http://www.ncbi.nlm.nih.gov/protein/242246981","Nsmce4a")</f>
        <v>Nsmce4a</v>
      </c>
      <c r="B5049" s="4"/>
      <c r="C5049" s="3">
        <v>732</v>
      </c>
      <c r="D5049" s="3">
        <v>0</v>
      </c>
      <c r="E5049" s="3">
        <v>0</v>
      </c>
      <c r="F5049" s="3">
        <v>0</v>
      </c>
      <c r="G5049" s="3">
        <v>0</v>
      </c>
      <c r="H5049" s="2">
        <f t="shared" si="156"/>
        <v>732</v>
      </c>
      <c r="I5049" t="str">
        <f t="shared" si="157"/>
        <v>Nsmce4a_732</v>
      </c>
      <c r="J5049" s="3">
        <v>732</v>
      </c>
      <c r="K5049" s="3">
        <v>0</v>
      </c>
      <c r="L5049" s="3">
        <v>0</v>
      </c>
      <c r="M5049" s="3">
        <v>0</v>
      </c>
      <c r="N5049" s="3">
        <v>0</v>
      </c>
    </row>
    <row r="5050" spans="1:14" x14ac:dyDescent="0.2">
      <c r="A5050" s="5" t="str">
        <f>HYPERLINK("http://www.ncbi.nlm.nih.gov/protein/295054316","Nsun2")</f>
        <v>Nsun2</v>
      </c>
      <c r="B5050" s="4"/>
      <c r="C5050" s="3">
        <v>0</v>
      </c>
      <c r="D5050" s="3">
        <v>647</v>
      </c>
      <c r="E5050" s="3">
        <v>1097</v>
      </c>
      <c r="F5050" s="3">
        <v>8292</v>
      </c>
      <c r="G5050" s="3">
        <v>55614</v>
      </c>
      <c r="H5050" s="2">
        <f t="shared" si="156"/>
        <v>65650</v>
      </c>
      <c r="I5050" t="str">
        <f t="shared" si="157"/>
        <v>Nsun2_65650</v>
      </c>
      <c r="J5050" s="3">
        <v>0</v>
      </c>
      <c r="K5050" s="3">
        <v>647</v>
      </c>
      <c r="L5050" s="3">
        <v>1097</v>
      </c>
      <c r="M5050" s="3">
        <v>8292</v>
      </c>
      <c r="N5050" s="3">
        <v>55614</v>
      </c>
    </row>
    <row r="5051" spans="1:14" x14ac:dyDescent="0.2">
      <c r="A5051" s="5" t="str">
        <f>HYPERLINK("http://www.ncbi.nlm.nih.gov/protein/154146245","Nsun5")</f>
        <v>Nsun5</v>
      </c>
      <c r="B5051" s="4"/>
      <c r="C5051" s="3">
        <v>0</v>
      </c>
      <c r="D5051" s="3">
        <v>0</v>
      </c>
      <c r="E5051" s="3">
        <v>155</v>
      </c>
      <c r="F5051" s="3">
        <v>0</v>
      </c>
      <c r="G5051" s="3">
        <v>0</v>
      </c>
      <c r="H5051" s="2">
        <f t="shared" si="156"/>
        <v>155</v>
      </c>
      <c r="I5051" t="str">
        <f t="shared" si="157"/>
        <v>Nsun5_155</v>
      </c>
      <c r="J5051" s="3">
        <v>0</v>
      </c>
      <c r="K5051" s="3">
        <v>0</v>
      </c>
      <c r="L5051" s="3">
        <v>155</v>
      </c>
      <c r="M5051" s="3">
        <v>0</v>
      </c>
      <c r="N5051" s="3">
        <v>0</v>
      </c>
    </row>
    <row r="5052" spans="1:14" x14ac:dyDescent="0.2">
      <c r="A5052" s="5" t="str">
        <f>HYPERLINK("http://www.ncbi.nlm.nih.gov/protein/260099658","Nsun6")</f>
        <v>Nsun6</v>
      </c>
      <c r="B5052" s="4"/>
      <c r="C5052" s="3">
        <v>0</v>
      </c>
      <c r="D5052" s="3">
        <v>0</v>
      </c>
      <c r="E5052" s="3">
        <v>20</v>
      </c>
      <c r="F5052" s="3">
        <v>0</v>
      </c>
      <c r="G5052" s="3">
        <v>1478</v>
      </c>
      <c r="H5052" s="2">
        <f t="shared" si="156"/>
        <v>1498</v>
      </c>
      <c r="I5052" t="str">
        <f t="shared" si="157"/>
        <v>Nsun6_1498</v>
      </c>
      <c r="J5052" s="3">
        <v>0</v>
      </c>
      <c r="K5052" s="3">
        <v>0</v>
      </c>
      <c r="L5052" s="3">
        <v>20</v>
      </c>
      <c r="M5052" s="3">
        <v>0</v>
      </c>
      <c r="N5052" s="3">
        <v>1478</v>
      </c>
    </row>
    <row r="5053" spans="1:14" x14ac:dyDescent="0.2">
      <c r="A5053" s="5" t="str">
        <f>HYPERLINK("http://www.ncbi.nlm.nih.gov/protein/260099662","Nsun6")</f>
        <v>Nsun6</v>
      </c>
      <c r="B5053" s="4"/>
      <c r="C5053" s="3">
        <v>0</v>
      </c>
      <c r="D5053" s="3">
        <v>0</v>
      </c>
      <c r="E5053" s="3">
        <v>20</v>
      </c>
      <c r="F5053" s="3">
        <v>0</v>
      </c>
      <c r="G5053" s="3">
        <v>1403</v>
      </c>
      <c r="H5053" s="2">
        <f t="shared" si="156"/>
        <v>1423</v>
      </c>
      <c r="I5053" t="str">
        <f t="shared" si="157"/>
        <v>Nsun6_1423</v>
      </c>
      <c r="J5053" s="3">
        <v>0</v>
      </c>
      <c r="K5053" s="3">
        <v>0</v>
      </c>
      <c r="L5053" s="3">
        <v>20</v>
      </c>
      <c r="M5053" s="3">
        <v>0</v>
      </c>
      <c r="N5053" s="3">
        <v>1403</v>
      </c>
    </row>
    <row r="5054" spans="1:14" x14ac:dyDescent="0.2">
      <c r="A5054" s="5" t="str">
        <f>HYPERLINK("http://www.ncbi.nlm.nih.gov/protein/260099664","Nsun6")</f>
        <v>Nsun6</v>
      </c>
      <c r="B5054" s="4"/>
      <c r="C5054" s="3">
        <v>0</v>
      </c>
      <c r="D5054" s="3">
        <v>0</v>
      </c>
      <c r="E5054" s="3">
        <v>20</v>
      </c>
      <c r="F5054" s="3">
        <v>0</v>
      </c>
      <c r="G5054" s="3">
        <v>75</v>
      </c>
      <c r="H5054" s="2">
        <f t="shared" si="156"/>
        <v>95</v>
      </c>
      <c r="I5054" t="str">
        <f t="shared" si="157"/>
        <v>Nsun6_95</v>
      </c>
      <c r="J5054" s="3">
        <v>0</v>
      </c>
      <c r="K5054" s="3">
        <v>0</v>
      </c>
      <c r="L5054" s="3">
        <v>20</v>
      </c>
      <c r="M5054" s="3">
        <v>0</v>
      </c>
      <c r="N5054" s="3">
        <v>75</v>
      </c>
    </row>
    <row r="5055" spans="1:14" x14ac:dyDescent="0.2">
      <c r="A5055" s="5" t="str">
        <f>HYPERLINK("http://www.ncbi.nlm.nih.gov/protein/7657031","Nt5c")</f>
        <v>Nt5c</v>
      </c>
      <c r="B5055" s="4"/>
      <c r="C5055" s="3">
        <v>0</v>
      </c>
      <c r="D5055" s="3">
        <v>125</v>
      </c>
      <c r="E5055" s="3">
        <v>35</v>
      </c>
      <c r="F5055" s="3">
        <v>0</v>
      </c>
      <c r="G5055" s="3">
        <v>5922</v>
      </c>
      <c r="H5055" s="2">
        <f t="shared" si="156"/>
        <v>6082</v>
      </c>
      <c r="I5055" t="str">
        <f t="shared" si="157"/>
        <v>Nt5c_6082</v>
      </c>
      <c r="J5055" s="3">
        <v>0</v>
      </c>
      <c r="K5055" s="3">
        <v>125</v>
      </c>
      <c r="L5055" s="3">
        <v>35</v>
      </c>
      <c r="M5055" s="3">
        <v>0</v>
      </c>
      <c r="N5055" s="3">
        <v>5922</v>
      </c>
    </row>
    <row r="5056" spans="1:14" x14ac:dyDescent="0.2">
      <c r="A5056" s="5" t="str">
        <f>HYPERLINK("http://www.ncbi.nlm.nih.gov/protein/256665234","Nt5c2")</f>
        <v>Nt5c2</v>
      </c>
      <c r="B5056" s="4"/>
      <c r="C5056" s="3">
        <v>0</v>
      </c>
      <c r="D5056" s="3">
        <v>695</v>
      </c>
      <c r="E5056" s="3">
        <v>5029</v>
      </c>
      <c r="F5056" s="3">
        <v>83304</v>
      </c>
      <c r="G5056" s="3">
        <v>84252</v>
      </c>
      <c r="H5056" s="2">
        <f t="shared" si="156"/>
        <v>173280</v>
      </c>
      <c r="I5056" t="str">
        <f t="shared" si="157"/>
        <v>Nt5c2_173280</v>
      </c>
      <c r="J5056" s="3">
        <v>0</v>
      </c>
      <c r="K5056" s="3">
        <v>695</v>
      </c>
      <c r="L5056" s="3">
        <v>5029</v>
      </c>
      <c r="M5056" s="3">
        <v>83304</v>
      </c>
      <c r="N5056" s="3">
        <v>84252</v>
      </c>
    </row>
    <row r="5057" spans="1:14" x14ac:dyDescent="0.2">
      <c r="A5057" s="5" t="str">
        <f>HYPERLINK("http://www.ncbi.nlm.nih.gov/protein/256665236","Nt5c2")</f>
        <v>Nt5c2</v>
      </c>
      <c r="B5057" s="4"/>
      <c r="C5057" s="3">
        <v>0</v>
      </c>
      <c r="D5057" s="3">
        <v>695</v>
      </c>
      <c r="E5057" s="3">
        <v>5029</v>
      </c>
      <c r="F5057" s="3">
        <v>83304</v>
      </c>
      <c r="G5057" s="3">
        <v>84252</v>
      </c>
      <c r="H5057" s="2">
        <f t="shared" si="156"/>
        <v>173280</v>
      </c>
      <c r="I5057" t="str">
        <f t="shared" si="157"/>
        <v>Nt5c2_173280</v>
      </c>
      <c r="J5057" s="3">
        <v>0</v>
      </c>
      <c r="K5057" s="3">
        <v>695</v>
      </c>
      <c r="L5057" s="3">
        <v>5029</v>
      </c>
      <c r="M5057" s="3">
        <v>83304</v>
      </c>
      <c r="N5057" s="3">
        <v>84252</v>
      </c>
    </row>
    <row r="5058" spans="1:14" x14ac:dyDescent="0.2">
      <c r="A5058" s="5" t="str">
        <f>HYPERLINK("http://www.ncbi.nlm.nih.gov/protein/256665238","Nt5c2")</f>
        <v>Nt5c2</v>
      </c>
      <c r="B5058" s="4"/>
      <c r="C5058" s="3">
        <v>0</v>
      </c>
      <c r="D5058" s="3">
        <v>695</v>
      </c>
      <c r="E5058" s="3">
        <v>5029</v>
      </c>
      <c r="F5058" s="3">
        <v>83304</v>
      </c>
      <c r="G5058" s="3">
        <v>84252</v>
      </c>
      <c r="H5058" s="2">
        <f t="shared" ref="H5058:H5121" si="158">SUM(C5058:G5058)</f>
        <v>173280</v>
      </c>
      <c r="I5058" t="str">
        <f t="shared" ref="I5058:I5121" si="159">A5058&amp;"_"&amp;H5058</f>
        <v>Nt5c2_173280</v>
      </c>
      <c r="J5058" s="3">
        <v>0</v>
      </c>
      <c r="K5058" s="3">
        <v>695</v>
      </c>
      <c r="L5058" s="3">
        <v>5029</v>
      </c>
      <c r="M5058" s="3">
        <v>83304</v>
      </c>
      <c r="N5058" s="3">
        <v>84252</v>
      </c>
    </row>
    <row r="5059" spans="1:14" x14ac:dyDescent="0.2">
      <c r="A5059" s="5" t="str">
        <f>HYPERLINK("http://www.ncbi.nlm.nih.gov/protein/172072627","Nt5c3")</f>
        <v>Nt5c3</v>
      </c>
      <c r="B5059" s="4"/>
      <c r="C5059" s="3">
        <v>0</v>
      </c>
      <c r="D5059" s="3">
        <v>1850</v>
      </c>
      <c r="E5059" s="3">
        <v>1125</v>
      </c>
      <c r="F5059" s="3">
        <v>0</v>
      </c>
      <c r="G5059" s="3">
        <v>2345</v>
      </c>
      <c r="H5059" s="2">
        <f t="shared" si="158"/>
        <v>5320</v>
      </c>
      <c r="I5059" t="str">
        <f t="shared" si="159"/>
        <v>Nt5c3_5320</v>
      </c>
      <c r="J5059" s="3">
        <v>0</v>
      </c>
      <c r="K5059" s="3">
        <v>1850</v>
      </c>
      <c r="L5059" s="3">
        <v>1125</v>
      </c>
      <c r="M5059" s="3">
        <v>0</v>
      </c>
      <c r="N5059" s="3">
        <v>2345</v>
      </c>
    </row>
    <row r="5060" spans="1:14" x14ac:dyDescent="0.2">
      <c r="A5060" s="5" t="str">
        <f>HYPERLINK("http://www.ncbi.nlm.nih.gov/protein/356991161","Nt5c3")</f>
        <v>Nt5c3</v>
      </c>
      <c r="B5060" s="4"/>
      <c r="C5060" s="3">
        <v>0</v>
      </c>
      <c r="D5060" s="3">
        <v>1850</v>
      </c>
      <c r="E5060" s="3">
        <v>1125</v>
      </c>
      <c r="F5060" s="3">
        <v>0</v>
      </c>
      <c r="G5060" s="3">
        <v>2345</v>
      </c>
      <c r="H5060" s="2">
        <f t="shared" si="158"/>
        <v>5320</v>
      </c>
      <c r="I5060" t="str">
        <f t="shared" si="159"/>
        <v>Nt5c3_5320</v>
      </c>
      <c r="J5060" s="3">
        <v>0</v>
      </c>
      <c r="K5060" s="3">
        <v>1850</v>
      </c>
      <c r="L5060" s="3">
        <v>1125</v>
      </c>
      <c r="M5060" s="3">
        <v>0</v>
      </c>
      <c r="N5060" s="3">
        <v>2345</v>
      </c>
    </row>
    <row r="5061" spans="1:14" x14ac:dyDescent="0.2">
      <c r="A5061" s="5" t="str">
        <f>HYPERLINK("http://www.ncbi.nlm.nih.gov/protein/156627551","Nt5c3b")</f>
        <v>Nt5c3b</v>
      </c>
      <c r="B5061" s="4"/>
      <c r="C5061" s="3">
        <v>0</v>
      </c>
      <c r="D5061" s="3">
        <v>169</v>
      </c>
      <c r="E5061" s="3">
        <v>0</v>
      </c>
      <c r="F5061" s="3">
        <v>0</v>
      </c>
      <c r="G5061" s="3">
        <v>14029</v>
      </c>
      <c r="H5061" s="2">
        <f t="shared" si="158"/>
        <v>14198</v>
      </c>
      <c r="I5061" t="str">
        <f t="shared" si="159"/>
        <v>Nt5c3b_14198</v>
      </c>
      <c r="J5061" s="3">
        <v>0</v>
      </c>
      <c r="K5061" s="3">
        <v>169</v>
      </c>
      <c r="L5061" s="3">
        <v>0</v>
      </c>
      <c r="M5061" s="3">
        <v>0</v>
      </c>
      <c r="N5061" s="3">
        <v>14029</v>
      </c>
    </row>
    <row r="5062" spans="1:14" x14ac:dyDescent="0.2">
      <c r="A5062" s="5" t="str">
        <f>HYPERLINK("http://www.ncbi.nlm.nih.gov/protein/156627553","Nt5c3b")</f>
        <v>Nt5c3b</v>
      </c>
      <c r="B5062" s="4"/>
      <c r="C5062" s="3">
        <v>0</v>
      </c>
      <c r="D5062" s="3">
        <v>169</v>
      </c>
      <c r="E5062" s="3">
        <v>0</v>
      </c>
      <c r="F5062" s="3">
        <v>0</v>
      </c>
      <c r="G5062" s="3">
        <v>14747</v>
      </c>
      <c r="H5062" s="2">
        <f t="shared" si="158"/>
        <v>14916</v>
      </c>
      <c r="I5062" t="str">
        <f t="shared" si="159"/>
        <v>Nt5c3b_14916</v>
      </c>
      <c r="J5062" s="3">
        <v>0</v>
      </c>
      <c r="K5062" s="3">
        <v>169</v>
      </c>
      <c r="L5062" s="3">
        <v>0</v>
      </c>
      <c r="M5062" s="3">
        <v>0</v>
      </c>
      <c r="N5062" s="3">
        <v>14747</v>
      </c>
    </row>
    <row r="5063" spans="1:14" x14ac:dyDescent="0.2">
      <c r="A5063" s="5" t="str">
        <f>HYPERLINK("http://www.ncbi.nlm.nih.gov/protein/110626010","Nt5dc1")</f>
        <v>Nt5dc1</v>
      </c>
      <c r="B5063" s="4"/>
      <c r="C5063" s="3">
        <v>0</v>
      </c>
      <c r="D5063" s="3">
        <v>230</v>
      </c>
      <c r="E5063" s="3">
        <v>301</v>
      </c>
      <c r="F5063" s="3">
        <v>0</v>
      </c>
      <c r="G5063" s="3">
        <v>59641</v>
      </c>
      <c r="H5063" s="2">
        <f t="shared" si="158"/>
        <v>60172</v>
      </c>
      <c r="I5063" t="str">
        <f t="shared" si="159"/>
        <v>Nt5dc1_60172</v>
      </c>
      <c r="J5063" s="3">
        <v>0</v>
      </c>
      <c r="K5063" s="3">
        <v>230</v>
      </c>
      <c r="L5063" s="3">
        <v>301</v>
      </c>
      <c r="M5063" s="3">
        <v>0</v>
      </c>
      <c r="N5063" s="3">
        <v>59641</v>
      </c>
    </row>
    <row r="5064" spans="1:14" x14ac:dyDescent="0.2">
      <c r="A5064" s="5" t="str">
        <f>HYPERLINK("http://www.ncbi.nlm.nih.gov/protein/110625755","Nt5dc2")</f>
        <v>Nt5dc2</v>
      </c>
      <c r="B5064" s="4"/>
      <c r="C5064" s="3">
        <v>0</v>
      </c>
      <c r="D5064" s="3">
        <v>474</v>
      </c>
      <c r="E5064" s="3">
        <v>0</v>
      </c>
      <c r="F5064" s="3">
        <v>0</v>
      </c>
      <c r="G5064" s="3">
        <v>0</v>
      </c>
      <c r="H5064" s="2">
        <f t="shared" si="158"/>
        <v>474</v>
      </c>
      <c r="I5064" t="str">
        <f t="shared" si="159"/>
        <v>Nt5dc2_474</v>
      </c>
      <c r="J5064" s="3">
        <v>0</v>
      </c>
      <c r="K5064" s="3">
        <v>474</v>
      </c>
      <c r="L5064" s="3">
        <v>0</v>
      </c>
      <c r="M5064" s="3">
        <v>0</v>
      </c>
      <c r="N5064" s="3">
        <v>0</v>
      </c>
    </row>
    <row r="5065" spans="1:14" x14ac:dyDescent="0.2">
      <c r="A5065" s="5" t="str">
        <f>HYPERLINK("http://www.ncbi.nlm.nih.gov/protein/111494223","Nt5dc3")</f>
        <v>Nt5dc3</v>
      </c>
      <c r="B5065" s="4"/>
      <c r="C5065" s="3">
        <v>0</v>
      </c>
      <c r="D5065" s="3">
        <v>557</v>
      </c>
      <c r="E5065" s="3">
        <v>0</v>
      </c>
      <c r="F5065" s="3">
        <v>0</v>
      </c>
      <c r="G5065" s="3">
        <v>0</v>
      </c>
      <c r="H5065" s="2">
        <f t="shared" si="158"/>
        <v>557</v>
      </c>
      <c r="I5065" t="str">
        <f t="shared" si="159"/>
        <v>Nt5dc3_557</v>
      </c>
      <c r="J5065" s="3">
        <v>0</v>
      </c>
      <c r="K5065" s="3">
        <v>557</v>
      </c>
      <c r="L5065" s="3">
        <v>0</v>
      </c>
      <c r="M5065" s="3">
        <v>0</v>
      </c>
      <c r="N5065" s="3">
        <v>0</v>
      </c>
    </row>
    <row r="5066" spans="1:14" x14ac:dyDescent="0.2">
      <c r="A5066" s="5" t="str">
        <f>HYPERLINK("http://www.ncbi.nlm.nih.gov/protein/6754902","Ntan1")</f>
        <v>Ntan1</v>
      </c>
      <c r="B5066" s="4"/>
      <c r="C5066" s="3">
        <v>0</v>
      </c>
      <c r="D5066" s="3">
        <v>0</v>
      </c>
      <c r="E5066" s="3">
        <v>0</v>
      </c>
      <c r="F5066" s="3">
        <v>516</v>
      </c>
      <c r="G5066" s="3">
        <v>8921</v>
      </c>
      <c r="H5066" s="2">
        <f t="shared" si="158"/>
        <v>9437</v>
      </c>
      <c r="I5066" t="str">
        <f t="shared" si="159"/>
        <v>Ntan1_9437</v>
      </c>
      <c r="J5066" s="3">
        <v>0</v>
      </c>
      <c r="K5066" s="3">
        <v>0</v>
      </c>
      <c r="L5066" s="3">
        <v>0</v>
      </c>
      <c r="M5066" s="3">
        <v>516</v>
      </c>
      <c r="N5066" s="3">
        <v>8921</v>
      </c>
    </row>
    <row r="5067" spans="1:14" x14ac:dyDescent="0.2">
      <c r="A5067" s="5" t="str">
        <f>HYPERLINK("http://www.ncbi.nlm.nih.gov/protein/24528555","Ntmt1")</f>
        <v>Ntmt1</v>
      </c>
      <c r="B5067" s="4"/>
      <c r="C5067" s="3">
        <v>0</v>
      </c>
      <c r="D5067" s="3">
        <v>342</v>
      </c>
      <c r="E5067" s="3">
        <v>345</v>
      </c>
      <c r="F5067" s="3">
        <v>0</v>
      </c>
      <c r="G5067" s="3">
        <v>5730</v>
      </c>
      <c r="H5067" s="2">
        <f t="shared" si="158"/>
        <v>6417</v>
      </c>
      <c r="I5067" t="str">
        <f t="shared" si="159"/>
        <v>Ntmt1_6417</v>
      </c>
      <c r="J5067" s="3">
        <v>0</v>
      </c>
      <c r="K5067" s="3">
        <v>342</v>
      </c>
      <c r="L5067" s="3">
        <v>345</v>
      </c>
      <c r="M5067" s="3">
        <v>0</v>
      </c>
      <c r="N5067" s="3">
        <v>5730</v>
      </c>
    </row>
    <row r="5068" spans="1:14" x14ac:dyDescent="0.2">
      <c r="A5068" s="5" t="str">
        <f>HYPERLINK("http://www.ncbi.nlm.nih.gov/protein/13385098","Ntpcr")</f>
        <v>Ntpcr</v>
      </c>
      <c r="B5068" s="4"/>
      <c r="C5068" s="3">
        <v>0</v>
      </c>
      <c r="D5068" s="3">
        <v>0</v>
      </c>
      <c r="E5068" s="3">
        <v>161</v>
      </c>
      <c r="F5068" s="3">
        <v>769</v>
      </c>
      <c r="G5068" s="3">
        <v>0</v>
      </c>
      <c r="H5068" s="2">
        <f t="shared" si="158"/>
        <v>930</v>
      </c>
      <c r="I5068" t="str">
        <f t="shared" si="159"/>
        <v>Ntpcr_930</v>
      </c>
      <c r="J5068" s="3">
        <v>0</v>
      </c>
      <c r="K5068" s="3">
        <v>0</v>
      </c>
      <c r="L5068" s="3">
        <v>161</v>
      </c>
      <c r="M5068" s="3">
        <v>769</v>
      </c>
      <c r="N5068" s="3">
        <v>0</v>
      </c>
    </row>
    <row r="5069" spans="1:14" x14ac:dyDescent="0.2">
      <c r="A5069" s="5" t="str">
        <f>HYPERLINK("http://www.ncbi.nlm.nih.gov/protein/119360354","Nub1")</f>
        <v>Nub1</v>
      </c>
      <c r="B5069" s="4"/>
      <c r="C5069" s="3">
        <v>0</v>
      </c>
      <c r="D5069" s="3">
        <v>35</v>
      </c>
      <c r="E5069" s="3">
        <v>2314</v>
      </c>
      <c r="F5069" s="3">
        <v>3372</v>
      </c>
      <c r="G5069" s="3">
        <v>23465</v>
      </c>
      <c r="H5069" s="2">
        <f t="shared" si="158"/>
        <v>29186</v>
      </c>
      <c r="I5069" t="str">
        <f t="shared" si="159"/>
        <v>Nub1_29186</v>
      </c>
      <c r="J5069" s="3">
        <v>0</v>
      </c>
      <c r="K5069" s="3">
        <v>35</v>
      </c>
      <c r="L5069" s="3">
        <v>2314</v>
      </c>
      <c r="M5069" s="3">
        <v>3372</v>
      </c>
      <c r="N5069" s="3">
        <v>23465</v>
      </c>
    </row>
    <row r="5070" spans="1:14" x14ac:dyDescent="0.2">
      <c r="A5070" s="5" t="str">
        <f>HYPERLINK("http://www.ncbi.nlm.nih.gov/protein/6754906","Nubp1")</f>
        <v>Nubp1</v>
      </c>
      <c r="B5070" s="4"/>
      <c r="C5070" s="3">
        <v>0</v>
      </c>
      <c r="D5070" s="3">
        <v>0</v>
      </c>
      <c r="E5070" s="3">
        <v>195</v>
      </c>
      <c r="F5070" s="3">
        <v>0</v>
      </c>
      <c r="G5070" s="3">
        <v>10474</v>
      </c>
      <c r="H5070" s="2">
        <f t="shared" si="158"/>
        <v>10669</v>
      </c>
      <c r="I5070" t="str">
        <f t="shared" si="159"/>
        <v>Nubp1_10669</v>
      </c>
      <c r="J5070" s="3">
        <v>0</v>
      </c>
      <c r="K5070" s="3">
        <v>0</v>
      </c>
      <c r="L5070" s="3">
        <v>195</v>
      </c>
      <c r="M5070" s="3">
        <v>0</v>
      </c>
      <c r="N5070" s="3">
        <v>10474</v>
      </c>
    </row>
    <row r="5071" spans="1:14" x14ac:dyDescent="0.2">
      <c r="A5071" s="5" t="str">
        <f>HYPERLINK("http://www.ncbi.nlm.nih.gov/protein/6754908","Nubp2")</f>
        <v>Nubp2</v>
      </c>
      <c r="B5071" s="4"/>
      <c r="C5071" s="3">
        <v>0</v>
      </c>
      <c r="D5071" s="3">
        <v>605</v>
      </c>
      <c r="E5071" s="3">
        <v>205</v>
      </c>
      <c r="F5071" s="3">
        <v>2619</v>
      </c>
      <c r="G5071" s="3">
        <v>7989</v>
      </c>
      <c r="H5071" s="2">
        <f t="shared" si="158"/>
        <v>11418</v>
      </c>
      <c r="I5071" t="str">
        <f t="shared" si="159"/>
        <v>Nubp2_11418</v>
      </c>
      <c r="J5071" s="3">
        <v>0</v>
      </c>
      <c r="K5071" s="3">
        <v>605</v>
      </c>
      <c r="L5071" s="3">
        <v>205</v>
      </c>
      <c r="M5071" s="3">
        <v>2619</v>
      </c>
      <c r="N5071" s="3">
        <v>7989</v>
      </c>
    </row>
    <row r="5072" spans="1:14" x14ac:dyDescent="0.2">
      <c r="A5072" s="5" t="str">
        <f>HYPERLINK("http://www.ncbi.nlm.nih.gov/protein/167234411","Nubpl")</f>
        <v>Nubpl</v>
      </c>
      <c r="B5072" s="4"/>
      <c r="C5072" s="3">
        <v>0</v>
      </c>
      <c r="D5072" s="3">
        <v>56</v>
      </c>
      <c r="E5072" s="3">
        <v>0</v>
      </c>
      <c r="F5072" s="3">
        <v>0</v>
      </c>
      <c r="G5072" s="3">
        <v>0</v>
      </c>
      <c r="H5072" s="2">
        <f t="shared" si="158"/>
        <v>56</v>
      </c>
      <c r="I5072" t="str">
        <f t="shared" si="159"/>
        <v>Nubpl_56</v>
      </c>
      <c r="J5072" s="3">
        <v>0</v>
      </c>
      <c r="K5072" s="3">
        <v>56</v>
      </c>
      <c r="L5072" s="3">
        <v>0</v>
      </c>
      <c r="M5072" s="3">
        <v>0</v>
      </c>
      <c r="N5072" s="3">
        <v>0</v>
      </c>
    </row>
    <row r="5073" spans="1:14" x14ac:dyDescent="0.2">
      <c r="A5073" s="5" t="str">
        <f>HYPERLINK("http://www.ncbi.nlm.nih.gov/protein/254750698","Nucb1")</f>
        <v>Nucb1</v>
      </c>
      <c r="B5073" s="4"/>
      <c r="C5073" s="3">
        <v>7011</v>
      </c>
      <c r="D5073" s="3">
        <v>6148</v>
      </c>
      <c r="E5073" s="3">
        <v>4750</v>
      </c>
      <c r="F5073" s="3">
        <v>115</v>
      </c>
      <c r="G5073" s="3">
        <v>3256</v>
      </c>
      <c r="H5073" s="2">
        <f t="shared" si="158"/>
        <v>21280</v>
      </c>
      <c r="I5073" t="str">
        <f t="shared" si="159"/>
        <v>Nucb1_21280</v>
      </c>
      <c r="J5073" s="3">
        <v>7011</v>
      </c>
      <c r="K5073" s="3">
        <v>6148</v>
      </c>
      <c r="L5073" s="3">
        <v>4750</v>
      </c>
      <c r="M5073" s="3">
        <v>115</v>
      </c>
      <c r="N5073" s="3">
        <v>3256</v>
      </c>
    </row>
    <row r="5074" spans="1:14" x14ac:dyDescent="0.2">
      <c r="A5074" s="5" t="str">
        <f>HYPERLINK("http://www.ncbi.nlm.nih.gov/protein/6679158","Nucb1")</f>
        <v>Nucb1</v>
      </c>
      <c r="B5074" s="4"/>
      <c r="C5074" s="3">
        <v>7011</v>
      </c>
      <c r="D5074" s="3">
        <v>5885</v>
      </c>
      <c r="E5074" s="3">
        <v>3654</v>
      </c>
      <c r="F5074" s="3">
        <v>115</v>
      </c>
      <c r="G5074" s="3">
        <v>2174</v>
      </c>
      <c r="H5074" s="2">
        <f t="shared" si="158"/>
        <v>18839</v>
      </c>
      <c r="I5074" t="str">
        <f t="shared" si="159"/>
        <v>Nucb1_18839</v>
      </c>
      <c r="J5074" s="3">
        <v>7011</v>
      </c>
      <c r="K5074" s="3">
        <v>5885</v>
      </c>
      <c r="L5074" s="3">
        <v>3654</v>
      </c>
      <c r="M5074" s="3">
        <v>115</v>
      </c>
      <c r="N5074" s="3">
        <v>2174</v>
      </c>
    </row>
    <row r="5075" spans="1:14" x14ac:dyDescent="0.2">
      <c r="A5075" s="5" t="str">
        <f>HYPERLINK("http://www.ncbi.nlm.nih.gov/protein/194440700","Nucb2")</f>
        <v>Nucb2</v>
      </c>
      <c r="B5075" s="4"/>
      <c r="C5075" s="3">
        <v>0</v>
      </c>
      <c r="D5075" s="3">
        <v>1918</v>
      </c>
      <c r="E5075" s="3">
        <v>1860</v>
      </c>
      <c r="F5075" s="3">
        <v>0</v>
      </c>
      <c r="G5075" s="3">
        <v>0</v>
      </c>
      <c r="H5075" s="2">
        <f t="shared" si="158"/>
        <v>3778</v>
      </c>
      <c r="I5075" t="str">
        <f t="shared" si="159"/>
        <v>Nucb2_3778</v>
      </c>
      <c r="J5075" s="3">
        <v>0</v>
      </c>
      <c r="K5075" s="3">
        <v>1918</v>
      </c>
      <c r="L5075" s="3">
        <v>1860</v>
      </c>
      <c r="M5075" s="3">
        <v>0</v>
      </c>
      <c r="N5075" s="3">
        <v>0</v>
      </c>
    </row>
    <row r="5076" spans="1:14" x14ac:dyDescent="0.2">
      <c r="A5076" s="5" t="str">
        <f>HYPERLINK("http://www.ncbi.nlm.nih.gov/protein/224809559","Nucks1")</f>
        <v>Nucks1</v>
      </c>
      <c r="B5076" s="4"/>
      <c r="C5076" s="3">
        <v>0</v>
      </c>
      <c r="D5076" s="3">
        <v>0</v>
      </c>
      <c r="E5076" s="3">
        <v>0</v>
      </c>
      <c r="F5076" s="3">
        <v>0</v>
      </c>
      <c r="G5076" s="3">
        <v>86</v>
      </c>
      <c r="H5076" s="2">
        <f t="shared" si="158"/>
        <v>86</v>
      </c>
      <c r="I5076" t="str">
        <f t="shared" si="159"/>
        <v>Nucks1_86</v>
      </c>
      <c r="J5076" s="3">
        <v>0</v>
      </c>
      <c r="K5076" s="3">
        <v>0</v>
      </c>
      <c r="L5076" s="3">
        <v>0</v>
      </c>
      <c r="M5076" s="3">
        <v>0</v>
      </c>
      <c r="N5076" s="3">
        <v>86</v>
      </c>
    </row>
    <row r="5077" spans="1:14" x14ac:dyDescent="0.2">
      <c r="A5077" s="5" t="str">
        <f>HYPERLINK("http://www.ncbi.nlm.nih.gov/protein/224809563","Nucks1")</f>
        <v>Nucks1</v>
      </c>
      <c r="B5077" s="4"/>
      <c r="C5077" s="3">
        <v>0</v>
      </c>
      <c r="D5077" s="3">
        <v>0</v>
      </c>
      <c r="E5077" s="3">
        <v>0</v>
      </c>
      <c r="F5077" s="3">
        <v>0</v>
      </c>
      <c r="G5077" s="3">
        <v>86</v>
      </c>
      <c r="H5077" s="2">
        <f t="shared" si="158"/>
        <v>86</v>
      </c>
      <c r="I5077" t="str">
        <f t="shared" si="159"/>
        <v>Nucks1_86</v>
      </c>
      <c r="J5077" s="3">
        <v>0</v>
      </c>
      <c r="K5077" s="3">
        <v>0</v>
      </c>
      <c r="L5077" s="3">
        <v>0</v>
      </c>
      <c r="M5077" s="3">
        <v>0</v>
      </c>
      <c r="N5077" s="3">
        <v>86</v>
      </c>
    </row>
    <row r="5078" spans="1:14" x14ac:dyDescent="0.2">
      <c r="A5078" s="5" t="str">
        <f>HYPERLINK("http://www.ncbi.nlm.nih.gov/protein/6754910","Nudc")</f>
        <v>Nudc</v>
      </c>
      <c r="B5078" s="4"/>
      <c r="C5078" s="3">
        <v>0</v>
      </c>
      <c r="D5078" s="3">
        <v>7075</v>
      </c>
      <c r="E5078" s="3">
        <v>8543</v>
      </c>
      <c r="F5078" s="3">
        <v>3454</v>
      </c>
      <c r="G5078" s="3">
        <v>125290</v>
      </c>
      <c r="H5078" s="2">
        <f t="shared" si="158"/>
        <v>144362</v>
      </c>
      <c r="I5078" t="str">
        <f t="shared" si="159"/>
        <v>Nudc_144362</v>
      </c>
      <c r="J5078" s="3">
        <v>0</v>
      </c>
      <c r="K5078" s="3">
        <v>7075</v>
      </c>
      <c r="L5078" s="3">
        <v>8543</v>
      </c>
      <c r="M5078" s="3">
        <v>3454</v>
      </c>
      <c r="N5078" s="3">
        <v>125290</v>
      </c>
    </row>
    <row r="5079" spans="1:14" x14ac:dyDescent="0.2">
      <c r="A5079" s="5" t="str">
        <f>HYPERLINK("http://www.ncbi.nlm.nih.gov/protein/165905633","Nudcd1")</f>
        <v>Nudcd1</v>
      </c>
      <c r="B5079" s="4"/>
      <c r="C5079" s="3">
        <v>0</v>
      </c>
      <c r="D5079" s="3">
        <v>0</v>
      </c>
      <c r="E5079" s="3">
        <v>215</v>
      </c>
      <c r="F5079" s="3">
        <v>5083</v>
      </c>
      <c r="G5079" s="3">
        <v>39904</v>
      </c>
      <c r="H5079" s="2">
        <f t="shared" si="158"/>
        <v>45202</v>
      </c>
      <c r="I5079" t="str">
        <f t="shared" si="159"/>
        <v>Nudcd1_45202</v>
      </c>
      <c r="J5079" s="3">
        <v>0</v>
      </c>
      <c r="K5079" s="3">
        <v>0</v>
      </c>
      <c r="L5079" s="3">
        <v>215</v>
      </c>
      <c r="M5079" s="3">
        <v>5083</v>
      </c>
      <c r="N5079" s="3">
        <v>39904</v>
      </c>
    </row>
    <row r="5080" spans="1:14" x14ac:dyDescent="0.2">
      <c r="A5080" s="5" t="str">
        <f>HYPERLINK("http://www.ncbi.nlm.nih.gov/protein/165905635","Nudcd1")</f>
        <v>Nudcd1</v>
      </c>
      <c r="B5080" s="4"/>
      <c r="C5080" s="3">
        <v>0</v>
      </c>
      <c r="D5080" s="3">
        <v>0</v>
      </c>
      <c r="E5080" s="3">
        <v>215</v>
      </c>
      <c r="F5080" s="3">
        <v>5083</v>
      </c>
      <c r="G5080" s="3">
        <v>39904</v>
      </c>
      <c r="H5080" s="2">
        <f t="shared" si="158"/>
        <v>45202</v>
      </c>
      <c r="I5080" t="str">
        <f t="shared" si="159"/>
        <v>Nudcd1_45202</v>
      </c>
      <c r="J5080" s="3">
        <v>0</v>
      </c>
      <c r="K5080" s="3">
        <v>0</v>
      </c>
      <c r="L5080" s="3">
        <v>215</v>
      </c>
      <c r="M5080" s="3">
        <v>5083</v>
      </c>
      <c r="N5080" s="3">
        <v>39904</v>
      </c>
    </row>
    <row r="5081" spans="1:14" x14ac:dyDescent="0.2">
      <c r="A5081" s="5" t="str">
        <f>HYPERLINK("http://www.ncbi.nlm.nih.gov/protein/133922575","Nudcd2")</f>
        <v>Nudcd2</v>
      </c>
      <c r="B5081" s="4"/>
      <c r="C5081" s="3">
        <v>146</v>
      </c>
      <c r="D5081" s="3">
        <v>749</v>
      </c>
      <c r="E5081" s="3">
        <v>1166</v>
      </c>
      <c r="F5081" s="3">
        <v>1310</v>
      </c>
      <c r="G5081" s="3">
        <v>14961</v>
      </c>
      <c r="H5081" s="2">
        <f t="shared" si="158"/>
        <v>18332</v>
      </c>
      <c r="I5081" t="str">
        <f t="shared" si="159"/>
        <v>Nudcd2_18332</v>
      </c>
      <c r="J5081" s="3">
        <v>146</v>
      </c>
      <c r="K5081" s="3">
        <v>749</v>
      </c>
      <c r="L5081" s="3">
        <v>1166</v>
      </c>
      <c r="M5081" s="3">
        <v>1310</v>
      </c>
      <c r="N5081" s="3">
        <v>14961</v>
      </c>
    </row>
    <row r="5082" spans="1:14" x14ac:dyDescent="0.2">
      <c r="A5082" s="5" t="str">
        <f>HYPERLINK("http://www.ncbi.nlm.nih.gov/protein/30424587","Nudcd3")</f>
        <v>Nudcd3</v>
      </c>
      <c r="B5082" s="4"/>
      <c r="C5082" s="3">
        <v>0</v>
      </c>
      <c r="D5082" s="3">
        <v>54</v>
      </c>
      <c r="E5082" s="3">
        <v>0</v>
      </c>
      <c r="F5082" s="3">
        <v>0</v>
      </c>
      <c r="G5082" s="3">
        <v>2474</v>
      </c>
      <c r="H5082" s="2">
        <f t="shared" si="158"/>
        <v>2528</v>
      </c>
      <c r="I5082" t="str">
        <f t="shared" si="159"/>
        <v>Nudcd3_2528</v>
      </c>
      <c r="J5082" s="3">
        <v>0</v>
      </c>
      <c r="K5082" s="3">
        <v>54</v>
      </c>
      <c r="L5082" s="3">
        <v>0</v>
      </c>
      <c r="M5082" s="3">
        <v>0</v>
      </c>
      <c r="N5082" s="3">
        <v>2474</v>
      </c>
    </row>
    <row r="5083" spans="1:14" x14ac:dyDescent="0.2">
      <c r="A5083" s="5" t="str">
        <f>HYPERLINK("http://www.ncbi.nlm.nih.gov/protein/6678950","Nudt1")</f>
        <v>Nudt1</v>
      </c>
      <c r="B5083" s="4"/>
      <c r="C5083" s="3">
        <v>0</v>
      </c>
      <c r="D5083" s="3">
        <v>40</v>
      </c>
      <c r="E5083" s="3">
        <v>20</v>
      </c>
      <c r="F5083" s="3">
        <v>0</v>
      </c>
      <c r="G5083" s="3">
        <v>246</v>
      </c>
      <c r="H5083" s="2">
        <f t="shared" si="158"/>
        <v>306</v>
      </c>
      <c r="I5083" t="str">
        <f t="shared" si="159"/>
        <v>Nudt1_306</v>
      </c>
      <c r="J5083" s="3">
        <v>0</v>
      </c>
      <c r="K5083" s="3">
        <v>40</v>
      </c>
      <c r="L5083" s="3">
        <v>20</v>
      </c>
      <c r="M5083" s="3">
        <v>0</v>
      </c>
      <c r="N5083" s="3">
        <v>246</v>
      </c>
    </row>
    <row r="5084" spans="1:14" x14ac:dyDescent="0.2">
      <c r="A5084" s="5" t="str">
        <f>HYPERLINK("http://www.ncbi.nlm.nih.gov/protein/72384357","Nudt10")</f>
        <v>Nudt10</v>
      </c>
      <c r="B5084" s="4"/>
      <c r="C5084" s="3">
        <v>0</v>
      </c>
      <c r="D5084" s="3">
        <v>0</v>
      </c>
      <c r="E5084" s="3">
        <v>0</v>
      </c>
      <c r="F5084" s="3">
        <v>0</v>
      </c>
      <c r="G5084" s="3">
        <v>5965</v>
      </c>
      <c r="H5084" s="2">
        <f t="shared" si="158"/>
        <v>5965</v>
      </c>
      <c r="I5084" t="str">
        <f t="shared" si="159"/>
        <v>Nudt10_5965</v>
      </c>
      <c r="J5084" s="3">
        <v>0</v>
      </c>
      <c r="K5084" s="3">
        <v>0</v>
      </c>
      <c r="L5084" s="3">
        <v>0</v>
      </c>
      <c r="M5084" s="3">
        <v>0</v>
      </c>
      <c r="N5084" s="3">
        <v>5965</v>
      </c>
    </row>
    <row r="5085" spans="1:14" x14ac:dyDescent="0.2">
      <c r="A5085" s="5" t="str">
        <f>HYPERLINK("http://www.ncbi.nlm.nih.gov/protein/21312664","Nudt12")</f>
        <v>Nudt12</v>
      </c>
      <c r="B5085" s="4"/>
      <c r="C5085" s="3">
        <v>0</v>
      </c>
      <c r="D5085" s="3">
        <v>774</v>
      </c>
      <c r="E5085" s="3">
        <v>392</v>
      </c>
      <c r="F5085" s="3">
        <v>3626</v>
      </c>
      <c r="G5085" s="3">
        <v>0</v>
      </c>
      <c r="H5085" s="2">
        <f t="shared" si="158"/>
        <v>4792</v>
      </c>
      <c r="I5085" t="str">
        <f t="shared" si="159"/>
        <v>Nudt12_4792</v>
      </c>
      <c r="J5085" s="3">
        <v>0</v>
      </c>
      <c r="K5085" s="3">
        <v>774</v>
      </c>
      <c r="L5085" s="3">
        <v>392</v>
      </c>
      <c r="M5085" s="3">
        <v>3626</v>
      </c>
      <c r="N5085" s="3">
        <v>0</v>
      </c>
    </row>
    <row r="5086" spans="1:14" x14ac:dyDescent="0.2">
      <c r="A5086" s="5" t="str">
        <f>HYPERLINK("http://www.ncbi.nlm.nih.gov/protein/23956126","Nudt14")</f>
        <v>Nudt14</v>
      </c>
      <c r="B5086" s="4"/>
      <c r="C5086" s="3">
        <v>0</v>
      </c>
      <c r="D5086" s="3">
        <v>251</v>
      </c>
      <c r="E5086" s="3">
        <v>711</v>
      </c>
      <c r="F5086" s="3">
        <v>0</v>
      </c>
      <c r="G5086" s="3">
        <v>40311</v>
      </c>
      <c r="H5086" s="2">
        <f t="shared" si="158"/>
        <v>41273</v>
      </c>
      <c r="I5086" t="str">
        <f t="shared" si="159"/>
        <v>Nudt14_41273</v>
      </c>
      <c r="J5086" s="3">
        <v>0</v>
      </c>
      <c r="K5086" s="3">
        <v>251</v>
      </c>
      <c r="L5086" s="3">
        <v>711</v>
      </c>
      <c r="M5086" s="3">
        <v>0</v>
      </c>
      <c r="N5086" s="3">
        <v>40311</v>
      </c>
    </row>
    <row r="5087" spans="1:14" x14ac:dyDescent="0.2">
      <c r="A5087" s="5" t="str">
        <f>HYPERLINK("http://www.ncbi.nlm.nih.gov/protein/125656157","Nudt16")</f>
        <v>Nudt16</v>
      </c>
      <c r="B5087" s="4"/>
      <c r="C5087" s="3">
        <v>0</v>
      </c>
      <c r="D5087" s="3">
        <v>0</v>
      </c>
      <c r="E5087" s="3">
        <v>19</v>
      </c>
      <c r="F5087" s="3">
        <v>0</v>
      </c>
      <c r="G5087" s="3">
        <v>0</v>
      </c>
      <c r="H5087" s="2">
        <f t="shared" si="158"/>
        <v>19</v>
      </c>
      <c r="I5087" t="str">
        <f t="shared" si="159"/>
        <v>Nudt16_19</v>
      </c>
      <c r="J5087" s="3">
        <v>0</v>
      </c>
      <c r="K5087" s="3">
        <v>0</v>
      </c>
      <c r="L5087" s="3">
        <v>19</v>
      </c>
      <c r="M5087" s="3">
        <v>0</v>
      </c>
      <c r="N5087" s="3">
        <v>0</v>
      </c>
    </row>
    <row r="5088" spans="1:14" x14ac:dyDescent="0.2">
      <c r="A5088" s="5" t="str">
        <f>HYPERLINK("http://www.ncbi.nlm.nih.gov/protein/13385314","Nudt16l1")</f>
        <v>Nudt16l1</v>
      </c>
      <c r="B5088" s="4"/>
      <c r="C5088" s="3">
        <v>12668</v>
      </c>
      <c r="D5088" s="3">
        <v>737</v>
      </c>
      <c r="E5088" s="3">
        <v>2046</v>
      </c>
      <c r="F5088" s="3">
        <v>3675</v>
      </c>
      <c r="G5088" s="3">
        <v>353</v>
      </c>
      <c r="H5088" s="2">
        <f t="shared" si="158"/>
        <v>19479</v>
      </c>
      <c r="I5088" t="str">
        <f t="shared" si="159"/>
        <v>Nudt16l1_19479</v>
      </c>
      <c r="J5088" s="3">
        <v>12668</v>
      </c>
      <c r="K5088" s="3">
        <v>737</v>
      </c>
      <c r="L5088" s="3">
        <v>2046</v>
      </c>
      <c r="M5088" s="3">
        <v>3675</v>
      </c>
      <c r="N5088" s="3">
        <v>353</v>
      </c>
    </row>
    <row r="5089" spans="1:14" x14ac:dyDescent="0.2">
      <c r="A5089" s="5" t="str">
        <f>HYPERLINK("http://www.ncbi.nlm.nih.gov/protein/86198335","Nudt2")</f>
        <v>Nudt2</v>
      </c>
      <c r="B5089" s="4"/>
      <c r="C5089" s="3">
        <v>0</v>
      </c>
      <c r="D5089" s="3">
        <v>1442</v>
      </c>
      <c r="E5089" s="3">
        <v>205</v>
      </c>
      <c r="F5089" s="3">
        <v>0</v>
      </c>
      <c r="G5089" s="3">
        <v>4166</v>
      </c>
      <c r="H5089" s="2">
        <f t="shared" si="158"/>
        <v>5813</v>
      </c>
      <c r="I5089" t="str">
        <f t="shared" si="159"/>
        <v>Nudt2_5813</v>
      </c>
      <c r="J5089" s="3">
        <v>0</v>
      </c>
      <c r="K5089" s="3">
        <v>1442</v>
      </c>
      <c r="L5089" s="3">
        <v>205</v>
      </c>
      <c r="M5089" s="3">
        <v>0</v>
      </c>
      <c r="N5089" s="3">
        <v>4166</v>
      </c>
    </row>
    <row r="5090" spans="1:14" x14ac:dyDescent="0.2">
      <c r="A5090" s="5" t="str">
        <f>HYPERLINK("http://www.ncbi.nlm.nih.gov/protein/13386106","Nudt21")</f>
        <v>Nudt21</v>
      </c>
      <c r="B5090" s="4"/>
      <c r="C5090" s="3">
        <v>70753</v>
      </c>
      <c r="D5090" s="3">
        <v>5872</v>
      </c>
      <c r="E5090" s="3">
        <v>10656</v>
      </c>
      <c r="F5090" s="3">
        <v>43506</v>
      </c>
      <c r="G5090" s="3">
        <v>10999</v>
      </c>
      <c r="H5090" s="2">
        <f t="shared" si="158"/>
        <v>141786</v>
      </c>
      <c r="I5090" t="str">
        <f t="shared" si="159"/>
        <v>Nudt21_141786</v>
      </c>
      <c r="J5090" s="3">
        <v>70753</v>
      </c>
      <c r="K5090" s="3">
        <v>5872</v>
      </c>
      <c r="L5090" s="3">
        <v>10656</v>
      </c>
      <c r="M5090" s="3">
        <v>43506</v>
      </c>
      <c r="N5090" s="3">
        <v>10999</v>
      </c>
    </row>
    <row r="5091" spans="1:14" x14ac:dyDescent="0.2">
      <c r="A5091" s="5" t="str">
        <f>HYPERLINK("http://www.ncbi.nlm.nih.gov/protein/9789933","Nudt3")</f>
        <v>Nudt3</v>
      </c>
      <c r="B5091" s="4"/>
      <c r="C5091" s="3">
        <v>0</v>
      </c>
      <c r="D5091" s="3">
        <v>221</v>
      </c>
      <c r="E5091" s="3">
        <v>0</v>
      </c>
      <c r="F5091" s="3">
        <v>0</v>
      </c>
      <c r="G5091" s="3">
        <v>27834</v>
      </c>
      <c r="H5091" s="2">
        <f t="shared" si="158"/>
        <v>28055</v>
      </c>
      <c r="I5091" t="str">
        <f t="shared" si="159"/>
        <v>Nudt3_28055</v>
      </c>
      <c r="J5091" s="3">
        <v>0</v>
      </c>
      <c r="K5091" s="3">
        <v>221</v>
      </c>
      <c r="L5091" s="3">
        <v>0</v>
      </c>
      <c r="M5091" s="3">
        <v>0</v>
      </c>
      <c r="N5091" s="3">
        <v>27834</v>
      </c>
    </row>
    <row r="5092" spans="1:14" x14ac:dyDescent="0.2">
      <c r="A5092" s="5" t="str">
        <f>HYPERLINK("http://www.ncbi.nlm.nih.gov/protein/169808397","Nudt4")</f>
        <v>Nudt4</v>
      </c>
      <c r="B5092" s="4"/>
      <c r="C5092" s="3">
        <v>0</v>
      </c>
      <c r="D5092" s="3">
        <v>0</v>
      </c>
      <c r="E5092" s="3">
        <v>0</v>
      </c>
      <c r="F5092" s="3">
        <v>0</v>
      </c>
      <c r="G5092" s="3">
        <v>15443</v>
      </c>
      <c r="H5092" s="2">
        <f t="shared" si="158"/>
        <v>15443</v>
      </c>
      <c r="I5092" t="str">
        <f t="shared" si="159"/>
        <v>Nudt4_15443</v>
      </c>
      <c r="J5092" s="3">
        <v>0</v>
      </c>
      <c r="K5092" s="3">
        <v>0</v>
      </c>
      <c r="L5092" s="3">
        <v>0</v>
      </c>
      <c r="M5092" s="3">
        <v>0</v>
      </c>
      <c r="N5092" s="3">
        <v>15443</v>
      </c>
    </row>
    <row r="5093" spans="1:14" x14ac:dyDescent="0.2">
      <c r="A5093" s="5" t="str">
        <f>HYPERLINK("http://www.ncbi.nlm.nih.gov/protein/8393853","Nudt5")</f>
        <v>Nudt5</v>
      </c>
      <c r="B5093" s="4"/>
      <c r="C5093" s="3">
        <v>0</v>
      </c>
      <c r="D5093" s="3">
        <v>1240</v>
      </c>
      <c r="E5093" s="3">
        <v>1125</v>
      </c>
      <c r="F5093" s="3">
        <v>43670</v>
      </c>
      <c r="G5093" s="3">
        <v>22415</v>
      </c>
      <c r="H5093" s="2">
        <f t="shared" si="158"/>
        <v>68450</v>
      </c>
      <c r="I5093" t="str">
        <f t="shared" si="159"/>
        <v>Nudt5_68450</v>
      </c>
      <c r="J5093" s="3">
        <v>0</v>
      </c>
      <c r="K5093" s="3">
        <v>1240</v>
      </c>
      <c r="L5093" s="3">
        <v>1125</v>
      </c>
      <c r="M5093" s="3">
        <v>43670</v>
      </c>
      <c r="N5093" s="3">
        <v>22415</v>
      </c>
    </row>
    <row r="5094" spans="1:14" x14ac:dyDescent="0.2">
      <c r="A5094" s="5" t="str">
        <f>HYPERLINK("http://www.ncbi.nlm.nih.gov/protein/13384950","Nudt8")</f>
        <v>Nudt8</v>
      </c>
      <c r="B5094" s="4"/>
      <c r="C5094" s="3">
        <v>110</v>
      </c>
      <c r="D5094" s="3">
        <v>948</v>
      </c>
      <c r="E5094" s="3">
        <v>0</v>
      </c>
      <c r="F5094" s="3">
        <v>0</v>
      </c>
      <c r="G5094" s="3">
        <v>0</v>
      </c>
      <c r="H5094" s="2">
        <f t="shared" si="158"/>
        <v>1058</v>
      </c>
      <c r="I5094" t="str">
        <f t="shared" si="159"/>
        <v>Nudt8_1058</v>
      </c>
      <c r="J5094" s="3">
        <v>110</v>
      </c>
      <c r="K5094" s="3">
        <v>948</v>
      </c>
      <c r="L5094" s="3">
        <v>0</v>
      </c>
      <c r="M5094" s="3">
        <v>0</v>
      </c>
      <c r="N5094" s="3">
        <v>0</v>
      </c>
    </row>
    <row r="5095" spans="1:14" x14ac:dyDescent="0.2">
      <c r="A5095" s="5" t="str">
        <f>HYPERLINK("http://www.ncbi.nlm.nih.gov/protein/27753998","Nudt9")</f>
        <v>Nudt9</v>
      </c>
      <c r="B5095" s="4"/>
      <c r="C5095" s="3">
        <v>0</v>
      </c>
      <c r="D5095" s="3">
        <v>0</v>
      </c>
      <c r="E5095" s="3">
        <v>0</v>
      </c>
      <c r="F5095" s="3">
        <v>0</v>
      </c>
      <c r="G5095" s="3">
        <v>6726</v>
      </c>
      <c r="H5095" s="2">
        <f t="shared" si="158"/>
        <v>6726</v>
      </c>
      <c r="I5095" t="str">
        <f t="shared" si="159"/>
        <v>Nudt9_6726</v>
      </c>
      <c r="J5095" s="3">
        <v>0</v>
      </c>
      <c r="K5095" s="3">
        <v>0</v>
      </c>
      <c r="L5095" s="3">
        <v>0</v>
      </c>
      <c r="M5095" s="3">
        <v>0</v>
      </c>
      <c r="N5095" s="3">
        <v>6726</v>
      </c>
    </row>
    <row r="5096" spans="1:14" x14ac:dyDescent="0.2">
      <c r="A5096" s="5" t="str">
        <f>HYPERLINK("http://www.ncbi.nlm.nih.gov/protein/110625714","Nuf2")</f>
        <v>Nuf2</v>
      </c>
      <c r="B5096" s="4"/>
      <c r="C5096" s="3">
        <v>0</v>
      </c>
      <c r="D5096" s="3">
        <v>0</v>
      </c>
      <c r="E5096" s="3">
        <v>3</v>
      </c>
      <c r="F5096" s="3">
        <v>0</v>
      </c>
      <c r="G5096" s="3">
        <v>0</v>
      </c>
      <c r="H5096" s="2">
        <f t="shared" si="158"/>
        <v>3</v>
      </c>
      <c r="I5096" t="str">
        <f t="shared" si="159"/>
        <v>Nuf2_3</v>
      </c>
      <c r="J5096" s="3">
        <v>0</v>
      </c>
      <c r="K5096" s="3">
        <v>0</v>
      </c>
      <c r="L5096" s="3">
        <v>3</v>
      </c>
      <c r="M5096" s="3">
        <v>0</v>
      </c>
      <c r="N5096" s="3">
        <v>0</v>
      </c>
    </row>
    <row r="5097" spans="1:14" x14ac:dyDescent="0.2">
      <c r="A5097" s="5" t="str">
        <f>HYPERLINK("http://www.ncbi.nlm.nih.gov/protein/66730553","Nufip2")</f>
        <v>Nufip2</v>
      </c>
      <c r="B5097" s="4"/>
      <c r="C5097" s="3">
        <v>0</v>
      </c>
      <c r="D5097" s="3">
        <v>0</v>
      </c>
      <c r="E5097" s="3">
        <v>5926</v>
      </c>
      <c r="F5097" s="3">
        <v>655</v>
      </c>
      <c r="G5097" s="3">
        <v>0</v>
      </c>
      <c r="H5097" s="2">
        <f t="shared" si="158"/>
        <v>6581</v>
      </c>
      <c r="I5097" t="str">
        <f t="shared" si="159"/>
        <v>Nufip2_6581</v>
      </c>
      <c r="J5097" s="3">
        <v>0</v>
      </c>
      <c r="K5097" s="3">
        <v>0</v>
      </c>
      <c r="L5097" s="3">
        <v>5926</v>
      </c>
      <c r="M5097" s="3">
        <v>655</v>
      </c>
      <c r="N5097" s="3">
        <v>0</v>
      </c>
    </row>
    <row r="5098" spans="1:14" x14ac:dyDescent="0.2">
      <c r="A5098" s="5" t="str">
        <f>HYPERLINK("http://www.ncbi.nlm.nih.gov/protein/254675300","Numa1")</f>
        <v>Numa1</v>
      </c>
      <c r="B5098" s="4"/>
      <c r="C5098" s="3">
        <v>128215</v>
      </c>
      <c r="D5098" s="3">
        <v>436</v>
      </c>
      <c r="E5098" s="3">
        <v>572</v>
      </c>
      <c r="F5098" s="3">
        <v>0</v>
      </c>
      <c r="G5098" s="3">
        <v>3823</v>
      </c>
      <c r="H5098" s="2">
        <f t="shared" si="158"/>
        <v>133046</v>
      </c>
      <c r="I5098" t="str">
        <f t="shared" si="159"/>
        <v>Numa1_133046</v>
      </c>
      <c r="J5098" s="3">
        <v>128215</v>
      </c>
      <c r="K5098" s="3">
        <v>436</v>
      </c>
      <c r="L5098" s="3">
        <v>572</v>
      </c>
      <c r="M5098" s="3">
        <v>0</v>
      </c>
      <c r="N5098" s="3">
        <v>3823</v>
      </c>
    </row>
    <row r="5099" spans="1:14" x14ac:dyDescent="0.2">
      <c r="A5099" s="5" t="str">
        <f>HYPERLINK("http://www.ncbi.nlm.nih.gov/protein/209862959","Numb")</f>
        <v>Numb</v>
      </c>
      <c r="B5099" s="4"/>
      <c r="C5099" s="3">
        <v>0</v>
      </c>
      <c r="D5099" s="3">
        <v>0</v>
      </c>
      <c r="E5099" s="3">
        <v>339</v>
      </c>
      <c r="F5099" s="3">
        <v>0</v>
      </c>
      <c r="G5099" s="3">
        <v>0</v>
      </c>
      <c r="H5099" s="2">
        <f t="shared" si="158"/>
        <v>339</v>
      </c>
      <c r="I5099" t="str">
        <f t="shared" si="159"/>
        <v>Numb_339</v>
      </c>
      <c r="J5099" s="3">
        <v>0</v>
      </c>
      <c r="K5099" s="3">
        <v>0</v>
      </c>
      <c r="L5099" s="3">
        <v>339</v>
      </c>
      <c r="M5099" s="3">
        <v>0</v>
      </c>
      <c r="N5099" s="3">
        <v>0</v>
      </c>
    </row>
    <row r="5100" spans="1:14" x14ac:dyDescent="0.2">
      <c r="A5100" s="5" t="str">
        <f>HYPERLINK("http://www.ncbi.nlm.nih.gov/protein/440546408","Numb")</f>
        <v>Numb</v>
      </c>
      <c r="B5100" s="4"/>
      <c r="C5100" s="3">
        <v>0</v>
      </c>
      <c r="D5100" s="3">
        <v>0</v>
      </c>
      <c r="E5100" s="3">
        <v>339</v>
      </c>
      <c r="F5100" s="3">
        <v>0</v>
      </c>
      <c r="G5100" s="3">
        <v>0</v>
      </c>
      <c r="H5100" s="2">
        <f t="shared" si="158"/>
        <v>339</v>
      </c>
      <c r="I5100" t="str">
        <f t="shared" si="159"/>
        <v>Numb_339</v>
      </c>
      <c r="J5100" s="3">
        <v>0</v>
      </c>
      <c r="K5100" s="3">
        <v>0</v>
      </c>
      <c r="L5100" s="3">
        <v>339</v>
      </c>
      <c r="M5100" s="3">
        <v>0</v>
      </c>
      <c r="N5100" s="3">
        <v>0</v>
      </c>
    </row>
    <row r="5101" spans="1:14" x14ac:dyDescent="0.2">
      <c r="A5101" s="5" t="str">
        <f>HYPERLINK("http://www.ncbi.nlm.nih.gov/protein/440546411","Numb")</f>
        <v>Numb</v>
      </c>
      <c r="B5101" s="4"/>
      <c r="C5101" s="3">
        <v>0</v>
      </c>
      <c r="D5101" s="3">
        <v>0</v>
      </c>
      <c r="E5101" s="3">
        <v>339</v>
      </c>
      <c r="F5101" s="3">
        <v>0</v>
      </c>
      <c r="G5101" s="3">
        <v>0</v>
      </c>
      <c r="H5101" s="2">
        <f t="shared" si="158"/>
        <v>339</v>
      </c>
      <c r="I5101" t="str">
        <f t="shared" si="159"/>
        <v>Numb_339</v>
      </c>
      <c r="J5101" s="3">
        <v>0</v>
      </c>
      <c r="K5101" s="3">
        <v>0</v>
      </c>
      <c r="L5101" s="3">
        <v>339</v>
      </c>
      <c r="M5101" s="3">
        <v>0</v>
      </c>
      <c r="N5101" s="3">
        <v>0</v>
      </c>
    </row>
    <row r="5102" spans="1:14" x14ac:dyDescent="0.2">
      <c r="A5102" s="5" t="str">
        <f>HYPERLINK("http://www.ncbi.nlm.nih.gov/protein/6754912","Numb")</f>
        <v>Numb</v>
      </c>
      <c r="B5102" s="4"/>
      <c r="C5102" s="3">
        <v>0</v>
      </c>
      <c r="D5102" s="3">
        <v>0</v>
      </c>
      <c r="E5102" s="3">
        <v>339</v>
      </c>
      <c r="F5102" s="3">
        <v>0</v>
      </c>
      <c r="G5102" s="3">
        <v>0</v>
      </c>
      <c r="H5102" s="2">
        <f t="shared" si="158"/>
        <v>339</v>
      </c>
      <c r="I5102" t="str">
        <f t="shared" si="159"/>
        <v>Numb_339</v>
      </c>
      <c r="J5102" s="3">
        <v>0</v>
      </c>
      <c r="K5102" s="3">
        <v>0</v>
      </c>
      <c r="L5102" s="3">
        <v>339</v>
      </c>
      <c r="M5102" s="3">
        <v>0</v>
      </c>
      <c r="N5102" s="3">
        <v>0</v>
      </c>
    </row>
    <row r="5103" spans="1:14" x14ac:dyDescent="0.2">
      <c r="A5103" s="5" t="str">
        <f>HYPERLINK("http://www.ncbi.nlm.nih.gov/protein/29789351","Nup107")</f>
        <v>Nup107</v>
      </c>
      <c r="B5103" s="4"/>
      <c r="C5103" s="3">
        <v>1172</v>
      </c>
      <c r="D5103" s="3">
        <v>0</v>
      </c>
      <c r="E5103" s="3">
        <v>0</v>
      </c>
      <c r="F5103" s="3">
        <v>0</v>
      </c>
      <c r="G5103" s="3">
        <v>0</v>
      </c>
      <c r="H5103" s="2">
        <f t="shared" si="158"/>
        <v>1172</v>
      </c>
      <c r="I5103" t="str">
        <f t="shared" si="159"/>
        <v>Nup107_1172</v>
      </c>
      <c r="J5103" s="3">
        <v>1172</v>
      </c>
      <c r="K5103" s="3">
        <v>0</v>
      </c>
      <c r="L5103" s="3">
        <v>0</v>
      </c>
      <c r="M5103" s="3">
        <v>0</v>
      </c>
      <c r="N5103" s="3">
        <v>0</v>
      </c>
    </row>
    <row r="5104" spans="1:14" x14ac:dyDescent="0.2">
      <c r="A5104" s="5" t="str">
        <f>HYPERLINK("http://www.ncbi.nlm.nih.gov/protein/283806543","Nup133")</f>
        <v>Nup133</v>
      </c>
      <c r="B5104" s="4"/>
      <c r="C5104" s="3">
        <v>3240</v>
      </c>
      <c r="D5104" s="3">
        <v>1271</v>
      </c>
      <c r="E5104" s="3">
        <v>0</v>
      </c>
      <c r="F5104" s="3">
        <v>0</v>
      </c>
      <c r="G5104" s="3">
        <v>953</v>
      </c>
      <c r="H5104" s="2">
        <f t="shared" si="158"/>
        <v>5464</v>
      </c>
      <c r="I5104" t="str">
        <f t="shared" si="159"/>
        <v>Nup133_5464</v>
      </c>
      <c r="J5104" s="3">
        <v>3240</v>
      </c>
      <c r="K5104" s="3">
        <v>1271</v>
      </c>
      <c r="L5104" s="3">
        <v>0</v>
      </c>
      <c r="M5104" s="3">
        <v>0</v>
      </c>
      <c r="N5104" s="3">
        <v>953</v>
      </c>
    </row>
    <row r="5105" spans="1:14" x14ac:dyDescent="0.2">
      <c r="A5105" s="5" t="str">
        <f>HYPERLINK("http://www.ncbi.nlm.nih.gov/protein/165932389","Nup155")</f>
        <v>Nup155</v>
      </c>
      <c r="B5105" s="4"/>
      <c r="C5105" s="3">
        <v>17317</v>
      </c>
      <c r="D5105" s="3">
        <v>941</v>
      </c>
      <c r="E5105" s="3">
        <v>906</v>
      </c>
      <c r="F5105" s="3">
        <v>0</v>
      </c>
      <c r="G5105" s="3">
        <v>0</v>
      </c>
      <c r="H5105" s="2">
        <f t="shared" si="158"/>
        <v>19164</v>
      </c>
      <c r="I5105" t="str">
        <f t="shared" si="159"/>
        <v>Nup155_19164</v>
      </c>
      <c r="J5105" s="3">
        <v>17317</v>
      </c>
      <c r="K5105" s="3">
        <v>941</v>
      </c>
      <c r="L5105" s="3">
        <v>906</v>
      </c>
      <c r="M5105" s="3">
        <v>0</v>
      </c>
      <c r="N5105" s="3">
        <v>0</v>
      </c>
    </row>
    <row r="5106" spans="1:14" x14ac:dyDescent="0.2">
      <c r="A5106" s="5" t="str">
        <f>HYPERLINK("http://www.ncbi.nlm.nih.gov/protein/10946932","Nup160")</f>
        <v>Nup160</v>
      </c>
      <c r="B5106" s="4"/>
      <c r="C5106" s="3">
        <v>10013</v>
      </c>
      <c r="D5106" s="3">
        <v>13</v>
      </c>
      <c r="E5106" s="3">
        <v>6</v>
      </c>
      <c r="F5106" s="3">
        <v>131</v>
      </c>
      <c r="G5106" s="3">
        <v>0</v>
      </c>
      <c r="H5106" s="2">
        <f t="shared" si="158"/>
        <v>10163</v>
      </c>
      <c r="I5106" t="str">
        <f t="shared" si="159"/>
        <v>Nup160_10163</v>
      </c>
      <c r="J5106" s="3">
        <v>10013</v>
      </c>
      <c r="K5106" s="3">
        <v>13</v>
      </c>
      <c r="L5106" s="3">
        <v>6</v>
      </c>
      <c r="M5106" s="3">
        <v>131</v>
      </c>
      <c r="N5106" s="3">
        <v>0</v>
      </c>
    </row>
    <row r="5107" spans="1:14" x14ac:dyDescent="0.2">
      <c r="A5107" s="5" t="str">
        <f>HYPERLINK("http://www.ncbi.nlm.nih.gov/protein/38678526","Nup188")</f>
        <v>Nup188</v>
      </c>
      <c r="B5107" s="4"/>
      <c r="C5107" s="3">
        <v>549</v>
      </c>
      <c r="D5107" s="3">
        <v>0</v>
      </c>
      <c r="E5107" s="3">
        <v>0</v>
      </c>
      <c r="F5107" s="3">
        <v>409</v>
      </c>
      <c r="G5107" s="3">
        <v>0</v>
      </c>
      <c r="H5107" s="2">
        <f t="shared" si="158"/>
        <v>958</v>
      </c>
      <c r="I5107" t="str">
        <f t="shared" si="159"/>
        <v>Nup188_958</v>
      </c>
      <c r="J5107" s="3">
        <v>549</v>
      </c>
      <c r="K5107" s="3">
        <v>0</v>
      </c>
      <c r="L5107" s="3">
        <v>0</v>
      </c>
      <c r="M5107" s="3">
        <v>409</v>
      </c>
      <c r="N5107" s="3">
        <v>0</v>
      </c>
    </row>
    <row r="5108" spans="1:14" x14ac:dyDescent="0.2">
      <c r="A5108" s="5" t="str">
        <f>HYPERLINK("http://www.ncbi.nlm.nih.gov/protein/226437676","Nup205")</f>
        <v>Nup205</v>
      </c>
      <c r="B5108" s="4"/>
      <c r="C5108" s="3">
        <v>6956</v>
      </c>
      <c r="D5108" s="3">
        <v>582</v>
      </c>
      <c r="E5108" s="3">
        <v>253</v>
      </c>
      <c r="F5108" s="3">
        <v>74</v>
      </c>
      <c r="G5108" s="3">
        <v>64</v>
      </c>
      <c r="H5108" s="2">
        <f t="shared" si="158"/>
        <v>7929</v>
      </c>
      <c r="I5108" t="str">
        <f t="shared" si="159"/>
        <v>Nup205_7929</v>
      </c>
      <c r="J5108" s="3">
        <v>6956</v>
      </c>
      <c r="K5108" s="3">
        <v>582</v>
      </c>
      <c r="L5108" s="3">
        <v>253</v>
      </c>
      <c r="M5108" s="3">
        <v>74</v>
      </c>
      <c r="N5108" s="3">
        <v>64</v>
      </c>
    </row>
    <row r="5109" spans="1:14" x14ac:dyDescent="0.2">
      <c r="A5109" s="5" t="str">
        <f>HYPERLINK("http://www.ncbi.nlm.nih.gov/protein/172073152","Nup210")</f>
        <v>Nup210</v>
      </c>
      <c r="B5109" s="4"/>
      <c r="C5109" s="3">
        <v>6096</v>
      </c>
      <c r="D5109" s="3">
        <v>1175</v>
      </c>
      <c r="E5109" s="3">
        <v>0</v>
      </c>
      <c r="F5109" s="3">
        <v>0</v>
      </c>
      <c r="G5109" s="3">
        <v>0</v>
      </c>
      <c r="H5109" s="2">
        <f t="shared" si="158"/>
        <v>7271</v>
      </c>
      <c r="I5109" t="str">
        <f t="shared" si="159"/>
        <v>Nup210_7271</v>
      </c>
      <c r="J5109" s="3">
        <v>6096</v>
      </c>
      <c r="K5109" s="3">
        <v>1175</v>
      </c>
      <c r="L5109" s="3">
        <v>0</v>
      </c>
      <c r="M5109" s="3">
        <v>0</v>
      </c>
      <c r="N5109" s="3">
        <v>0</v>
      </c>
    </row>
    <row r="5110" spans="1:14" x14ac:dyDescent="0.2">
      <c r="A5110" s="5" t="str">
        <f>HYPERLINK("http://www.ncbi.nlm.nih.gov/protein/124378033","Nup214")</f>
        <v>Nup214</v>
      </c>
      <c r="B5110" s="4"/>
      <c r="C5110" s="3">
        <v>1977</v>
      </c>
      <c r="D5110" s="3">
        <v>0</v>
      </c>
      <c r="E5110" s="3">
        <v>0</v>
      </c>
      <c r="F5110" s="3">
        <v>0</v>
      </c>
      <c r="G5110" s="3">
        <v>0</v>
      </c>
      <c r="H5110" s="2">
        <f t="shared" si="158"/>
        <v>1977</v>
      </c>
      <c r="I5110" t="str">
        <f t="shared" si="159"/>
        <v>Nup214_1977</v>
      </c>
      <c r="J5110" s="3">
        <v>1977</v>
      </c>
      <c r="K5110" s="3">
        <v>0</v>
      </c>
      <c r="L5110" s="3">
        <v>0</v>
      </c>
      <c r="M5110" s="3">
        <v>0</v>
      </c>
      <c r="N5110" s="3">
        <v>0</v>
      </c>
    </row>
    <row r="5111" spans="1:14" x14ac:dyDescent="0.2">
      <c r="A5111" s="5" t="str">
        <f>HYPERLINK("http://www.ncbi.nlm.nih.gov/protein/298231198","Nup35")</f>
        <v>Nup35</v>
      </c>
      <c r="B5111" s="4"/>
      <c r="C5111" s="3">
        <v>18800</v>
      </c>
      <c r="D5111" s="3">
        <v>42</v>
      </c>
      <c r="E5111" s="3">
        <v>12</v>
      </c>
      <c r="F5111" s="3">
        <v>0</v>
      </c>
      <c r="G5111" s="3">
        <v>0</v>
      </c>
      <c r="H5111" s="2">
        <f t="shared" si="158"/>
        <v>18854</v>
      </c>
      <c r="I5111" t="str">
        <f t="shared" si="159"/>
        <v>Nup35_18854</v>
      </c>
      <c r="J5111" s="3">
        <v>18800</v>
      </c>
      <c r="K5111" s="3">
        <v>42</v>
      </c>
      <c r="L5111" s="3">
        <v>12</v>
      </c>
      <c r="M5111" s="3">
        <v>0</v>
      </c>
      <c r="N5111" s="3">
        <v>0</v>
      </c>
    </row>
    <row r="5112" spans="1:14" x14ac:dyDescent="0.2">
      <c r="A5112" s="5" t="str">
        <f>HYPERLINK("http://www.ncbi.nlm.nih.gov/protein/58037163","Nup35")</f>
        <v>Nup35</v>
      </c>
      <c r="B5112" s="4"/>
      <c r="C5112" s="3">
        <v>18800</v>
      </c>
      <c r="D5112" s="3">
        <v>42</v>
      </c>
      <c r="E5112" s="3">
        <v>12</v>
      </c>
      <c r="F5112" s="3">
        <v>0</v>
      </c>
      <c r="G5112" s="3">
        <v>0</v>
      </c>
      <c r="H5112" s="2">
        <f t="shared" si="158"/>
        <v>18854</v>
      </c>
      <c r="I5112" t="str">
        <f t="shared" si="159"/>
        <v>Nup35_18854</v>
      </c>
      <c r="J5112" s="3">
        <v>18800</v>
      </c>
      <c r="K5112" s="3">
        <v>42</v>
      </c>
      <c r="L5112" s="3">
        <v>12</v>
      </c>
      <c r="M5112" s="3">
        <v>0</v>
      </c>
      <c r="N5112" s="3">
        <v>0</v>
      </c>
    </row>
    <row r="5113" spans="1:14" x14ac:dyDescent="0.2">
      <c r="A5113" s="5" t="str">
        <f>HYPERLINK("http://www.ncbi.nlm.nih.gov/protein/210032861","Nup37")</f>
        <v>Nup37</v>
      </c>
      <c r="B5113" s="4"/>
      <c r="C5113" s="3">
        <v>549</v>
      </c>
      <c r="D5113" s="3">
        <v>261</v>
      </c>
      <c r="E5113" s="3">
        <v>192</v>
      </c>
      <c r="F5113" s="3">
        <v>254</v>
      </c>
      <c r="G5113" s="3">
        <v>557</v>
      </c>
      <c r="H5113" s="2">
        <f t="shared" si="158"/>
        <v>1813</v>
      </c>
      <c r="I5113" t="str">
        <f t="shared" si="159"/>
        <v>Nup37_1813</v>
      </c>
      <c r="J5113" s="3">
        <v>549</v>
      </c>
      <c r="K5113" s="3">
        <v>261</v>
      </c>
      <c r="L5113" s="3">
        <v>192</v>
      </c>
      <c r="M5113" s="3">
        <v>254</v>
      </c>
      <c r="N5113" s="3">
        <v>557</v>
      </c>
    </row>
    <row r="5114" spans="1:14" x14ac:dyDescent="0.2">
      <c r="A5114" s="5" t="str">
        <f>HYPERLINK("http://www.ncbi.nlm.nih.gov/protein/166295220","Nup43")</f>
        <v>Nup43</v>
      </c>
      <c r="B5114" s="4"/>
      <c r="C5114" s="3">
        <v>0</v>
      </c>
      <c r="D5114" s="3">
        <v>0</v>
      </c>
      <c r="E5114" s="3">
        <v>0</v>
      </c>
      <c r="F5114" s="3">
        <v>0</v>
      </c>
      <c r="G5114" s="3">
        <v>4102</v>
      </c>
      <c r="H5114" s="2">
        <f t="shared" si="158"/>
        <v>4102</v>
      </c>
      <c r="I5114" t="str">
        <f t="shared" si="159"/>
        <v>Nup43_4102</v>
      </c>
      <c r="J5114" s="3">
        <v>0</v>
      </c>
      <c r="K5114" s="3">
        <v>0</v>
      </c>
      <c r="L5114" s="3">
        <v>0</v>
      </c>
      <c r="M5114" s="3">
        <v>0</v>
      </c>
      <c r="N5114" s="3">
        <v>4102</v>
      </c>
    </row>
    <row r="5115" spans="1:14" x14ac:dyDescent="0.2">
      <c r="A5115" s="5" t="str">
        <f>HYPERLINK("http://www.ncbi.nlm.nih.gov/protein/38016154","Nup50")</f>
        <v>Nup50</v>
      </c>
      <c r="B5115" s="4"/>
      <c r="C5115" s="3">
        <v>2270</v>
      </c>
      <c r="D5115" s="3">
        <v>0</v>
      </c>
      <c r="E5115" s="3">
        <v>35</v>
      </c>
      <c r="F5115" s="3">
        <v>2947</v>
      </c>
      <c r="G5115" s="3">
        <v>2249</v>
      </c>
      <c r="H5115" s="2">
        <f t="shared" si="158"/>
        <v>7501</v>
      </c>
      <c r="I5115" t="str">
        <f t="shared" si="159"/>
        <v>Nup50_7501</v>
      </c>
      <c r="J5115" s="3">
        <v>2270</v>
      </c>
      <c r="K5115" s="3">
        <v>0</v>
      </c>
      <c r="L5115" s="3">
        <v>35</v>
      </c>
      <c r="M5115" s="3">
        <v>2947</v>
      </c>
      <c r="N5115" s="3">
        <v>2249</v>
      </c>
    </row>
    <row r="5116" spans="1:14" x14ac:dyDescent="0.2">
      <c r="A5116" s="5" t="str">
        <f>HYPERLINK("http://www.ncbi.nlm.nih.gov/protein/39930543","Nup54")</f>
        <v>Nup54</v>
      </c>
      <c r="B5116" s="4"/>
      <c r="C5116" s="3">
        <v>0</v>
      </c>
      <c r="D5116" s="3">
        <v>69</v>
      </c>
      <c r="E5116" s="3">
        <v>0</v>
      </c>
      <c r="F5116" s="3">
        <v>0</v>
      </c>
      <c r="G5116" s="3">
        <v>696</v>
      </c>
      <c r="H5116" s="2">
        <f t="shared" si="158"/>
        <v>765</v>
      </c>
      <c r="I5116" t="str">
        <f t="shared" si="159"/>
        <v>Nup54_765</v>
      </c>
      <c r="J5116" s="3">
        <v>0</v>
      </c>
      <c r="K5116" s="3">
        <v>69</v>
      </c>
      <c r="L5116" s="3">
        <v>0</v>
      </c>
      <c r="M5116" s="3">
        <v>0</v>
      </c>
      <c r="N5116" s="3">
        <v>696</v>
      </c>
    </row>
    <row r="5117" spans="1:14" x14ac:dyDescent="0.2">
      <c r="A5117" s="5" t="str">
        <f>HYPERLINK("http://www.ncbi.nlm.nih.gov/protein/108773813","Nup85")</f>
        <v>Nup85</v>
      </c>
      <c r="B5117" s="4"/>
      <c r="C5117" s="3">
        <v>0</v>
      </c>
      <c r="D5117" s="3">
        <v>0</v>
      </c>
      <c r="E5117" s="3">
        <v>165</v>
      </c>
      <c r="F5117" s="3">
        <v>499</v>
      </c>
      <c r="G5117" s="3">
        <v>664</v>
      </c>
      <c r="H5117" s="2">
        <f t="shared" si="158"/>
        <v>1328</v>
      </c>
      <c r="I5117" t="str">
        <f t="shared" si="159"/>
        <v>Nup85_1328</v>
      </c>
      <c r="J5117" s="3">
        <v>0</v>
      </c>
      <c r="K5117" s="3">
        <v>0</v>
      </c>
      <c r="L5117" s="3">
        <v>165</v>
      </c>
      <c r="M5117" s="3">
        <v>499</v>
      </c>
      <c r="N5117" s="3">
        <v>664</v>
      </c>
    </row>
    <row r="5118" spans="1:14" x14ac:dyDescent="0.2">
      <c r="A5118" s="5" t="str">
        <f>HYPERLINK("http://www.ncbi.nlm.nih.gov/protein/27369533","Nup93")</f>
        <v>Nup93</v>
      </c>
      <c r="B5118" s="4"/>
      <c r="C5118" s="3">
        <v>24365</v>
      </c>
      <c r="D5118" s="3">
        <v>2960</v>
      </c>
      <c r="E5118" s="3">
        <v>890</v>
      </c>
      <c r="F5118" s="3">
        <v>12868</v>
      </c>
      <c r="G5118" s="3">
        <v>15700</v>
      </c>
      <c r="H5118" s="2">
        <f t="shared" si="158"/>
        <v>56783</v>
      </c>
      <c r="I5118" t="str">
        <f t="shared" si="159"/>
        <v>Nup93_56783</v>
      </c>
      <c r="J5118" s="3">
        <v>24365</v>
      </c>
      <c r="K5118" s="3">
        <v>2960</v>
      </c>
      <c r="L5118" s="3">
        <v>890</v>
      </c>
      <c r="M5118" s="3">
        <v>12868</v>
      </c>
      <c r="N5118" s="3">
        <v>15700</v>
      </c>
    </row>
    <row r="5119" spans="1:14" x14ac:dyDescent="0.2">
      <c r="A5119" s="5" t="str">
        <f>HYPERLINK("http://www.ncbi.nlm.nih.gov/protein/13384840","Nus1")</f>
        <v>Nus1</v>
      </c>
      <c r="B5119" s="4"/>
      <c r="C5119" s="3">
        <v>0</v>
      </c>
      <c r="D5119" s="3">
        <v>61</v>
      </c>
      <c r="E5119" s="3">
        <v>0</v>
      </c>
      <c r="F5119" s="3">
        <v>0</v>
      </c>
      <c r="G5119" s="3">
        <v>0</v>
      </c>
      <c r="H5119" s="2">
        <f t="shared" si="158"/>
        <v>61</v>
      </c>
      <c r="I5119" t="str">
        <f t="shared" si="159"/>
        <v>Nus1_61</v>
      </c>
      <c r="J5119" s="3">
        <v>0</v>
      </c>
      <c r="K5119" s="3">
        <v>61</v>
      </c>
      <c r="L5119" s="3">
        <v>0</v>
      </c>
      <c r="M5119" s="3">
        <v>0</v>
      </c>
      <c r="N5119" s="3">
        <v>0</v>
      </c>
    </row>
    <row r="5120" spans="1:14" x14ac:dyDescent="0.2">
      <c r="A5120" s="5" t="str">
        <f>HYPERLINK("http://www.ncbi.nlm.nih.gov/protein/111118996","Nusap1")</f>
        <v>Nusap1</v>
      </c>
      <c r="B5120" s="4"/>
      <c r="C5120" s="3">
        <v>0</v>
      </c>
      <c r="D5120" s="3">
        <v>0</v>
      </c>
      <c r="E5120" s="3">
        <v>70</v>
      </c>
      <c r="F5120" s="3">
        <v>753</v>
      </c>
      <c r="G5120" s="3">
        <v>0</v>
      </c>
      <c r="H5120" s="2">
        <f t="shared" si="158"/>
        <v>823</v>
      </c>
      <c r="I5120" t="str">
        <f t="shared" si="159"/>
        <v>Nusap1_823</v>
      </c>
      <c r="J5120" s="3">
        <v>0</v>
      </c>
      <c r="K5120" s="3">
        <v>0</v>
      </c>
      <c r="L5120" s="3">
        <v>70</v>
      </c>
      <c r="M5120" s="3">
        <v>753</v>
      </c>
      <c r="N5120" s="3">
        <v>0</v>
      </c>
    </row>
    <row r="5121" spans="1:14" x14ac:dyDescent="0.2">
      <c r="A5121" s="5" t="str">
        <f>HYPERLINK("http://www.ncbi.nlm.nih.gov/protein/19527068","Nusap1")</f>
        <v>Nusap1</v>
      </c>
      <c r="B5121" s="4"/>
      <c r="C5121" s="3">
        <v>0</v>
      </c>
      <c r="D5121" s="3">
        <v>0</v>
      </c>
      <c r="E5121" s="3">
        <v>70</v>
      </c>
      <c r="F5121" s="3">
        <v>753</v>
      </c>
      <c r="G5121" s="3">
        <v>0</v>
      </c>
      <c r="H5121" s="2">
        <f t="shared" si="158"/>
        <v>823</v>
      </c>
      <c r="I5121" t="str">
        <f t="shared" si="159"/>
        <v>Nusap1_823</v>
      </c>
      <c r="J5121" s="3">
        <v>0</v>
      </c>
      <c r="K5121" s="3">
        <v>0</v>
      </c>
      <c r="L5121" s="3">
        <v>70</v>
      </c>
      <c r="M5121" s="3">
        <v>753</v>
      </c>
      <c r="N5121" s="3">
        <v>0</v>
      </c>
    </row>
    <row r="5122" spans="1:14" x14ac:dyDescent="0.2">
      <c r="A5122" s="5" t="str">
        <f>HYPERLINK("http://www.ncbi.nlm.nih.gov/protein/33468981","Nvl")</f>
        <v>Nvl</v>
      </c>
      <c r="B5122" s="4"/>
      <c r="C5122" s="3">
        <v>0</v>
      </c>
      <c r="D5122" s="3">
        <v>0</v>
      </c>
      <c r="E5122" s="3">
        <v>4899</v>
      </c>
      <c r="F5122" s="3">
        <v>0</v>
      </c>
      <c r="G5122" s="3">
        <v>0</v>
      </c>
      <c r="H5122" s="2">
        <f t="shared" ref="H5122:H5185" si="160">SUM(C5122:G5122)</f>
        <v>4899</v>
      </c>
      <c r="I5122" t="str">
        <f t="shared" ref="I5122:I5185" si="161">A5122&amp;"_"&amp;H5122</f>
        <v>Nvl_4899</v>
      </c>
      <c r="J5122" s="3">
        <v>0</v>
      </c>
      <c r="K5122" s="3">
        <v>0</v>
      </c>
      <c r="L5122" s="3">
        <v>4899</v>
      </c>
      <c r="M5122" s="3">
        <v>0</v>
      </c>
      <c r="N5122" s="3">
        <v>0</v>
      </c>
    </row>
    <row r="5123" spans="1:14" x14ac:dyDescent="0.2">
      <c r="A5123" s="5" t="str">
        <f>HYPERLINK("http://www.ncbi.nlm.nih.gov/protein/452401033","Nxf1")</f>
        <v>Nxf1</v>
      </c>
      <c r="B5123" s="4"/>
      <c r="C5123" s="3">
        <v>604</v>
      </c>
      <c r="D5123" s="3">
        <v>0</v>
      </c>
      <c r="E5123" s="3">
        <v>0</v>
      </c>
      <c r="F5123" s="3">
        <v>0</v>
      </c>
      <c r="G5123" s="3">
        <v>0</v>
      </c>
      <c r="H5123" s="2">
        <f t="shared" si="160"/>
        <v>604</v>
      </c>
      <c r="I5123" t="str">
        <f t="shared" si="161"/>
        <v>Nxf1_604</v>
      </c>
      <c r="J5123" s="3">
        <v>604</v>
      </c>
      <c r="K5123" s="3">
        <v>0</v>
      </c>
      <c r="L5123" s="3">
        <v>0</v>
      </c>
      <c r="M5123" s="3">
        <v>0</v>
      </c>
      <c r="N5123" s="3">
        <v>0</v>
      </c>
    </row>
    <row r="5124" spans="1:14" x14ac:dyDescent="0.2">
      <c r="A5124" s="5" t="str">
        <f>HYPERLINK("http://www.ncbi.nlm.nih.gov/protein/31980798","Nxf1")</f>
        <v>Nxf1</v>
      </c>
      <c r="B5124" s="4"/>
      <c r="C5124" s="3">
        <v>16585</v>
      </c>
      <c r="D5124" s="3">
        <v>188</v>
      </c>
      <c r="E5124" s="3">
        <v>6</v>
      </c>
      <c r="F5124" s="3">
        <v>2439</v>
      </c>
      <c r="G5124" s="3">
        <v>0</v>
      </c>
      <c r="H5124" s="2">
        <f t="shared" si="160"/>
        <v>19218</v>
      </c>
      <c r="I5124" t="str">
        <f t="shared" si="161"/>
        <v>Nxf1_19218</v>
      </c>
      <c r="J5124" s="3">
        <v>16585</v>
      </c>
      <c r="K5124" s="3">
        <v>188</v>
      </c>
      <c r="L5124" s="3">
        <v>6</v>
      </c>
      <c r="M5124" s="3">
        <v>2439</v>
      </c>
      <c r="N5124" s="3">
        <v>0</v>
      </c>
    </row>
    <row r="5125" spans="1:14" x14ac:dyDescent="0.2">
      <c r="A5125" s="5" t="str">
        <f>HYPERLINK("http://www.ncbi.nlm.nih.gov/protein/6679160","Nxn")</f>
        <v>Nxn</v>
      </c>
      <c r="B5125" s="4"/>
      <c r="C5125" s="3">
        <v>0</v>
      </c>
      <c r="D5125" s="3">
        <v>127</v>
      </c>
      <c r="E5125" s="3">
        <v>13</v>
      </c>
      <c r="F5125" s="3">
        <v>16</v>
      </c>
      <c r="G5125" s="3">
        <v>2013</v>
      </c>
      <c r="H5125" s="2">
        <f t="shared" si="160"/>
        <v>2169</v>
      </c>
      <c r="I5125" t="str">
        <f t="shared" si="161"/>
        <v>Nxn_2169</v>
      </c>
      <c r="J5125" s="3">
        <v>0</v>
      </c>
      <c r="K5125" s="3">
        <v>127</v>
      </c>
      <c r="L5125" s="3">
        <v>13</v>
      </c>
      <c r="M5125" s="3">
        <v>16</v>
      </c>
      <c r="N5125" s="3">
        <v>2013</v>
      </c>
    </row>
    <row r="5126" spans="1:14" x14ac:dyDescent="0.2">
      <c r="A5126" s="5" t="str">
        <f>HYPERLINK("http://www.ncbi.nlm.nih.gov/protein/158749549","Nxt1")</f>
        <v>Nxt1</v>
      </c>
      <c r="B5126" s="4"/>
      <c r="C5126" s="3">
        <v>183</v>
      </c>
      <c r="D5126" s="3">
        <v>0</v>
      </c>
      <c r="E5126" s="3">
        <v>50</v>
      </c>
      <c r="F5126" s="3">
        <v>0</v>
      </c>
      <c r="G5126" s="3">
        <v>0</v>
      </c>
      <c r="H5126" s="2">
        <f t="shared" si="160"/>
        <v>233</v>
      </c>
      <c r="I5126" t="str">
        <f t="shared" si="161"/>
        <v>Nxt1_233</v>
      </c>
      <c r="J5126" s="3">
        <v>183</v>
      </c>
      <c r="K5126" s="3">
        <v>0</v>
      </c>
      <c r="L5126" s="3">
        <v>50</v>
      </c>
      <c r="M5126" s="3">
        <v>0</v>
      </c>
      <c r="N5126" s="3">
        <v>0</v>
      </c>
    </row>
    <row r="5127" spans="1:14" x14ac:dyDescent="0.2">
      <c r="A5127" s="5" t="str">
        <f>HYPERLINK("http://www.ncbi.nlm.nih.gov/protein/238637332;238637330","Nxt2")</f>
        <v>Nxt2</v>
      </c>
      <c r="B5127" s="4"/>
      <c r="C5127" s="3">
        <v>183</v>
      </c>
      <c r="D5127" s="3">
        <v>0</v>
      </c>
      <c r="E5127" s="3">
        <v>50</v>
      </c>
      <c r="F5127" s="3">
        <v>0</v>
      </c>
      <c r="G5127" s="3">
        <v>0</v>
      </c>
      <c r="H5127" s="2">
        <f t="shared" si="160"/>
        <v>233</v>
      </c>
      <c r="I5127" t="str">
        <f t="shared" si="161"/>
        <v>Nxt2_233</v>
      </c>
      <c r="J5127" s="3">
        <v>183</v>
      </c>
      <c r="K5127" s="3">
        <v>0</v>
      </c>
      <c r="L5127" s="3">
        <v>50</v>
      </c>
      <c r="M5127" s="3">
        <v>0</v>
      </c>
      <c r="N5127" s="3">
        <v>0</v>
      </c>
    </row>
    <row r="5128" spans="1:14" x14ac:dyDescent="0.2">
      <c r="A5128" s="5" t="str">
        <f>HYPERLINK("http://www.ncbi.nlm.nih.gov/protein/256220954","Nynrin")</f>
        <v>Nynrin</v>
      </c>
      <c r="B5128" s="4"/>
      <c r="C5128" s="3">
        <v>0</v>
      </c>
      <c r="D5128" s="3">
        <v>1115</v>
      </c>
      <c r="E5128" s="3">
        <v>0</v>
      </c>
      <c r="F5128" s="3">
        <v>0</v>
      </c>
      <c r="G5128" s="3">
        <v>0</v>
      </c>
      <c r="H5128" s="2">
        <f t="shared" si="160"/>
        <v>1115</v>
      </c>
      <c r="I5128" t="str">
        <f t="shared" si="161"/>
        <v>Nynrin_1115</v>
      </c>
      <c r="J5128" s="3">
        <v>0</v>
      </c>
      <c r="K5128" s="3">
        <v>1115</v>
      </c>
      <c r="L5128" s="3">
        <v>0</v>
      </c>
      <c r="M5128" s="3">
        <v>0</v>
      </c>
      <c r="N5128" s="3">
        <v>0</v>
      </c>
    </row>
    <row r="5129" spans="1:14" x14ac:dyDescent="0.2">
      <c r="A5129" s="5" t="str">
        <f>HYPERLINK("http://www.ncbi.nlm.nih.gov/protein/110625732","Oard1")</f>
        <v>Oard1</v>
      </c>
      <c r="B5129" s="4"/>
      <c r="C5129" s="3">
        <v>348</v>
      </c>
      <c r="D5129" s="3">
        <v>2311</v>
      </c>
      <c r="E5129" s="3">
        <v>2987</v>
      </c>
      <c r="F5129" s="3">
        <v>8513</v>
      </c>
      <c r="G5129" s="3">
        <v>9692</v>
      </c>
      <c r="H5129" s="2">
        <f t="shared" si="160"/>
        <v>23851</v>
      </c>
      <c r="I5129" t="str">
        <f t="shared" si="161"/>
        <v>Oard1_23851</v>
      </c>
      <c r="J5129" s="3">
        <v>348</v>
      </c>
      <c r="K5129" s="3">
        <v>2311</v>
      </c>
      <c r="L5129" s="3">
        <v>2987</v>
      </c>
      <c r="M5129" s="3">
        <v>8513</v>
      </c>
      <c r="N5129" s="3">
        <v>9692</v>
      </c>
    </row>
    <row r="5130" spans="1:14" x14ac:dyDescent="0.2">
      <c r="A5130" s="5" t="str">
        <f>HYPERLINK("http://www.ncbi.nlm.nih.gov/protein/281332108","Oas1a")</f>
        <v>Oas1a</v>
      </c>
      <c r="B5130" s="4"/>
      <c r="C5130" s="3">
        <v>0</v>
      </c>
      <c r="D5130" s="3">
        <v>10</v>
      </c>
      <c r="E5130" s="3">
        <v>78</v>
      </c>
      <c r="F5130" s="3">
        <v>900</v>
      </c>
      <c r="G5130" s="3">
        <v>0</v>
      </c>
      <c r="H5130" s="2">
        <f t="shared" si="160"/>
        <v>988</v>
      </c>
      <c r="I5130" t="str">
        <f t="shared" si="161"/>
        <v>Oas1a_988</v>
      </c>
      <c r="J5130" s="3">
        <v>0</v>
      </c>
      <c r="K5130" s="3">
        <v>10</v>
      </c>
      <c r="L5130" s="3">
        <v>78</v>
      </c>
      <c r="M5130" s="3">
        <v>900</v>
      </c>
      <c r="N5130" s="3">
        <v>0</v>
      </c>
    </row>
    <row r="5131" spans="1:14" x14ac:dyDescent="0.2">
      <c r="A5131" s="5" t="str">
        <f>HYPERLINK("http://www.ncbi.nlm.nih.gov/protein/31560524","Oas1g")</f>
        <v>Oas1g</v>
      </c>
      <c r="B5131" s="4"/>
      <c r="C5131" s="3">
        <v>0</v>
      </c>
      <c r="D5131" s="3">
        <v>10</v>
      </c>
      <c r="E5131" s="3">
        <v>78</v>
      </c>
      <c r="F5131" s="3">
        <v>900</v>
      </c>
      <c r="G5131" s="3">
        <v>0</v>
      </c>
      <c r="H5131" s="2">
        <f t="shared" si="160"/>
        <v>988</v>
      </c>
      <c r="I5131" t="str">
        <f t="shared" si="161"/>
        <v>Oas1g_988</v>
      </c>
      <c r="J5131" s="3">
        <v>0</v>
      </c>
      <c r="K5131" s="3">
        <v>10</v>
      </c>
      <c r="L5131" s="3">
        <v>78</v>
      </c>
      <c r="M5131" s="3">
        <v>900</v>
      </c>
      <c r="N5131" s="3">
        <v>0</v>
      </c>
    </row>
    <row r="5132" spans="1:14" x14ac:dyDescent="0.2">
      <c r="A5132" s="5" t="str">
        <f>HYPERLINK("http://www.ncbi.nlm.nih.gov/protein/28827826","Obfc1")</f>
        <v>Obfc1</v>
      </c>
      <c r="B5132" s="4"/>
      <c r="C5132" s="3">
        <v>0</v>
      </c>
      <c r="D5132" s="3">
        <v>0</v>
      </c>
      <c r="E5132" s="3">
        <v>1457</v>
      </c>
      <c r="F5132" s="3">
        <v>6540</v>
      </c>
      <c r="G5132" s="3">
        <v>25788</v>
      </c>
      <c r="H5132" s="2">
        <f t="shared" si="160"/>
        <v>33785</v>
      </c>
      <c r="I5132" t="str">
        <f t="shared" si="161"/>
        <v>Obfc1_33785</v>
      </c>
      <c r="J5132" s="3">
        <v>0</v>
      </c>
      <c r="K5132" s="3">
        <v>0</v>
      </c>
      <c r="L5132" s="3">
        <v>1457</v>
      </c>
      <c r="M5132" s="3">
        <v>6540</v>
      </c>
      <c r="N5132" s="3">
        <v>25788</v>
      </c>
    </row>
    <row r="5133" spans="1:14" x14ac:dyDescent="0.2">
      <c r="A5133" s="5" t="str">
        <f>HYPERLINK("http://www.ncbi.nlm.nih.gov/protein/170763522","Obsl1")</f>
        <v>Obsl1</v>
      </c>
      <c r="B5133" s="4"/>
      <c r="C5133" s="3">
        <v>3661</v>
      </c>
      <c r="D5133" s="3">
        <v>0</v>
      </c>
      <c r="E5133" s="3">
        <v>2919</v>
      </c>
      <c r="F5133" s="3">
        <v>5984</v>
      </c>
      <c r="G5133" s="3">
        <v>407</v>
      </c>
      <c r="H5133" s="2">
        <f t="shared" si="160"/>
        <v>12971</v>
      </c>
      <c r="I5133" t="str">
        <f t="shared" si="161"/>
        <v>Obsl1_12971</v>
      </c>
      <c r="J5133" s="3">
        <v>3661</v>
      </c>
      <c r="K5133" s="3">
        <v>0</v>
      </c>
      <c r="L5133" s="3">
        <v>2919</v>
      </c>
      <c r="M5133" s="3">
        <v>5984</v>
      </c>
      <c r="N5133" s="3">
        <v>407</v>
      </c>
    </row>
    <row r="5134" spans="1:14" x14ac:dyDescent="0.2">
      <c r="A5134" s="5" t="str">
        <f>HYPERLINK("http://www.ncbi.nlm.nih.gov/protein/12963675","Ociad1")</f>
        <v>Ociad1</v>
      </c>
      <c r="B5134" s="4"/>
      <c r="C5134" s="3">
        <v>2361</v>
      </c>
      <c r="D5134" s="3">
        <v>5271</v>
      </c>
      <c r="E5134" s="3">
        <v>4</v>
      </c>
      <c r="F5134" s="3">
        <v>0</v>
      </c>
      <c r="G5134" s="3">
        <v>0</v>
      </c>
      <c r="H5134" s="2">
        <f t="shared" si="160"/>
        <v>7636</v>
      </c>
      <c r="I5134" t="str">
        <f t="shared" si="161"/>
        <v>Ociad1_7636</v>
      </c>
      <c r="J5134" s="3">
        <v>2361</v>
      </c>
      <c r="K5134" s="3">
        <v>5271</v>
      </c>
      <c r="L5134" s="3">
        <v>4</v>
      </c>
      <c r="M5134" s="3">
        <v>0</v>
      </c>
      <c r="N5134" s="3">
        <v>0</v>
      </c>
    </row>
    <row r="5135" spans="1:14" x14ac:dyDescent="0.2">
      <c r="A5135" s="5" t="str">
        <f>HYPERLINK("http://www.ncbi.nlm.nih.gov/protein/229577356","Ociad1")</f>
        <v>Ociad1</v>
      </c>
      <c r="B5135" s="4"/>
      <c r="C5135" s="3">
        <v>2361</v>
      </c>
      <c r="D5135" s="3">
        <v>5271</v>
      </c>
      <c r="E5135" s="3">
        <v>4</v>
      </c>
      <c r="F5135" s="3">
        <v>0</v>
      </c>
      <c r="G5135" s="3">
        <v>0</v>
      </c>
      <c r="H5135" s="2">
        <f t="shared" si="160"/>
        <v>7636</v>
      </c>
      <c r="I5135" t="str">
        <f t="shared" si="161"/>
        <v>Ociad1_7636</v>
      </c>
      <c r="J5135" s="3">
        <v>2361</v>
      </c>
      <c r="K5135" s="3">
        <v>5271</v>
      </c>
      <c r="L5135" s="3">
        <v>4</v>
      </c>
      <c r="M5135" s="3">
        <v>0</v>
      </c>
      <c r="N5135" s="3">
        <v>0</v>
      </c>
    </row>
    <row r="5136" spans="1:14" x14ac:dyDescent="0.2">
      <c r="A5136" s="5" t="str">
        <f>HYPERLINK("http://www.ncbi.nlm.nih.gov/protein/229577358","Ociad1")</f>
        <v>Ociad1</v>
      </c>
      <c r="B5136" s="4"/>
      <c r="C5136" s="3">
        <v>2361</v>
      </c>
      <c r="D5136" s="3">
        <v>5271</v>
      </c>
      <c r="E5136" s="3">
        <v>4</v>
      </c>
      <c r="F5136" s="3">
        <v>0</v>
      </c>
      <c r="G5136" s="3">
        <v>0</v>
      </c>
      <c r="H5136" s="2">
        <f t="shared" si="160"/>
        <v>7636</v>
      </c>
      <c r="I5136" t="str">
        <f t="shared" si="161"/>
        <v>Ociad1_7636</v>
      </c>
      <c r="J5136" s="3">
        <v>2361</v>
      </c>
      <c r="K5136" s="3">
        <v>5271</v>
      </c>
      <c r="L5136" s="3">
        <v>4</v>
      </c>
      <c r="M5136" s="3">
        <v>0</v>
      </c>
      <c r="N5136" s="3">
        <v>0</v>
      </c>
    </row>
    <row r="5137" spans="1:14" x14ac:dyDescent="0.2">
      <c r="A5137" s="5" t="str">
        <f>HYPERLINK("http://www.ncbi.nlm.nih.gov/protein/38348576","Odf3l1")</f>
        <v>Odf3l1</v>
      </c>
      <c r="B5137" s="4"/>
      <c r="C5137" s="3">
        <v>5473</v>
      </c>
      <c r="D5137" s="3">
        <v>0</v>
      </c>
      <c r="E5137" s="3">
        <v>1826</v>
      </c>
      <c r="F5137" s="3">
        <v>0</v>
      </c>
      <c r="G5137" s="3">
        <v>0</v>
      </c>
      <c r="H5137" s="2">
        <f t="shared" si="160"/>
        <v>7299</v>
      </c>
      <c r="I5137" t="str">
        <f t="shared" si="161"/>
        <v>Odf3l1_7299</v>
      </c>
      <c r="J5137" s="3">
        <v>5473</v>
      </c>
      <c r="K5137" s="3">
        <v>0</v>
      </c>
      <c r="L5137" s="3">
        <v>1826</v>
      </c>
      <c r="M5137" s="3">
        <v>0</v>
      </c>
      <c r="N5137" s="3">
        <v>0</v>
      </c>
    </row>
    <row r="5138" spans="1:14" x14ac:dyDescent="0.2">
      <c r="A5138" s="5" t="str">
        <f>HYPERLINK("http://www.ncbi.nlm.nih.gov/protein/225007605","Ofd1")</f>
        <v>Ofd1</v>
      </c>
      <c r="B5138" s="4"/>
      <c r="C5138" s="3">
        <v>0</v>
      </c>
      <c r="D5138" s="3">
        <v>0</v>
      </c>
      <c r="E5138" s="3">
        <v>0</v>
      </c>
      <c r="F5138" s="3">
        <v>0</v>
      </c>
      <c r="G5138" s="3">
        <v>3266</v>
      </c>
      <c r="H5138" s="2">
        <f t="shared" si="160"/>
        <v>3266</v>
      </c>
      <c r="I5138" t="str">
        <f t="shared" si="161"/>
        <v>Ofd1_3266</v>
      </c>
      <c r="J5138" s="3">
        <v>0</v>
      </c>
      <c r="K5138" s="3">
        <v>0</v>
      </c>
      <c r="L5138" s="3">
        <v>0</v>
      </c>
      <c r="M5138" s="3">
        <v>0</v>
      </c>
      <c r="N5138" s="3">
        <v>3266</v>
      </c>
    </row>
    <row r="5139" spans="1:14" x14ac:dyDescent="0.2">
      <c r="A5139" s="5" t="str">
        <f>HYPERLINK("http://www.ncbi.nlm.nih.gov/protein/85861164;356582489","Ogdh")</f>
        <v>Ogdh</v>
      </c>
      <c r="B5139" s="4"/>
      <c r="C5139" s="3">
        <v>159830</v>
      </c>
      <c r="D5139" s="3">
        <v>3597</v>
      </c>
      <c r="E5139" s="3">
        <v>1026</v>
      </c>
      <c r="F5139" s="3">
        <v>7203</v>
      </c>
      <c r="G5139" s="3">
        <v>0</v>
      </c>
      <c r="H5139" s="2">
        <f t="shared" si="160"/>
        <v>171656</v>
      </c>
      <c r="I5139" t="str">
        <f t="shared" si="161"/>
        <v>Ogdh_171656</v>
      </c>
      <c r="J5139" s="3">
        <v>159830</v>
      </c>
      <c r="K5139" s="3">
        <v>3597</v>
      </c>
      <c r="L5139" s="3">
        <v>1026</v>
      </c>
      <c r="M5139" s="3">
        <v>7203</v>
      </c>
      <c r="N5139" s="3">
        <v>0</v>
      </c>
    </row>
    <row r="5140" spans="1:14" x14ac:dyDescent="0.2">
      <c r="A5140" s="5" t="str">
        <f>HYPERLINK("http://www.ncbi.nlm.nih.gov/protein/85861164","Ogdh")</f>
        <v>Ogdh</v>
      </c>
      <c r="B5140" s="4"/>
      <c r="C5140" s="3">
        <v>0</v>
      </c>
      <c r="D5140" s="3">
        <v>0</v>
      </c>
      <c r="E5140" s="3">
        <v>0</v>
      </c>
      <c r="F5140" s="3">
        <v>0</v>
      </c>
      <c r="G5140" s="3">
        <v>2677</v>
      </c>
      <c r="H5140" s="2">
        <f t="shared" si="160"/>
        <v>2677</v>
      </c>
      <c r="I5140" t="str">
        <f t="shared" si="161"/>
        <v>Ogdh_2677</v>
      </c>
      <c r="J5140" s="3">
        <v>0</v>
      </c>
      <c r="K5140" s="3">
        <v>0</v>
      </c>
      <c r="L5140" s="3">
        <v>0</v>
      </c>
      <c r="M5140" s="3">
        <v>0</v>
      </c>
      <c r="N5140" s="3">
        <v>2677</v>
      </c>
    </row>
    <row r="5141" spans="1:14" x14ac:dyDescent="0.2">
      <c r="A5141" s="5" t="str">
        <f>HYPERLINK("http://www.ncbi.nlm.nih.gov/protein/356582477","Ogdh")</f>
        <v>Ogdh</v>
      </c>
      <c r="B5141" s="4"/>
      <c r="C5141" s="3">
        <v>158493</v>
      </c>
      <c r="D5141" s="3">
        <v>3597</v>
      </c>
      <c r="E5141" s="3">
        <v>1026</v>
      </c>
      <c r="F5141" s="3">
        <v>7203</v>
      </c>
      <c r="G5141" s="3">
        <v>2677</v>
      </c>
      <c r="H5141" s="2">
        <f t="shared" si="160"/>
        <v>172996</v>
      </c>
      <c r="I5141" t="str">
        <f t="shared" si="161"/>
        <v>Ogdh_172996</v>
      </c>
      <c r="J5141" s="3">
        <v>158493</v>
      </c>
      <c r="K5141" s="3">
        <v>3597</v>
      </c>
      <c r="L5141" s="3">
        <v>1026</v>
      </c>
      <c r="M5141" s="3">
        <v>7203</v>
      </c>
      <c r="N5141" s="3">
        <v>2677</v>
      </c>
    </row>
    <row r="5142" spans="1:14" x14ac:dyDescent="0.2">
      <c r="A5142" s="5" t="str">
        <f>HYPERLINK("http://www.ncbi.nlm.nih.gov/protein/356582479","Ogdh")</f>
        <v>Ogdh</v>
      </c>
      <c r="B5142" s="4"/>
      <c r="C5142" s="3">
        <v>153349</v>
      </c>
      <c r="D5142" s="3">
        <v>3597</v>
      </c>
      <c r="E5142" s="3">
        <v>1026</v>
      </c>
      <c r="F5142" s="3">
        <v>7203</v>
      </c>
      <c r="G5142" s="3">
        <v>2677</v>
      </c>
      <c r="H5142" s="2">
        <f t="shared" si="160"/>
        <v>167852</v>
      </c>
      <c r="I5142" t="str">
        <f t="shared" si="161"/>
        <v>Ogdh_167852</v>
      </c>
      <c r="J5142" s="3">
        <v>153349</v>
      </c>
      <c r="K5142" s="3">
        <v>3597</v>
      </c>
      <c r="L5142" s="3">
        <v>1026</v>
      </c>
      <c r="M5142" s="3">
        <v>7203</v>
      </c>
      <c r="N5142" s="3">
        <v>2677</v>
      </c>
    </row>
    <row r="5143" spans="1:14" x14ac:dyDescent="0.2">
      <c r="A5143" s="5" t="str">
        <f>HYPERLINK("http://www.ncbi.nlm.nih.gov/protein/356582492","Ogdh")</f>
        <v>Ogdh</v>
      </c>
      <c r="B5143" s="4"/>
      <c r="C5143" s="3">
        <v>153349</v>
      </c>
      <c r="D5143" s="3">
        <v>3597</v>
      </c>
      <c r="E5143" s="3">
        <v>1026</v>
      </c>
      <c r="F5143" s="3">
        <v>7203</v>
      </c>
      <c r="G5143" s="3">
        <v>2677</v>
      </c>
      <c r="H5143" s="2">
        <f t="shared" si="160"/>
        <v>167852</v>
      </c>
      <c r="I5143" t="str">
        <f t="shared" si="161"/>
        <v>Ogdh_167852</v>
      </c>
      <c r="J5143" s="3">
        <v>153349</v>
      </c>
      <c r="K5143" s="3">
        <v>3597</v>
      </c>
      <c r="L5143" s="3">
        <v>1026</v>
      </c>
      <c r="M5143" s="3">
        <v>7203</v>
      </c>
      <c r="N5143" s="3">
        <v>2677</v>
      </c>
    </row>
    <row r="5144" spans="1:14" x14ac:dyDescent="0.2">
      <c r="A5144" s="5" t="str">
        <f>HYPERLINK("http://www.ncbi.nlm.nih.gov/protein/124487483","Ogdhl")</f>
        <v>Ogdhl</v>
      </c>
      <c r="B5144" s="4"/>
      <c r="C5144" s="3">
        <v>32859</v>
      </c>
      <c r="D5144" s="3">
        <v>952</v>
      </c>
      <c r="E5144" s="3">
        <v>585</v>
      </c>
      <c r="F5144" s="3">
        <v>0</v>
      </c>
      <c r="G5144" s="3">
        <v>2677</v>
      </c>
      <c r="H5144" s="2">
        <f t="shared" si="160"/>
        <v>37073</v>
      </c>
      <c r="I5144" t="str">
        <f t="shared" si="161"/>
        <v>Ogdhl_37073</v>
      </c>
      <c r="J5144" s="3">
        <v>32859</v>
      </c>
      <c r="K5144" s="3">
        <v>952</v>
      </c>
      <c r="L5144" s="3">
        <v>585</v>
      </c>
      <c r="M5144" s="3">
        <v>0</v>
      </c>
      <c r="N5144" s="3">
        <v>2677</v>
      </c>
    </row>
    <row r="5145" spans="1:14" x14ac:dyDescent="0.2">
      <c r="A5145" s="5" t="str">
        <f>HYPERLINK("http://www.ncbi.nlm.nih.gov/protein/147901538","Ogfod1")</f>
        <v>Ogfod1</v>
      </c>
      <c r="B5145" s="4"/>
      <c r="C5145" s="3">
        <v>0</v>
      </c>
      <c r="D5145" s="3">
        <v>0</v>
      </c>
      <c r="E5145" s="3">
        <v>0</v>
      </c>
      <c r="F5145" s="3">
        <v>180</v>
      </c>
      <c r="G5145" s="3">
        <v>118</v>
      </c>
      <c r="H5145" s="2">
        <f t="shared" si="160"/>
        <v>298</v>
      </c>
      <c r="I5145" t="str">
        <f t="shared" si="161"/>
        <v>Ogfod1_298</v>
      </c>
      <c r="J5145" s="3">
        <v>0</v>
      </c>
      <c r="K5145" s="3">
        <v>0</v>
      </c>
      <c r="L5145" s="3">
        <v>0</v>
      </c>
      <c r="M5145" s="3">
        <v>180</v>
      </c>
      <c r="N5145" s="3">
        <v>118</v>
      </c>
    </row>
    <row r="5146" spans="1:14" x14ac:dyDescent="0.2">
      <c r="A5146" s="5" t="str">
        <f>HYPERLINK("http://www.ncbi.nlm.nih.gov/protein/148224284","Ogfod1")</f>
        <v>Ogfod1</v>
      </c>
      <c r="B5146" s="4"/>
      <c r="C5146" s="3">
        <v>0</v>
      </c>
      <c r="D5146" s="3">
        <v>0</v>
      </c>
      <c r="E5146" s="3">
        <v>0</v>
      </c>
      <c r="F5146" s="3">
        <v>180</v>
      </c>
      <c r="G5146" s="3">
        <v>118</v>
      </c>
      <c r="H5146" s="2">
        <f t="shared" si="160"/>
        <v>298</v>
      </c>
      <c r="I5146" t="str">
        <f t="shared" si="161"/>
        <v>Ogfod1_298</v>
      </c>
      <c r="J5146" s="3">
        <v>0</v>
      </c>
      <c r="K5146" s="3">
        <v>0</v>
      </c>
      <c r="L5146" s="3">
        <v>0</v>
      </c>
      <c r="M5146" s="3">
        <v>180</v>
      </c>
      <c r="N5146" s="3">
        <v>118</v>
      </c>
    </row>
    <row r="5147" spans="1:14" x14ac:dyDescent="0.2">
      <c r="A5147" s="5" t="str">
        <f>HYPERLINK("http://www.ncbi.nlm.nih.gov/protein/258679484","Ogfr")</f>
        <v>Ogfr</v>
      </c>
      <c r="B5147" s="4"/>
      <c r="C5147" s="3">
        <v>0</v>
      </c>
      <c r="D5147" s="3">
        <v>0</v>
      </c>
      <c r="E5147" s="3">
        <v>0</v>
      </c>
      <c r="F5147" s="3">
        <v>0</v>
      </c>
      <c r="G5147" s="3">
        <v>21890</v>
      </c>
      <c r="H5147" s="2">
        <f t="shared" si="160"/>
        <v>21890</v>
      </c>
      <c r="I5147" t="str">
        <f t="shared" si="161"/>
        <v>Ogfr_21890</v>
      </c>
      <c r="J5147" s="3">
        <v>0</v>
      </c>
      <c r="K5147" s="3">
        <v>0</v>
      </c>
      <c r="L5147" s="3">
        <v>0</v>
      </c>
      <c r="M5147" s="3">
        <v>0</v>
      </c>
      <c r="N5147" s="3">
        <v>21890</v>
      </c>
    </row>
    <row r="5148" spans="1:14" x14ac:dyDescent="0.2">
      <c r="A5148" s="5" t="str">
        <f>HYPERLINK("http://www.ncbi.nlm.nih.gov/protein/46909607","Ogt")</f>
        <v>Ogt</v>
      </c>
      <c r="B5148" s="4"/>
      <c r="C5148" s="3">
        <v>458</v>
      </c>
      <c r="D5148" s="3">
        <v>109</v>
      </c>
      <c r="E5148" s="3">
        <v>562</v>
      </c>
      <c r="F5148" s="3">
        <v>2587</v>
      </c>
      <c r="G5148" s="3">
        <v>7390</v>
      </c>
      <c r="H5148" s="2">
        <f t="shared" si="160"/>
        <v>11106</v>
      </c>
      <c r="I5148" t="str">
        <f t="shared" si="161"/>
        <v>Ogt_11106</v>
      </c>
      <c r="J5148" s="3">
        <v>458</v>
      </c>
      <c r="K5148" s="3">
        <v>109</v>
      </c>
      <c r="L5148" s="3">
        <v>562</v>
      </c>
      <c r="M5148" s="3">
        <v>2587</v>
      </c>
      <c r="N5148" s="3">
        <v>7390</v>
      </c>
    </row>
    <row r="5149" spans="1:14" x14ac:dyDescent="0.2">
      <c r="A5149" s="5" t="str">
        <f>HYPERLINK("http://www.ncbi.nlm.nih.gov/protein/22164770","Oit1")</f>
        <v>Oit1</v>
      </c>
      <c r="B5149" s="4"/>
      <c r="C5149" s="3">
        <v>0</v>
      </c>
      <c r="D5149" s="3">
        <v>570</v>
      </c>
      <c r="E5149" s="3">
        <v>0</v>
      </c>
      <c r="F5149" s="3">
        <v>0</v>
      </c>
      <c r="G5149" s="3">
        <v>0</v>
      </c>
      <c r="H5149" s="2">
        <f t="shared" si="160"/>
        <v>570</v>
      </c>
      <c r="I5149" t="str">
        <f t="shared" si="161"/>
        <v>Oit1_570</v>
      </c>
      <c r="J5149" s="3">
        <v>0</v>
      </c>
      <c r="K5149" s="3">
        <v>570</v>
      </c>
      <c r="L5149" s="3">
        <v>0</v>
      </c>
      <c r="M5149" s="3">
        <v>0</v>
      </c>
      <c r="N5149" s="3">
        <v>0</v>
      </c>
    </row>
    <row r="5150" spans="1:14" x14ac:dyDescent="0.2">
      <c r="A5150" s="5" t="str">
        <f>HYPERLINK("http://www.ncbi.nlm.nih.gov/protein/21313144","Ola1")</f>
        <v>Ola1</v>
      </c>
      <c r="B5150" s="4"/>
      <c r="C5150" s="3">
        <v>1153</v>
      </c>
      <c r="D5150" s="3">
        <v>5893</v>
      </c>
      <c r="E5150" s="3">
        <v>9586</v>
      </c>
      <c r="F5150" s="3">
        <v>13629</v>
      </c>
      <c r="G5150" s="3">
        <v>146549</v>
      </c>
      <c r="H5150" s="2">
        <f t="shared" si="160"/>
        <v>176810</v>
      </c>
      <c r="I5150" t="str">
        <f t="shared" si="161"/>
        <v>Ola1_176810</v>
      </c>
      <c r="J5150" s="3">
        <v>1153</v>
      </c>
      <c r="K5150" s="3">
        <v>5893</v>
      </c>
      <c r="L5150" s="3">
        <v>9586</v>
      </c>
      <c r="M5150" s="3">
        <v>13629</v>
      </c>
      <c r="N5150" s="3">
        <v>146549</v>
      </c>
    </row>
    <row r="5151" spans="1:14" x14ac:dyDescent="0.2">
      <c r="A5151" s="5" t="str">
        <f>HYPERLINK("http://www.ncbi.nlm.nih.gov/protein/76677915","Ola1")</f>
        <v>Ola1</v>
      </c>
      <c r="B5151" s="4"/>
      <c r="C5151" s="3">
        <v>1153</v>
      </c>
      <c r="D5151" s="3">
        <v>3705</v>
      </c>
      <c r="E5151" s="3">
        <v>4832</v>
      </c>
      <c r="F5151" s="3">
        <v>11509</v>
      </c>
      <c r="G5151" s="3">
        <v>42313</v>
      </c>
      <c r="H5151" s="2">
        <f t="shared" si="160"/>
        <v>63512</v>
      </c>
      <c r="I5151" t="str">
        <f t="shared" si="161"/>
        <v>Ola1_63512</v>
      </c>
      <c r="J5151" s="3">
        <v>1153</v>
      </c>
      <c r="K5151" s="3">
        <v>3705</v>
      </c>
      <c r="L5151" s="3">
        <v>4832</v>
      </c>
      <c r="M5151" s="3">
        <v>11509</v>
      </c>
      <c r="N5151" s="3">
        <v>42313</v>
      </c>
    </row>
    <row r="5152" spans="1:14" x14ac:dyDescent="0.2">
      <c r="A5152" s="5" t="str">
        <f>HYPERLINK("http://www.ncbi.nlm.nih.gov/protein/121583683","Olfr1126")</f>
        <v>Olfr1126</v>
      </c>
      <c r="B5152" s="4"/>
      <c r="C5152" s="3">
        <v>0</v>
      </c>
      <c r="D5152" s="3">
        <v>0</v>
      </c>
      <c r="E5152" s="3">
        <v>0</v>
      </c>
      <c r="F5152" s="3">
        <v>0</v>
      </c>
      <c r="G5152" s="3">
        <v>2677</v>
      </c>
      <c r="H5152" s="2">
        <f t="shared" si="160"/>
        <v>2677</v>
      </c>
      <c r="I5152" t="str">
        <f t="shared" si="161"/>
        <v>Olfr1126_2677</v>
      </c>
      <c r="J5152" s="3">
        <v>0</v>
      </c>
      <c r="K5152" s="3">
        <v>0</v>
      </c>
      <c r="L5152" s="3">
        <v>0</v>
      </c>
      <c r="M5152" s="3">
        <v>0</v>
      </c>
      <c r="N5152" s="3">
        <v>2677</v>
      </c>
    </row>
    <row r="5153" spans="1:14" x14ac:dyDescent="0.2">
      <c r="A5153" s="5" t="str">
        <f>HYPERLINK("http://www.ncbi.nlm.nih.gov/protein/22129387","Olfr516")</f>
        <v>Olfr516</v>
      </c>
      <c r="B5153" s="4"/>
      <c r="C5153" s="3">
        <v>0</v>
      </c>
      <c r="D5153" s="3">
        <v>468</v>
      </c>
      <c r="E5153" s="3">
        <v>0</v>
      </c>
      <c r="F5153" s="3">
        <v>0</v>
      </c>
      <c r="G5153" s="3">
        <v>0</v>
      </c>
      <c r="H5153" s="2">
        <f t="shared" si="160"/>
        <v>468</v>
      </c>
      <c r="I5153" t="str">
        <f t="shared" si="161"/>
        <v>Olfr516_468</v>
      </c>
      <c r="J5153" s="3">
        <v>0</v>
      </c>
      <c r="K5153" s="3">
        <v>468</v>
      </c>
      <c r="L5153" s="3">
        <v>0</v>
      </c>
      <c r="M5153" s="3">
        <v>0</v>
      </c>
      <c r="N5153" s="3">
        <v>0</v>
      </c>
    </row>
    <row r="5154" spans="1:14" x14ac:dyDescent="0.2">
      <c r="A5154" s="5" t="str">
        <f>HYPERLINK("http://www.ncbi.nlm.nih.gov/protein/22129679","Olfr518")</f>
        <v>Olfr518</v>
      </c>
      <c r="B5154" s="4"/>
      <c r="C5154" s="3">
        <v>0</v>
      </c>
      <c r="D5154" s="3">
        <v>468</v>
      </c>
      <c r="E5154" s="3">
        <v>0</v>
      </c>
      <c r="F5154" s="3">
        <v>0</v>
      </c>
      <c r="G5154" s="3">
        <v>0</v>
      </c>
      <c r="H5154" s="2">
        <f t="shared" si="160"/>
        <v>468</v>
      </c>
      <c r="I5154" t="str">
        <f t="shared" si="161"/>
        <v>Olfr518_468</v>
      </c>
      <c r="J5154" s="3">
        <v>0</v>
      </c>
      <c r="K5154" s="3">
        <v>468</v>
      </c>
      <c r="L5154" s="3">
        <v>0</v>
      </c>
      <c r="M5154" s="3">
        <v>0</v>
      </c>
      <c r="N5154" s="3">
        <v>0</v>
      </c>
    </row>
    <row r="5155" spans="1:14" x14ac:dyDescent="0.2">
      <c r="A5155" s="5" t="str">
        <f>HYPERLINK("http://www.ncbi.nlm.nih.gov/protein/121247462","Olfr554")</f>
        <v>Olfr554</v>
      </c>
      <c r="B5155" s="4"/>
      <c r="C5155" s="3">
        <v>0</v>
      </c>
      <c r="D5155" s="3">
        <v>0</v>
      </c>
      <c r="E5155" s="3">
        <v>645</v>
      </c>
      <c r="F5155" s="3">
        <v>5615</v>
      </c>
      <c r="G5155" s="3">
        <v>0</v>
      </c>
      <c r="H5155" s="2">
        <f t="shared" si="160"/>
        <v>6260</v>
      </c>
      <c r="I5155" t="str">
        <f t="shared" si="161"/>
        <v>Olfr554_6260</v>
      </c>
      <c r="J5155" s="3">
        <v>0</v>
      </c>
      <c r="K5155" s="3">
        <v>0</v>
      </c>
      <c r="L5155" s="3">
        <v>645</v>
      </c>
      <c r="M5155" s="3">
        <v>5615</v>
      </c>
      <c r="N5155" s="3">
        <v>0</v>
      </c>
    </row>
    <row r="5156" spans="1:14" x14ac:dyDescent="0.2">
      <c r="A5156" s="5" t="str">
        <f>HYPERLINK("http://www.ncbi.nlm.nih.gov/protein/22128813","Olfr643")</f>
        <v>Olfr643</v>
      </c>
      <c r="B5156" s="4"/>
      <c r="C5156" s="3">
        <v>0</v>
      </c>
      <c r="D5156" s="3">
        <v>0</v>
      </c>
      <c r="E5156" s="3">
        <v>0</v>
      </c>
      <c r="F5156" s="3">
        <v>0</v>
      </c>
      <c r="G5156" s="3">
        <v>2592</v>
      </c>
      <c r="H5156" s="2">
        <f t="shared" si="160"/>
        <v>2592</v>
      </c>
      <c r="I5156" t="str">
        <f t="shared" si="161"/>
        <v>Olfr643_2592</v>
      </c>
      <c r="J5156" s="3">
        <v>0</v>
      </c>
      <c r="K5156" s="3">
        <v>0</v>
      </c>
      <c r="L5156" s="3">
        <v>0</v>
      </c>
      <c r="M5156" s="3">
        <v>0</v>
      </c>
      <c r="N5156" s="3">
        <v>2592</v>
      </c>
    </row>
    <row r="5157" spans="1:14" x14ac:dyDescent="0.2">
      <c r="A5157" s="5" t="str">
        <f>HYPERLINK("http://www.ncbi.nlm.nih.gov/protein/120407031","Olfr67")</f>
        <v>Olfr67</v>
      </c>
      <c r="B5157" s="4"/>
      <c r="C5157" s="3">
        <v>0</v>
      </c>
      <c r="D5157" s="3">
        <v>0</v>
      </c>
      <c r="E5157" s="3">
        <v>451</v>
      </c>
      <c r="F5157" s="3">
        <v>0</v>
      </c>
      <c r="G5157" s="3">
        <v>0</v>
      </c>
      <c r="H5157" s="2">
        <f t="shared" si="160"/>
        <v>451</v>
      </c>
      <c r="I5157" t="str">
        <f t="shared" si="161"/>
        <v>Olfr67_451</v>
      </c>
      <c r="J5157" s="3">
        <v>0</v>
      </c>
      <c r="K5157" s="3">
        <v>0</v>
      </c>
      <c r="L5157" s="3">
        <v>451</v>
      </c>
      <c r="M5157" s="3">
        <v>0</v>
      </c>
      <c r="N5157" s="3">
        <v>0</v>
      </c>
    </row>
    <row r="5158" spans="1:14" x14ac:dyDescent="0.2">
      <c r="A5158" s="5" t="str">
        <f>HYPERLINK("http://www.ncbi.nlm.nih.gov/protein/33239332","Olfr810")</f>
        <v>Olfr810</v>
      </c>
      <c r="B5158" s="4"/>
      <c r="C5158" s="3">
        <v>0</v>
      </c>
      <c r="D5158" s="3">
        <v>0</v>
      </c>
      <c r="E5158" s="3">
        <v>0</v>
      </c>
      <c r="F5158" s="3">
        <v>0</v>
      </c>
      <c r="G5158" s="3">
        <v>653</v>
      </c>
      <c r="H5158" s="2">
        <f t="shared" si="160"/>
        <v>653</v>
      </c>
      <c r="I5158" t="str">
        <f t="shared" si="161"/>
        <v>Olfr810_653</v>
      </c>
      <c r="J5158" s="3">
        <v>0</v>
      </c>
      <c r="K5158" s="3">
        <v>0</v>
      </c>
      <c r="L5158" s="3">
        <v>0</v>
      </c>
      <c r="M5158" s="3">
        <v>0</v>
      </c>
      <c r="N5158" s="3">
        <v>653</v>
      </c>
    </row>
    <row r="5159" spans="1:14" x14ac:dyDescent="0.2">
      <c r="A5159" s="5" t="str">
        <f>HYPERLINK("http://www.ncbi.nlm.nih.gov/protein/33239334","Olfr816")</f>
        <v>Olfr816</v>
      </c>
      <c r="B5159" s="4"/>
      <c r="C5159" s="3">
        <v>0</v>
      </c>
      <c r="D5159" s="3">
        <v>0</v>
      </c>
      <c r="E5159" s="3">
        <v>0</v>
      </c>
      <c r="F5159" s="3">
        <v>0</v>
      </c>
      <c r="G5159" s="3">
        <v>653</v>
      </c>
      <c r="H5159" s="2">
        <f t="shared" si="160"/>
        <v>653</v>
      </c>
      <c r="I5159" t="str">
        <f t="shared" si="161"/>
        <v>Olfr816_653</v>
      </c>
      <c r="J5159" s="3">
        <v>0</v>
      </c>
      <c r="K5159" s="3">
        <v>0</v>
      </c>
      <c r="L5159" s="3">
        <v>0</v>
      </c>
      <c r="M5159" s="3">
        <v>0</v>
      </c>
      <c r="N5159" s="3">
        <v>653</v>
      </c>
    </row>
    <row r="5160" spans="1:14" x14ac:dyDescent="0.2">
      <c r="A5160" s="5" t="str">
        <f>HYPERLINK("http://www.ncbi.nlm.nih.gov/protein/33239336","Olfr822")</f>
        <v>Olfr822</v>
      </c>
      <c r="B5160" s="4"/>
      <c r="C5160" s="3">
        <v>0</v>
      </c>
      <c r="D5160" s="3">
        <v>0</v>
      </c>
      <c r="E5160" s="3">
        <v>0</v>
      </c>
      <c r="F5160" s="3">
        <v>0</v>
      </c>
      <c r="G5160" s="3">
        <v>653</v>
      </c>
      <c r="H5160" s="2">
        <f t="shared" si="160"/>
        <v>653</v>
      </c>
      <c r="I5160" t="str">
        <f t="shared" si="161"/>
        <v>Olfr822_653</v>
      </c>
      <c r="J5160" s="3">
        <v>0</v>
      </c>
      <c r="K5160" s="3">
        <v>0</v>
      </c>
      <c r="L5160" s="3">
        <v>0</v>
      </c>
      <c r="M5160" s="3">
        <v>0</v>
      </c>
      <c r="N5160" s="3">
        <v>653</v>
      </c>
    </row>
    <row r="5161" spans="1:14" x14ac:dyDescent="0.2">
      <c r="A5161" s="5" t="str">
        <f>HYPERLINK("http://www.ncbi.nlm.nih.gov/protein/22380661","Olfr870")</f>
        <v>Olfr870</v>
      </c>
      <c r="B5161" s="4"/>
      <c r="C5161" s="3">
        <v>0</v>
      </c>
      <c r="D5161" s="3">
        <v>0</v>
      </c>
      <c r="E5161" s="3">
        <v>31</v>
      </c>
      <c r="F5161" s="3">
        <v>0</v>
      </c>
      <c r="G5161" s="3">
        <v>0</v>
      </c>
      <c r="H5161" s="2">
        <f t="shared" si="160"/>
        <v>31</v>
      </c>
      <c r="I5161" t="str">
        <f t="shared" si="161"/>
        <v>Olfr870_31</v>
      </c>
      <c r="J5161" s="3">
        <v>0</v>
      </c>
      <c r="K5161" s="3">
        <v>0</v>
      </c>
      <c r="L5161" s="3">
        <v>31</v>
      </c>
      <c r="M5161" s="3">
        <v>0</v>
      </c>
      <c r="N5161" s="3">
        <v>0</v>
      </c>
    </row>
    <row r="5162" spans="1:14" x14ac:dyDescent="0.2">
      <c r="A5162" s="5" t="str">
        <f>HYPERLINK("http://www.ncbi.nlm.nih.gov/protein/257196219","Olfr871")</f>
        <v>Olfr871</v>
      </c>
      <c r="B5162" s="4"/>
      <c r="C5162" s="3">
        <v>0</v>
      </c>
      <c r="D5162" s="3">
        <v>0</v>
      </c>
      <c r="E5162" s="3">
        <v>31</v>
      </c>
      <c r="F5162" s="3">
        <v>0</v>
      </c>
      <c r="G5162" s="3">
        <v>0</v>
      </c>
      <c r="H5162" s="2">
        <f t="shared" si="160"/>
        <v>31</v>
      </c>
      <c r="I5162" t="str">
        <f t="shared" si="161"/>
        <v>Olfr871_31</v>
      </c>
      <c r="J5162" s="3">
        <v>0</v>
      </c>
      <c r="K5162" s="3">
        <v>0</v>
      </c>
      <c r="L5162" s="3">
        <v>31</v>
      </c>
      <c r="M5162" s="3">
        <v>0</v>
      </c>
      <c r="N5162" s="3">
        <v>0</v>
      </c>
    </row>
    <row r="5163" spans="1:14" x14ac:dyDescent="0.2">
      <c r="A5163" s="5" t="str">
        <f>HYPERLINK("http://www.ncbi.nlm.nih.gov/protein/289629197","Olfr923")</f>
        <v>Olfr923</v>
      </c>
      <c r="B5163" s="4"/>
      <c r="C5163" s="3">
        <v>0</v>
      </c>
      <c r="D5163" s="3">
        <v>488</v>
      </c>
      <c r="E5163" s="3">
        <v>0</v>
      </c>
      <c r="F5163" s="3">
        <v>0</v>
      </c>
      <c r="G5163" s="3">
        <v>0</v>
      </c>
      <c r="H5163" s="2">
        <f t="shared" si="160"/>
        <v>488</v>
      </c>
      <c r="I5163" t="str">
        <f t="shared" si="161"/>
        <v>Olfr923_488</v>
      </c>
      <c r="J5163" s="3">
        <v>0</v>
      </c>
      <c r="K5163" s="3">
        <v>488</v>
      </c>
      <c r="L5163" s="3">
        <v>0</v>
      </c>
      <c r="M5163" s="3">
        <v>0</v>
      </c>
      <c r="N5163" s="3">
        <v>0</v>
      </c>
    </row>
    <row r="5164" spans="1:14" x14ac:dyDescent="0.2">
      <c r="A5164" s="5" t="str">
        <f>HYPERLINK("http://www.ncbi.nlm.nih.gov/protein/19526960","Opa1")</f>
        <v>Opa1</v>
      </c>
      <c r="B5164" s="4"/>
      <c r="C5164" s="3">
        <v>0</v>
      </c>
      <c r="D5164" s="3">
        <v>3288</v>
      </c>
      <c r="E5164" s="3">
        <v>0</v>
      </c>
      <c r="F5164" s="3">
        <v>0</v>
      </c>
      <c r="G5164" s="3">
        <v>0</v>
      </c>
      <c r="H5164" s="2">
        <f t="shared" si="160"/>
        <v>3288</v>
      </c>
      <c r="I5164" t="str">
        <f t="shared" si="161"/>
        <v>Opa1_3288</v>
      </c>
      <c r="J5164" s="3">
        <v>0</v>
      </c>
      <c r="K5164" s="3">
        <v>3288</v>
      </c>
      <c r="L5164" s="3">
        <v>0</v>
      </c>
      <c r="M5164" s="3">
        <v>0</v>
      </c>
      <c r="N5164" s="3">
        <v>0</v>
      </c>
    </row>
    <row r="5165" spans="1:14" x14ac:dyDescent="0.2">
      <c r="A5165" s="5" t="str">
        <f>HYPERLINK("http://www.ncbi.nlm.nih.gov/protein/312836758","Opa1")</f>
        <v>Opa1</v>
      </c>
      <c r="B5165" s="4"/>
      <c r="C5165" s="3">
        <v>0</v>
      </c>
      <c r="D5165" s="3">
        <v>3179</v>
      </c>
      <c r="E5165" s="3">
        <v>0</v>
      </c>
      <c r="F5165" s="3">
        <v>0</v>
      </c>
      <c r="G5165" s="3">
        <v>0</v>
      </c>
      <c r="H5165" s="2">
        <f t="shared" si="160"/>
        <v>3179</v>
      </c>
      <c r="I5165" t="str">
        <f t="shared" si="161"/>
        <v>Opa1_3179</v>
      </c>
      <c r="J5165" s="3">
        <v>0</v>
      </c>
      <c r="K5165" s="3">
        <v>3179</v>
      </c>
      <c r="L5165" s="3">
        <v>0</v>
      </c>
      <c r="M5165" s="3">
        <v>0</v>
      </c>
      <c r="N5165" s="3">
        <v>0</v>
      </c>
    </row>
    <row r="5166" spans="1:14" x14ac:dyDescent="0.2">
      <c r="A5166" s="5" t="str">
        <f>HYPERLINK("http://www.ncbi.nlm.nih.gov/protein/110625722","Opa3")</f>
        <v>Opa3</v>
      </c>
      <c r="B5166" s="4"/>
      <c r="C5166" s="3">
        <v>0</v>
      </c>
      <c r="D5166" s="3">
        <v>739</v>
      </c>
      <c r="E5166" s="3">
        <v>0</v>
      </c>
      <c r="F5166" s="3">
        <v>0</v>
      </c>
      <c r="G5166" s="3">
        <v>0</v>
      </c>
      <c r="H5166" s="2">
        <f t="shared" si="160"/>
        <v>739</v>
      </c>
      <c r="I5166" t="str">
        <f t="shared" si="161"/>
        <v>Opa3_739</v>
      </c>
      <c r="J5166" s="3">
        <v>0</v>
      </c>
      <c r="K5166" s="3">
        <v>739</v>
      </c>
      <c r="L5166" s="3">
        <v>0</v>
      </c>
      <c r="M5166" s="3">
        <v>0</v>
      </c>
      <c r="N5166" s="3">
        <v>0</v>
      </c>
    </row>
    <row r="5167" spans="1:14" x14ac:dyDescent="0.2">
      <c r="A5167" s="5" t="str">
        <f>HYPERLINK("http://www.ncbi.nlm.nih.gov/protein/32469491","Optn")</f>
        <v>Optn</v>
      </c>
      <c r="B5167" s="4"/>
      <c r="C5167" s="3">
        <v>0</v>
      </c>
      <c r="D5167" s="3">
        <v>0</v>
      </c>
      <c r="E5167" s="3">
        <v>0</v>
      </c>
      <c r="F5167" s="3">
        <v>0</v>
      </c>
      <c r="G5167" s="3">
        <v>6811</v>
      </c>
      <c r="H5167" s="2">
        <f t="shared" si="160"/>
        <v>6811</v>
      </c>
      <c r="I5167" t="str">
        <f t="shared" si="161"/>
        <v>Optn_6811</v>
      </c>
      <c r="J5167" s="3">
        <v>0</v>
      </c>
      <c r="K5167" s="3">
        <v>0</v>
      </c>
      <c r="L5167" s="3">
        <v>0</v>
      </c>
      <c r="M5167" s="3">
        <v>0</v>
      </c>
      <c r="N5167" s="3">
        <v>6811</v>
      </c>
    </row>
    <row r="5168" spans="1:14" x14ac:dyDescent="0.2">
      <c r="A5168" s="5" t="str">
        <f>HYPERLINK("http://www.ncbi.nlm.nih.gov/protein/21313282","Ormdl2")</f>
        <v>Ormdl2</v>
      </c>
      <c r="B5168" s="4"/>
      <c r="C5168" s="3">
        <v>0</v>
      </c>
      <c r="D5168" s="3">
        <v>0</v>
      </c>
      <c r="E5168" s="3">
        <v>1285</v>
      </c>
      <c r="F5168" s="3">
        <v>0</v>
      </c>
      <c r="G5168" s="3">
        <v>0</v>
      </c>
      <c r="H5168" s="2">
        <f t="shared" si="160"/>
        <v>1285</v>
      </c>
      <c r="I5168" t="str">
        <f t="shared" si="161"/>
        <v>Ormdl2_1285</v>
      </c>
      <c r="J5168" s="3">
        <v>0</v>
      </c>
      <c r="K5168" s="3">
        <v>0</v>
      </c>
      <c r="L5168" s="3">
        <v>1285</v>
      </c>
      <c r="M5168" s="3">
        <v>0</v>
      </c>
      <c r="N5168" s="3">
        <v>0</v>
      </c>
    </row>
    <row r="5169" spans="1:14" x14ac:dyDescent="0.2">
      <c r="A5169" s="5" t="str">
        <f>HYPERLINK("http://www.ncbi.nlm.nih.gov/protein/13385128","Ormdl3")</f>
        <v>Ormdl3</v>
      </c>
      <c r="B5169" s="4"/>
      <c r="C5169" s="3">
        <v>0</v>
      </c>
      <c r="D5169" s="3">
        <v>0</v>
      </c>
      <c r="E5169" s="3">
        <v>1285</v>
      </c>
      <c r="F5169" s="3">
        <v>0</v>
      </c>
      <c r="G5169" s="3">
        <v>0</v>
      </c>
      <c r="H5169" s="2">
        <f t="shared" si="160"/>
        <v>1285</v>
      </c>
      <c r="I5169" t="str">
        <f t="shared" si="161"/>
        <v>Ormdl3_1285</v>
      </c>
      <c r="J5169" s="3">
        <v>0</v>
      </c>
      <c r="K5169" s="3">
        <v>0</v>
      </c>
      <c r="L5169" s="3">
        <v>1285</v>
      </c>
      <c r="M5169" s="3">
        <v>0</v>
      </c>
      <c r="N5169" s="3">
        <v>0</v>
      </c>
    </row>
    <row r="5170" spans="1:14" x14ac:dyDescent="0.2">
      <c r="A5170" s="5" t="str">
        <f>HYPERLINK("http://www.ncbi.nlm.nih.gov/protein/283837907","Os9")</f>
        <v>Os9</v>
      </c>
      <c r="B5170" s="4"/>
      <c r="C5170" s="3">
        <v>2581</v>
      </c>
      <c r="D5170" s="3">
        <v>1146</v>
      </c>
      <c r="E5170" s="3">
        <v>844</v>
      </c>
      <c r="F5170" s="3">
        <v>0</v>
      </c>
      <c r="G5170" s="3">
        <v>0</v>
      </c>
      <c r="H5170" s="2">
        <f t="shared" si="160"/>
        <v>4571</v>
      </c>
      <c r="I5170" t="str">
        <f t="shared" si="161"/>
        <v>Os9_4571</v>
      </c>
      <c r="J5170" s="3">
        <v>2581</v>
      </c>
      <c r="K5170" s="3">
        <v>1146</v>
      </c>
      <c r="L5170" s="3">
        <v>844</v>
      </c>
      <c r="M5170" s="3">
        <v>0</v>
      </c>
      <c r="N5170" s="3">
        <v>0</v>
      </c>
    </row>
    <row r="5171" spans="1:14" x14ac:dyDescent="0.2">
      <c r="A5171" s="5" t="str">
        <f>HYPERLINK("http://www.ncbi.nlm.nih.gov/protein/283837911","Os9")</f>
        <v>Os9</v>
      </c>
      <c r="B5171" s="4"/>
      <c r="C5171" s="3">
        <v>2581</v>
      </c>
      <c r="D5171" s="3">
        <v>1146</v>
      </c>
      <c r="E5171" s="3">
        <v>844</v>
      </c>
      <c r="F5171" s="3">
        <v>0</v>
      </c>
      <c r="G5171" s="3">
        <v>0</v>
      </c>
      <c r="H5171" s="2">
        <f t="shared" si="160"/>
        <v>4571</v>
      </c>
      <c r="I5171" t="str">
        <f t="shared" si="161"/>
        <v>Os9_4571</v>
      </c>
      <c r="J5171" s="3">
        <v>2581</v>
      </c>
      <c r="K5171" s="3">
        <v>1146</v>
      </c>
      <c r="L5171" s="3">
        <v>844</v>
      </c>
      <c r="M5171" s="3">
        <v>0</v>
      </c>
      <c r="N5171" s="3">
        <v>0</v>
      </c>
    </row>
    <row r="5172" spans="1:14" x14ac:dyDescent="0.2">
      <c r="A5172" s="5" t="str">
        <f>HYPERLINK("http://www.ncbi.nlm.nih.gov/protein/133504509","Osbp")</f>
        <v>Osbp</v>
      </c>
      <c r="B5172" s="4"/>
      <c r="C5172" s="3">
        <v>403</v>
      </c>
      <c r="D5172" s="3">
        <v>2920</v>
      </c>
      <c r="E5172" s="3">
        <v>7996</v>
      </c>
      <c r="F5172" s="3">
        <v>47853</v>
      </c>
      <c r="G5172" s="3">
        <v>1885</v>
      </c>
      <c r="H5172" s="2">
        <f t="shared" si="160"/>
        <v>61057</v>
      </c>
      <c r="I5172" t="str">
        <f t="shared" si="161"/>
        <v>Osbp_61057</v>
      </c>
      <c r="J5172" s="3">
        <v>403</v>
      </c>
      <c r="K5172" s="3">
        <v>2920</v>
      </c>
      <c r="L5172" s="3">
        <v>7996</v>
      </c>
      <c r="M5172" s="3">
        <v>47853</v>
      </c>
      <c r="N5172" s="3">
        <v>1885</v>
      </c>
    </row>
    <row r="5173" spans="1:14" x14ac:dyDescent="0.2">
      <c r="A5173" s="5" t="str">
        <f>HYPERLINK("http://www.ncbi.nlm.nih.gov/protein/61744458","Osbp2")</f>
        <v>Osbp2</v>
      </c>
      <c r="B5173" s="4"/>
      <c r="C5173" s="3">
        <v>0</v>
      </c>
      <c r="D5173" s="3">
        <v>19</v>
      </c>
      <c r="E5173" s="3">
        <v>3576</v>
      </c>
      <c r="F5173" s="3">
        <v>24958</v>
      </c>
      <c r="G5173" s="3">
        <v>0</v>
      </c>
      <c r="H5173" s="2">
        <f t="shared" si="160"/>
        <v>28553</v>
      </c>
      <c r="I5173" t="str">
        <f t="shared" si="161"/>
        <v>Osbp2_28553</v>
      </c>
      <c r="J5173" s="3">
        <v>0</v>
      </c>
      <c r="K5173" s="3">
        <v>19</v>
      </c>
      <c r="L5173" s="3">
        <v>3576</v>
      </c>
      <c r="M5173" s="3">
        <v>24958</v>
      </c>
      <c r="N5173" s="3">
        <v>0</v>
      </c>
    </row>
    <row r="5174" spans="1:14" x14ac:dyDescent="0.2">
      <c r="A5174" s="5" t="str">
        <f>HYPERLINK("http://www.ncbi.nlm.nih.gov/protein/22507367","Osbpl10")</f>
        <v>Osbpl10</v>
      </c>
      <c r="B5174" s="4"/>
      <c r="C5174" s="3">
        <v>0</v>
      </c>
      <c r="D5174" s="3">
        <v>378</v>
      </c>
      <c r="E5174" s="3">
        <v>388</v>
      </c>
      <c r="F5174" s="3">
        <v>0</v>
      </c>
      <c r="G5174" s="3">
        <v>0</v>
      </c>
      <c r="H5174" s="2">
        <f t="shared" si="160"/>
        <v>766</v>
      </c>
      <c r="I5174" t="str">
        <f t="shared" si="161"/>
        <v>Osbpl10_766</v>
      </c>
      <c r="J5174" s="3">
        <v>0</v>
      </c>
      <c r="K5174" s="3">
        <v>378</v>
      </c>
      <c r="L5174" s="3">
        <v>388</v>
      </c>
      <c r="M5174" s="3">
        <v>0</v>
      </c>
      <c r="N5174" s="3">
        <v>0</v>
      </c>
    </row>
    <row r="5175" spans="1:14" x14ac:dyDescent="0.2">
      <c r="A5175" s="5" t="str">
        <f>HYPERLINK("http://www.ncbi.nlm.nih.gov/protein/257196261","Osbpl11")</f>
        <v>Osbpl11</v>
      </c>
      <c r="B5175" s="4"/>
      <c r="C5175" s="3">
        <v>0</v>
      </c>
      <c r="D5175" s="3">
        <v>378</v>
      </c>
      <c r="E5175" s="3">
        <v>401</v>
      </c>
      <c r="F5175" s="3">
        <v>0</v>
      </c>
      <c r="G5175" s="3">
        <v>0</v>
      </c>
      <c r="H5175" s="2">
        <f t="shared" si="160"/>
        <v>779</v>
      </c>
      <c r="I5175" t="str">
        <f t="shared" si="161"/>
        <v>Osbpl11_779</v>
      </c>
      <c r="J5175" s="3">
        <v>0</v>
      </c>
      <c r="K5175" s="3">
        <v>378</v>
      </c>
      <c r="L5175" s="3">
        <v>401</v>
      </c>
      <c r="M5175" s="3">
        <v>0</v>
      </c>
      <c r="N5175" s="3">
        <v>0</v>
      </c>
    </row>
    <row r="5176" spans="1:14" x14ac:dyDescent="0.2">
      <c r="A5176" s="5" t="str">
        <f>HYPERLINK("http://www.ncbi.nlm.nih.gov/protein/110625879","Osbpl2")</f>
        <v>Osbpl2</v>
      </c>
      <c r="B5176" s="4"/>
      <c r="C5176" s="3">
        <v>0</v>
      </c>
      <c r="D5176" s="3">
        <v>0</v>
      </c>
      <c r="E5176" s="3">
        <v>0</v>
      </c>
      <c r="F5176" s="3">
        <v>638</v>
      </c>
      <c r="G5176" s="3">
        <v>0</v>
      </c>
      <c r="H5176" s="2">
        <f t="shared" si="160"/>
        <v>638</v>
      </c>
      <c r="I5176" t="str">
        <f t="shared" si="161"/>
        <v>Osbpl2_638</v>
      </c>
      <c r="J5176" s="3">
        <v>0</v>
      </c>
      <c r="K5176" s="3">
        <v>0</v>
      </c>
      <c r="L5176" s="3">
        <v>0</v>
      </c>
      <c r="M5176" s="3">
        <v>638</v>
      </c>
      <c r="N5176" s="3">
        <v>0</v>
      </c>
    </row>
    <row r="5177" spans="1:14" x14ac:dyDescent="0.2">
      <c r="A5177" s="5" t="str">
        <f>HYPERLINK("http://www.ncbi.nlm.nih.gov/protein/254692962","Osbpl3")</f>
        <v>Osbpl3</v>
      </c>
      <c r="B5177" s="4"/>
      <c r="C5177" s="3">
        <v>0</v>
      </c>
      <c r="D5177" s="3">
        <v>1639</v>
      </c>
      <c r="E5177" s="3">
        <v>309</v>
      </c>
      <c r="F5177" s="3">
        <v>16510</v>
      </c>
      <c r="G5177" s="3">
        <v>7486</v>
      </c>
      <c r="H5177" s="2">
        <f t="shared" si="160"/>
        <v>25944</v>
      </c>
      <c r="I5177" t="str">
        <f t="shared" si="161"/>
        <v>Osbpl3_25944</v>
      </c>
      <c r="J5177" s="3">
        <v>0</v>
      </c>
      <c r="K5177" s="3">
        <v>1639</v>
      </c>
      <c r="L5177" s="3">
        <v>309</v>
      </c>
      <c r="M5177" s="3">
        <v>16510</v>
      </c>
      <c r="N5177" s="3">
        <v>7486</v>
      </c>
    </row>
    <row r="5178" spans="1:14" x14ac:dyDescent="0.2">
      <c r="A5178" s="5" t="str">
        <f>HYPERLINK("http://www.ncbi.nlm.nih.gov/protein/254692964","Osbpl3")</f>
        <v>Osbpl3</v>
      </c>
      <c r="B5178" s="4"/>
      <c r="C5178" s="3">
        <v>0</v>
      </c>
      <c r="D5178" s="3">
        <v>1639</v>
      </c>
      <c r="E5178" s="3">
        <v>309</v>
      </c>
      <c r="F5178" s="3">
        <v>16510</v>
      </c>
      <c r="G5178" s="3">
        <v>7486</v>
      </c>
      <c r="H5178" s="2">
        <f t="shared" si="160"/>
        <v>25944</v>
      </c>
      <c r="I5178" t="str">
        <f t="shared" si="161"/>
        <v>Osbpl3_25944</v>
      </c>
      <c r="J5178" s="3">
        <v>0</v>
      </c>
      <c r="K5178" s="3">
        <v>1639</v>
      </c>
      <c r="L5178" s="3">
        <v>309</v>
      </c>
      <c r="M5178" s="3">
        <v>16510</v>
      </c>
      <c r="N5178" s="3">
        <v>7486</v>
      </c>
    </row>
    <row r="5179" spans="1:14" x14ac:dyDescent="0.2">
      <c r="A5179" s="5" t="str">
        <f>HYPERLINK("http://www.ncbi.nlm.nih.gov/protein/51243034","Osbpl8")</f>
        <v>Osbpl8</v>
      </c>
      <c r="B5179" s="4"/>
      <c r="C5179" s="3">
        <v>970</v>
      </c>
      <c r="D5179" s="3">
        <v>67</v>
      </c>
      <c r="E5179" s="3">
        <v>98</v>
      </c>
      <c r="F5179" s="3">
        <v>0</v>
      </c>
      <c r="G5179" s="3">
        <v>0</v>
      </c>
      <c r="H5179" s="2">
        <f t="shared" si="160"/>
        <v>1135</v>
      </c>
      <c r="I5179" t="str">
        <f t="shared" si="161"/>
        <v>Osbpl8_1135</v>
      </c>
      <c r="J5179" s="3">
        <v>970</v>
      </c>
      <c r="K5179" s="3">
        <v>67</v>
      </c>
      <c r="L5179" s="3">
        <v>98</v>
      </c>
      <c r="M5179" s="3">
        <v>0</v>
      </c>
      <c r="N5179" s="3">
        <v>0</v>
      </c>
    </row>
    <row r="5180" spans="1:14" x14ac:dyDescent="0.2">
      <c r="A5180" s="5" t="str">
        <f>HYPERLINK("http://www.ncbi.nlm.nih.gov/protein/51243036","Osbpl8")</f>
        <v>Osbpl8</v>
      </c>
      <c r="B5180" s="4"/>
      <c r="C5180" s="3">
        <v>970</v>
      </c>
      <c r="D5180" s="3">
        <v>67</v>
      </c>
      <c r="E5180" s="3">
        <v>98</v>
      </c>
      <c r="F5180" s="3">
        <v>0</v>
      </c>
      <c r="G5180" s="3">
        <v>0</v>
      </c>
      <c r="H5180" s="2">
        <f t="shared" si="160"/>
        <v>1135</v>
      </c>
      <c r="I5180" t="str">
        <f t="shared" si="161"/>
        <v>Osbpl8_1135</v>
      </c>
      <c r="J5180" s="3">
        <v>970</v>
      </c>
      <c r="K5180" s="3">
        <v>67</v>
      </c>
      <c r="L5180" s="3">
        <v>98</v>
      </c>
      <c r="M5180" s="3">
        <v>0</v>
      </c>
      <c r="N5180" s="3">
        <v>0</v>
      </c>
    </row>
    <row r="5181" spans="1:14" x14ac:dyDescent="0.2">
      <c r="A5181" s="5" t="str">
        <f>HYPERLINK("http://www.ncbi.nlm.nih.gov/protein/198278439","Osbpl9")</f>
        <v>Osbpl9</v>
      </c>
      <c r="B5181" s="4"/>
      <c r="C5181" s="3">
        <v>0</v>
      </c>
      <c r="D5181" s="3">
        <v>641</v>
      </c>
      <c r="E5181" s="3">
        <v>375</v>
      </c>
      <c r="F5181" s="3">
        <v>0</v>
      </c>
      <c r="G5181" s="3">
        <v>0</v>
      </c>
      <c r="H5181" s="2">
        <f t="shared" si="160"/>
        <v>1016</v>
      </c>
      <c r="I5181" t="str">
        <f t="shared" si="161"/>
        <v>Osbpl9_1016</v>
      </c>
      <c r="J5181" s="3">
        <v>0</v>
      </c>
      <c r="K5181" s="3">
        <v>641</v>
      </c>
      <c r="L5181" s="3">
        <v>375</v>
      </c>
      <c r="M5181" s="3">
        <v>0</v>
      </c>
      <c r="N5181" s="3">
        <v>0</v>
      </c>
    </row>
    <row r="5182" spans="1:14" x14ac:dyDescent="0.2">
      <c r="A5182" s="5" t="str">
        <f>HYPERLINK("http://www.ncbi.nlm.nih.gov/protein/198278441","Osbpl9")</f>
        <v>Osbpl9</v>
      </c>
      <c r="B5182" s="4"/>
      <c r="C5182" s="3">
        <v>0</v>
      </c>
      <c r="D5182" s="3">
        <v>641</v>
      </c>
      <c r="E5182" s="3">
        <v>375</v>
      </c>
      <c r="F5182" s="3">
        <v>0</v>
      </c>
      <c r="G5182" s="3">
        <v>0</v>
      </c>
      <c r="H5182" s="2">
        <f t="shared" si="160"/>
        <v>1016</v>
      </c>
      <c r="I5182" t="str">
        <f t="shared" si="161"/>
        <v>Osbpl9_1016</v>
      </c>
      <c r="J5182" s="3">
        <v>0</v>
      </c>
      <c r="K5182" s="3">
        <v>641</v>
      </c>
      <c r="L5182" s="3">
        <v>375</v>
      </c>
      <c r="M5182" s="3">
        <v>0</v>
      </c>
      <c r="N5182" s="3">
        <v>0</v>
      </c>
    </row>
    <row r="5183" spans="1:14" x14ac:dyDescent="0.2">
      <c r="A5183" s="5" t="str">
        <f>HYPERLINK("http://www.ncbi.nlm.nih.gov/protein/307938353","Osbpl9")</f>
        <v>Osbpl9</v>
      </c>
      <c r="B5183" s="4"/>
      <c r="C5183" s="3">
        <v>0</v>
      </c>
      <c r="D5183" s="3">
        <v>641</v>
      </c>
      <c r="E5183" s="3">
        <v>375</v>
      </c>
      <c r="F5183" s="3">
        <v>0</v>
      </c>
      <c r="G5183" s="3">
        <v>0</v>
      </c>
      <c r="H5183" s="2">
        <f t="shared" si="160"/>
        <v>1016</v>
      </c>
      <c r="I5183" t="str">
        <f t="shared" si="161"/>
        <v>Osbpl9_1016</v>
      </c>
      <c r="J5183" s="3">
        <v>0</v>
      </c>
      <c r="K5183" s="3">
        <v>641</v>
      </c>
      <c r="L5183" s="3">
        <v>375</v>
      </c>
      <c r="M5183" s="3">
        <v>0</v>
      </c>
      <c r="N5183" s="3">
        <v>0</v>
      </c>
    </row>
    <row r="5184" spans="1:14" x14ac:dyDescent="0.2">
      <c r="A5184" s="5" t="str">
        <f>HYPERLINK("http://www.ncbi.nlm.nih.gov/protein/84662768","Osgep")</f>
        <v>Osgep</v>
      </c>
      <c r="B5184" s="4"/>
      <c r="C5184" s="3">
        <v>0</v>
      </c>
      <c r="D5184" s="3">
        <v>1148</v>
      </c>
      <c r="E5184" s="3">
        <v>2287</v>
      </c>
      <c r="F5184" s="3">
        <v>2104</v>
      </c>
      <c r="G5184" s="3">
        <v>75952</v>
      </c>
      <c r="H5184" s="2">
        <f t="shared" si="160"/>
        <v>81491</v>
      </c>
      <c r="I5184" t="str">
        <f t="shared" si="161"/>
        <v>Osgep_81491</v>
      </c>
      <c r="J5184" s="3">
        <v>0</v>
      </c>
      <c r="K5184" s="3">
        <v>1148</v>
      </c>
      <c r="L5184" s="3">
        <v>2287</v>
      </c>
      <c r="M5184" s="3">
        <v>2104</v>
      </c>
      <c r="N5184" s="3">
        <v>75952</v>
      </c>
    </row>
    <row r="5185" spans="1:14" x14ac:dyDescent="0.2">
      <c r="A5185" s="5" t="str">
        <f>HYPERLINK("http://www.ncbi.nlm.nih.gov/protein/13384930","Ostc")</f>
        <v>Ostc</v>
      </c>
      <c r="B5185" s="4"/>
      <c r="C5185" s="3">
        <v>34525</v>
      </c>
      <c r="D5185" s="3">
        <v>357</v>
      </c>
      <c r="E5185" s="3">
        <v>736</v>
      </c>
      <c r="F5185" s="3">
        <v>1531</v>
      </c>
      <c r="G5185" s="3">
        <v>0</v>
      </c>
      <c r="H5185" s="2">
        <f t="shared" si="160"/>
        <v>37149</v>
      </c>
      <c r="I5185" t="str">
        <f t="shared" si="161"/>
        <v>Ostc_37149</v>
      </c>
      <c r="J5185" s="3">
        <v>34525</v>
      </c>
      <c r="K5185" s="3">
        <v>357</v>
      </c>
      <c r="L5185" s="3">
        <v>736</v>
      </c>
      <c r="M5185" s="3">
        <v>1531</v>
      </c>
      <c r="N5185" s="3">
        <v>0</v>
      </c>
    </row>
    <row r="5186" spans="1:14" x14ac:dyDescent="0.2">
      <c r="A5186" s="5" t="str">
        <f>HYPERLINK("http://www.ncbi.nlm.nih.gov/protein/22267440","Ostf1")</f>
        <v>Ostf1</v>
      </c>
      <c r="B5186" s="4"/>
      <c r="C5186" s="3">
        <v>677</v>
      </c>
      <c r="D5186" s="3">
        <v>739</v>
      </c>
      <c r="E5186" s="3">
        <v>1307</v>
      </c>
      <c r="F5186" s="3">
        <v>0</v>
      </c>
      <c r="G5186" s="3">
        <v>39764</v>
      </c>
      <c r="H5186" s="2">
        <f t="shared" ref="H5186:H5249" si="162">SUM(C5186:G5186)</f>
        <v>42487</v>
      </c>
      <c r="I5186" t="str">
        <f t="shared" ref="I5186:I5249" si="163">A5186&amp;"_"&amp;H5186</f>
        <v>Ostf1_42487</v>
      </c>
      <c r="J5186" s="3">
        <v>677</v>
      </c>
      <c r="K5186" s="3">
        <v>739</v>
      </c>
      <c r="L5186" s="3">
        <v>1307</v>
      </c>
      <c r="M5186" s="3">
        <v>0</v>
      </c>
      <c r="N5186" s="3">
        <v>39764</v>
      </c>
    </row>
    <row r="5187" spans="1:14" x14ac:dyDescent="0.2">
      <c r="A5187" s="5" t="str">
        <f>HYPERLINK("http://www.ncbi.nlm.nih.gov/protein/19527388","Otub1")</f>
        <v>Otub1</v>
      </c>
      <c r="B5187" s="4"/>
      <c r="C5187" s="3">
        <v>16988</v>
      </c>
      <c r="D5187" s="3">
        <v>21986</v>
      </c>
      <c r="E5187" s="3">
        <v>20947</v>
      </c>
      <c r="F5187" s="3">
        <v>24352</v>
      </c>
      <c r="G5187" s="3">
        <v>201564</v>
      </c>
      <c r="H5187" s="2">
        <f t="shared" si="162"/>
        <v>285837</v>
      </c>
      <c r="I5187" t="str">
        <f t="shared" si="163"/>
        <v>Otub1_285837</v>
      </c>
      <c r="J5187" s="3">
        <v>16988</v>
      </c>
      <c r="K5187" s="3">
        <v>21986</v>
      </c>
      <c r="L5187" s="3">
        <v>20947</v>
      </c>
      <c r="M5187" s="3">
        <v>24352</v>
      </c>
      <c r="N5187" s="3">
        <v>201564</v>
      </c>
    </row>
    <row r="5188" spans="1:14" x14ac:dyDescent="0.2">
      <c r="A5188" s="5" t="str">
        <f>HYPERLINK("http://www.ncbi.nlm.nih.gov/protein/124487191","Otud4")</f>
        <v>Otud4</v>
      </c>
      <c r="B5188" s="4"/>
      <c r="C5188" s="3">
        <v>0</v>
      </c>
      <c r="D5188" s="3">
        <v>0</v>
      </c>
      <c r="E5188" s="3">
        <v>9983</v>
      </c>
      <c r="F5188" s="3">
        <v>1162</v>
      </c>
      <c r="G5188" s="3">
        <v>0</v>
      </c>
      <c r="H5188" s="2">
        <f t="shared" si="162"/>
        <v>11145</v>
      </c>
      <c r="I5188" t="str">
        <f t="shared" si="163"/>
        <v>Otud4_11145</v>
      </c>
      <c r="J5188" s="3">
        <v>0</v>
      </c>
      <c r="K5188" s="3">
        <v>0</v>
      </c>
      <c r="L5188" s="3">
        <v>9983</v>
      </c>
      <c r="M5188" s="3">
        <v>1162</v>
      </c>
      <c r="N5188" s="3">
        <v>0</v>
      </c>
    </row>
    <row r="5189" spans="1:14" x14ac:dyDescent="0.2">
      <c r="A5189" s="5" t="str">
        <f>HYPERLINK("http://www.ncbi.nlm.nih.gov/protein/365733608","Otud4")</f>
        <v>Otud4</v>
      </c>
      <c r="B5189" s="4"/>
      <c r="C5189" s="3">
        <v>0</v>
      </c>
      <c r="D5189" s="3">
        <v>0</v>
      </c>
      <c r="E5189" s="3">
        <v>9983</v>
      </c>
      <c r="F5189" s="3">
        <v>1162</v>
      </c>
      <c r="G5189" s="3">
        <v>0</v>
      </c>
      <c r="H5189" s="2">
        <f t="shared" si="162"/>
        <v>11145</v>
      </c>
      <c r="I5189" t="str">
        <f t="shared" si="163"/>
        <v>Otud4_11145</v>
      </c>
      <c r="J5189" s="3">
        <v>0</v>
      </c>
      <c r="K5189" s="3">
        <v>0</v>
      </c>
      <c r="L5189" s="3">
        <v>9983</v>
      </c>
      <c r="M5189" s="3">
        <v>1162</v>
      </c>
      <c r="N5189" s="3">
        <v>0</v>
      </c>
    </row>
    <row r="5190" spans="1:14" x14ac:dyDescent="0.2">
      <c r="A5190" s="5" t="str">
        <f>HYPERLINK("http://www.ncbi.nlm.nih.gov/protein/31560768","Otud5")</f>
        <v>Otud5</v>
      </c>
      <c r="B5190" s="4"/>
      <c r="C5190" s="3">
        <v>0</v>
      </c>
      <c r="D5190" s="3">
        <v>0</v>
      </c>
      <c r="E5190" s="3">
        <v>0</v>
      </c>
      <c r="F5190" s="3">
        <v>0</v>
      </c>
      <c r="G5190" s="3">
        <v>182</v>
      </c>
      <c r="H5190" s="2">
        <f t="shared" si="162"/>
        <v>182</v>
      </c>
      <c r="I5190" t="str">
        <f t="shared" si="163"/>
        <v>Otud5_182</v>
      </c>
      <c r="J5190" s="3">
        <v>0</v>
      </c>
      <c r="K5190" s="3">
        <v>0</v>
      </c>
      <c r="L5190" s="3">
        <v>0</v>
      </c>
      <c r="M5190" s="3">
        <v>0</v>
      </c>
      <c r="N5190" s="3">
        <v>182</v>
      </c>
    </row>
    <row r="5191" spans="1:14" x14ac:dyDescent="0.2">
      <c r="A5191" s="5" t="str">
        <f>HYPERLINK("http://www.ncbi.nlm.nih.gov/protein/157364966","Otud6b")</f>
        <v>Otud6b</v>
      </c>
      <c r="B5191" s="4"/>
      <c r="C5191" s="3">
        <v>0</v>
      </c>
      <c r="D5191" s="3">
        <v>0</v>
      </c>
      <c r="E5191" s="3">
        <v>313</v>
      </c>
      <c r="F5191" s="3">
        <v>2325</v>
      </c>
      <c r="G5191" s="3">
        <v>0</v>
      </c>
      <c r="H5191" s="2">
        <f t="shared" si="162"/>
        <v>2638</v>
      </c>
      <c r="I5191" t="str">
        <f t="shared" si="163"/>
        <v>Otud6b_2638</v>
      </c>
      <c r="J5191" s="3">
        <v>0</v>
      </c>
      <c r="K5191" s="3">
        <v>0</v>
      </c>
      <c r="L5191" s="3">
        <v>313</v>
      </c>
      <c r="M5191" s="3">
        <v>2325</v>
      </c>
      <c r="N5191" s="3">
        <v>0</v>
      </c>
    </row>
    <row r="5192" spans="1:14" x14ac:dyDescent="0.2">
      <c r="A5192" s="5" t="str">
        <f>HYPERLINK("http://www.ncbi.nlm.nih.gov/protein/18700018","Otud7a")</f>
        <v>Otud7a</v>
      </c>
      <c r="B5192" s="4"/>
      <c r="C5192" s="3">
        <v>0</v>
      </c>
      <c r="D5192" s="3">
        <v>0</v>
      </c>
      <c r="E5192" s="3">
        <v>133</v>
      </c>
      <c r="F5192" s="3">
        <v>0</v>
      </c>
      <c r="G5192" s="3">
        <v>0</v>
      </c>
      <c r="H5192" s="2">
        <f t="shared" si="162"/>
        <v>133</v>
      </c>
      <c r="I5192" t="str">
        <f t="shared" si="163"/>
        <v>Otud7a_133</v>
      </c>
      <c r="J5192" s="3">
        <v>0</v>
      </c>
      <c r="K5192" s="3">
        <v>0</v>
      </c>
      <c r="L5192" s="3">
        <v>133</v>
      </c>
      <c r="M5192" s="3">
        <v>0</v>
      </c>
      <c r="N5192" s="3">
        <v>0</v>
      </c>
    </row>
    <row r="5193" spans="1:14" x14ac:dyDescent="0.2">
      <c r="A5193" s="5" t="str">
        <f>HYPERLINK("http://www.ncbi.nlm.nih.gov/protein/71043959","Otud7b")</f>
        <v>Otud7b</v>
      </c>
      <c r="B5193" s="4"/>
      <c r="C5193" s="3">
        <v>0</v>
      </c>
      <c r="D5193" s="3">
        <v>0</v>
      </c>
      <c r="E5193" s="3">
        <v>3</v>
      </c>
      <c r="F5193" s="3">
        <v>205</v>
      </c>
      <c r="G5193" s="3">
        <v>0</v>
      </c>
      <c r="H5193" s="2">
        <f t="shared" si="162"/>
        <v>208</v>
      </c>
      <c r="I5193" t="str">
        <f t="shared" si="163"/>
        <v>Otud7b_208</v>
      </c>
      <c r="J5193" s="3">
        <v>0</v>
      </c>
      <c r="K5193" s="3">
        <v>0</v>
      </c>
      <c r="L5193" s="3">
        <v>3</v>
      </c>
      <c r="M5193" s="3">
        <v>205</v>
      </c>
      <c r="N5193" s="3">
        <v>0</v>
      </c>
    </row>
    <row r="5194" spans="1:14" x14ac:dyDescent="0.2">
      <c r="A5194" s="5" t="str">
        <f>HYPERLINK("http://www.ncbi.nlm.nih.gov/protein/18158418","Ovca2")</f>
        <v>Ovca2</v>
      </c>
      <c r="B5194" s="4"/>
      <c r="C5194" s="3">
        <v>0</v>
      </c>
      <c r="D5194" s="3">
        <v>741</v>
      </c>
      <c r="E5194" s="3">
        <v>407</v>
      </c>
      <c r="F5194" s="3">
        <v>475</v>
      </c>
      <c r="G5194" s="3">
        <v>12112</v>
      </c>
      <c r="H5194" s="2">
        <f t="shared" si="162"/>
        <v>13735</v>
      </c>
      <c r="I5194" t="str">
        <f t="shared" si="163"/>
        <v>Ovca2_13735</v>
      </c>
      <c r="J5194" s="3">
        <v>0</v>
      </c>
      <c r="K5194" s="3">
        <v>741</v>
      </c>
      <c r="L5194" s="3">
        <v>407</v>
      </c>
      <c r="M5194" s="3">
        <v>475</v>
      </c>
      <c r="N5194" s="3">
        <v>12112</v>
      </c>
    </row>
    <row r="5195" spans="1:14" x14ac:dyDescent="0.2">
      <c r="A5195" s="5" t="str">
        <f>HYPERLINK("http://www.ncbi.nlm.nih.gov/protein/23308705","Ovol2")</f>
        <v>Ovol2</v>
      </c>
      <c r="B5195" s="4"/>
      <c r="C5195" s="3">
        <v>0</v>
      </c>
      <c r="D5195" s="3">
        <v>132</v>
      </c>
      <c r="E5195" s="3">
        <v>0</v>
      </c>
      <c r="F5195" s="3">
        <v>0</v>
      </c>
      <c r="G5195" s="3">
        <v>0</v>
      </c>
      <c r="H5195" s="2">
        <f t="shared" si="162"/>
        <v>132</v>
      </c>
      <c r="I5195" t="str">
        <f t="shared" si="163"/>
        <v>Ovol2_132</v>
      </c>
      <c r="J5195" s="3">
        <v>0</v>
      </c>
      <c r="K5195" s="3">
        <v>132</v>
      </c>
      <c r="L5195" s="3">
        <v>0</v>
      </c>
      <c r="M5195" s="3">
        <v>0</v>
      </c>
      <c r="N5195" s="3">
        <v>0</v>
      </c>
    </row>
    <row r="5196" spans="1:14" x14ac:dyDescent="0.2">
      <c r="A5196" s="5" t="str">
        <f>HYPERLINK("http://www.ncbi.nlm.nih.gov/protein/18266680","Oxct1")</f>
        <v>Oxct1</v>
      </c>
      <c r="B5196" s="4"/>
      <c r="C5196" s="3">
        <v>24841</v>
      </c>
      <c r="D5196" s="3">
        <v>27991</v>
      </c>
      <c r="E5196" s="3">
        <v>123</v>
      </c>
      <c r="F5196" s="3">
        <v>0</v>
      </c>
      <c r="G5196" s="3">
        <v>11</v>
      </c>
      <c r="H5196" s="2">
        <f t="shared" si="162"/>
        <v>52966</v>
      </c>
      <c r="I5196" t="str">
        <f t="shared" si="163"/>
        <v>Oxct1_52966</v>
      </c>
      <c r="J5196" s="3">
        <v>24841</v>
      </c>
      <c r="K5196" s="3">
        <v>27991</v>
      </c>
      <c r="L5196" s="3">
        <v>123</v>
      </c>
      <c r="M5196" s="3">
        <v>0</v>
      </c>
      <c r="N5196" s="3">
        <v>11</v>
      </c>
    </row>
    <row r="5197" spans="1:14" x14ac:dyDescent="0.2">
      <c r="A5197" s="5" t="str">
        <f>HYPERLINK("http://www.ncbi.nlm.nih.gov/protein/170932556","Oxnad1")</f>
        <v>Oxnad1</v>
      </c>
      <c r="B5197" s="4"/>
      <c r="C5197" s="3">
        <v>0</v>
      </c>
      <c r="D5197" s="3">
        <v>58</v>
      </c>
      <c r="E5197" s="3">
        <v>0</v>
      </c>
      <c r="F5197" s="3">
        <v>0</v>
      </c>
      <c r="G5197" s="3">
        <v>0</v>
      </c>
      <c r="H5197" s="2">
        <f t="shared" si="162"/>
        <v>58</v>
      </c>
      <c r="I5197" t="str">
        <f t="shared" si="163"/>
        <v>Oxnad1_58</v>
      </c>
      <c r="J5197" s="3">
        <v>0</v>
      </c>
      <c r="K5197" s="3">
        <v>58</v>
      </c>
      <c r="L5197" s="3">
        <v>0</v>
      </c>
      <c r="M5197" s="3">
        <v>0</v>
      </c>
      <c r="N5197" s="3">
        <v>0</v>
      </c>
    </row>
    <row r="5198" spans="1:14" x14ac:dyDescent="0.2">
      <c r="A5198" s="5" t="str">
        <f>HYPERLINK("http://www.ncbi.nlm.nih.gov/protein/194328704","Oxr1")</f>
        <v>Oxr1</v>
      </c>
      <c r="B5198" s="4"/>
      <c r="C5198" s="3">
        <v>0</v>
      </c>
      <c r="D5198" s="3">
        <v>0</v>
      </c>
      <c r="E5198" s="3">
        <v>653</v>
      </c>
      <c r="F5198" s="3">
        <v>0</v>
      </c>
      <c r="G5198" s="3">
        <v>13687</v>
      </c>
      <c r="H5198" s="2">
        <f t="shared" si="162"/>
        <v>14340</v>
      </c>
      <c r="I5198" t="str">
        <f t="shared" si="163"/>
        <v>Oxr1_14340</v>
      </c>
      <c r="J5198" s="3">
        <v>0</v>
      </c>
      <c r="K5198" s="3">
        <v>0</v>
      </c>
      <c r="L5198" s="3">
        <v>653</v>
      </c>
      <c r="M5198" s="3">
        <v>0</v>
      </c>
      <c r="N5198" s="3">
        <v>13687</v>
      </c>
    </row>
    <row r="5199" spans="1:14" x14ac:dyDescent="0.2">
      <c r="A5199" s="5" t="str">
        <f>HYPERLINK("http://www.ncbi.nlm.nih.gov/protein/18700026","Oxr1")</f>
        <v>Oxr1</v>
      </c>
      <c r="B5199" s="4"/>
      <c r="C5199" s="3">
        <v>0</v>
      </c>
      <c r="D5199" s="3">
        <v>44</v>
      </c>
      <c r="E5199" s="3">
        <v>2518</v>
      </c>
      <c r="F5199" s="3">
        <v>450</v>
      </c>
      <c r="G5199" s="3">
        <v>90120</v>
      </c>
      <c r="H5199" s="2">
        <f t="shared" si="162"/>
        <v>93132</v>
      </c>
      <c r="I5199" t="str">
        <f t="shared" si="163"/>
        <v>Oxr1_93132</v>
      </c>
      <c r="J5199" s="3">
        <v>0</v>
      </c>
      <c r="K5199" s="3">
        <v>44</v>
      </c>
      <c r="L5199" s="3">
        <v>2518</v>
      </c>
      <c r="M5199" s="3">
        <v>450</v>
      </c>
      <c r="N5199" s="3">
        <v>90120</v>
      </c>
    </row>
    <row r="5200" spans="1:14" x14ac:dyDescent="0.2">
      <c r="A5200" s="5" t="str">
        <f>HYPERLINK("http://www.ncbi.nlm.nih.gov/protein/194328702","Oxr1")</f>
        <v>Oxr1</v>
      </c>
      <c r="B5200" s="4"/>
      <c r="C5200" s="3">
        <v>0</v>
      </c>
      <c r="D5200" s="3">
        <v>44</v>
      </c>
      <c r="E5200" s="3">
        <v>2518</v>
      </c>
      <c r="F5200" s="3">
        <v>450</v>
      </c>
      <c r="G5200" s="3">
        <v>80118</v>
      </c>
      <c r="H5200" s="2">
        <f t="shared" si="162"/>
        <v>83130</v>
      </c>
      <c r="I5200" t="str">
        <f t="shared" si="163"/>
        <v>Oxr1_83130</v>
      </c>
      <c r="J5200" s="3">
        <v>0</v>
      </c>
      <c r="K5200" s="3">
        <v>44</v>
      </c>
      <c r="L5200" s="3">
        <v>2518</v>
      </c>
      <c r="M5200" s="3">
        <v>450</v>
      </c>
      <c r="N5200" s="3">
        <v>80118</v>
      </c>
    </row>
    <row r="5201" spans="1:14" x14ac:dyDescent="0.2">
      <c r="A5201" s="5" t="str">
        <f>HYPERLINK("http://www.ncbi.nlm.nih.gov/protein/194328706","Oxr1")</f>
        <v>Oxr1</v>
      </c>
      <c r="B5201" s="4"/>
      <c r="C5201" s="3">
        <v>0</v>
      </c>
      <c r="D5201" s="3">
        <v>44</v>
      </c>
      <c r="E5201" s="3">
        <v>2518</v>
      </c>
      <c r="F5201" s="3">
        <v>450</v>
      </c>
      <c r="G5201" s="3">
        <v>90228</v>
      </c>
      <c r="H5201" s="2">
        <f t="shared" si="162"/>
        <v>93240</v>
      </c>
      <c r="I5201" t="str">
        <f t="shared" si="163"/>
        <v>Oxr1_93240</v>
      </c>
      <c r="J5201" s="3">
        <v>0</v>
      </c>
      <c r="K5201" s="3">
        <v>44</v>
      </c>
      <c r="L5201" s="3">
        <v>2518</v>
      </c>
      <c r="M5201" s="3">
        <v>450</v>
      </c>
      <c r="N5201" s="3">
        <v>90228</v>
      </c>
    </row>
    <row r="5202" spans="1:14" x14ac:dyDescent="0.2">
      <c r="A5202" s="5" t="str">
        <f>HYPERLINK("http://www.ncbi.nlm.nih.gov/protein/194328708","Oxr1")</f>
        <v>Oxr1</v>
      </c>
      <c r="B5202" s="4"/>
      <c r="C5202" s="3">
        <v>0</v>
      </c>
      <c r="D5202" s="3">
        <v>44</v>
      </c>
      <c r="E5202" s="3">
        <v>2518</v>
      </c>
      <c r="F5202" s="3">
        <v>450</v>
      </c>
      <c r="G5202" s="3">
        <v>90131</v>
      </c>
      <c r="H5202" s="2">
        <f t="shared" si="162"/>
        <v>93143</v>
      </c>
      <c r="I5202" t="str">
        <f t="shared" si="163"/>
        <v>Oxr1_93143</v>
      </c>
      <c r="J5202" s="3">
        <v>0</v>
      </c>
      <c r="K5202" s="3">
        <v>44</v>
      </c>
      <c r="L5202" s="3">
        <v>2518</v>
      </c>
      <c r="M5202" s="3">
        <v>450</v>
      </c>
      <c r="N5202" s="3">
        <v>90131</v>
      </c>
    </row>
    <row r="5203" spans="1:14" x14ac:dyDescent="0.2">
      <c r="A5203" s="5" t="str">
        <f>HYPERLINK("http://www.ncbi.nlm.nih.gov/protein/58037235","Oxsm")</f>
        <v>Oxsm</v>
      </c>
      <c r="B5203" s="4"/>
      <c r="C5203" s="3">
        <v>0</v>
      </c>
      <c r="D5203" s="3">
        <v>900</v>
      </c>
      <c r="E5203" s="3">
        <v>0</v>
      </c>
      <c r="F5203" s="3">
        <v>0</v>
      </c>
      <c r="G5203" s="3">
        <v>0</v>
      </c>
      <c r="H5203" s="2">
        <f t="shared" si="162"/>
        <v>900</v>
      </c>
      <c r="I5203" t="str">
        <f t="shared" si="163"/>
        <v>Oxsm_900</v>
      </c>
      <c r="J5203" s="3">
        <v>0</v>
      </c>
      <c r="K5203" s="3">
        <v>900</v>
      </c>
      <c r="L5203" s="3">
        <v>0</v>
      </c>
      <c r="M5203" s="3">
        <v>0</v>
      </c>
      <c r="N5203" s="3">
        <v>0</v>
      </c>
    </row>
    <row r="5204" spans="1:14" x14ac:dyDescent="0.2">
      <c r="A5204" s="5" t="str">
        <f>HYPERLINK("http://www.ncbi.nlm.nih.gov/protein/365777424","Oxsr1")</f>
        <v>Oxsr1</v>
      </c>
      <c r="B5204" s="4"/>
      <c r="C5204" s="3">
        <v>0</v>
      </c>
      <c r="D5204" s="3">
        <v>2914</v>
      </c>
      <c r="E5204" s="3">
        <v>3064</v>
      </c>
      <c r="F5204" s="3">
        <v>7580</v>
      </c>
      <c r="G5204" s="3">
        <v>2795</v>
      </c>
      <c r="H5204" s="2">
        <f t="shared" si="162"/>
        <v>16353</v>
      </c>
      <c r="I5204" t="str">
        <f t="shared" si="163"/>
        <v>Oxsr1_16353</v>
      </c>
      <c r="J5204" s="3">
        <v>0</v>
      </c>
      <c r="K5204" s="3">
        <v>2914</v>
      </c>
      <c r="L5204" s="3">
        <v>3064</v>
      </c>
      <c r="M5204" s="3">
        <v>7580</v>
      </c>
      <c r="N5204" s="3">
        <v>2795</v>
      </c>
    </row>
    <row r="5205" spans="1:14" x14ac:dyDescent="0.2">
      <c r="A5205" s="5" t="str">
        <f>HYPERLINK("http://www.ncbi.nlm.nih.gov/protein/117676374","P2rx4")</f>
        <v>P2rx4</v>
      </c>
      <c r="B5205" s="4"/>
      <c r="C5205" s="3">
        <v>29894</v>
      </c>
      <c r="D5205" s="3">
        <v>6158</v>
      </c>
      <c r="E5205" s="3">
        <v>19263</v>
      </c>
      <c r="F5205" s="3">
        <v>4355</v>
      </c>
      <c r="G5205" s="3">
        <v>82046</v>
      </c>
      <c r="H5205" s="2">
        <f t="shared" si="162"/>
        <v>141716</v>
      </c>
      <c r="I5205" t="str">
        <f t="shared" si="163"/>
        <v>P2rx4_141716</v>
      </c>
      <c r="J5205" s="3">
        <v>29894</v>
      </c>
      <c r="K5205" s="3">
        <v>6158</v>
      </c>
      <c r="L5205" s="3">
        <v>19263</v>
      </c>
      <c r="M5205" s="3">
        <v>4355</v>
      </c>
      <c r="N5205" s="3">
        <v>82046</v>
      </c>
    </row>
    <row r="5206" spans="1:14" x14ac:dyDescent="0.2">
      <c r="A5206" s="5" t="str">
        <f>HYPERLINK("http://www.ncbi.nlm.nih.gov/protein/238624118","P2rx5")</f>
        <v>P2rx5</v>
      </c>
      <c r="B5206" s="4"/>
      <c r="C5206" s="3">
        <v>2471</v>
      </c>
      <c r="D5206" s="3">
        <v>0</v>
      </c>
      <c r="E5206" s="3">
        <v>0</v>
      </c>
      <c r="F5206" s="3">
        <v>0</v>
      </c>
      <c r="G5206" s="3">
        <v>0</v>
      </c>
      <c r="H5206" s="2">
        <f t="shared" si="162"/>
        <v>2471</v>
      </c>
      <c r="I5206" t="str">
        <f t="shared" si="163"/>
        <v>P2rx5_2471</v>
      </c>
      <c r="J5206" s="3">
        <v>2471</v>
      </c>
      <c r="K5206" s="3">
        <v>0</v>
      </c>
      <c r="L5206" s="3">
        <v>0</v>
      </c>
      <c r="M5206" s="3">
        <v>0</v>
      </c>
      <c r="N5206" s="3">
        <v>0</v>
      </c>
    </row>
    <row r="5207" spans="1:14" x14ac:dyDescent="0.2">
      <c r="A5207" s="5" t="str">
        <f>HYPERLINK("http://www.ncbi.nlm.nih.gov/protein/33859596","P4ha1")</f>
        <v>P4ha1</v>
      </c>
      <c r="B5207" s="4"/>
      <c r="C5207" s="3">
        <v>3075</v>
      </c>
      <c r="D5207" s="3">
        <v>1374</v>
      </c>
      <c r="E5207" s="3">
        <v>3534</v>
      </c>
      <c r="F5207" s="3">
        <v>1105</v>
      </c>
      <c r="G5207" s="3">
        <v>0</v>
      </c>
      <c r="H5207" s="2">
        <f t="shared" si="162"/>
        <v>9088</v>
      </c>
      <c r="I5207" t="str">
        <f t="shared" si="163"/>
        <v>P4ha1_9088</v>
      </c>
      <c r="J5207" s="3">
        <v>3075</v>
      </c>
      <c r="K5207" s="3">
        <v>1374</v>
      </c>
      <c r="L5207" s="3">
        <v>3534</v>
      </c>
      <c r="M5207" s="3">
        <v>1105</v>
      </c>
      <c r="N5207" s="3">
        <v>0</v>
      </c>
    </row>
    <row r="5208" spans="1:14" x14ac:dyDescent="0.2">
      <c r="A5208" s="5" t="str">
        <f>HYPERLINK("http://www.ncbi.nlm.nih.gov/protein/42415475","P4hb")</f>
        <v>P4hb</v>
      </c>
      <c r="B5208" s="4"/>
      <c r="C5208" s="3">
        <v>921122</v>
      </c>
      <c r="D5208" s="3">
        <v>138154</v>
      </c>
      <c r="E5208" s="3">
        <v>221539</v>
      </c>
      <c r="F5208" s="3">
        <v>20980</v>
      </c>
      <c r="G5208" s="3">
        <v>283256</v>
      </c>
      <c r="H5208" s="2">
        <f t="shared" si="162"/>
        <v>1585051</v>
      </c>
      <c r="I5208" t="str">
        <f t="shared" si="163"/>
        <v>P4hb_1585051</v>
      </c>
      <c r="J5208" s="3">
        <v>921122</v>
      </c>
      <c r="K5208" s="3">
        <v>138154</v>
      </c>
      <c r="L5208" s="3">
        <v>221539</v>
      </c>
      <c r="M5208" s="3">
        <v>20980</v>
      </c>
      <c r="N5208" s="3">
        <v>283256</v>
      </c>
    </row>
    <row r="5209" spans="1:14" x14ac:dyDescent="0.2">
      <c r="A5209" s="5" t="str">
        <f>HYPERLINK("http://www.ncbi.nlm.nih.gov/protein/6755100","Pa2g4")</f>
        <v>Pa2g4</v>
      </c>
      <c r="B5209" s="4"/>
      <c r="C5209" s="3">
        <v>198931</v>
      </c>
      <c r="D5209" s="3">
        <v>53852</v>
      </c>
      <c r="E5209" s="3">
        <v>339631</v>
      </c>
      <c r="F5209" s="3">
        <v>845585</v>
      </c>
      <c r="G5209" s="3">
        <v>27556</v>
      </c>
      <c r="H5209" s="2">
        <f t="shared" si="162"/>
        <v>1465555</v>
      </c>
      <c r="I5209" t="str">
        <f t="shared" si="163"/>
        <v>Pa2g4_1465555</v>
      </c>
      <c r="J5209" s="3">
        <v>198931</v>
      </c>
      <c r="K5209" s="3">
        <v>53852</v>
      </c>
      <c r="L5209" s="3">
        <v>339631</v>
      </c>
      <c r="M5209" s="3">
        <v>845585</v>
      </c>
      <c r="N5209" s="3">
        <v>27556</v>
      </c>
    </row>
    <row r="5210" spans="1:14" x14ac:dyDescent="0.2">
      <c r="A5210" s="5" t="str">
        <f>HYPERLINK("http://www.ncbi.nlm.nih.gov/protein/31560656","Pabpc1")</f>
        <v>Pabpc1</v>
      </c>
      <c r="B5210" s="4"/>
      <c r="C5210" s="3">
        <v>69471</v>
      </c>
      <c r="D5210" s="3">
        <v>94969</v>
      </c>
      <c r="E5210" s="3">
        <v>399816</v>
      </c>
      <c r="F5210" s="3">
        <v>631483</v>
      </c>
      <c r="G5210" s="3">
        <v>13901</v>
      </c>
      <c r="H5210" s="2">
        <f t="shared" si="162"/>
        <v>1209640</v>
      </c>
      <c r="I5210" t="str">
        <f t="shared" si="163"/>
        <v>Pabpc1_1209640</v>
      </c>
      <c r="J5210" s="3">
        <v>69471</v>
      </c>
      <c r="K5210" s="3">
        <v>94969</v>
      </c>
      <c r="L5210" s="3">
        <v>399816</v>
      </c>
      <c r="M5210" s="3">
        <v>631483</v>
      </c>
      <c r="N5210" s="3">
        <v>13901</v>
      </c>
    </row>
    <row r="5211" spans="1:14" x14ac:dyDescent="0.2">
      <c r="A5211" s="5" t="str">
        <f>HYPERLINK("http://www.ncbi.nlm.nih.gov/protein/166157896","Pabpc1l")</f>
        <v>Pabpc1l</v>
      </c>
      <c r="B5211" s="4"/>
      <c r="C5211" s="3">
        <v>5217</v>
      </c>
      <c r="D5211" s="3">
        <v>1534</v>
      </c>
      <c r="E5211" s="3">
        <v>20587</v>
      </c>
      <c r="F5211" s="3">
        <v>54139</v>
      </c>
      <c r="G5211" s="3">
        <v>96</v>
      </c>
      <c r="H5211" s="2">
        <f t="shared" si="162"/>
        <v>81573</v>
      </c>
      <c r="I5211" t="str">
        <f t="shared" si="163"/>
        <v>Pabpc1l_81573</v>
      </c>
      <c r="J5211" s="3">
        <v>5217</v>
      </c>
      <c r="K5211" s="3">
        <v>1534</v>
      </c>
      <c r="L5211" s="3">
        <v>20587</v>
      </c>
      <c r="M5211" s="3">
        <v>54139</v>
      </c>
      <c r="N5211" s="3">
        <v>96</v>
      </c>
    </row>
    <row r="5212" spans="1:14" x14ac:dyDescent="0.2">
      <c r="A5212" s="5" t="str">
        <f>HYPERLINK("http://www.ncbi.nlm.nih.gov/protein/309271474","Pabpc1l2b-ps")</f>
        <v>Pabpc1l2b-ps</v>
      </c>
      <c r="B5212" s="4"/>
      <c r="C5212" s="3">
        <v>7213</v>
      </c>
      <c r="D5212" s="3">
        <v>26253</v>
      </c>
      <c r="E5212" s="3">
        <v>6763</v>
      </c>
      <c r="F5212" s="3">
        <v>107722</v>
      </c>
      <c r="G5212" s="3">
        <v>0</v>
      </c>
      <c r="H5212" s="2">
        <f t="shared" si="162"/>
        <v>147951</v>
      </c>
      <c r="I5212" t="str">
        <f t="shared" si="163"/>
        <v>Pabpc1l2b-ps_147951</v>
      </c>
      <c r="J5212" s="3">
        <v>7213</v>
      </c>
      <c r="K5212" s="3">
        <v>26253</v>
      </c>
      <c r="L5212" s="3">
        <v>6763</v>
      </c>
      <c r="M5212" s="3">
        <v>107722</v>
      </c>
      <c r="N5212" s="3">
        <v>0</v>
      </c>
    </row>
    <row r="5213" spans="1:14" x14ac:dyDescent="0.2">
      <c r="A5213" s="5" t="str">
        <f>HYPERLINK("http://www.ncbi.nlm.nih.gov/protein/6754972","Pabpc2")</f>
        <v>Pabpc2</v>
      </c>
      <c r="B5213" s="4"/>
      <c r="C5213" s="3">
        <v>32786</v>
      </c>
      <c r="D5213" s="3">
        <v>21660</v>
      </c>
      <c r="E5213" s="3">
        <v>151098</v>
      </c>
      <c r="F5213" s="3">
        <v>213021</v>
      </c>
      <c r="G5213" s="3">
        <v>7743</v>
      </c>
      <c r="H5213" s="2">
        <f t="shared" si="162"/>
        <v>426308</v>
      </c>
      <c r="I5213" t="str">
        <f t="shared" si="163"/>
        <v>Pabpc2_426308</v>
      </c>
      <c r="J5213" s="3">
        <v>32786</v>
      </c>
      <c r="K5213" s="3">
        <v>21660</v>
      </c>
      <c r="L5213" s="3">
        <v>151098</v>
      </c>
      <c r="M5213" s="3">
        <v>213021</v>
      </c>
      <c r="N5213" s="3">
        <v>7743</v>
      </c>
    </row>
    <row r="5214" spans="1:14" x14ac:dyDescent="0.2">
      <c r="A5214" s="5" t="str">
        <f>HYPERLINK("http://www.ncbi.nlm.nih.gov/protein/22507391","Pabpc4")</f>
        <v>Pabpc4</v>
      </c>
      <c r="B5214" s="4"/>
      <c r="C5214" s="3">
        <v>25574</v>
      </c>
      <c r="D5214" s="3">
        <v>9680</v>
      </c>
      <c r="E5214" s="3">
        <v>83352</v>
      </c>
      <c r="F5214" s="3">
        <v>92530</v>
      </c>
      <c r="G5214" s="3">
        <v>632</v>
      </c>
      <c r="H5214" s="2">
        <f t="shared" si="162"/>
        <v>211768</v>
      </c>
      <c r="I5214" t="str">
        <f t="shared" si="163"/>
        <v>Pabpc4_211768</v>
      </c>
      <c r="J5214" s="3">
        <v>25574</v>
      </c>
      <c r="K5214" s="3">
        <v>9680</v>
      </c>
      <c r="L5214" s="3">
        <v>83352</v>
      </c>
      <c r="M5214" s="3">
        <v>92530</v>
      </c>
      <c r="N5214" s="3">
        <v>632</v>
      </c>
    </row>
    <row r="5215" spans="1:14" x14ac:dyDescent="0.2">
      <c r="A5215" s="5" t="str">
        <f>HYPERLINK("http://www.ncbi.nlm.nih.gov/protein/34419622","Pabpc4")</f>
        <v>Pabpc4</v>
      </c>
      <c r="B5215" s="4"/>
      <c r="C5215" s="3">
        <v>25574</v>
      </c>
      <c r="D5215" s="3">
        <v>9680</v>
      </c>
      <c r="E5215" s="3">
        <v>83352</v>
      </c>
      <c r="F5215" s="3">
        <v>92530</v>
      </c>
      <c r="G5215" s="3">
        <v>632</v>
      </c>
      <c r="H5215" s="2">
        <f t="shared" si="162"/>
        <v>211768</v>
      </c>
      <c r="I5215" t="str">
        <f t="shared" si="163"/>
        <v>Pabpc4_211768</v>
      </c>
      <c r="J5215" s="3">
        <v>25574</v>
      </c>
      <c r="K5215" s="3">
        <v>9680</v>
      </c>
      <c r="L5215" s="3">
        <v>83352</v>
      </c>
      <c r="M5215" s="3">
        <v>92530</v>
      </c>
      <c r="N5215" s="3">
        <v>632</v>
      </c>
    </row>
    <row r="5216" spans="1:14" x14ac:dyDescent="0.2">
      <c r="A5216" s="5" t="str">
        <f>HYPERLINK("http://www.ncbi.nlm.nih.gov/protein/168229272","Pabpc4l")</f>
        <v>Pabpc4l</v>
      </c>
      <c r="B5216" s="4"/>
      <c r="C5216" s="3">
        <v>0</v>
      </c>
      <c r="D5216" s="3">
        <v>0</v>
      </c>
      <c r="E5216" s="3">
        <v>2539</v>
      </c>
      <c r="F5216" s="3">
        <v>0</v>
      </c>
      <c r="G5216" s="3">
        <v>0</v>
      </c>
      <c r="H5216" s="2">
        <f t="shared" si="162"/>
        <v>2539</v>
      </c>
      <c r="I5216" t="str">
        <f t="shared" si="163"/>
        <v>Pabpc4l_2539</v>
      </c>
      <c r="J5216" s="3">
        <v>0</v>
      </c>
      <c r="K5216" s="3">
        <v>0</v>
      </c>
      <c r="L5216" s="3">
        <v>2539</v>
      </c>
      <c r="M5216" s="3">
        <v>0</v>
      </c>
      <c r="N5216" s="3">
        <v>0</v>
      </c>
    </row>
    <row r="5217" spans="1:14" x14ac:dyDescent="0.2">
      <c r="A5217" s="5" t="str">
        <f>HYPERLINK("http://www.ncbi.nlm.nih.gov/protein/29336045","Pabpc5")</f>
        <v>Pabpc5</v>
      </c>
      <c r="B5217" s="4"/>
      <c r="C5217" s="3">
        <v>0</v>
      </c>
      <c r="D5217" s="3">
        <v>2714</v>
      </c>
      <c r="E5217" s="3">
        <v>7141</v>
      </c>
      <c r="F5217" s="3">
        <v>6712</v>
      </c>
      <c r="G5217" s="3">
        <v>3149</v>
      </c>
      <c r="H5217" s="2">
        <f t="shared" si="162"/>
        <v>19716</v>
      </c>
      <c r="I5217" t="str">
        <f t="shared" si="163"/>
        <v>Pabpc5_19716</v>
      </c>
      <c r="J5217" s="3">
        <v>0</v>
      </c>
      <c r="K5217" s="3">
        <v>2714</v>
      </c>
      <c r="L5217" s="3">
        <v>7141</v>
      </c>
      <c r="M5217" s="3">
        <v>6712</v>
      </c>
      <c r="N5217" s="3">
        <v>3149</v>
      </c>
    </row>
    <row r="5218" spans="1:14" x14ac:dyDescent="0.2">
      <c r="A5218" s="5" t="str">
        <f>HYPERLINK("http://www.ncbi.nlm.nih.gov/protein/255652857","Pabpc6")</f>
        <v>Pabpc6</v>
      </c>
      <c r="B5218" s="4"/>
      <c r="C5218" s="3">
        <v>43934</v>
      </c>
      <c r="D5218" s="3">
        <v>61747</v>
      </c>
      <c r="E5218" s="3">
        <v>249584</v>
      </c>
      <c r="F5218" s="3">
        <v>384075</v>
      </c>
      <c r="G5218" s="3">
        <v>10228</v>
      </c>
      <c r="H5218" s="2">
        <f t="shared" si="162"/>
        <v>749568</v>
      </c>
      <c r="I5218" t="str">
        <f t="shared" si="163"/>
        <v>Pabpc6_749568</v>
      </c>
      <c r="J5218" s="3">
        <v>43934</v>
      </c>
      <c r="K5218" s="3">
        <v>61747</v>
      </c>
      <c r="L5218" s="3">
        <v>249584</v>
      </c>
      <c r="M5218" s="3">
        <v>384075</v>
      </c>
      <c r="N5218" s="3">
        <v>10228</v>
      </c>
    </row>
    <row r="5219" spans="1:14" x14ac:dyDescent="0.2">
      <c r="A5219" s="5" t="str">
        <f>HYPERLINK("http://www.ncbi.nlm.nih.gov/protein/9506945","Pabpn1")</f>
        <v>Pabpn1</v>
      </c>
      <c r="B5219" s="4"/>
      <c r="C5219" s="3">
        <v>0</v>
      </c>
      <c r="D5219" s="3">
        <v>0</v>
      </c>
      <c r="E5219" s="3">
        <v>50</v>
      </c>
      <c r="F5219" s="3">
        <v>2538</v>
      </c>
      <c r="G5219" s="3">
        <v>0</v>
      </c>
      <c r="H5219" s="2">
        <f t="shared" si="162"/>
        <v>2588</v>
      </c>
      <c r="I5219" t="str">
        <f t="shared" si="163"/>
        <v>Pabpn1_2588</v>
      </c>
      <c r="J5219" s="3">
        <v>0</v>
      </c>
      <c r="K5219" s="3">
        <v>0</v>
      </c>
      <c r="L5219" s="3">
        <v>50</v>
      </c>
      <c r="M5219" s="3">
        <v>2538</v>
      </c>
      <c r="N5219" s="3">
        <v>0</v>
      </c>
    </row>
    <row r="5220" spans="1:14" x14ac:dyDescent="0.2">
      <c r="A5220" s="5" t="str">
        <f>HYPERLINK("http://www.ncbi.nlm.nih.gov/protein/54291704","Pacs1")</f>
        <v>Pacs1</v>
      </c>
      <c r="B5220" s="4"/>
      <c r="C5220" s="3">
        <v>0</v>
      </c>
      <c r="D5220" s="3">
        <v>0</v>
      </c>
      <c r="E5220" s="3">
        <v>288</v>
      </c>
      <c r="F5220" s="3">
        <v>3430</v>
      </c>
      <c r="G5220" s="3">
        <v>643</v>
      </c>
      <c r="H5220" s="2">
        <f t="shared" si="162"/>
        <v>4361</v>
      </c>
      <c r="I5220" t="str">
        <f t="shared" si="163"/>
        <v>Pacs1_4361</v>
      </c>
      <c r="J5220" s="3">
        <v>0</v>
      </c>
      <c r="K5220" s="3">
        <v>0</v>
      </c>
      <c r="L5220" s="3">
        <v>288</v>
      </c>
      <c r="M5220" s="3">
        <v>3430</v>
      </c>
      <c r="N5220" s="3">
        <v>643</v>
      </c>
    </row>
    <row r="5221" spans="1:14" x14ac:dyDescent="0.2">
      <c r="A5221" s="5" t="str">
        <f>HYPERLINK("http://www.ncbi.nlm.nih.gov/protein/7106381","Pacsin2")</f>
        <v>Pacsin2</v>
      </c>
      <c r="B5221" s="4"/>
      <c r="C5221" s="3">
        <v>0</v>
      </c>
      <c r="D5221" s="3">
        <v>3862</v>
      </c>
      <c r="E5221" s="3">
        <v>40701</v>
      </c>
      <c r="F5221" s="3">
        <v>108451</v>
      </c>
      <c r="G5221" s="3">
        <v>13751</v>
      </c>
      <c r="H5221" s="2">
        <f t="shared" si="162"/>
        <v>166765</v>
      </c>
      <c r="I5221" t="str">
        <f t="shared" si="163"/>
        <v>Pacsin2_166765</v>
      </c>
      <c r="J5221" s="3">
        <v>0</v>
      </c>
      <c r="K5221" s="3">
        <v>3862</v>
      </c>
      <c r="L5221" s="3">
        <v>40701</v>
      </c>
      <c r="M5221" s="3">
        <v>108451</v>
      </c>
      <c r="N5221" s="3">
        <v>13751</v>
      </c>
    </row>
    <row r="5222" spans="1:14" x14ac:dyDescent="0.2">
      <c r="A5222" s="5" t="str">
        <f>HYPERLINK("http://www.ncbi.nlm.nih.gov/protein/28077027","Pacsin3")</f>
        <v>Pacsin3</v>
      </c>
      <c r="B5222" s="4"/>
      <c r="C5222" s="3">
        <v>0</v>
      </c>
      <c r="D5222" s="3">
        <v>1987</v>
      </c>
      <c r="E5222" s="3">
        <v>12640</v>
      </c>
      <c r="F5222" s="3">
        <v>1621</v>
      </c>
      <c r="G5222" s="3">
        <v>0</v>
      </c>
      <c r="H5222" s="2">
        <f t="shared" si="162"/>
        <v>16248</v>
      </c>
      <c r="I5222" t="str">
        <f t="shared" si="163"/>
        <v>Pacsin3_16248</v>
      </c>
      <c r="J5222" s="3">
        <v>0</v>
      </c>
      <c r="K5222" s="3">
        <v>1987</v>
      </c>
      <c r="L5222" s="3">
        <v>12640</v>
      </c>
      <c r="M5222" s="3">
        <v>1621</v>
      </c>
      <c r="N5222" s="3">
        <v>0</v>
      </c>
    </row>
    <row r="5223" spans="1:14" x14ac:dyDescent="0.2">
      <c r="A5223" s="5" t="str">
        <f>HYPERLINK("http://www.ncbi.nlm.nih.gov/protein/171906557","Padi2")</f>
        <v>Padi2</v>
      </c>
      <c r="B5223" s="4"/>
      <c r="C5223" s="3">
        <v>0</v>
      </c>
      <c r="D5223" s="3">
        <v>2453</v>
      </c>
      <c r="E5223" s="3">
        <v>732</v>
      </c>
      <c r="F5223" s="3">
        <v>26922</v>
      </c>
      <c r="G5223" s="3">
        <v>30629</v>
      </c>
      <c r="H5223" s="2">
        <f t="shared" si="162"/>
        <v>60736</v>
      </c>
      <c r="I5223" t="str">
        <f t="shared" si="163"/>
        <v>Padi2_60736</v>
      </c>
      <c r="J5223" s="3">
        <v>0</v>
      </c>
      <c r="K5223" s="3">
        <v>2453</v>
      </c>
      <c r="L5223" s="3">
        <v>732</v>
      </c>
      <c r="M5223" s="3">
        <v>26922</v>
      </c>
      <c r="N5223" s="3">
        <v>30629</v>
      </c>
    </row>
    <row r="5224" spans="1:14" x14ac:dyDescent="0.2">
      <c r="A5224" s="5" t="str">
        <f>HYPERLINK("http://www.ncbi.nlm.nih.gov/protein/31980912","Paf1")</f>
        <v>Paf1</v>
      </c>
      <c r="B5224" s="4"/>
      <c r="C5224" s="3">
        <v>0</v>
      </c>
      <c r="D5224" s="3">
        <v>115</v>
      </c>
      <c r="E5224" s="3">
        <v>0</v>
      </c>
      <c r="F5224" s="3">
        <v>573</v>
      </c>
      <c r="G5224" s="3">
        <v>300</v>
      </c>
      <c r="H5224" s="2">
        <f t="shared" si="162"/>
        <v>988</v>
      </c>
      <c r="I5224" t="str">
        <f t="shared" si="163"/>
        <v>Paf1_988</v>
      </c>
      <c r="J5224" s="3">
        <v>0</v>
      </c>
      <c r="K5224" s="3">
        <v>115</v>
      </c>
      <c r="L5224" s="3">
        <v>0</v>
      </c>
      <c r="M5224" s="3">
        <v>573</v>
      </c>
      <c r="N5224" s="3">
        <v>300</v>
      </c>
    </row>
    <row r="5225" spans="1:14" x14ac:dyDescent="0.2">
      <c r="A5225" s="5" t="str">
        <f>HYPERLINK("http://www.ncbi.nlm.nih.gov/protein/7305363","Pafah1b1")</f>
        <v>Pafah1b1</v>
      </c>
      <c r="B5225" s="4"/>
      <c r="C5225" s="3">
        <v>0</v>
      </c>
      <c r="D5225" s="3">
        <v>12502</v>
      </c>
      <c r="E5225" s="3">
        <v>35415</v>
      </c>
      <c r="F5225" s="3">
        <v>46150</v>
      </c>
      <c r="G5225" s="3">
        <v>125869</v>
      </c>
      <c r="H5225" s="2">
        <f t="shared" si="162"/>
        <v>219936</v>
      </c>
      <c r="I5225" t="str">
        <f t="shared" si="163"/>
        <v>Pafah1b1_219936</v>
      </c>
      <c r="J5225" s="3">
        <v>0</v>
      </c>
      <c r="K5225" s="3">
        <v>12502</v>
      </c>
      <c r="L5225" s="3">
        <v>35415</v>
      </c>
      <c r="M5225" s="3">
        <v>46150</v>
      </c>
      <c r="N5225" s="3">
        <v>125869</v>
      </c>
    </row>
    <row r="5226" spans="1:14" x14ac:dyDescent="0.2">
      <c r="A5226" s="5" t="str">
        <f>HYPERLINK("http://www.ncbi.nlm.nih.gov/protein/40254624","Pafah1b2")</f>
        <v>Pafah1b2</v>
      </c>
      <c r="B5226" s="4"/>
      <c r="C5226" s="3">
        <v>7011</v>
      </c>
      <c r="D5226" s="3">
        <v>900</v>
      </c>
      <c r="E5226" s="3">
        <v>1336</v>
      </c>
      <c r="F5226" s="3">
        <v>3741</v>
      </c>
      <c r="G5226" s="3">
        <v>26870</v>
      </c>
      <c r="H5226" s="2">
        <f t="shared" si="162"/>
        <v>39858</v>
      </c>
      <c r="I5226" t="str">
        <f t="shared" si="163"/>
        <v>Pafah1b2_39858</v>
      </c>
      <c r="J5226" s="3">
        <v>7011</v>
      </c>
      <c r="K5226" s="3">
        <v>900</v>
      </c>
      <c r="L5226" s="3">
        <v>1336</v>
      </c>
      <c r="M5226" s="3">
        <v>3741</v>
      </c>
      <c r="N5226" s="3">
        <v>26870</v>
      </c>
    </row>
    <row r="5227" spans="1:14" x14ac:dyDescent="0.2">
      <c r="A5227" s="5" t="str">
        <f>HYPERLINK("http://www.ncbi.nlm.nih.gov/protein/6679201","Pafah1b3")</f>
        <v>Pafah1b3</v>
      </c>
      <c r="B5227" s="4"/>
      <c r="C5227" s="3">
        <v>10142</v>
      </c>
      <c r="D5227" s="3">
        <v>1148</v>
      </c>
      <c r="E5227" s="3">
        <v>680</v>
      </c>
      <c r="F5227" s="3">
        <v>2930</v>
      </c>
      <c r="G5227" s="3">
        <v>86801</v>
      </c>
      <c r="H5227" s="2">
        <f t="shared" si="162"/>
        <v>101701</v>
      </c>
      <c r="I5227" t="str">
        <f t="shared" si="163"/>
        <v>Pafah1b3_101701</v>
      </c>
      <c r="J5227" s="3">
        <v>10142</v>
      </c>
      <c r="K5227" s="3">
        <v>1148</v>
      </c>
      <c r="L5227" s="3">
        <v>680</v>
      </c>
      <c r="M5227" s="3">
        <v>2930</v>
      </c>
      <c r="N5227" s="3">
        <v>86801</v>
      </c>
    </row>
    <row r="5228" spans="1:14" x14ac:dyDescent="0.2">
      <c r="A5228" s="5" t="str">
        <f>HYPERLINK("http://www.ncbi.nlm.nih.gov/protein/225579137","Pafah2")</f>
        <v>Pafah2</v>
      </c>
      <c r="B5228" s="4"/>
      <c r="C5228" s="3">
        <v>0</v>
      </c>
      <c r="D5228" s="3">
        <v>0</v>
      </c>
      <c r="E5228" s="3">
        <v>140</v>
      </c>
      <c r="F5228" s="3">
        <v>2767</v>
      </c>
      <c r="G5228" s="3">
        <v>0</v>
      </c>
      <c r="H5228" s="2">
        <f t="shared" si="162"/>
        <v>2907</v>
      </c>
      <c r="I5228" t="str">
        <f t="shared" si="163"/>
        <v>Pafah2_2907</v>
      </c>
      <c r="J5228" s="3">
        <v>0</v>
      </c>
      <c r="K5228" s="3">
        <v>0</v>
      </c>
      <c r="L5228" s="3">
        <v>140</v>
      </c>
      <c r="M5228" s="3">
        <v>2767</v>
      </c>
      <c r="N5228" s="3">
        <v>0</v>
      </c>
    </row>
    <row r="5229" spans="1:14" x14ac:dyDescent="0.2">
      <c r="A5229" s="5" t="str">
        <f>HYPERLINK("http://www.ncbi.nlm.nih.gov/protein/13385434","Paics")</f>
        <v>Paics</v>
      </c>
      <c r="B5229" s="4"/>
      <c r="C5229" s="3">
        <v>7927</v>
      </c>
      <c r="D5229" s="3">
        <v>28676</v>
      </c>
      <c r="E5229" s="3">
        <v>19319</v>
      </c>
      <c r="F5229" s="3">
        <v>182505</v>
      </c>
      <c r="G5229" s="3">
        <v>318479</v>
      </c>
      <c r="H5229" s="2">
        <f t="shared" si="162"/>
        <v>556906</v>
      </c>
      <c r="I5229" t="str">
        <f t="shared" si="163"/>
        <v>Paics_556906</v>
      </c>
      <c r="J5229" s="3">
        <v>7927</v>
      </c>
      <c r="K5229" s="3">
        <v>28676</v>
      </c>
      <c r="L5229" s="3">
        <v>19319</v>
      </c>
      <c r="M5229" s="3">
        <v>182505</v>
      </c>
      <c r="N5229" s="3">
        <v>318479</v>
      </c>
    </row>
    <row r="5230" spans="1:14" x14ac:dyDescent="0.2">
      <c r="A5230" s="5" t="str">
        <f>HYPERLINK("http://www.ncbi.nlm.nih.gov/protein/119943127","Paip1")</f>
        <v>Paip1</v>
      </c>
      <c r="B5230" s="4"/>
      <c r="C5230" s="3">
        <v>0</v>
      </c>
      <c r="D5230" s="3">
        <v>0</v>
      </c>
      <c r="E5230" s="3">
        <v>803</v>
      </c>
      <c r="F5230" s="3">
        <v>0</v>
      </c>
      <c r="G5230" s="3">
        <v>10784</v>
      </c>
      <c r="H5230" s="2">
        <f t="shared" si="162"/>
        <v>11587</v>
      </c>
      <c r="I5230" t="str">
        <f t="shared" si="163"/>
        <v>Paip1_11587</v>
      </c>
      <c r="J5230" s="3">
        <v>0</v>
      </c>
      <c r="K5230" s="3">
        <v>0</v>
      </c>
      <c r="L5230" s="3">
        <v>803</v>
      </c>
      <c r="M5230" s="3">
        <v>0</v>
      </c>
      <c r="N5230" s="3">
        <v>10784</v>
      </c>
    </row>
    <row r="5231" spans="1:14" x14ac:dyDescent="0.2">
      <c r="A5231" s="5" t="str">
        <f>HYPERLINK("http://www.ncbi.nlm.nih.gov/protein/21703908","Paip1")</f>
        <v>Paip1</v>
      </c>
      <c r="B5231" s="4"/>
      <c r="C5231" s="3">
        <v>0</v>
      </c>
      <c r="D5231" s="3">
        <v>0</v>
      </c>
      <c r="E5231" s="3">
        <v>803</v>
      </c>
      <c r="F5231" s="3">
        <v>0</v>
      </c>
      <c r="G5231" s="3">
        <v>10784</v>
      </c>
      <c r="H5231" s="2">
        <f t="shared" si="162"/>
        <v>11587</v>
      </c>
      <c r="I5231" t="str">
        <f t="shared" si="163"/>
        <v>Paip1_11587</v>
      </c>
      <c r="J5231" s="3">
        <v>0</v>
      </c>
      <c r="K5231" s="3">
        <v>0</v>
      </c>
      <c r="L5231" s="3">
        <v>803</v>
      </c>
      <c r="M5231" s="3">
        <v>0</v>
      </c>
      <c r="N5231" s="3">
        <v>10784</v>
      </c>
    </row>
    <row r="5232" spans="1:14" x14ac:dyDescent="0.2">
      <c r="A5232" s="5" t="str">
        <f>HYPERLINK("http://www.ncbi.nlm.nih.gov/protein/112181194","Pak1")</f>
        <v>Pak1</v>
      </c>
      <c r="B5232" s="4"/>
      <c r="C5232" s="3">
        <v>0</v>
      </c>
      <c r="D5232" s="3">
        <v>1971</v>
      </c>
      <c r="E5232" s="3">
        <v>1769</v>
      </c>
      <c r="F5232" s="3">
        <v>3765</v>
      </c>
      <c r="G5232" s="3">
        <v>80471</v>
      </c>
      <c r="H5232" s="2">
        <f t="shared" si="162"/>
        <v>87976</v>
      </c>
      <c r="I5232" t="str">
        <f t="shared" si="163"/>
        <v>Pak1_87976</v>
      </c>
      <c r="J5232" s="3">
        <v>0</v>
      </c>
      <c r="K5232" s="3">
        <v>1971</v>
      </c>
      <c r="L5232" s="3">
        <v>1769</v>
      </c>
      <c r="M5232" s="3">
        <v>3765</v>
      </c>
      <c r="N5232" s="3">
        <v>80471</v>
      </c>
    </row>
    <row r="5233" spans="1:14" x14ac:dyDescent="0.2">
      <c r="A5233" s="5" t="str">
        <f>HYPERLINK("http://www.ncbi.nlm.nih.gov/protein/145046259","Pak1ip1")</f>
        <v>Pak1ip1</v>
      </c>
      <c r="B5233" s="4"/>
      <c r="C5233" s="3">
        <v>0</v>
      </c>
      <c r="D5233" s="3">
        <v>71</v>
      </c>
      <c r="E5233" s="3">
        <v>3702</v>
      </c>
      <c r="F5233" s="3">
        <v>4715</v>
      </c>
      <c r="G5233" s="3">
        <v>0</v>
      </c>
      <c r="H5233" s="2">
        <f t="shared" si="162"/>
        <v>8488</v>
      </c>
      <c r="I5233" t="str">
        <f t="shared" si="163"/>
        <v>Pak1ip1_8488</v>
      </c>
      <c r="J5233" s="3">
        <v>0</v>
      </c>
      <c r="K5233" s="3">
        <v>71</v>
      </c>
      <c r="L5233" s="3">
        <v>3702</v>
      </c>
      <c r="M5233" s="3">
        <v>4715</v>
      </c>
      <c r="N5233" s="3">
        <v>0</v>
      </c>
    </row>
    <row r="5234" spans="1:14" x14ac:dyDescent="0.2">
      <c r="A5234" s="5" t="str">
        <f>HYPERLINK("http://www.ncbi.nlm.nih.gov/protein/46559406","Pak2")</f>
        <v>Pak2</v>
      </c>
      <c r="B5234" s="4"/>
      <c r="C5234" s="3">
        <v>0</v>
      </c>
      <c r="D5234" s="3">
        <v>6131</v>
      </c>
      <c r="E5234" s="3">
        <v>10615</v>
      </c>
      <c r="F5234" s="3">
        <v>24098</v>
      </c>
      <c r="G5234" s="3">
        <v>198051</v>
      </c>
      <c r="H5234" s="2">
        <f t="shared" si="162"/>
        <v>238895</v>
      </c>
      <c r="I5234" t="str">
        <f t="shared" si="163"/>
        <v>Pak2_238895</v>
      </c>
      <c r="J5234" s="3">
        <v>0</v>
      </c>
      <c r="K5234" s="3">
        <v>6131</v>
      </c>
      <c r="L5234" s="3">
        <v>10615</v>
      </c>
      <c r="M5234" s="3">
        <v>24098</v>
      </c>
      <c r="N5234" s="3">
        <v>198051</v>
      </c>
    </row>
    <row r="5235" spans="1:14" x14ac:dyDescent="0.2">
      <c r="A5235" s="5" t="str">
        <f>HYPERLINK("http://www.ncbi.nlm.nih.gov/protein/304307781","Pak3")</f>
        <v>Pak3</v>
      </c>
      <c r="B5235" s="4"/>
      <c r="C5235" s="3">
        <v>0</v>
      </c>
      <c r="D5235" s="3">
        <v>1094</v>
      </c>
      <c r="E5235" s="3">
        <v>1917</v>
      </c>
      <c r="F5235" s="3">
        <v>6205</v>
      </c>
      <c r="G5235" s="3">
        <v>84851</v>
      </c>
      <c r="H5235" s="2">
        <f t="shared" si="162"/>
        <v>94067</v>
      </c>
      <c r="I5235" t="str">
        <f t="shared" si="163"/>
        <v>Pak3_94067</v>
      </c>
      <c r="J5235" s="3">
        <v>0</v>
      </c>
      <c r="K5235" s="3">
        <v>1094</v>
      </c>
      <c r="L5235" s="3">
        <v>1917</v>
      </c>
      <c r="M5235" s="3">
        <v>6205</v>
      </c>
      <c r="N5235" s="3">
        <v>84851</v>
      </c>
    </row>
    <row r="5236" spans="1:14" x14ac:dyDescent="0.2">
      <c r="A5236" s="5" t="str">
        <f>HYPERLINK("http://www.ncbi.nlm.nih.gov/protein/304307783","Pak3")</f>
        <v>Pak3</v>
      </c>
      <c r="B5236" s="4"/>
      <c r="C5236" s="3">
        <v>0</v>
      </c>
      <c r="D5236" s="3">
        <v>1094</v>
      </c>
      <c r="E5236" s="3">
        <v>1917</v>
      </c>
      <c r="F5236" s="3">
        <v>6205</v>
      </c>
      <c r="G5236" s="3">
        <v>84851</v>
      </c>
      <c r="H5236" s="2">
        <f t="shared" si="162"/>
        <v>94067</v>
      </c>
      <c r="I5236" t="str">
        <f t="shared" si="163"/>
        <v>Pak3_94067</v>
      </c>
      <c r="J5236" s="3">
        <v>0</v>
      </c>
      <c r="K5236" s="3">
        <v>1094</v>
      </c>
      <c r="L5236" s="3">
        <v>1917</v>
      </c>
      <c r="M5236" s="3">
        <v>6205</v>
      </c>
      <c r="N5236" s="3">
        <v>84851</v>
      </c>
    </row>
    <row r="5237" spans="1:14" x14ac:dyDescent="0.2">
      <c r="A5237" s="5" t="str">
        <f>HYPERLINK("http://www.ncbi.nlm.nih.gov/protein/304307785","Pak3")</f>
        <v>Pak3</v>
      </c>
      <c r="B5237" s="4"/>
      <c r="C5237" s="3">
        <v>0</v>
      </c>
      <c r="D5237" s="3">
        <v>1094</v>
      </c>
      <c r="E5237" s="3">
        <v>1917</v>
      </c>
      <c r="F5237" s="3">
        <v>6205</v>
      </c>
      <c r="G5237" s="3">
        <v>84851</v>
      </c>
      <c r="H5237" s="2">
        <f t="shared" si="162"/>
        <v>94067</v>
      </c>
      <c r="I5237" t="str">
        <f t="shared" si="163"/>
        <v>Pak3_94067</v>
      </c>
      <c r="J5237" s="3">
        <v>0</v>
      </c>
      <c r="K5237" s="3">
        <v>1094</v>
      </c>
      <c r="L5237" s="3">
        <v>1917</v>
      </c>
      <c r="M5237" s="3">
        <v>6205</v>
      </c>
      <c r="N5237" s="3">
        <v>84851</v>
      </c>
    </row>
    <row r="5238" spans="1:14" x14ac:dyDescent="0.2">
      <c r="A5238" s="5" t="str">
        <f>HYPERLINK("http://www.ncbi.nlm.nih.gov/protein/304307788","Pak3")</f>
        <v>Pak3</v>
      </c>
      <c r="B5238" s="4"/>
      <c r="C5238" s="3">
        <v>0</v>
      </c>
      <c r="D5238" s="3">
        <v>1094</v>
      </c>
      <c r="E5238" s="3">
        <v>1917</v>
      </c>
      <c r="F5238" s="3">
        <v>6205</v>
      </c>
      <c r="G5238" s="3">
        <v>84851</v>
      </c>
      <c r="H5238" s="2">
        <f t="shared" si="162"/>
        <v>94067</v>
      </c>
      <c r="I5238" t="str">
        <f t="shared" si="163"/>
        <v>Pak3_94067</v>
      </c>
      <c r="J5238" s="3">
        <v>0</v>
      </c>
      <c r="K5238" s="3">
        <v>1094</v>
      </c>
      <c r="L5238" s="3">
        <v>1917</v>
      </c>
      <c r="M5238" s="3">
        <v>6205</v>
      </c>
      <c r="N5238" s="3">
        <v>84851</v>
      </c>
    </row>
    <row r="5239" spans="1:14" x14ac:dyDescent="0.2">
      <c r="A5239" s="5" t="str">
        <f>HYPERLINK("http://www.ncbi.nlm.nih.gov/protein/29336032","Pak4")</f>
        <v>Pak4</v>
      </c>
      <c r="B5239" s="4"/>
      <c r="C5239" s="3">
        <v>0</v>
      </c>
      <c r="D5239" s="3">
        <v>0</v>
      </c>
      <c r="E5239" s="3">
        <v>519</v>
      </c>
      <c r="F5239" s="3">
        <v>0</v>
      </c>
      <c r="G5239" s="3">
        <v>0</v>
      </c>
      <c r="H5239" s="2">
        <f t="shared" si="162"/>
        <v>519</v>
      </c>
      <c r="I5239" t="str">
        <f t="shared" si="163"/>
        <v>Pak4_519</v>
      </c>
      <c r="J5239" s="3">
        <v>0</v>
      </c>
      <c r="K5239" s="3">
        <v>0</v>
      </c>
      <c r="L5239" s="3">
        <v>519</v>
      </c>
      <c r="M5239" s="3">
        <v>0</v>
      </c>
      <c r="N5239" s="3">
        <v>0</v>
      </c>
    </row>
    <row r="5240" spans="1:14" x14ac:dyDescent="0.2">
      <c r="A5240" s="5" t="str">
        <f>HYPERLINK("http://www.ncbi.nlm.nih.gov/protein/171846274","Pald1")</f>
        <v>Pald1</v>
      </c>
      <c r="B5240" s="4"/>
      <c r="C5240" s="3">
        <v>0</v>
      </c>
      <c r="D5240" s="3">
        <v>228</v>
      </c>
      <c r="E5240" s="3">
        <v>2539</v>
      </c>
      <c r="F5240" s="3">
        <v>1040</v>
      </c>
      <c r="G5240" s="3">
        <v>1724</v>
      </c>
      <c r="H5240" s="2">
        <f t="shared" si="162"/>
        <v>5531</v>
      </c>
      <c r="I5240" t="str">
        <f t="shared" si="163"/>
        <v>Pald1_5531</v>
      </c>
      <c r="J5240" s="3">
        <v>0</v>
      </c>
      <c r="K5240" s="3">
        <v>228</v>
      </c>
      <c r="L5240" s="3">
        <v>2539</v>
      </c>
      <c r="M5240" s="3">
        <v>1040</v>
      </c>
      <c r="N5240" s="3">
        <v>1724</v>
      </c>
    </row>
    <row r="5241" spans="1:14" x14ac:dyDescent="0.2">
      <c r="A5241" s="5" t="str">
        <f>HYPERLINK("http://www.ncbi.nlm.nih.gov/protein/124487061","Palld")</f>
        <v>Palld</v>
      </c>
      <c r="B5241" s="4"/>
      <c r="C5241" s="3">
        <v>0</v>
      </c>
      <c r="D5241" s="3">
        <v>0</v>
      </c>
      <c r="E5241" s="3">
        <v>253</v>
      </c>
      <c r="F5241" s="3">
        <v>0</v>
      </c>
      <c r="G5241" s="3">
        <v>1596</v>
      </c>
      <c r="H5241" s="2">
        <f t="shared" si="162"/>
        <v>1849</v>
      </c>
      <c r="I5241" t="str">
        <f t="shared" si="163"/>
        <v>Palld_1849</v>
      </c>
      <c r="J5241" s="3">
        <v>0</v>
      </c>
      <c r="K5241" s="3">
        <v>0</v>
      </c>
      <c r="L5241" s="3">
        <v>253</v>
      </c>
      <c r="M5241" s="3">
        <v>0</v>
      </c>
      <c r="N5241" s="3">
        <v>1596</v>
      </c>
    </row>
    <row r="5242" spans="1:14" x14ac:dyDescent="0.2">
      <c r="A5242" s="5" t="str">
        <f>HYPERLINK("http://www.ncbi.nlm.nih.gov/protein/239985639","Palm")</f>
        <v>Palm</v>
      </c>
      <c r="B5242" s="4"/>
      <c r="C5242" s="3">
        <v>0</v>
      </c>
      <c r="D5242" s="3">
        <v>0</v>
      </c>
      <c r="E5242" s="3">
        <v>124</v>
      </c>
      <c r="F5242" s="3">
        <v>0</v>
      </c>
      <c r="G5242" s="3">
        <v>0</v>
      </c>
      <c r="H5242" s="2">
        <f t="shared" si="162"/>
        <v>124</v>
      </c>
      <c r="I5242" t="str">
        <f t="shared" si="163"/>
        <v>Palm_124</v>
      </c>
      <c r="J5242" s="3">
        <v>0</v>
      </c>
      <c r="K5242" s="3">
        <v>0</v>
      </c>
      <c r="L5242" s="3">
        <v>124</v>
      </c>
      <c r="M5242" s="3">
        <v>0</v>
      </c>
      <c r="N5242" s="3">
        <v>0</v>
      </c>
    </row>
    <row r="5243" spans="1:14" x14ac:dyDescent="0.2">
      <c r="A5243" s="5" t="str">
        <f>HYPERLINK("http://www.ncbi.nlm.nih.gov/protein/239985643","Palm")</f>
        <v>Palm</v>
      </c>
      <c r="B5243" s="4"/>
      <c r="C5243" s="3">
        <v>0</v>
      </c>
      <c r="D5243" s="3">
        <v>0</v>
      </c>
      <c r="E5243" s="3">
        <v>124</v>
      </c>
      <c r="F5243" s="3">
        <v>0</v>
      </c>
      <c r="G5243" s="3">
        <v>0</v>
      </c>
      <c r="H5243" s="2">
        <f t="shared" si="162"/>
        <v>124</v>
      </c>
      <c r="I5243" t="str">
        <f t="shared" si="163"/>
        <v>Palm_124</v>
      </c>
      <c r="J5243" s="3">
        <v>0</v>
      </c>
      <c r="K5243" s="3">
        <v>0</v>
      </c>
      <c r="L5243" s="3">
        <v>124</v>
      </c>
      <c r="M5243" s="3">
        <v>0</v>
      </c>
      <c r="N5243" s="3">
        <v>0</v>
      </c>
    </row>
    <row r="5244" spans="1:14" x14ac:dyDescent="0.2">
      <c r="A5244" s="5" t="str">
        <f>HYPERLINK("http://www.ncbi.nlm.nih.gov/protein/124430707","Palm3")</f>
        <v>Palm3</v>
      </c>
      <c r="B5244" s="4"/>
      <c r="C5244" s="3">
        <v>0</v>
      </c>
      <c r="D5244" s="3">
        <v>983</v>
      </c>
      <c r="E5244" s="3">
        <v>2643</v>
      </c>
      <c r="F5244" s="3">
        <v>0</v>
      </c>
      <c r="G5244" s="3">
        <v>0</v>
      </c>
      <c r="H5244" s="2">
        <f t="shared" si="162"/>
        <v>3626</v>
      </c>
      <c r="I5244" t="str">
        <f t="shared" si="163"/>
        <v>Palm3_3626</v>
      </c>
      <c r="J5244" s="3">
        <v>0</v>
      </c>
      <c r="K5244" s="3">
        <v>983</v>
      </c>
      <c r="L5244" s="3">
        <v>2643</v>
      </c>
      <c r="M5244" s="3">
        <v>0</v>
      </c>
      <c r="N5244" s="3">
        <v>0</v>
      </c>
    </row>
    <row r="5245" spans="1:14" x14ac:dyDescent="0.2">
      <c r="A5245" s="5" t="str">
        <f>HYPERLINK("http://www.ncbi.nlm.nih.gov/protein/153792657","Pam")</f>
        <v>Pam</v>
      </c>
      <c r="B5245" s="4"/>
      <c r="C5245" s="3">
        <v>0</v>
      </c>
      <c r="D5245" s="3">
        <v>0</v>
      </c>
      <c r="E5245" s="3">
        <v>168</v>
      </c>
      <c r="F5245" s="3">
        <v>0</v>
      </c>
      <c r="G5245" s="3">
        <v>0</v>
      </c>
      <c r="H5245" s="2">
        <f t="shared" si="162"/>
        <v>168</v>
      </c>
      <c r="I5245" t="str">
        <f t="shared" si="163"/>
        <v>Pam_168</v>
      </c>
      <c r="J5245" s="3">
        <v>0</v>
      </c>
      <c r="K5245" s="3">
        <v>0</v>
      </c>
      <c r="L5245" s="3">
        <v>168</v>
      </c>
      <c r="M5245" s="3">
        <v>0</v>
      </c>
      <c r="N5245" s="3">
        <v>0</v>
      </c>
    </row>
    <row r="5246" spans="1:14" x14ac:dyDescent="0.2">
      <c r="A5246" s="5" t="str">
        <f>HYPERLINK("http://www.ncbi.nlm.nih.gov/protein/13385012","Pam16")</f>
        <v>Pam16</v>
      </c>
      <c r="B5246" s="4"/>
      <c r="C5246" s="3">
        <v>5144</v>
      </c>
      <c r="D5246" s="3">
        <v>992</v>
      </c>
      <c r="E5246" s="3">
        <v>119</v>
      </c>
      <c r="F5246" s="3">
        <v>0</v>
      </c>
      <c r="G5246" s="3">
        <v>0</v>
      </c>
      <c r="H5246" s="2">
        <f t="shared" si="162"/>
        <v>6255</v>
      </c>
      <c r="I5246" t="str">
        <f t="shared" si="163"/>
        <v>Pam16_6255</v>
      </c>
      <c r="J5246" s="3">
        <v>5144</v>
      </c>
      <c r="K5246" s="3">
        <v>992</v>
      </c>
      <c r="L5246" s="3">
        <v>119</v>
      </c>
      <c r="M5246" s="3">
        <v>0</v>
      </c>
      <c r="N5246" s="3">
        <v>0</v>
      </c>
    </row>
    <row r="5247" spans="1:14" x14ac:dyDescent="0.2">
      <c r="A5247" s="5" t="str">
        <f>HYPERLINK("http://www.ncbi.nlm.nih.gov/protein/29789349","Pan2")</f>
        <v>Pan2</v>
      </c>
      <c r="B5247" s="4"/>
      <c r="C5247" s="3">
        <v>0</v>
      </c>
      <c r="D5247" s="3">
        <v>0</v>
      </c>
      <c r="E5247" s="3">
        <v>1018</v>
      </c>
      <c r="F5247" s="3">
        <v>0</v>
      </c>
      <c r="G5247" s="3">
        <v>0</v>
      </c>
      <c r="H5247" s="2">
        <f t="shared" si="162"/>
        <v>1018</v>
      </c>
      <c r="I5247" t="str">
        <f t="shared" si="163"/>
        <v>Pan2_1018</v>
      </c>
      <c r="J5247" s="3">
        <v>0</v>
      </c>
      <c r="K5247" s="3">
        <v>0</v>
      </c>
      <c r="L5247" s="3">
        <v>1018</v>
      </c>
      <c r="M5247" s="3">
        <v>0</v>
      </c>
      <c r="N5247" s="3">
        <v>0</v>
      </c>
    </row>
    <row r="5248" spans="1:14" x14ac:dyDescent="0.2">
      <c r="A5248" s="5" t="str">
        <f>HYPERLINK("http://www.ncbi.nlm.nih.gov/protein/356640187","Pan2")</f>
        <v>Pan2</v>
      </c>
      <c r="B5248" s="4"/>
      <c r="C5248" s="3">
        <v>0</v>
      </c>
      <c r="D5248" s="3">
        <v>0</v>
      </c>
      <c r="E5248" s="3">
        <v>1018</v>
      </c>
      <c r="F5248" s="3">
        <v>0</v>
      </c>
      <c r="G5248" s="3">
        <v>0</v>
      </c>
      <c r="H5248" s="2">
        <f t="shared" si="162"/>
        <v>1018</v>
      </c>
      <c r="I5248" t="str">
        <f t="shared" si="163"/>
        <v>Pan2_1018</v>
      </c>
      <c r="J5248" s="3">
        <v>0</v>
      </c>
      <c r="K5248" s="3">
        <v>0</v>
      </c>
      <c r="L5248" s="3">
        <v>1018</v>
      </c>
      <c r="M5248" s="3">
        <v>0</v>
      </c>
      <c r="N5248" s="3">
        <v>0</v>
      </c>
    </row>
    <row r="5249" spans="1:14" x14ac:dyDescent="0.2">
      <c r="A5249" s="5" t="str">
        <f>HYPERLINK("http://www.ncbi.nlm.nih.gov/protein/356640190","Pan2")</f>
        <v>Pan2</v>
      </c>
      <c r="B5249" s="4"/>
      <c r="C5249" s="3">
        <v>0</v>
      </c>
      <c r="D5249" s="3">
        <v>0</v>
      </c>
      <c r="E5249" s="3">
        <v>1018</v>
      </c>
      <c r="F5249" s="3">
        <v>0</v>
      </c>
      <c r="G5249" s="3">
        <v>0</v>
      </c>
      <c r="H5249" s="2">
        <f t="shared" si="162"/>
        <v>1018</v>
      </c>
      <c r="I5249" t="str">
        <f t="shared" si="163"/>
        <v>Pan2_1018</v>
      </c>
      <c r="J5249" s="3">
        <v>0</v>
      </c>
      <c r="K5249" s="3">
        <v>0</v>
      </c>
      <c r="L5249" s="3">
        <v>1018</v>
      </c>
      <c r="M5249" s="3">
        <v>0</v>
      </c>
      <c r="N5249" s="3">
        <v>0</v>
      </c>
    </row>
    <row r="5250" spans="1:14" x14ac:dyDescent="0.2">
      <c r="A5250" s="5" t="str">
        <f>HYPERLINK("http://www.ncbi.nlm.nih.gov/protein/270265830","Pan3")</f>
        <v>Pan3</v>
      </c>
      <c r="B5250" s="4"/>
      <c r="C5250" s="3">
        <v>0</v>
      </c>
      <c r="D5250" s="3">
        <v>0</v>
      </c>
      <c r="E5250" s="3">
        <v>323</v>
      </c>
      <c r="F5250" s="3">
        <v>0</v>
      </c>
      <c r="G5250" s="3">
        <v>0</v>
      </c>
      <c r="H5250" s="2">
        <f t="shared" ref="H5250:H5313" si="164">SUM(C5250:G5250)</f>
        <v>323</v>
      </c>
      <c r="I5250" t="str">
        <f t="shared" ref="I5250:I5313" si="165">A5250&amp;"_"&amp;H5250</f>
        <v>Pan3_323</v>
      </c>
      <c r="J5250" s="3">
        <v>0</v>
      </c>
      <c r="K5250" s="3">
        <v>0</v>
      </c>
      <c r="L5250" s="3">
        <v>323</v>
      </c>
      <c r="M5250" s="3">
        <v>0</v>
      </c>
      <c r="N5250" s="3">
        <v>0</v>
      </c>
    </row>
    <row r="5251" spans="1:14" x14ac:dyDescent="0.2">
      <c r="A5251" s="5" t="str">
        <f>HYPERLINK("http://www.ncbi.nlm.nih.gov/protein/12963829","Pank1")</f>
        <v>Pank1</v>
      </c>
      <c r="B5251" s="4"/>
      <c r="C5251" s="3">
        <v>0</v>
      </c>
      <c r="D5251" s="3">
        <v>0</v>
      </c>
      <c r="E5251" s="3">
        <v>0</v>
      </c>
      <c r="F5251" s="3">
        <v>0</v>
      </c>
      <c r="G5251" s="3">
        <v>932</v>
      </c>
      <c r="H5251" s="2">
        <f t="shared" si="164"/>
        <v>932</v>
      </c>
      <c r="I5251" t="str">
        <f t="shared" si="165"/>
        <v>Pank1_932</v>
      </c>
      <c r="J5251" s="3">
        <v>0</v>
      </c>
      <c r="K5251" s="3">
        <v>0</v>
      </c>
      <c r="L5251" s="3">
        <v>0</v>
      </c>
      <c r="M5251" s="3">
        <v>0</v>
      </c>
      <c r="N5251" s="3">
        <v>932</v>
      </c>
    </row>
    <row r="5252" spans="1:14" x14ac:dyDescent="0.2">
      <c r="A5252" s="5" t="str">
        <f>HYPERLINK("http://www.ncbi.nlm.nih.gov/protein/167234376","Pank1")</f>
        <v>Pank1</v>
      </c>
      <c r="B5252" s="4"/>
      <c r="C5252" s="3">
        <v>0</v>
      </c>
      <c r="D5252" s="3">
        <v>0</v>
      </c>
      <c r="E5252" s="3">
        <v>0</v>
      </c>
      <c r="F5252" s="3">
        <v>0</v>
      </c>
      <c r="G5252" s="3">
        <v>932</v>
      </c>
      <c r="H5252" s="2">
        <f t="shared" si="164"/>
        <v>932</v>
      </c>
      <c r="I5252" t="str">
        <f t="shared" si="165"/>
        <v>Pank1_932</v>
      </c>
      <c r="J5252" s="3">
        <v>0</v>
      </c>
      <c r="K5252" s="3">
        <v>0</v>
      </c>
      <c r="L5252" s="3">
        <v>0</v>
      </c>
      <c r="M5252" s="3">
        <v>0</v>
      </c>
      <c r="N5252" s="3">
        <v>932</v>
      </c>
    </row>
    <row r="5253" spans="1:14" x14ac:dyDescent="0.2">
      <c r="A5253" s="5" t="str">
        <f>HYPERLINK("http://www.ncbi.nlm.nih.gov/protein/51571537","Pank2")</f>
        <v>Pank2</v>
      </c>
      <c r="B5253" s="4"/>
      <c r="C5253" s="3">
        <v>0</v>
      </c>
      <c r="D5253" s="3">
        <v>69</v>
      </c>
      <c r="E5253" s="3">
        <v>82</v>
      </c>
      <c r="F5253" s="3">
        <v>360</v>
      </c>
      <c r="G5253" s="3">
        <v>921</v>
      </c>
      <c r="H5253" s="2">
        <f t="shared" si="164"/>
        <v>1432</v>
      </c>
      <c r="I5253" t="str">
        <f t="shared" si="165"/>
        <v>Pank2_1432</v>
      </c>
      <c r="J5253" s="3">
        <v>0</v>
      </c>
      <c r="K5253" s="3">
        <v>69</v>
      </c>
      <c r="L5253" s="3">
        <v>82</v>
      </c>
      <c r="M5253" s="3">
        <v>360</v>
      </c>
      <c r="N5253" s="3">
        <v>921</v>
      </c>
    </row>
    <row r="5254" spans="1:14" x14ac:dyDescent="0.2">
      <c r="A5254" s="5" t="str">
        <f>HYPERLINK("http://www.ncbi.nlm.nih.gov/protein/22122397","Pank3")</f>
        <v>Pank3</v>
      </c>
      <c r="B5254" s="4"/>
      <c r="C5254" s="3">
        <v>0</v>
      </c>
      <c r="D5254" s="3">
        <v>0</v>
      </c>
      <c r="E5254" s="3">
        <v>0</v>
      </c>
      <c r="F5254" s="3">
        <v>0</v>
      </c>
      <c r="G5254" s="3">
        <v>932</v>
      </c>
      <c r="H5254" s="2">
        <f t="shared" si="164"/>
        <v>932</v>
      </c>
      <c r="I5254" t="str">
        <f t="shared" si="165"/>
        <v>Pank3_932</v>
      </c>
      <c r="J5254" s="3">
        <v>0</v>
      </c>
      <c r="K5254" s="3">
        <v>0</v>
      </c>
      <c r="L5254" s="3">
        <v>0</v>
      </c>
      <c r="M5254" s="3">
        <v>0</v>
      </c>
      <c r="N5254" s="3">
        <v>932</v>
      </c>
    </row>
    <row r="5255" spans="1:14" x14ac:dyDescent="0.2">
      <c r="A5255" s="5" t="str">
        <f>HYPERLINK("http://www.ncbi.nlm.nih.gov/protein/240255614","Pank4")</f>
        <v>Pank4</v>
      </c>
      <c r="B5255" s="4"/>
      <c r="C5255" s="3">
        <v>0</v>
      </c>
      <c r="D5255" s="3">
        <v>0</v>
      </c>
      <c r="E5255" s="3">
        <v>1</v>
      </c>
      <c r="F5255" s="3">
        <v>0</v>
      </c>
      <c r="G5255" s="3">
        <v>557</v>
      </c>
      <c r="H5255" s="2">
        <f t="shared" si="164"/>
        <v>558</v>
      </c>
      <c r="I5255" t="str">
        <f t="shared" si="165"/>
        <v>Pank4_558</v>
      </c>
      <c r="J5255" s="3">
        <v>0</v>
      </c>
      <c r="K5255" s="3">
        <v>0</v>
      </c>
      <c r="L5255" s="3">
        <v>1</v>
      </c>
      <c r="M5255" s="3">
        <v>0</v>
      </c>
      <c r="N5255" s="3">
        <v>557</v>
      </c>
    </row>
    <row r="5256" spans="1:14" x14ac:dyDescent="0.2">
      <c r="A5256" s="5" t="str">
        <f>HYPERLINK("http://www.ncbi.nlm.nih.gov/protein/28173566","Paox")</f>
        <v>Paox</v>
      </c>
      <c r="B5256" s="4"/>
      <c r="C5256" s="3">
        <v>0</v>
      </c>
      <c r="D5256" s="3">
        <v>0</v>
      </c>
      <c r="E5256" s="3">
        <v>0</v>
      </c>
      <c r="F5256" s="3">
        <v>0</v>
      </c>
      <c r="G5256" s="3">
        <v>9489</v>
      </c>
      <c r="H5256" s="2">
        <f t="shared" si="164"/>
        <v>9489</v>
      </c>
      <c r="I5256" t="str">
        <f t="shared" si="165"/>
        <v>Paox_9489</v>
      </c>
      <c r="J5256" s="3">
        <v>0</v>
      </c>
      <c r="K5256" s="3">
        <v>0</v>
      </c>
      <c r="L5256" s="3">
        <v>0</v>
      </c>
      <c r="M5256" s="3">
        <v>0</v>
      </c>
      <c r="N5256" s="3">
        <v>9489</v>
      </c>
    </row>
    <row r="5257" spans="1:14" x14ac:dyDescent="0.2">
      <c r="A5257" s="5" t="str">
        <f>HYPERLINK("http://www.ncbi.nlm.nih.gov/protein/21914853","Papola")</f>
        <v>Papola</v>
      </c>
      <c r="B5257" s="4"/>
      <c r="C5257" s="3">
        <v>0</v>
      </c>
      <c r="D5257" s="3">
        <v>0</v>
      </c>
      <c r="E5257" s="3">
        <v>0</v>
      </c>
      <c r="F5257" s="3">
        <v>0</v>
      </c>
      <c r="G5257" s="3">
        <v>6747</v>
      </c>
      <c r="H5257" s="2">
        <f t="shared" si="164"/>
        <v>6747</v>
      </c>
      <c r="I5257" t="str">
        <f t="shared" si="165"/>
        <v>Papola_6747</v>
      </c>
      <c r="J5257" s="3">
        <v>0</v>
      </c>
      <c r="K5257" s="3">
        <v>0</v>
      </c>
      <c r="L5257" s="3">
        <v>0</v>
      </c>
      <c r="M5257" s="3">
        <v>0</v>
      </c>
      <c r="N5257" s="3">
        <v>6747</v>
      </c>
    </row>
    <row r="5258" spans="1:14" x14ac:dyDescent="0.2">
      <c r="A5258" s="5" t="str">
        <f>HYPERLINK("http://www.ncbi.nlm.nih.gov/protein/9910588","Papolb")</f>
        <v>Papolb</v>
      </c>
      <c r="B5258" s="4"/>
      <c r="C5258" s="3">
        <v>0</v>
      </c>
      <c r="D5258" s="3">
        <v>0</v>
      </c>
      <c r="E5258" s="3">
        <v>0</v>
      </c>
      <c r="F5258" s="3">
        <v>0</v>
      </c>
      <c r="G5258" s="3">
        <v>4755</v>
      </c>
      <c r="H5258" s="2">
        <f t="shared" si="164"/>
        <v>4755</v>
      </c>
      <c r="I5258" t="str">
        <f t="shared" si="165"/>
        <v>Papolb_4755</v>
      </c>
      <c r="J5258" s="3">
        <v>0</v>
      </c>
      <c r="K5258" s="3">
        <v>0</v>
      </c>
      <c r="L5258" s="3">
        <v>0</v>
      </c>
      <c r="M5258" s="3">
        <v>0</v>
      </c>
      <c r="N5258" s="3">
        <v>4755</v>
      </c>
    </row>
    <row r="5259" spans="1:14" x14ac:dyDescent="0.2">
      <c r="A5259" s="5" t="str">
        <f>HYPERLINK("http://www.ncbi.nlm.nih.gov/protein/226494207","Papolg")</f>
        <v>Papolg</v>
      </c>
      <c r="B5259" s="4"/>
      <c r="C5259" s="3">
        <v>0</v>
      </c>
      <c r="D5259" s="3">
        <v>0</v>
      </c>
      <c r="E5259" s="3">
        <v>0</v>
      </c>
      <c r="F5259" s="3">
        <v>0</v>
      </c>
      <c r="G5259" s="3">
        <v>3588</v>
      </c>
      <c r="H5259" s="2">
        <f t="shared" si="164"/>
        <v>3588</v>
      </c>
      <c r="I5259" t="str">
        <f t="shared" si="165"/>
        <v>Papolg_3588</v>
      </c>
      <c r="J5259" s="3">
        <v>0</v>
      </c>
      <c r="K5259" s="3">
        <v>0</v>
      </c>
      <c r="L5259" s="3">
        <v>0</v>
      </c>
      <c r="M5259" s="3">
        <v>0</v>
      </c>
      <c r="N5259" s="3">
        <v>3588</v>
      </c>
    </row>
    <row r="5260" spans="1:14" x14ac:dyDescent="0.2">
      <c r="A5260" s="5" t="str">
        <f>HYPERLINK("http://www.ncbi.nlm.nih.gov/protein/6754982","Papss1")</f>
        <v>Papss1</v>
      </c>
      <c r="B5260" s="4"/>
      <c r="C5260" s="3">
        <v>18</v>
      </c>
      <c r="D5260" s="3">
        <v>4321</v>
      </c>
      <c r="E5260" s="3">
        <v>3000</v>
      </c>
      <c r="F5260" s="3">
        <v>19654</v>
      </c>
      <c r="G5260" s="3">
        <v>44123</v>
      </c>
      <c r="H5260" s="2">
        <f t="shared" si="164"/>
        <v>71116</v>
      </c>
      <c r="I5260" t="str">
        <f t="shared" si="165"/>
        <v>Papss1_71116</v>
      </c>
      <c r="J5260" s="3">
        <v>18</v>
      </c>
      <c r="K5260" s="3">
        <v>4321</v>
      </c>
      <c r="L5260" s="3">
        <v>3000</v>
      </c>
      <c r="M5260" s="3">
        <v>19654</v>
      </c>
      <c r="N5260" s="3">
        <v>44123</v>
      </c>
    </row>
    <row r="5261" spans="1:14" x14ac:dyDescent="0.2">
      <c r="A5261" s="5" t="str">
        <f>HYPERLINK("http://www.ncbi.nlm.nih.gov/protein/319918850","Papss2")</f>
        <v>Papss2</v>
      </c>
      <c r="B5261" s="4"/>
      <c r="C5261" s="3">
        <v>18</v>
      </c>
      <c r="D5261" s="3">
        <v>2094</v>
      </c>
      <c r="E5261" s="3">
        <v>1605</v>
      </c>
      <c r="F5261" s="3">
        <v>3078</v>
      </c>
      <c r="G5261" s="3">
        <v>118</v>
      </c>
      <c r="H5261" s="2">
        <f t="shared" si="164"/>
        <v>6913</v>
      </c>
      <c r="I5261" t="str">
        <f t="shared" si="165"/>
        <v>Papss2_6913</v>
      </c>
      <c r="J5261" s="3">
        <v>18</v>
      </c>
      <c r="K5261" s="3">
        <v>2094</v>
      </c>
      <c r="L5261" s="3">
        <v>1605</v>
      </c>
      <c r="M5261" s="3">
        <v>3078</v>
      </c>
      <c r="N5261" s="3">
        <v>118</v>
      </c>
    </row>
    <row r="5262" spans="1:14" x14ac:dyDescent="0.2">
      <c r="A5262" s="5" t="str">
        <f>HYPERLINK("http://www.ncbi.nlm.nih.gov/protein/61098088","Papss2")</f>
        <v>Papss2</v>
      </c>
      <c r="B5262" s="4"/>
      <c r="C5262" s="3">
        <v>18</v>
      </c>
      <c r="D5262" s="3">
        <v>2094</v>
      </c>
      <c r="E5262" s="3">
        <v>1605</v>
      </c>
      <c r="F5262" s="3">
        <v>3078</v>
      </c>
      <c r="G5262" s="3">
        <v>118</v>
      </c>
      <c r="H5262" s="2">
        <f t="shared" si="164"/>
        <v>6913</v>
      </c>
      <c r="I5262" t="str">
        <f t="shared" si="165"/>
        <v>Papss2_6913</v>
      </c>
      <c r="J5262" s="3">
        <v>18</v>
      </c>
      <c r="K5262" s="3">
        <v>2094</v>
      </c>
      <c r="L5262" s="3">
        <v>1605</v>
      </c>
      <c r="M5262" s="3">
        <v>3078</v>
      </c>
      <c r="N5262" s="3">
        <v>118</v>
      </c>
    </row>
    <row r="5263" spans="1:14" x14ac:dyDescent="0.2">
      <c r="A5263" s="5" t="str">
        <f>HYPERLINK("http://www.ncbi.nlm.nih.gov/protein/12963841","Paqr4")</f>
        <v>Paqr4</v>
      </c>
      <c r="B5263" s="4"/>
      <c r="C5263" s="3">
        <v>0</v>
      </c>
      <c r="D5263" s="3">
        <v>77</v>
      </c>
      <c r="E5263" s="3">
        <v>0</v>
      </c>
      <c r="F5263" s="3">
        <v>0</v>
      </c>
      <c r="G5263" s="3">
        <v>0</v>
      </c>
      <c r="H5263" s="2">
        <f t="shared" si="164"/>
        <v>77</v>
      </c>
      <c r="I5263" t="str">
        <f t="shared" si="165"/>
        <v>Paqr4_77</v>
      </c>
      <c r="J5263" s="3">
        <v>0</v>
      </c>
      <c r="K5263" s="3">
        <v>77</v>
      </c>
      <c r="L5263" s="3">
        <v>0</v>
      </c>
      <c r="M5263" s="3">
        <v>0</v>
      </c>
      <c r="N5263" s="3">
        <v>0</v>
      </c>
    </row>
    <row r="5264" spans="1:14" x14ac:dyDescent="0.2">
      <c r="A5264" s="5" t="str">
        <f>HYPERLINK("http://www.ncbi.nlm.nih.gov/protein/171184413","Pard3")</f>
        <v>Pard3</v>
      </c>
      <c r="B5264" s="4"/>
      <c r="C5264" s="3">
        <v>0</v>
      </c>
      <c r="D5264" s="3">
        <v>0</v>
      </c>
      <c r="E5264" s="3">
        <v>217</v>
      </c>
      <c r="F5264" s="3">
        <v>0</v>
      </c>
      <c r="G5264" s="3">
        <v>0</v>
      </c>
      <c r="H5264" s="2">
        <f t="shared" si="164"/>
        <v>217</v>
      </c>
      <c r="I5264" t="str">
        <f t="shared" si="165"/>
        <v>Pard3_217</v>
      </c>
      <c r="J5264" s="3">
        <v>0</v>
      </c>
      <c r="K5264" s="3">
        <v>0</v>
      </c>
      <c r="L5264" s="3">
        <v>217</v>
      </c>
      <c r="M5264" s="3">
        <v>0</v>
      </c>
      <c r="N5264" s="3">
        <v>0</v>
      </c>
    </row>
    <row r="5265" spans="1:14" x14ac:dyDescent="0.2">
      <c r="A5265" s="5" t="str">
        <f>HYPERLINK("http://www.ncbi.nlm.nih.gov/protein/171184415","Pard3")</f>
        <v>Pard3</v>
      </c>
      <c r="B5265" s="4"/>
      <c r="C5265" s="3">
        <v>0</v>
      </c>
      <c r="D5265" s="3">
        <v>0</v>
      </c>
      <c r="E5265" s="3">
        <v>217</v>
      </c>
      <c r="F5265" s="3">
        <v>0</v>
      </c>
      <c r="G5265" s="3">
        <v>0</v>
      </c>
      <c r="H5265" s="2">
        <f t="shared" si="164"/>
        <v>217</v>
      </c>
      <c r="I5265" t="str">
        <f t="shared" si="165"/>
        <v>Pard3_217</v>
      </c>
      <c r="J5265" s="3">
        <v>0</v>
      </c>
      <c r="K5265" s="3">
        <v>0</v>
      </c>
      <c r="L5265" s="3">
        <v>217</v>
      </c>
      <c r="M5265" s="3">
        <v>0</v>
      </c>
      <c r="N5265" s="3">
        <v>0</v>
      </c>
    </row>
    <row r="5266" spans="1:14" x14ac:dyDescent="0.2">
      <c r="A5266" s="5" t="str">
        <f>HYPERLINK("http://www.ncbi.nlm.nih.gov/protein/61888842","Pard3")</f>
        <v>Pard3</v>
      </c>
      <c r="B5266" s="4"/>
      <c r="C5266" s="3">
        <v>0</v>
      </c>
      <c r="D5266" s="3">
        <v>0</v>
      </c>
      <c r="E5266" s="3">
        <v>217</v>
      </c>
      <c r="F5266" s="3">
        <v>0</v>
      </c>
      <c r="G5266" s="3">
        <v>0</v>
      </c>
      <c r="H5266" s="2">
        <f t="shared" si="164"/>
        <v>217</v>
      </c>
      <c r="I5266" t="str">
        <f t="shared" si="165"/>
        <v>Pard3_217</v>
      </c>
      <c r="J5266" s="3">
        <v>0</v>
      </c>
      <c r="K5266" s="3">
        <v>0</v>
      </c>
      <c r="L5266" s="3">
        <v>217</v>
      </c>
      <c r="M5266" s="3">
        <v>0</v>
      </c>
      <c r="N5266" s="3">
        <v>0</v>
      </c>
    </row>
    <row r="5267" spans="1:14" x14ac:dyDescent="0.2">
      <c r="A5267" s="5" t="str">
        <f>HYPERLINK("http://www.ncbi.nlm.nih.gov/protein/61888844","Pard3")</f>
        <v>Pard3</v>
      </c>
      <c r="B5267" s="4"/>
      <c r="C5267" s="3">
        <v>0</v>
      </c>
      <c r="D5267" s="3">
        <v>0</v>
      </c>
      <c r="E5267" s="3">
        <v>217</v>
      </c>
      <c r="F5267" s="3">
        <v>0</v>
      </c>
      <c r="G5267" s="3">
        <v>0</v>
      </c>
      <c r="H5267" s="2">
        <f t="shared" si="164"/>
        <v>217</v>
      </c>
      <c r="I5267" t="str">
        <f t="shared" si="165"/>
        <v>Pard3_217</v>
      </c>
      <c r="J5267" s="3">
        <v>0</v>
      </c>
      <c r="K5267" s="3">
        <v>0</v>
      </c>
      <c r="L5267" s="3">
        <v>217</v>
      </c>
      <c r="M5267" s="3">
        <v>0</v>
      </c>
      <c r="N5267" s="3">
        <v>0</v>
      </c>
    </row>
    <row r="5268" spans="1:14" x14ac:dyDescent="0.2">
      <c r="A5268" s="5" t="str">
        <f>HYPERLINK("http://www.ncbi.nlm.nih.gov/protein/163310767","Pard3b")</f>
        <v>Pard3b</v>
      </c>
      <c r="B5268" s="4"/>
      <c r="C5268" s="3">
        <v>0</v>
      </c>
      <c r="D5268" s="3">
        <v>482</v>
      </c>
      <c r="E5268" s="3">
        <v>0</v>
      </c>
      <c r="F5268" s="3">
        <v>0</v>
      </c>
      <c r="G5268" s="3">
        <v>0</v>
      </c>
      <c r="H5268" s="2">
        <f t="shared" si="164"/>
        <v>482</v>
      </c>
      <c r="I5268" t="str">
        <f t="shared" si="165"/>
        <v>Pard3b_482</v>
      </c>
      <c r="J5268" s="3">
        <v>0</v>
      </c>
      <c r="K5268" s="3">
        <v>482</v>
      </c>
      <c r="L5268" s="3">
        <v>0</v>
      </c>
      <c r="M5268" s="3">
        <v>0</v>
      </c>
      <c r="N5268" s="3">
        <v>0</v>
      </c>
    </row>
    <row r="5269" spans="1:14" x14ac:dyDescent="0.2">
      <c r="A5269" s="5" t="str">
        <f>HYPERLINK("http://www.ncbi.nlm.nih.gov/protein/114145495","Pard6a")</f>
        <v>Pard6a</v>
      </c>
      <c r="B5269" s="4"/>
      <c r="C5269" s="3">
        <v>0</v>
      </c>
      <c r="D5269" s="3">
        <v>620</v>
      </c>
      <c r="E5269" s="3">
        <v>547</v>
      </c>
      <c r="F5269" s="3">
        <v>20579</v>
      </c>
      <c r="G5269" s="3">
        <v>2474</v>
      </c>
      <c r="H5269" s="2">
        <f t="shared" si="164"/>
        <v>24220</v>
      </c>
      <c r="I5269" t="str">
        <f t="shared" si="165"/>
        <v>Pard6a_24220</v>
      </c>
      <c r="J5269" s="3">
        <v>0</v>
      </c>
      <c r="K5269" s="3">
        <v>620</v>
      </c>
      <c r="L5269" s="3">
        <v>547</v>
      </c>
      <c r="M5269" s="3">
        <v>20579</v>
      </c>
      <c r="N5269" s="3">
        <v>2474</v>
      </c>
    </row>
    <row r="5270" spans="1:14" x14ac:dyDescent="0.2">
      <c r="A5270" s="5" t="str">
        <f>HYPERLINK("http://www.ncbi.nlm.nih.gov/protein/114145499","Pard6a")</f>
        <v>Pard6a</v>
      </c>
      <c r="B5270" s="4"/>
      <c r="C5270" s="3">
        <v>0</v>
      </c>
      <c r="D5270" s="3">
        <v>620</v>
      </c>
      <c r="E5270" s="3">
        <v>547</v>
      </c>
      <c r="F5270" s="3">
        <v>20579</v>
      </c>
      <c r="G5270" s="3">
        <v>2474</v>
      </c>
      <c r="H5270" s="2">
        <f t="shared" si="164"/>
        <v>24220</v>
      </c>
      <c r="I5270" t="str">
        <f t="shared" si="165"/>
        <v>Pard6a_24220</v>
      </c>
      <c r="J5270" s="3">
        <v>0</v>
      </c>
      <c r="K5270" s="3">
        <v>620</v>
      </c>
      <c r="L5270" s="3">
        <v>547</v>
      </c>
      <c r="M5270" s="3">
        <v>20579</v>
      </c>
      <c r="N5270" s="3">
        <v>2474</v>
      </c>
    </row>
    <row r="5271" spans="1:14" x14ac:dyDescent="0.2">
      <c r="A5271" s="5" t="str">
        <f>HYPERLINK("http://www.ncbi.nlm.nih.gov/protein/114145501","Pard6a")</f>
        <v>Pard6a</v>
      </c>
      <c r="B5271" s="4"/>
      <c r="C5271" s="3">
        <v>0</v>
      </c>
      <c r="D5271" s="3">
        <v>620</v>
      </c>
      <c r="E5271" s="3">
        <v>547</v>
      </c>
      <c r="F5271" s="3">
        <v>20579</v>
      </c>
      <c r="G5271" s="3">
        <v>2474</v>
      </c>
      <c r="H5271" s="2">
        <f t="shared" si="164"/>
        <v>24220</v>
      </c>
      <c r="I5271" t="str">
        <f t="shared" si="165"/>
        <v>Pard6a_24220</v>
      </c>
      <c r="J5271" s="3">
        <v>0</v>
      </c>
      <c r="K5271" s="3">
        <v>620</v>
      </c>
      <c r="L5271" s="3">
        <v>547</v>
      </c>
      <c r="M5271" s="3">
        <v>20579</v>
      </c>
      <c r="N5271" s="3">
        <v>2474</v>
      </c>
    </row>
    <row r="5272" spans="1:14" x14ac:dyDescent="0.2">
      <c r="A5272" s="5" t="str">
        <f>HYPERLINK("http://www.ncbi.nlm.nih.gov/protein/253314520","Pard6b")</f>
        <v>Pard6b</v>
      </c>
      <c r="B5272" s="4"/>
      <c r="C5272" s="3">
        <v>0</v>
      </c>
      <c r="D5272" s="3">
        <v>800</v>
      </c>
      <c r="E5272" s="3">
        <v>3617</v>
      </c>
      <c r="F5272" s="3">
        <v>69733</v>
      </c>
      <c r="G5272" s="3">
        <v>9585</v>
      </c>
      <c r="H5272" s="2">
        <f t="shared" si="164"/>
        <v>83735</v>
      </c>
      <c r="I5272" t="str">
        <f t="shared" si="165"/>
        <v>Pard6b_83735</v>
      </c>
      <c r="J5272" s="3">
        <v>0</v>
      </c>
      <c r="K5272" s="3">
        <v>800</v>
      </c>
      <c r="L5272" s="3">
        <v>3617</v>
      </c>
      <c r="M5272" s="3">
        <v>69733</v>
      </c>
      <c r="N5272" s="3">
        <v>9585</v>
      </c>
    </row>
    <row r="5273" spans="1:14" x14ac:dyDescent="0.2">
      <c r="A5273" s="5" t="str">
        <f>HYPERLINK("http://www.ncbi.nlm.nih.gov/protein/238550190","Pard6g")</f>
        <v>Pard6g</v>
      </c>
      <c r="B5273" s="4"/>
      <c r="C5273" s="3">
        <v>0</v>
      </c>
      <c r="D5273" s="3">
        <v>620</v>
      </c>
      <c r="E5273" s="3">
        <v>1131</v>
      </c>
      <c r="F5273" s="3">
        <v>24074</v>
      </c>
      <c r="G5273" s="3">
        <v>4177</v>
      </c>
      <c r="H5273" s="2">
        <f t="shared" si="164"/>
        <v>30002</v>
      </c>
      <c r="I5273" t="str">
        <f t="shared" si="165"/>
        <v>Pard6g_30002</v>
      </c>
      <c r="J5273" s="3">
        <v>0</v>
      </c>
      <c r="K5273" s="3">
        <v>620</v>
      </c>
      <c r="L5273" s="3">
        <v>1131</v>
      </c>
      <c r="M5273" s="3">
        <v>24074</v>
      </c>
      <c r="N5273" s="3">
        <v>4177</v>
      </c>
    </row>
    <row r="5274" spans="1:14" x14ac:dyDescent="0.2">
      <c r="A5274" s="5" t="str">
        <f>HYPERLINK("http://www.ncbi.nlm.nih.gov/protein/120444912","Parg")</f>
        <v>Parg</v>
      </c>
      <c r="B5274" s="4"/>
      <c r="C5274" s="3">
        <v>0</v>
      </c>
      <c r="D5274" s="3">
        <v>0</v>
      </c>
      <c r="E5274" s="3">
        <v>297</v>
      </c>
      <c r="F5274" s="3">
        <v>704</v>
      </c>
      <c r="G5274" s="3">
        <v>0</v>
      </c>
      <c r="H5274" s="2">
        <f t="shared" si="164"/>
        <v>1001</v>
      </c>
      <c r="I5274" t="str">
        <f t="shared" si="165"/>
        <v>Parg_1001</v>
      </c>
      <c r="J5274" s="3">
        <v>0</v>
      </c>
      <c r="K5274" s="3">
        <v>0</v>
      </c>
      <c r="L5274" s="3">
        <v>297</v>
      </c>
      <c r="M5274" s="3">
        <v>704</v>
      </c>
      <c r="N5274" s="3">
        <v>0</v>
      </c>
    </row>
    <row r="5275" spans="1:14" x14ac:dyDescent="0.2">
      <c r="A5275" s="5" t="str">
        <f>HYPERLINK("http://www.ncbi.nlm.nih.gov/protein/55741460","Park7")</f>
        <v>Park7</v>
      </c>
      <c r="B5275" s="4"/>
      <c r="C5275" s="3">
        <v>0</v>
      </c>
      <c r="D5275" s="3">
        <v>4655</v>
      </c>
      <c r="E5275" s="3">
        <v>10957</v>
      </c>
      <c r="F5275" s="3">
        <v>892</v>
      </c>
      <c r="G5275" s="3">
        <v>332348</v>
      </c>
      <c r="H5275" s="2">
        <f t="shared" si="164"/>
        <v>348852</v>
      </c>
      <c r="I5275" t="str">
        <f t="shared" si="165"/>
        <v>Park7_348852</v>
      </c>
      <c r="J5275" s="3">
        <v>0</v>
      </c>
      <c r="K5275" s="3">
        <v>4655</v>
      </c>
      <c r="L5275" s="3">
        <v>10957</v>
      </c>
      <c r="M5275" s="3">
        <v>892</v>
      </c>
      <c r="N5275" s="3">
        <v>332348</v>
      </c>
    </row>
    <row r="5276" spans="1:14" x14ac:dyDescent="0.2">
      <c r="A5276" s="5" t="str">
        <f>HYPERLINK("http://www.ncbi.nlm.nih.gov/protein/21311877","Parn")</f>
        <v>Parn</v>
      </c>
      <c r="B5276" s="4"/>
      <c r="C5276" s="3">
        <v>0</v>
      </c>
      <c r="D5276" s="3">
        <v>424</v>
      </c>
      <c r="E5276" s="3">
        <v>503</v>
      </c>
      <c r="F5276" s="3">
        <v>7285</v>
      </c>
      <c r="G5276" s="3">
        <v>24289</v>
      </c>
      <c r="H5276" s="2">
        <f t="shared" si="164"/>
        <v>32501</v>
      </c>
      <c r="I5276" t="str">
        <f t="shared" si="165"/>
        <v>Parn_32501</v>
      </c>
      <c r="J5276" s="3">
        <v>0</v>
      </c>
      <c r="K5276" s="3">
        <v>424</v>
      </c>
      <c r="L5276" s="3">
        <v>503</v>
      </c>
      <c r="M5276" s="3">
        <v>7285</v>
      </c>
      <c r="N5276" s="3">
        <v>24289</v>
      </c>
    </row>
    <row r="5277" spans="1:14" x14ac:dyDescent="0.2">
      <c r="A5277" s="5" t="str">
        <f>HYPERLINK("http://www.ncbi.nlm.nih.gov/protein/20806109","Parp1")</f>
        <v>Parp1</v>
      </c>
      <c r="B5277" s="4"/>
      <c r="C5277" s="3">
        <v>7322</v>
      </c>
      <c r="D5277" s="3">
        <v>1530</v>
      </c>
      <c r="E5277" s="3">
        <v>7308</v>
      </c>
      <c r="F5277" s="3">
        <v>68734</v>
      </c>
      <c r="G5277" s="3">
        <v>2752</v>
      </c>
      <c r="H5277" s="2">
        <f t="shared" si="164"/>
        <v>87646</v>
      </c>
      <c r="I5277" t="str">
        <f t="shared" si="165"/>
        <v>Parp1_87646</v>
      </c>
      <c r="J5277" s="3">
        <v>7322</v>
      </c>
      <c r="K5277" s="3">
        <v>1530</v>
      </c>
      <c r="L5277" s="3">
        <v>7308</v>
      </c>
      <c r="M5277" s="3">
        <v>68734</v>
      </c>
      <c r="N5277" s="3">
        <v>2752</v>
      </c>
    </row>
    <row r="5278" spans="1:14" x14ac:dyDescent="0.2">
      <c r="A5278" s="5" t="str">
        <f>HYPERLINK("http://www.ncbi.nlm.nih.gov/protein/254675288","Parp10")</f>
        <v>Parp10</v>
      </c>
      <c r="B5278" s="4"/>
      <c r="C5278" s="3">
        <v>0</v>
      </c>
      <c r="D5278" s="3">
        <v>0</v>
      </c>
      <c r="E5278" s="3">
        <v>0</v>
      </c>
      <c r="F5278" s="3">
        <v>0</v>
      </c>
      <c r="G5278" s="3">
        <v>503</v>
      </c>
      <c r="H5278" s="2">
        <f t="shared" si="164"/>
        <v>503</v>
      </c>
      <c r="I5278" t="str">
        <f t="shared" si="165"/>
        <v>Parp10_503</v>
      </c>
      <c r="J5278" s="3">
        <v>0</v>
      </c>
      <c r="K5278" s="3">
        <v>0</v>
      </c>
      <c r="L5278" s="3">
        <v>0</v>
      </c>
      <c r="M5278" s="3">
        <v>0</v>
      </c>
      <c r="N5278" s="3">
        <v>503</v>
      </c>
    </row>
    <row r="5279" spans="1:14" x14ac:dyDescent="0.2">
      <c r="A5279" s="5" t="str">
        <f>HYPERLINK("http://www.ncbi.nlm.nih.gov/protein/171543897","Parp12")</f>
        <v>Parp12</v>
      </c>
      <c r="B5279" s="4"/>
      <c r="C5279" s="3">
        <v>0</v>
      </c>
      <c r="D5279" s="3">
        <v>0</v>
      </c>
      <c r="E5279" s="3">
        <v>1652</v>
      </c>
      <c r="F5279" s="3">
        <v>475</v>
      </c>
      <c r="G5279" s="3">
        <v>0</v>
      </c>
      <c r="H5279" s="2">
        <f t="shared" si="164"/>
        <v>2127</v>
      </c>
      <c r="I5279" t="str">
        <f t="shared" si="165"/>
        <v>Parp12_2127</v>
      </c>
      <c r="J5279" s="3">
        <v>0</v>
      </c>
      <c r="K5279" s="3">
        <v>0</v>
      </c>
      <c r="L5279" s="3">
        <v>1652</v>
      </c>
      <c r="M5279" s="3">
        <v>475</v>
      </c>
      <c r="N5279" s="3">
        <v>0</v>
      </c>
    </row>
    <row r="5280" spans="1:14" x14ac:dyDescent="0.2">
      <c r="A5280" s="5" t="str">
        <f>HYPERLINK("http://www.ncbi.nlm.nih.gov/protein/25014095","Parp3")</f>
        <v>Parp3</v>
      </c>
      <c r="B5280" s="4"/>
      <c r="C5280" s="3">
        <v>458</v>
      </c>
      <c r="D5280" s="3">
        <v>77</v>
      </c>
      <c r="E5280" s="3">
        <v>335</v>
      </c>
      <c r="F5280" s="3">
        <v>6319</v>
      </c>
      <c r="G5280" s="3">
        <v>407</v>
      </c>
      <c r="H5280" s="2">
        <f t="shared" si="164"/>
        <v>7596</v>
      </c>
      <c r="I5280" t="str">
        <f t="shared" si="165"/>
        <v>Parp3_7596</v>
      </c>
      <c r="J5280" s="3">
        <v>458</v>
      </c>
      <c r="K5280" s="3">
        <v>77</v>
      </c>
      <c r="L5280" s="3">
        <v>335</v>
      </c>
      <c r="M5280" s="3">
        <v>6319</v>
      </c>
      <c r="N5280" s="3">
        <v>407</v>
      </c>
    </row>
    <row r="5281" spans="1:14" x14ac:dyDescent="0.2">
      <c r="A5281" s="5" t="str">
        <f>HYPERLINK("http://www.ncbi.nlm.nih.gov/protein/281485553","Parp4")</f>
        <v>Parp4</v>
      </c>
      <c r="B5281" s="4"/>
      <c r="C5281" s="3">
        <v>0</v>
      </c>
      <c r="D5281" s="3">
        <v>0</v>
      </c>
      <c r="E5281" s="3">
        <v>12</v>
      </c>
      <c r="F5281" s="3">
        <v>0</v>
      </c>
      <c r="G5281" s="3">
        <v>0</v>
      </c>
      <c r="H5281" s="2">
        <f t="shared" si="164"/>
        <v>12</v>
      </c>
      <c r="I5281" t="str">
        <f t="shared" si="165"/>
        <v>Parp4_12</v>
      </c>
      <c r="J5281" s="3">
        <v>0</v>
      </c>
      <c r="K5281" s="3">
        <v>0</v>
      </c>
      <c r="L5281" s="3">
        <v>12</v>
      </c>
      <c r="M5281" s="3">
        <v>0</v>
      </c>
      <c r="N5281" s="3">
        <v>0</v>
      </c>
    </row>
    <row r="5282" spans="1:14" x14ac:dyDescent="0.2">
      <c r="A5282" s="5" t="str">
        <f>HYPERLINK("http://www.ncbi.nlm.nih.gov/protein/13384918","Parp9")</f>
        <v>Parp9</v>
      </c>
      <c r="B5282" s="4"/>
      <c r="C5282" s="3">
        <v>0</v>
      </c>
      <c r="D5282" s="3">
        <v>0</v>
      </c>
      <c r="E5282" s="3">
        <v>4015</v>
      </c>
      <c r="F5282" s="3">
        <v>1703</v>
      </c>
      <c r="G5282" s="3">
        <v>0</v>
      </c>
      <c r="H5282" s="2">
        <f t="shared" si="164"/>
        <v>5718</v>
      </c>
      <c r="I5282" t="str">
        <f t="shared" si="165"/>
        <v>Parp9_5718</v>
      </c>
      <c r="J5282" s="3">
        <v>0</v>
      </c>
      <c r="K5282" s="3">
        <v>0</v>
      </c>
      <c r="L5282" s="3">
        <v>4015</v>
      </c>
      <c r="M5282" s="3">
        <v>1703</v>
      </c>
      <c r="N5282" s="3">
        <v>0</v>
      </c>
    </row>
    <row r="5283" spans="1:14" x14ac:dyDescent="0.2">
      <c r="A5283" s="5" t="str">
        <f>HYPERLINK("http://www.ncbi.nlm.nih.gov/protein/139948347","Pars2")</f>
        <v>Pars2</v>
      </c>
      <c r="B5283" s="4"/>
      <c r="C5283" s="3">
        <v>0</v>
      </c>
      <c r="D5283" s="3">
        <v>307</v>
      </c>
      <c r="E5283" s="3">
        <v>0</v>
      </c>
      <c r="F5283" s="3">
        <v>0</v>
      </c>
      <c r="G5283" s="3">
        <v>0</v>
      </c>
      <c r="H5283" s="2">
        <f t="shared" si="164"/>
        <v>307</v>
      </c>
      <c r="I5283" t="str">
        <f t="shared" si="165"/>
        <v>Pars2_307</v>
      </c>
      <c r="J5283" s="3">
        <v>0</v>
      </c>
      <c r="K5283" s="3">
        <v>307</v>
      </c>
      <c r="L5283" s="3">
        <v>0</v>
      </c>
      <c r="M5283" s="3">
        <v>0</v>
      </c>
      <c r="N5283" s="3">
        <v>0</v>
      </c>
    </row>
    <row r="5284" spans="1:14" x14ac:dyDescent="0.2">
      <c r="A5284" s="5" t="str">
        <f>HYPERLINK("http://www.ncbi.nlm.nih.gov/protein/139948914","Pars2")</f>
        <v>Pars2</v>
      </c>
      <c r="B5284" s="4"/>
      <c r="C5284" s="3">
        <v>0</v>
      </c>
      <c r="D5284" s="3">
        <v>307</v>
      </c>
      <c r="E5284" s="3">
        <v>0</v>
      </c>
      <c r="F5284" s="3">
        <v>0</v>
      </c>
      <c r="G5284" s="3">
        <v>0</v>
      </c>
      <c r="H5284" s="2">
        <f t="shared" si="164"/>
        <v>307</v>
      </c>
      <c r="I5284" t="str">
        <f t="shared" si="165"/>
        <v>Pars2_307</v>
      </c>
      <c r="J5284" s="3">
        <v>0</v>
      </c>
      <c r="K5284" s="3">
        <v>307</v>
      </c>
      <c r="L5284" s="3">
        <v>0</v>
      </c>
      <c r="M5284" s="3">
        <v>0</v>
      </c>
      <c r="N5284" s="3">
        <v>0</v>
      </c>
    </row>
    <row r="5285" spans="1:14" x14ac:dyDescent="0.2">
      <c r="A5285" s="5" t="str">
        <f>HYPERLINK("http://www.ncbi.nlm.nih.gov/protein/31982526","Parva")</f>
        <v>Parva</v>
      </c>
      <c r="B5285" s="4"/>
      <c r="C5285" s="3">
        <v>3442</v>
      </c>
      <c r="D5285" s="3">
        <v>8425</v>
      </c>
      <c r="E5285" s="3">
        <v>6605</v>
      </c>
      <c r="F5285" s="3">
        <v>17001</v>
      </c>
      <c r="G5285" s="3">
        <v>22244</v>
      </c>
      <c r="H5285" s="2">
        <f t="shared" si="164"/>
        <v>57717</v>
      </c>
      <c r="I5285" t="str">
        <f t="shared" si="165"/>
        <v>Parva_57717</v>
      </c>
      <c r="J5285" s="3">
        <v>3442</v>
      </c>
      <c r="K5285" s="3">
        <v>8425</v>
      </c>
      <c r="L5285" s="3">
        <v>6605</v>
      </c>
      <c r="M5285" s="3">
        <v>17001</v>
      </c>
      <c r="N5285" s="3">
        <v>22244</v>
      </c>
    </row>
    <row r="5286" spans="1:14" x14ac:dyDescent="0.2">
      <c r="A5286" s="5" t="str">
        <f>HYPERLINK("http://www.ncbi.nlm.nih.gov/protein/18860551","Parvb")</f>
        <v>Parvb</v>
      </c>
      <c r="B5286" s="4"/>
      <c r="C5286" s="3">
        <v>0</v>
      </c>
      <c r="D5286" s="3">
        <v>929</v>
      </c>
      <c r="E5286" s="3">
        <v>205</v>
      </c>
      <c r="F5286" s="3">
        <v>1924</v>
      </c>
      <c r="G5286" s="3">
        <v>1146</v>
      </c>
      <c r="H5286" s="2">
        <f t="shared" si="164"/>
        <v>4204</v>
      </c>
      <c r="I5286" t="str">
        <f t="shared" si="165"/>
        <v>Parvb_4204</v>
      </c>
      <c r="J5286" s="3">
        <v>0</v>
      </c>
      <c r="K5286" s="3">
        <v>929</v>
      </c>
      <c r="L5286" s="3">
        <v>205</v>
      </c>
      <c r="M5286" s="3">
        <v>1924</v>
      </c>
      <c r="N5286" s="3">
        <v>1146</v>
      </c>
    </row>
    <row r="5287" spans="1:14" x14ac:dyDescent="0.2">
      <c r="A5287" s="5" t="str">
        <f>HYPERLINK("http://www.ncbi.nlm.nih.gov/protein/194328775","Pask")</f>
        <v>Pask</v>
      </c>
      <c r="B5287" s="4"/>
      <c r="C5287" s="3">
        <v>0</v>
      </c>
      <c r="D5287" s="3">
        <v>0</v>
      </c>
      <c r="E5287" s="3">
        <v>0</v>
      </c>
      <c r="F5287" s="3">
        <v>0</v>
      </c>
      <c r="G5287" s="3">
        <v>9092</v>
      </c>
      <c r="H5287" s="2">
        <f t="shared" si="164"/>
        <v>9092</v>
      </c>
      <c r="I5287" t="str">
        <f t="shared" si="165"/>
        <v>Pask_9092</v>
      </c>
      <c r="J5287" s="3">
        <v>0</v>
      </c>
      <c r="K5287" s="3">
        <v>0</v>
      </c>
      <c r="L5287" s="3">
        <v>0</v>
      </c>
      <c r="M5287" s="3">
        <v>0</v>
      </c>
      <c r="N5287" s="3">
        <v>9092</v>
      </c>
    </row>
    <row r="5288" spans="1:14" x14ac:dyDescent="0.2">
      <c r="A5288" s="5" t="str">
        <f>HYPERLINK("http://www.ncbi.nlm.nih.gov/protein/255522964","Patl1")</f>
        <v>Patl1</v>
      </c>
      <c r="B5288" s="4"/>
      <c r="C5288" s="3">
        <v>0</v>
      </c>
      <c r="D5288" s="3">
        <v>0</v>
      </c>
      <c r="E5288" s="3">
        <v>429</v>
      </c>
      <c r="F5288" s="3">
        <v>393</v>
      </c>
      <c r="G5288" s="3">
        <v>0</v>
      </c>
      <c r="H5288" s="2">
        <f t="shared" si="164"/>
        <v>822</v>
      </c>
      <c r="I5288" t="str">
        <f t="shared" si="165"/>
        <v>Patl1_822</v>
      </c>
      <c r="J5288" s="3">
        <v>0</v>
      </c>
      <c r="K5288" s="3">
        <v>0</v>
      </c>
      <c r="L5288" s="3">
        <v>429</v>
      </c>
      <c r="M5288" s="3">
        <v>393</v>
      </c>
      <c r="N5288" s="3">
        <v>0</v>
      </c>
    </row>
    <row r="5289" spans="1:14" x14ac:dyDescent="0.2">
      <c r="A5289" s="5" t="str">
        <f>HYPERLINK("http://www.ncbi.nlm.nih.gov/protein/87196490","Pawr")</f>
        <v>Pawr</v>
      </c>
      <c r="B5289" s="4"/>
      <c r="C5289" s="3">
        <v>1227</v>
      </c>
      <c r="D5289" s="3">
        <v>770</v>
      </c>
      <c r="E5289" s="3">
        <v>252</v>
      </c>
      <c r="F5289" s="3">
        <v>2456</v>
      </c>
      <c r="G5289" s="3">
        <v>28048</v>
      </c>
      <c r="H5289" s="2">
        <f t="shared" si="164"/>
        <v>32753</v>
      </c>
      <c r="I5289" t="str">
        <f t="shared" si="165"/>
        <v>Pawr_32753</v>
      </c>
      <c r="J5289" s="3">
        <v>1227</v>
      </c>
      <c r="K5289" s="3">
        <v>770</v>
      </c>
      <c r="L5289" s="3">
        <v>252</v>
      </c>
      <c r="M5289" s="3">
        <v>2456</v>
      </c>
      <c r="N5289" s="3">
        <v>28048</v>
      </c>
    </row>
    <row r="5290" spans="1:14" x14ac:dyDescent="0.2">
      <c r="A5290" s="5" t="str">
        <f>HYPERLINK("http://www.ncbi.nlm.nih.gov/protein/226437608","Paxbp1")</f>
        <v>Paxbp1</v>
      </c>
      <c r="B5290" s="4"/>
      <c r="C5290" s="3">
        <v>1080</v>
      </c>
      <c r="D5290" s="3">
        <v>0</v>
      </c>
      <c r="E5290" s="3">
        <v>310</v>
      </c>
      <c r="F5290" s="3">
        <v>0</v>
      </c>
      <c r="G5290" s="3">
        <v>0</v>
      </c>
      <c r="H5290" s="2">
        <f t="shared" si="164"/>
        <v>1390</v>
      </c>
      <c r="I5290" t="str">
        <f t="shared" si="165"/>
        <v>Paxbp1_1390</v>
      </c>
      <c r="J5290" s="3">
        <v>1080</v>
      </c>
      <c r="K5290" s="3">
        <v>0</v>
      </c>
      <c r="L5290" s="3">
        <v>310</v>
      </c>
      <c r="M5290" s="3">
        <v>0</v>
      </c>
      <c r="N5290" s="3">
        <v>0</v>
      </c>
    </row>
    <row r="5291" spans="1:14" x14ac:dyDescent="0.2">
      <c r="A5291" s="5" t="str">
        <f>HYPERLINK("http://www.ncbi.nlm.nih.gov/protein/13385810","Pbdc1")</f>
        <v>Pbdc1</v>
      </c>
      <c r="B5291" s="4"/>
      <c r="C5291" s="3">
        <v>0</v>
      </c>
      <c r="D5291" s="3">
        <v>944</v>
      </c>
      <c r="E5291" s="3">
        <v>2076</v>
      </c>
      <c r="F5291" s="3">
        <v>2865</v>
      </c>
      <c r="G5291" s="3">
        <v>26720</v>
      </c>
      <c r="H5291" s="2">
        <f t="shared" si="164"/>
        <v>32605</v>
      </c>
      <c r="I5291" t="str">
        <f t="shared" si="165"/>
        <v>Pbdc1_32605</v>
      </c>
      <c r="J5291" s="3">
        <v>0</v>
      </c>
      <c r="K5291" s="3">
        <v>944</v>
      </c>
      <c r="L5291" s="3">
        <v>2076</v>
      </c>
      <c r="M5291" s="3">
        <v>2865</v>
      </c>
      <c r="N5291" s="3">
        <v>26720</v>
      </c>
    </row>
    <row r="5292" spans="1:14" x14ac:dyDescent="0.2">
      <c r="A5292" s="5" t="str">
        <f>HYPERLINK("http://www.ncbi.nlm.nih.gov/protein/12963575","Pbk")</f>
        <v>Pbk</v>
      </c>
      <c r="B5292" s="4"/>
      <c r="C5292" s="3">
        <v>0</v>
      </c>
      <c r="D5292" s="3">
        <v>0</v>
      </c>
      <c r="E5292" s="3">
        <v>127</v>
      </c>
      <c r="F5292" s="3">
        <v>0</v>
      </c>
      <c r="G5292" s="3">
        <v>7100</v>
      </c>
      <c r="H5292" s="2">
        <f t="shared" si="164"/>
        <v>7227</v>
      </c>
      <c r="I5292" t="str">
        <f t="shared" si="165"/>
        <v>Pbk_7227</v>
      </c>
      <c r="J5292" s="3">
        <v>0</v>
      </c>
      <c r="K5292" s="3">
        <v>0</v>
      </c>
      <c r="L5292" s="3">
        <v>127</v>
      </c>
      <c r="M5292" s="3">
        <v>0</v>
      </c>
      <c r="N5292" s="3">
        <v>7100</v>
      </c>
    </row>
    <row r="5293" spans="1:14" x14ac:dyDescent="0.2">
      <c r="A5293" s="5" t="str">
        <f>HYPERLINK("http://www.ncbi.nlm.nih.gov/protein/31560132","Pbld1")</f>
        <v>Pbld1</v>
      </c>
      <c r="B5293" s="4"/>
      <c r="C5293" s="3">
        <v>0</v>
      </c>
      <c r="D5293" s="3">
        <v>0</v>
      </c>
      <c r="E5293" s="3">
        <v>0</v>
      </c>
      <c r="F5293" s="3">
        <v>0</v>
      </c>
      <c r="G5293" s="3">
        <v>203</v>
      </c>
      <c r="H5293" s="2">
        <f t="shared" si="164"/>
        <v>203</v>
      </c>
      <c r="I5293" t="str">
        <f t="shared" si="165"/>
        <v>Pbld1_203</v>
      </c>
      <c r="J5293" s="3">
        <v>0</v>
      </c>
      <c r="K5293" s="3">
        <v>0</v>
      </c>
      <c r="L5293" s="3">
        <v>0</v>
      </c>
      <c r="M5293" s="3">
        <v>0</v>
      </c>
      <c r="N5293" s="3">
        <v>203</v>
      </c>
    </row>
    <row r="5294" spans="1:14" x14ac:dyDescent="0.2">
      <c r="A5294" s="5" t="str">
        <f>HYPERLINK("http://www.ncbi.nlm.nih.gov/protein/13385584","Pbld2")</f>
        <v>Pbld2</v>
      </c>
      <c r="B5294" s="4"/>
      <c r="C5294" s="3">
        <v>0</v>
      </c>
      <c r="D5294" s="3">
        <v>0</v>
      </c>
      <c r="E5294" s="3">
        <v>0</v>
      </c>
      <c r="F5294" s="3">
        <v>0</v>
      </c>
      <c r="G5294" s="3">
        <v>203</v>
      </c>
      <c r="H5294" s="2">
        <f t="shared" si="164"/>
        <v>203</v>
      </c>
      <c r="I5294" t="str">
        <f t="shared" si="165"/>
        <v>Pbld2_203</v>
      </c>
      <c r="J5294" s="3">
        <v>0</v>
      </c>
      <c r="K5294" s="3">
        <v>0</v>
      </c>
      <c r="L5294" s="3">
        <v>0</v>
      </c>
      <c r="M5294" s="3">
        <v>0</v>
      </c>
      <c r="N5294" s="3">
        <v>203</v>
      </c>
    </row>
    <row r="5295" spans="1:14" x14ac:dyDescent="0.2">
      <c r="A5295" s="5" t="str">
        <f>HYPERLINK("http://www.ncbi.nlm.nih.gov/protein/22122651","Pbxip1")</f>
        <v>Pbxip1</v>
      </c>
      <c r="B5295" s="4"/>
      <c r="C5295" s="3">
        <v>513</v>
      </c>
      <c r="D5295" s="3">
        <v>157</v>
      </c>
      <c r="E5295" s="3">
        <v>183</v>
      </c>
      <c r="F5295" s="3">
        <v>0</v>
      </c>
      <c r="G5295" s="3">
        <v>0</v>
      </c>
      <c r="H5295" s="2">
        <f t="shared" si="164"/>
        <v>853</v>
      </c>
      <c r="I5295" t="str">
        <f t="shared" si="165"/>
        <v>Pbxip1_853</v>
      </c>
      <c r="J5295" s="3">
        <v>513</v>
      </c>
      <c r="K5295" s="3">
        <v>157</v>
      </c>
      <c r="L5295" s="3">
        <v>183</v>
      </c>
      <c r="M5295" s="3">
        <v>0</v>
      </c>
      <c r="N5295" s="3">
        <v>0</v>
      </c>
    </row>
    <row r="5296" spans="1:14" x14ac:dyDescent="0.2">
      <c r="A5296" s="5" t="str">
        <f>HYPERLINK("http://www.ncbi.nlm.nih.gov/protein/13384608","Pcbd1")</f>
        <v>Pcbd1</v>
      </c>
      <c r="B5296" s="4"/>
      <c r="C5296" s="3">
        <v>8274</v>
      </c>
      <c r="D5296" s="3">
        <v>956</v>
      </c>
      <c r="E5296" s="3">
        <v>1599</v>
      </c>
      <c r="F5296" s="3">
        <v>2472</v>
      </c>
      <c r="G5296" s="3">
        <v>55068</v>
      </c>
      <c r="H5296" s="2">
        <f t="shared" si="164"/>
        <v>68369</v>
      </c>
      <c r="I5296" t="str">
        <f t="shared" si="165"/>
        <v>Pcbd1_68369</v>
      </c>
      <c r="J5296" s="3">
        <v>8274</v>
      </c>
      <c r="K5296" s="3">
        <v>956</v>
      </c>
      <c r="L5296" s="3">
        <v>1599</v>
      </c>
      <c r="M5296" s="3">
        <v>2472</v>
      </c>
      <c r="N5296" s="3">
        <v>55068</v>
      </c>
    </row>
    <row r="5297" spans="1:14" x14ac:dyDescent="0.2">
      <c r="A5297" s="5" t="str">
        <f>HYPERLINK("http://www.ncbi.nlm.nih.gov/protein/52421794","Pcbd2")</f>
        <v>Pcbd2</v>
      </c>
      <c r="B5297" s="4"/>
      <c r="C5297" s="3">
        <v>1812</v>
      </c>
      <c r="D5297" s="3">
        <v>676</v>
      </c>
      <c r="E5297" s="3">
        <v>171</v>
      </c>
      <c r="F5297" s="3">
        <v>0</v>
      </c>
      <c r="G5297" s="3">
        <v>2153</v>
      </c>
      <c r="H5297" s="2">
        <f t="shared" si="164"/>
        <v>4812</v>
      </c>
      <c r="I5297" t="str">
        <f t="shared" si="165"/>
        <v>Pcbd2_4812</v>
      </c>
      <c r="J5297" s="3">
        <v>1812</v>
      </c>
      <c r="K5297" s="3">
        <v>676</v>
      </c>
      <c r="L5297" s="3">
        <v>171</v>
      </c>
      <c r="M5297" s="3">
        <v>0</v>
      </c>
      <c r="N5297" s="3">
        <v>2153</v>
      </c>
    </row>
    <row r="5298" spans="1:14" x14ac:dyDescent="0.2">
      <c r="A5298" s="5" t="str">
        <f>HYPERLINK("http://www.ncbi.nlm.nih.gov/protein/6754994","Pcbp1")</f>
        <v>Pcbp1</v>
      </c>
      <c r="B5298" s="4"/>
      <c r="C5298" s="3">
        <v>354459</v>
      </c>
      <c r="D5298" s="3">
        <v>40786</v>
      </c>
      <c r="E5298" s="3">
        <v>153311</v>
      </c>
      <c r="F5298" s="3">
        <v>286290</v>
      </c>
      <c r="G5298" s="3">
        <v>649896</v>
      </c>
      <c r="H5298" s="2">
        <f t="shared" si="164"/>
        <v>1484742</v>
      </c>
      <c r="I5298" t="str">
        <f t="shared" si="165"/>
        <v>Pcbp1_1484742</v>
      </c>
      <c r="J5298" s="3">
        <v>354459</v>
      </c>
      <c r="K5298" s="3">
        <v>40786</v>
      </c>
      <c r="L5298" s="3">
        <v>153311</v>
      </c>
      <c r="M5298" s="3">
        <v>286290</v>
      </c>
      <c r="N5298" s="3">
        <v>649896</v>
      </c>
    </row>
    <row r="5299" spans="1:14" x14ac:dyDescent="0.2">
      <c r="A5299" s="5" t="str">
        <f>HYPERLINK("http://www.ncbi.nlm.nih.gov/protein/157041229","Pcbp2")</f>
        <v>Pcbp2</v>
      </c>
      <c r="B5299" s="4"/>
      <c r="C5299" s="3">
        <v>491279</v>
      </c>
      <c r="D5299" s="3">
        <v>35375</v>
      </c>
      <c r="E5299" s="3">
        <v>143505</v>
      </c>
      <c r="F5299" s="3">
        <v>402239</v>
      </c>
      <c r="G5299" s="3">
        <v>325548</v>
      </c>
      <c r="H5299" s="2">
        <f t="shared" si="164"/>
        <v>1397946</v>
      </c>
      <c r="I5299" t="str">
        <f t="shared" si="165"/>
        <v>Pcbp2_1397946</v>
      </c>
      <c r="J5299" s="3">
        <v>491279</v>
      </c>
      <c r="K5299" s="3">
        <v>35375</v>
      </c>
      <c r="L5299" s="3">
        <v>143505</v>
      </c>
      <c r="M5299" s="3">
        <v>402239</v>
      </c>
      <c r="N5299" s="3">
        <v>325548</v>
      </c>
    </row>
    <row r="5300" spans="1:14" x14ac:dyDescent="0.2">
      <c r="A5300" s="5" t="str">
        <f>HYPERLINK("http://www.ncbi.nlm.nih.gov/protein/157042772","Pcbp2")</f>
        <v>Pcbp2</v>
      </c>
      <c r="B5300" s="4"/>
      <c r="C5300" s="3">
        <v>491279</v>
      </c>
      <c r="D5300" s="3">
        <v>35375</v>
      </c>
      <c r="E5300" s="3">
        <v>143110</v>
      </c>
      <c r="F5300" s="3">
        <v>401911</v>
      </c>
      <c r="G5300" s="3">
        <v>325548</v>
      </c>
      <c r="H5300" s="2">
        <f t="shared" si="164"/>
        <v>1397223</v>
      </c>
      <c r="I5300" t="str">
        <f t="shared" si="165"/>
        <v>Pcbp2_1397223</v>
      </c>
      <c r="J5300" s="3">
        <v>491279</v>
      </c>
      <c r="K5300" s="3">
        <v>35375</v>
      </c>
      <c r="L5300" s="3">
        <v>143110</v>
      </c>
      <c r="M5300" s="3">
        <v>401911</v>
      </c>
      <c r="N5300" s="3">
        <v>325548</v>
      </c>
    </row>
    <row r="5301" spans="1:14" x14ac:dyDescent="0.2">
      <c r="A5301" s="5" t="str">
        <f>HYPERLINK("http://www.ncbi.nlm.nih.gov/protein/157057549","Pcbp2")</f>
        <v>Pcbp2</v>
      </c>
      <c r="B5301" s="4"/>
      <c r="C5301" s="3">
        <v>491279</v>
      </c>
      <c r="D5301" s="3">
        <v>35375</v>
      </c>
      <c r="E5301" s="3">
        <v>143505</v>
      </c>
      <c r="F5301" s="3">
        <v>401584</v>
      </c>
      <c r="G5301" s="3">
        <v>325548</v>
      </c>
      <c r="H5301" s="2">
        <f t="shared" si="164"/>
        <v>1397291</v>
      </c>
      <c r="I5301" t="str">
        <f t="shared" si="165"/>
        <v>Pcbp2_1397291</v>
      </c>
      <c r="J5301" s="3">
        <v>491279</v>
      </c>
      <c r="K5301" s="3">
        <v>35375</v>
      </c>
      <c r="L5301" s="3">
        <v>143505</v>
      </c>
      <c r="M5301" s="3">
        <v>401584</v>
      </c>
      <c r="N5301" s="3">
        <v>325548</v>
      </c>
    </row>
    <row r="5302" spans="1:14" x14ac:dyDescent="0.2">
      <c r="A5302" s="5" t="str">
        <f>HYPERLINK("http://www.ncbi.nlm.nih.gov/protein/291327528","Pcbp2")</f>
        <v>Pcbp2</v>
      </c>
      <c r="B5302" s="4"/>
      <c r="C5302" s="3">
        <v>491279</v>
      </c>
      <c r="D5302" s="3">
        <v>32665</v>
      </c>
      <c r="E5302" s="3">
        <v>136272</v>
      </c>
      <c r="F5302" s="3">
        <v>381079</v>
      </c>
      <c r="G5302" s="3">
        <v>323962</v>
      </c>
      <c r="H5302" s="2">
        <f t="shared" si="164"/>
        <v>1365257</v>
      </c>
      <c r="I5302" t="str">
        <f t="shared" si="165"/>
        <v>Pcbp2_1365257</v>
      </c>
      <c r="J5302" s="3">
        <v>491279</v>
      </c>
      <c r="K5302" s="3">
        <v>32665</v>
      </c>
      <c r="L5302" s="3">
        <v>136272</v>
      </c>
      <c r="M5302" s="3">
        <v>381079</v>
      </c>
      <c r="N5302" s="3">
        <v>323962</v>
      </c>
    </row>
    <row r="5303" spans="1:14" x14ac:dyDescent="0.2">
      <c r="A5303" s="5" t="str">
        <f>HYPERLINK("http://www.ncbi.nlm.nih.gov/protein/171906586","Pcbp3")</f>
        <v>Pcbp3</v>
      </c>
      <c r="B5303" s="4"/>
      <c r="C5303" s="3">
        <v>315760</v>
      </c>
      <c r="D5303" s="3">
        <v>19744</v>
      </c>
      <c r="E5303" s="3">
        <v>108142</v>
      </c>
      <c r="F5303" s="3">
        <v>257338</v>
      </c>
      <c r="G5303" s="3">
        <v>193971</v>
      </c>
      <c r="H5303" s="2">
        <f t="shared" si="164"/>
        <v>894955</v>
      </c>
      <c r="I5303" t="str">
        <f t="shared" si="165"/>
        <v>Pcbp3_894955</v>
      </c>
      <c r="J5303" s="3">
        <v>315760</v>
      </c>
      <c r="K5303" s="3">
        <v>19744</v>
      </c>
      <c r="L5303" s="3">
        <v>108142</v>
      </c>
      <c r="M5303" s="3">
        <v>257338</v>
      </c>
      <c r="N5303" s="3">
        <v>193971</v>
      </c>
    </row>
    <row r="5304" spans="1:14" x14ac:dyDescent="0.2">
      <c r="A5304" s="5" t="str">
        <f>HYPERLINK("http://www.ncbi.nlm.nih.gov/protein/227497228","Pcbp4")</f>
        <v>Pcbp4</v>
      </c>
      <c r="B5304" s="4"/>
      <c r="C5304" s="3">
        <v>0</v>
      </c>
      <c r="D5304" s="3">
        <v>0</v>
      </c>
      <c r="E5304" s="3">
        <v>10</v>
      </c>
      <c r="F5304" s="3">
        <v>0</v>
      </c>
      <c r="G5304" s="3">
        <v>0</v>
      </c>
      <c r="H5304" s="2">
        <f t="shared" si="164"/>
        <v>10</v>
      </c>
      <c r="I5304" t="str">
        <f t="shared" si="165"/>
        <v>Pcbp4_10</v>
      </c>
      <c r="J5304" s="3">
        <v>0</v>
      </c>
      <c r="K5304" s="3">
        <v>0</v>
      </c>
      <c r="L5304" s="3">
        <v>10</v>
      </c>
      <c r="M5304" s="3">
        <v>0</v>
      </c>
      <c r="N5304" s="3">
        <v>0</v>
      </c>
    </row>
    <row r="5305" spans="1:14" x14ac:dyDescent="0.2">
      <c r="A5305" s="5" t="str">
        <f>HYPERLINK("http://www.ncbi.nlm.nih.gov/protein/254540162","Pcca")</f>
        <v>Pcca</v>
      </c>
      <c r="B5305" s="4"/>
      <c r="C5305" s="3">
        <v>21546</v>
      </c>
      <c r="D5305" s="3">
        <v>18535</v>
      </c>
      <c r="E5305" s="3">
        <v>0</v>
      </c>
      <c r="F5305" s="3">
        <v>3929</v>
      </c>
      <c r="G5305" s="3">
        <v>0</v>
      </c>
      <c r="H5305" s="2">
        <f t="shared" si="164"/>
        <v>44010</v>
      </c>
      <c r="I5305" t="str">
        <f t="shared" si="165"/>
        <v>Pcca_44010</v>
      </c>
      <c r="J5305" s="3">
        <v>21546</v>
      </c>
      <c r="K5305" s="3">
        <v>18535</v>
      </c>
      <c r="L5305" s="3">
        <v>0</v>
      </c>
      <c r="M5305" s="3">
        <v>3929</v>
      </c>
      <c r="N5305" s="3">
        <v>0</v>
      </c>
    </row>
    <row r="5306" spans="1:14" x14ac:dyDescent="0.2">
      <c r="A5306" s="5" t="str">
        <f>HYPERLINK("http://www.ncbi.nlm.nih.gov/protein/13385310","Pccb")</f>
        <v>Pccb</v>
      </c>
      <c r="B5306" s="4"/>
      <c r="C5306" s="3">
        <v>25098</v>
      </c>
      <c r="D5306" s="3">
        <v>9617</v>
      </c>
      <c r="E5306" s="3">
        <v>4</v>
      </c>
      <c r="F5306" s="3">
        <v>4175</v>
      </c>
      <c r="G5306" s="3">
        <v>0</v>
      </c>
      <c r="H5306" s="2">
        <f t="shared" si="164"/>
        <v>38894</v>
      </c>
      <c r="I5306" t="str">
        <f t="shared" si="165"/>
        <v>Pccb_38894</v>
      </c>
      <c r="J5306" s="3">
        <v>25098</v>
      </c>
      <c r="K5306" s="3">
        <v>9617</v>
      </c>
      <c r="L5306" s="3">
        <v>4</v>
      </c>
      <c r="M5306" s="3">
        <v>4175</v>
      </c>
      <c r="N5306" s="3">
        <v>0</v>
      </c>
    </row>
    <row r="5307" spans="1:14" x14ac:dyDescent="0.2">
      <c r="A5307" s="5" t="str">
        <f>HYPERLINK("http://www.ncbi.nlm.nih.gov/protein/34328319","Pcdh1")</f>
        <v>Pcdh1</v>
      </c>
      <c r="B5307" s="4"/>
      <c r="C5307" s="3">
        <v>0</v>
      </c>
      <c r="D5307" s="3">
        <v>31</v>
      </c>
      <c r="E5307" s="3">
        <v>0</v>
      </c>
      <c r="F5307" s="3">
        <v>0</v>
      </c>
      <c r="G5307" s="3">
        <v>0</v>
      </c>
      <c r="H5307" s="2">
        <f t="shared" si="164"/>
        <v>31</v>
      </c>
      <c r="I5307" t="str">
        <f t="shared" si="165"/>
        <v>Pcdh1_31</v>
      </c>
      <c r="J5307" s="3">
        <v>0</v>
      </c>
      <c r="K5307" s="3">
        <v>31</v>
      </c>
      <c r="L5307" s="3">
        <v>0</v>
      </c>
      <c r="M5307" s="3">
        <v>0</v>
      </c>
      <c r="N5307" s="3">
        <v>0</v>
      </c>
    </row>
    <row r="5308" spans="1:14" x14ac:dyDescent="0.2">
      <c r="A5308" s="5" t="str">
        <f>HYPERLINK("http://www.ncbi.nlm.nih.gov/protein/6681021","Pcdha4")</f>
        <v>Pcdha4</v>
      </c>
      <c r="B5308" s="4"/>
      <c r="C5308" s="3">
        <v>0</v>
      </c>
      <c r="D5308" s="3">
        <v>0</v>
      </c>
      <c r="E5308" s="3">
        <v>1169</v>
      </c>
      <c r="F5308" s="3">
        <v>0</v>
      </c>
      <c r="G5308" s="3">
        <v>1981</v>
      </c>
      <c r="H5308" s="2">
        <f t="shared" si="164"/>
        <v>3150</v>
      </c>
      <c r="I5308" t="str">
        <f t="shared" si="165"/>
        <v>Pcdha4_3150</v>
      </c>
      <c r="J5308" s="3">
        <v>0</v>
      </c>
      <c r="K5308" s="3">
        <v>0</v>
      </c>
      <c r="L5308" s="3">
        <v>1169</v>
      </c>
      <c r="M5308" s="3">
        <v>0</v>
      </c>
      <c r="N5308" s="3">
        <v>1981</v>
      </c>
    </row>
    <row r="5309" spans="1:14" x14ac:dyDescent="0.2">
      <c r="A5309" s="5" t="str">
        <f>HYPERLINK("http://www.ncbi.nlm.nih.gov/protein/292658765","Pcdha4-g")</f>
        <v>Pcdha4-g</v>
      </c>
      <c r="B5309" s="4"/>
      <c r="C5309" s="3">
        <v>0</v>
      </c>
      <c r="D5309" s="3">
        <v>0</v>
      </c>
      <c r="E5309" s="3">
        <v>1169</v>
      </c>
      <c r="F5309" s="3">
        <v>0</v>
      </c>
      <c r="G5309" s="3">
        <v>1981</v>
      </c>
      <c r="H5309" s="2">
        <f t="shared" si="164"/>
        <v>3150</v>
      </c>
      <c r="I5309" t="str">
        <f t="shared" si="165"/>
        <v>Pcdha4-g_3150</v>
      </c>
      <c r="J5309" s="3">
        <v>0</v>
      </c>
      <c r="K5309" s="3">
        <v>0</v>
      </c>
      <c r="L5309" s="3">
        <v>1169</v>
      </c>
      <c r="M5309" s="3">
        <v>0</v>
      </c>
      <c r="N5309" s="3">
        <v>1981</v>
      </c>
    </row>
    <row r="5310" spans="1:14" x14ac:dyDescent="0.2">
      <c r="A5310" s="5" t="str">
        <f>HYPERLINK("http://www.ncbi.nlm.nih.gov/protein/119372296","Pcid2")</f>
        <v>Pcid2</v>
      </c>
      <c r="B5310" s="4"/>
      <c r="C5310" s="3">
        <v>531</v>
      </c>
      <c r="D5310" s="3">
        <v>188</v>
      </c>
      <c r="E5310" s="3">
        <v>1330</v>
      </c>
      <c r="F5310" s="3">
        <v>3864</v>
      </c>
      <c r="G5310" s="3">
        <v>0</v>
      </c>
      <c r="H5310" s="2">
        <f t="shared" si="164"/>
        <v>5913</v>
      </c>
      <c r="I5310" t="str">
        <f t="shared" si="165"/>
        <v>Pcid2_5913</v>
      </c>
      <c r="J5310" s="3">
        <v>531</v>
      </c>
      <c r="K5310" s="3">
        <v>188</v>
      </c>
      <c r="L5310" s="3">
        <v>1330</v>
      </c>
      <c r="M5310" s="3">
        <v>3864</v>
      </c>
      <c r="N5310" s="3">
        <v>0</v>
      </c>
    </row>
    <row r="5311" spans="1:14" x14ac:dyDescent="0.2">
      <c r="A5311" s="5" t="str">
        <f>HYPERLINK("http://www.ncbi.nlm.nih.gov/protein/22122647","Pcif1")</f>
        <v>Pcif1</v>
      </c>
      <c r="B5311" s="4"/>
      <c r="C5311" s="3">
        <v>0</v>
      </c>
      <c r="D5311" s="3">
        <v>0</v>
      </c>
      <c r="E5311" s="3">
        <v>0</v>
      </c>
      <c r="F5311" s="3">
        <v>0</v>
      </c>
      <c r="G5311" s="3">
        <v>364</v>
      </c>
      <c r="H5311" s="2">
        <f t="shared" si="164"/>
        <v>364</v>
      </c>
      <c r="I5311" t="str">
        <f t="shared" si="165"/>
        <v>Pcif1_364</v>
      </c>
      <c r="J5311" s="3">
        <v>0</v>
      </c>
      <c r="K5311" s="3">
        <v>0</v>
      </c>
      <c r="L5311" s="3">
        <v>0</v>
      </c>
      <c r="M5311" s="3">
        <v>0</v>
      </c>
      <c r="N5311" s="3">
        <v>364</v>
      </c>
    </row>
    <row r="5312" spans="1:14" x14ac:dyDescent="0.2">
      <c r="A5312" s="5" t="str">
        <f>HYPERLINK("http://www.ncbi.nlm.nih.gov/protein/28077029","Pck2")</f>
        <v>Pck2</v>
      </c>
      <c r="B5312" s="4"/>
      <c r="C5312" s="3">
        <v>136801</v>
      </c>
      <c r="D5312" s="3">
        <v>28925</v>
      </c>
      <c r="E5312" s="3">
        <v>430</v>
      </c>
      <c r="F5312" s="3">
        <v>0</v>
      </c>
      <c r="G5312" s="3">
        <v>1949</v>
      </c>
      <c r="H5312" s="2">
        <f t="shared" si="164"/>
        <v>168105</v>
      </c>
      <c r="I5312" t="str">
        <f t="shared" si="165"/>
        <v>Pck2_168105</v>
      </c>
      <c r="J5312" s="3">
        <v>136801</v>
      </c>
      <c r="K5312" s="3">
        <v>28925</v>
      </c>
      <c r="L5312" s="3">
        <v>430</v>
      </c>
      <c r="M5312" s="3">
        <v>0</v>
      </c>
      <c r="N5312" s="3">
        <v>1949</v>
      </c>
    </row>
    <row r="5313" spans="1:14" x14ac:dyDescent="0.2">
      <c r="A5313" s="5" t="str">
        <f>HYPERLINK("http://www.ncbi.nlm.nih.gov/protein/170763496","Pcm1")</f>
        <v>Pcm1</v>
      </c>
      <c r="B5313" s="4"/>
      <c r="C5313" s="3">
        <v>0</v>
      </c>
      <c r="D5313" s="3">
        <v>119</v>
      </c>
      <c r="E5313" s="3">
        <v>3072</v>
      </c>
      <c r="F5313" s="3">
        <v>115</v>
      </c>
      <c r="G5313" s="3">
        <v>0</v>
      </c>
      <c r="H5313" s="2">
        <f t="shared" si="164"/>
        <v>3306</v>
      </c>
      <c r="I5313" t="str">
        <f t="shared" si="165"/>
        <v>Pcm1_3306</v>
      </c>
      <c r="J5313" s="3">
        <v>0</v>
      </c>
      <c r="K5313" s="3">
        <v>119</v>
      </c>
      <c r="L5313" s="3">
        <v>3072</v>
      </c>
      <c r="M5313" s="3">
        <v>115</v>
      </c>
      <c r="N5313" s="3">
        <v>0</v>
      </c>
    </row>
    <row r="5314" spans="1:14" x14ac:dyDescent="0.2">
      <c r="A5314" s="5" t="str">
        <f>HYPERLINK("http://www.ncbi.nlm.nih.gov/protein/226530884","Pcmt1")</f>
        <v>Pcmt1</v>
      </c>
      <c r="B5314" s="4"/>
      <c r="C5314" s="3">
        <v>0</v>
      </c>
      <c r="D5314" s="3">
        <v>3398</v>
      </c>
      <c r="E5314" s="3">
        <v>1592</v>
      </c>
      <c r="F5314" s="3">
        <v>3430</v>
      </c>
      <c r="G5314" s="3">
        <v>59823</v>
      </c>
      <c r="H5314" s="2">
        <f t="shared" ref="H5314:H5377" si="166">SUM(C5314:G5314)</f>
        <v>68243</v>
      </c>
      <c r="I5314" t="str">
        <f t="shared" ref="I5314:I5377" si="167">A5314&amp;"_"&amp;H5314</f>
        <v>Pcmt1_68243</v>
      </c>
      <c r="J5314" s="3">
        <v>0</v>
      </c>
      <c r="K5314" s="3">
        <v>3398</v>
      </c>
      <c r="L5314" s="3">
        <v>1592</v>
      </c>
      <c r="M5314" s="3">
        <v>3430</v>
      </c>
      <c r="N5314" s="3">
        <v>59823</v>
      </c>
    </row>
    <row r="5315" spans="1:14" x14ac:dyDescent="0.2">
      <c r="A5315" s="5" t="str">
        <f>HYPERLINK("http://www.ncbi.nlm.nih.gov/protein/33942104","Pcmtd1")</f>
        <v>Pcmtd1</v>
      </c>
      <c r="B5315" s="4"/>
      <c r="C5315" s="3">
        <v>0</v>
      </c>
      <c r="D5315" s="3">
        <v>0</v>
      </c>
      <c r="E5315" s="3">
        <v>13</v>
      </c>
      <c r="F5315" s="3">
        <v>450</v>
      </c>
      <c r="G5315" s="3">
        <v>867</v>
      </c>
      <c r="H5315" s="2">
        <f t="shared" si="166"/>
        <v>1330</v>
      </c>
      <c r="I5315" t="str">
        <f t="shared" si="167"/>
        <v>Pcmtd1_1330</v>
      </c>
      <c r="J5315" s="3">
        <v>0</v>
      </c>
      <c r="K5315" s="3">
        <v>0</v>
      </c>
      <c r="L5315" s="3">
        <v>13</v>
      </c>
      <c r="M5315" s="3">
        <v>450</v>
      </c>
      <c r="N5315" s="3">
        <v>867</v>
      </c>
    </row>
    <row r="5316" spans="1:14" x14ac:dyDescent="0.2">
      <c r="A5316" s="5" t="str">
        <f>HYPERLINK("http://www.ncbi.nlm.nih.gov/protein/23956398","Pcmtd2")</f>
        <v>Pcmtd2</v>
      </c>
      <c r="B5316" s="4"/>
      <c r="C5316" s="3">
        <v>0</v>
      </c>
      <c r="D5316" s="3">
        <v>0</v>
      </c>
      <c r="E5316" s="3">
        <v>57</v>
      </c>
      <c r="F5316" s="3">
        <v>229</v>
      </c>
      <c r="G5316" s="3">
        <v>471</v>
      </c>
      <c r="H5316" s="2">
        <f t="shared" si="166"/>
        <v>757</v>
      </c>
      <c r="I5316" t="str">
        <f t="shared" si="167"/>
        <v>Pcmtd2_757</v>
      </c>
      <c r="J5316" s="3">
        <v>0</v>
      </c>
      <c r="K5316" s="3">
        <v>0</v>
      </c>
      <c r="L5316" s="3">
        <v>57</v>
      </c>
      <c r="M5316" s="3">
        <v>229</v>
      </c>
      <c r="N5316" s="3">
        <v>471</v>
      </c>
    </row>
    <row r="5317" spans="1:14" x14ac:dyDescent="0.2">
      <c r="A5317" s="5" t="str">
        <f>HYPERLINK("http://www.ncbi.nlm.nih.gov/protein/7242171","Pcna")</f>
        <v>Pcna</v>
      </c>
      <c r="B5317" s="4"/>
      <c r="C5317" s="3">
        <v>247644</v>
      </c>
      <c r="D5317" s="3">
        <v>29336</v>
      </c>
      <c r="E5317" s="3">
        <v>66872</v>
      </c>
      <c r="F5317" s="3">
        <v>387619</v>
      </c>
      <c r="G5317" s="3">
        <v>1599636</v>
      </c>
      <c r="H5317" s="2">
        <f t="shared" si="166"/>
        <v>2331107</v>
      </c>
      <c r="I5317" t="str">
        <f t="shared" si="167"/>
        <v>Pcna_2331107</v>
      </c>
      <c r="J5317" s="3">
        <v>247644</v>
      </c>
      <c r="K5317" s="3">
        <v>29336</v>
      </c>
      <c r="L5317" s="3">
        <v>66872</v>
      </c>
      <c r="M5317" s="3">
        <v>387619</v>
      </c>
      <c r="N5317" s="3">
        <v>1599636</v>
      </c>
    </row>
    <row r="5318" spans="1:14" x14ac:dyDescent="0.2">
      <c r="A5318" s="5" t="str">
        <f>HYPERLINK("http://www.ncbi.nlm.nih.gov/protein/71480098","Pcnp")</f>
        <v>Pcnp</v>
      </c>
      <c r="B5318" s="4"/>
      <c r="C5318" s="3">
        <v>0</v>
      </c>
      <c r="D5318" s="3">
        <v>98</v>
      </c>
      <c r="E5318" s="3">
        <v>773</v>
      </c>
      <c r="F5318" s="3">
        <v>4674</v>
      </c>
      <c r="G5318" s="3">
        <v>73424</v>
      </c>
      <c r="H5318" s="2">
        <f t="shared" si="166"/>
        <v>78969</v>
      </c>
      <c r="I5318" t="str">
        <f t="shared" si="167"/>
        <v>Pcnp_78969</v>
      </c>
      <c r="J5318" s="3">
        <v>0</v>
      </c>
      <c r="K5318" s="3">
        <v>98</v>
      </c>
      <c r="L5318" s="3">
        <v>773</v>
      </c>
      <c r="M5318" s="3">
        <v>4674</v>
      </c>
      <c r="N5318" s="3">
        <v>73424</v>
      </c>
    </row>
    <row r="5319" spans="1:14" x14ac:dyDescent="0.2">
      <c r="A5319" s="5" t="str">
        <f>HYPERLINK("http://www.ncbi.nlm.nih.gov/protein/93004085","Pcnt")</f>
        <v>Pcnt</v>
      </c>
      <c r="B5319" s="4"/>
      <c r="C5319" s="3">
        <v>0</v>
      </c>
      <c r="D5319" s="3">
        <v>129</v>
      </c>
      <c r="E5319" s="3">
        <v>67</v>
      </c>
      <c r="F5319" s="3">
        <v>0</v>
      </c>
      <c r="G5319" s="3">
        <v>0</v>
      </c>
      <c r="H5319" s="2">
        <f t="shared" si="166"/>
        <v>196</v>
      </c>
      <c r="I5319" t="str">
        <f t="shared" si="167"/>
        <v>Pcnt_196</v>
      </c>
      <c r="J5319" s="3">
        <v>0</v>
      </c>
      <c r="K5319" s="3">
        <v>129</v>
      </c>
      <c r="L5319" s="3">
        <v>67</v>
      </c>
      <c r="M5319" s="3">
        <v>0</v>
      </c>
      <c r="N5319" s="3">
        <v>0</v>
      </c>
    </row>
    <row r="5320" spans="1:14" x14ac:dyDescent="0.2">
      <c r="A5320" s="5" t="str">
        <f>HYPERLINK("http://www.ncbi.nlm.nih.gov/protein/126352572","Pcnxl2")</f>
        <v>Pcnxl2</v>
      </c>
      <c r="B5320" s="4"/>
      <c r="C5320" s="3">
        <v>0</v>
      </c>
      <c r="D5320" s="3">
        <v>0</v>
      </c>
      <c r="E5320" s="3">
        <v>0</v>
      </c>
      <c r="F5320" s="3">
        <v>0</v>
      </c>
      <c r="G5320" s="3">
        <v>1242</v>
      </c>
      <c r="H5320" s="2">
        <f t="shared" si="166"/>
        <v>1242</v>
      </c>
      <c r="I5320" t="str">
        <f t="shared" si="167"/>
        <v>Pcnxl2_1242</v>
      </c>
      <c r="J5320" s="3">
        <v>0</v>
      </c>
      <c r="K5320" s="3">
        <v>0</v>
      </c>
      <c r="L5320" s="3">
        <v>0</v>
      </c>
      <c r="M5320" s="3">
        <v>0</v>
      </c>
      <c r="N5320" s="3">
        <v>1242</v>
      </c>
    </row>
    <row r="5321" spans="1:14" x14ac:dyDescent="0.2">
      <c r="A5321" s="5" t="str">
        <f>HYPERLINK("http://www.ncbi.nlm.nih.gov/protein/157743254","Pcnxl3")</f>
        <v>Pcnxl3</v>
      </c>
      <c r="B5321" s="4"/>
      <c r="C5321" s="3">
        <v>0</v>
      </c>
      <c r="D5321" s="3">
        <v>10</v>
      </c>
      <c r="E5321" s="3">
        <v>6</v>
      </c>
      <c r="F5321" s="3">
        <v>0</v>
      </c>
      <c r="G5321" s="3">
        <v>0</v>
      </c>
      <c r="H5321" s="2">
        <f t="shared" si="166"/>
        <v>16</v>
      </c>
      <c r="I5321" t="str">
        <f t="shared" si="167"/>
        <v>Pcnxl3_16</v>
      </c>
      <c r="J5321" s="3">
        <v>0</v>
      </c>
      <c r="K5321" s="3">
        <v>10</v>
      </c>
      <c r="L5321" s="3">
        <v>6</v>
      </c>
      <c r="M5321" s="3">
        <v>0</v>
      </c>
      <c r="N5321" s="3">
        <v>0</v>
      </c>
    </row>
    <row r="5322" spans="1:14" x14ac:dyDescent="0.2">
      <c r="A5322" s="5" t="str">
        <f>HYPERLINK("http://www.ncbi.nlm.nih.gov/protein/253314509","Pcsk5")</f>
        <v>Pcsk5</v>
      </c>
      <c r="B5322" s="4"/>
      <c r="C5322" s="3">
        <v>0</v>
      </c>
      <c r="D5322" s="3">
        <v>0</v>
      </c>
      <c r="E5322" s="3">
        <v>0</v>
      </c>
      <c r="F5322" s="3">
        <v>0</v>
      </c>
      <c r="G5322" s="3">
        <v>14104</v>
      </c>
      <c r="H5322" s="2">
        <f t="shared" si="166"/>
        <v>14104</v>
      </c>
      <c r="I5322" t="str">
        <f t="shared" si="167"/>
        <v>Pcsk5_14104</v>
      </c>
      <c r="J5322" s="3">
        <v>0</v>
      </c>
      <c r="K5322" s="3">
        <v>0</v>
      </c>
      <c r="L5322" s="3">
        <v>0</v>
      </c>
      <c r="M5322" s="3">
        <v>0</v>
      </c>
      <c r="N5322" s="3">
        <v>14104</v>
      </c>
    </row>
    <row r="5323" spans="1:14" x14ac:dyDescent="0.2">
      <c r="A5323" s="5" t="str">
        <f>HYPERLINK("http://www.ncbi.nlm.nih.gov/protein/299523019","Pcsk5")</f>
        <v>Pcsk5</v>
      </c>
      <c r="B5323" s="4"/>
      <c r="C5323" s="3">
        <v>0</v>
      </c>
      <c r="D5323" s="3">
        <v>0</v>
      </c>
      <c r="E5323" s="3">
        <v>0</v>
      </c>
      <c r="F5323" s="3">
        <v>0</v>
      </c>
      <c r="G5323" s="3">
        <v>14104</v>
      </c>
      <c r="H5323" s="2">
        <f t="shared" si="166"/>
        <v>14104</v>
      </c>
      <c r="I5323" t="str">
        <f t="shared" si="167"/>
        <v>Pcsk5_14104</v>
      </c>
      <c r="J5323" s="3">
        <v>0</v>
      </c>
      <c r="K5323" s="3">
        <v>0</v>
      </c>
      <c r="L5323" s="3">
        <v>0</v>
      </c>
      <c r="M5323" s="3">
        <v>0</v>
      </c>
      <c r="N5323" s="3">
        <v>14104</v>
      </c>
    </row>
    <row r="5324" spans="1:14" x14ac:dyDescent="0.2">
      <c r="A5324" s="5" t="str">
        <f>HYPERLINK("http://www.ncbi.nlm.nih.gov/protein/117320552","Pctp")</f>
        <v>Pctp</v>
      </c>
      <c r="B5324" s="4"/>
      <c r="C5324" s="3">
        <v>0</v>
      </c>
      <c r="D5324" s="3">
        <v>0</v>
      </c>
      <c r="E5324" s="3">
        <v>401</v>
      </c>
      <c r="F5324" s="3">
        <v>0</v>
      </c>
      <c r="G5324" s="3">
        <v>2067</v>
      </c>
      <c r="H5324" s="2">
        <f t="shared" si="166"/>
        <v>2468</v>
      </c>
      <c r="I5324" t="str">
        <f t="shared" si="167"/>
        <v>Pctp_2468</v>
      </c>
      <c r="J5324" s="3">
        <v>0</v>
      </c>
      <c r="K5324" s="3">
        <v>0</v>
      </c>
      <c r="L5324" s="3">
        <v>401</v>
      </c>
      <c r="M5324" s="3">
        <v>0</v>
      </c>
      <c r="N5324" s="3">
        <v>2067</v>
      </c>
    </row>
    <row r="5325" spans="1:14" x14ac:dyDescent="0.2">
      <c r="A5325" s="5" t="str">
        <f>HYPERLINK("http://www.ncbi.nlm.nih.gov/protein/251823978","Pcx")</f>
        <v>Pcx</v>
      </c>
      <c r="B5325" s="4"/>
      <c r="C5325" s="3">
        <v>61014</v>
      </c>
      <c r="D5325" s="3">
        <v>11170</v>
      </c>
      <c r="E5325" s="3">
        <v>0</v>
      </c>
      <c r="F5325" s="3">
        <v>0</v>
      </c>
      <c r="G5325" s="3">
        <v>2410</v>
      </c>
      <c r="H5325" s="2">
        <f t="shared" si="166"/>
        <v>74594</v>
      </c>
      <c r="I5325" t="str">
        <f t="shared" si="167"/>
        <v>Pcx_74594</v>
      </c>
      <c r="J5325" s="3">
        <v>61014</v>
      </c>
      <c r="K5325" s="3">
        <v>11170</v>
      </c>
      <c r="L5325" s="3">
        <v>0</v>
      </c>
      <c r="M5325" s="3">
        <v>0</v>
      </c>
      <c r="N5325" s="3">
        <v>2410</v>
      </c>
    </row>
    <row r="5326" spans="1:14" x14ac:dyDescent="0.2">
      <c r="A5326" s="5" t="str">
        <f>HYPERLINK("http://www.ncbi.nlm.nih.gov/protein/251823980","Pcx")</f>
        <v>Pcx</v>
      </c>
      <c r="B5326" s="4"/>
      <c r="C5326" s="3">
        <v>61014</v>
      </c>
      <c r="D5326" s="3">
        <v>11170</v>
      </c>
      <c r="E5326" s="3">
        <v>0</v>
      </c>
      <c r="F5326" s="3">
        <v>0</v>
      </c>
      <c r="G5326" s="3">
        <v>2410</v>
      </c>
      <c r="H5326" s="2">
        <f t="shared" si="166"/>
        <v>74594</v>
      </c>
      <c r="I5326" t="str">
        <f t="shared" si="167"/>
        <v>Pcx_74594</v>
      </c>
      <c r="J5326" s="3">
        <v>61014</v>
      </c>
      <c r="K5326" s="3">
        <v>11170</v>
      </c>
      <c r="L5326" s="3">
        <v>0</v>
      </c>
      <c r="M5326" s="3">
        <v>0</v>
      </c>
      <c r="N5326" s="3">
        <v>2410</v>
      </c>
    </row>
    <row r="5327" spans="1:14" x14ac:dyDescent="0.2">
      <c r="A5327" s="5" t="str">
        <f>HYPERLINK("http://www.ncbi.nlm.nih.gov/protein/13385294","Pcyox1")</f>
        <v>Pcyox1</v>
      </c>
      <c r="B5327" s="4"/>
      <c r="C5327" s="3">
        <v>17244</v>
      </c>
      <c r="D5327" s="3">
        <v>20249</v>
      </c>
      <c r="E5327" s="3">
        <v>16975</v>
      </c>
      <c r="F5327" s="3">
        <v>2816</v>
      </c>
      <c r="G5327" s="3">
        <v>0</v>
      </c>
      <c r="H5327" s="2">
        <f t="shared" si="166"/>
        <v>57284</v>
      </c>
      <c r="I5327" t="str">
        <f t="shared" si="167"/>
        <v>Pcyox1_57284</v>
      </c>
      <c r="J5327" s="3">
        <v>17244</v>
      </c>
      <c r="K5327" s="3">
        <v>20249</v>
      </c>
      <c r="L5327" s="3">
        <v>16975</v>
      </c>
      <c r="M5327" s="3">
        <v>2816</v>
      </c>
      <c r="N5327" s="3">
        <v>0</v>
      </c>
    </row>
    <row r="5328" spans="1:14" x14ac:dyDescent="0.2">
      <c r="A5328" s="5" t="str">
        <f>HYPERLINK("http://www.ncbi.nlm.nih.gov/protein/27370248","Pcyox1l")</f>
        <v>Pcyox1l</v>
      </c>
      <c r="B5328" s="4"/>
      <c r="C5328" s="3">
        <v>0</v>
      </c>
      <c r="D5328" s="3">
        <v>1042</v>
      </c>
      <c r="E5328" s="3">
        <v>0</v>
      </c>
      <c r="F5328" s="3">
        <v>0</v>
      </c>
      <c r="G5328" s="3">
        <v>0</v>
      </c>
      <c r="H5328" s="2">
        <f t="shared" si="166"/>
        <v>1042</v>
      </c>
      <c r="I5328" t="str">
        <f t="shared" si="167"/>
        <v>Pcyox1l_1042</v>
      </c>
      <c r="J5328" s="3">
        <v>0</v>
      </c>
      <c r="K5328" s="3">
        <v>1042</v>
      </c>
      <c r="L5328" s="3">
        <v>0</v>
      </c>
      <c r="M5328" s="3">
        <v>0</v>
      </c>
      <c r="N5328" s="3">
        <v>0</v>
      </c>
    </row>
    <row r="5329" spans="1:14" x14ac:dyDescent="0.2">
      <c r="A5329" s="5" t="str">
        <f>HYPERLINK("http://www.ncbi.nlm.nih.gov/protein/6753552","Pcyt1a")</f>
        <v>Pcyt1a</v>
      </c>
      <c r="B5329" s="4"/>
      <c r="C5329" s="3">
        <v>0</v>
      </c>
      <c r="D5329" s="3">
        <v>710</v>
      </c>
      <c r="E5329" s="3">
        <v>6231</v>
      </c>
      <c r="F5329" s="3">
        <v>14595</v>
      </c>
      <c r="G5329" s="3">
        <v>20541</v>
      </c>
      <c r="H5329" s="2">
        <f t="shared" si="166"/>
        <v>42077</v>
      </c>
      <c r="I5329" t="str">
        <f t="shared" si="167"/>
        <v>Pcyt1a_42077</v>
      </c>
      <c r="J5329" s="3">
        <v>0</v>
      </c>
      <c r="K5329" s="3">
        <v>710</v>
      </c>
      <c r="L5329" s="3">
        <v>6231</v>
      </c>
      <c r="M5329" s="3">
        <v>14595</v>
      </c>
      <c r="N5329" s="3">
        <v>20541</v>
      </c>
    </row>
    <row r="5330" spans="1:14" x14ac:dyDescent="0.2">
      <c r="A5330" s="5" t="str">
        <f>HYPERLINK("http://www.ncbi.nlm.nih.gov/protein/29164513","Pcyt1b")</f>
        <v>Pcyt1b</v>
      </c>
      <c r="B5330" s="4"/>
      <c r="C5330" s="3">
        <v>0</v>
      </c>
      <c r="D5330" s="3">
        <v>361</v>
      </c>
      <c r="E5330" s="3">
        <v>3683</v>
      </c>
      <c r="F5330" s="3">
        <v>4273</v>
      </c>
      <c r="G5330" s="3">
        <v>5751</v>
      </c>
      <c r="H5330" s="2">
        <f t="shared" si="166"/>
        <v>14068</v>
      </c>
      <c r="I5330" t="str">
        <f t="shared" si="167"/>
        <v>Pcyt1b_14068</v>
      </c>
      <c r="J5330" s="3">
        <v>0</v>
      </c>
      <c r="K5330" s="3">
        <v>361</v>
      </c>
      <c r="L5330" s="3">
        <v>3683</v>
      </c>
      <c r="M5330" s="3">
        <v>4273</v>
      </c>
      <c r="N5330" s="3">
        <v>5751</v>
      </c>
    </row>
    <row r="5331" spans="1:14" x14ac:dyDescent="0.2">
      <c r="A5331" s="5" t="str">
        <f>HYPERLINK("http://www.ncbi.nlm.nih.gov/protein/46877071","Pcyt1b")</f>
        <v>Pcyt1b</v>
      </c>
      <c r="B5331" s="4"/>
      <c r="C5331" s="3">
        <v>0</v>
      </c>
      <c r="D5331" s="3">
        <v>361</v>
      </c>
      <c r="E5331" s="3">
        <v>3683</v>
      </c>
      <c r="F5331" s="3">
        <v>4273</v>
      </c>
      <c r="G5331" s="3">
        <v>5751</v>
      </c>
      <c r="H5331" s="2">
        <f t="shared" si="166"/>
        <v>14068</v>
      </c>
      <c r="I5331" t="str">
        <f t="shared" si="167"/>
        <v>Pcyt1b_14068</v>
      </c>
      <c r="J5331" s="3">
        <v>0</v>
      </c>
      <c r="K5331" s="3">
        <v>361</v>
      </c>
      <c r="L5331" s="3">
        <v>3683</v>
      </c>
      <c r="M5331" s="3">
        <v>4273</v>
      </c>
      <c r="N5331" s="3">
        <v>5751</v>
      </c>
    </row>
    <row r="5332" spans="1:14" x14ac:dyDescent="0.2">
      <c r="A5332" s="5" t="str">
        <f>HYPERLINK("http://www.ncbi.nlm.nih.gov/protein/31980842","Pcyt2")</f>
        <v>Pcyt2</v>
      </c>
      <c r="B5332" s="4"/>
      <c r="C5332" s="3">
        <v>0</v>
      </c>
      <c r="D5332" s="3">
        <v>0</v>
      </c>
      <c r="E5332" s="3">
        <v>0</v>
      </c>
      <c r="F5332" s="3">
        <v>0</v>
      </c>
      <c r="G5332" s="3">
        <v>16000</v>
      </c>
      <c r="H5332" s="2">
        <f t="shared" si="166"/>
        <v>16000</v>
      </c>
      <c r="I5332" t="str">
        <f t="shared" si="167"/>
        <v>Pcyt2_16000</v>
      </c>
      <c r="J5332" s="3">
        <v>0</v>
      </c>
      <c r="K5332" s="3">
        <v>0</v>
      </c>
      <c r="L5332" s="3">
        <v>0</v>
      </c>
      <c r="M5332" s="3">
        <v>0</v>
      </c>
      <c r="N5332" s="3">
        <v>16000</v>
      </c>
    </row>
    <row r="5333" spans="1:14" x14ac:dyDescent="0.2">
      <c r="A5333" s="5" t="str">
        <f>HYPERLINK("http://www.ncbi.nlm.nih.gov/protein/84781781","Pdap1")</f>
        <v>Pdap1</v>
      </c>
      <c r="B5333" s="4"/>
      <c r="C5333" s="3">
        <v>165</v>
      </c>
      <c r="D5333" s="3">
        <v>908</v>
      </c>
      <c r="E5333" s="3">
        <v>2103</v>
      </c>
      <c r="F5333" s="3">
        <v>115024</v>
      </c>
      <c r="G5333" s="3">
        <v>21</v>
      </c>
      <c r="H5333" s="2">
        <f t="shared" si="166"/>
        <v>118221</v>
      </c>
      <c r="I5333" t="str">
        <f t="shared" si="167"/>
        <v>Pdap1_118221</v>
      </c>
      <c r="J5333" s="3">
        <v>165</v>
      </c>
      <c r="K5333" s="3">
        <v>908</v>
      </c>
      <c r="L5333" s="3">
        <v>2103</v>
      </c>
      <c r="M5333" s="3">
        <v>115024</v>
      </c>
      <c r="N5333" s="3">
        <v>21</v>
      </c>
    </row>
    <row r="5334" spans="1:14" x14ac:dyDescent="0.2">
      <c r="A5334" s="5" t="str">
        <f>HYPERLINK("http://www.ncbi.nlm.nih.gov/protein/31560391","Pdcd10")</f>
        <v>Pdcd10</v>
      </c>
      <c r="B5334" s="4"/>
      <c r="C5334" s="3">
        <v>2892</v>
      </c>
      <c r="D5334" s="3">
        <v>6348</v>
      </c>
      <c r="E5334" s="3">
        <v>14402</v>
      </c>
      <c r="F5334" s="3">
        <v>23976</v>
      </c>
      <c r="G5334" s="3">
        <v>51213</v>
      </c>
      <c r="H5334" s="2">
        <f t="shared" si="166"/>
        <v>98831</v>
      </c>
      <c r="I5334" t="str">
        <f t="shared" si="167"/>
        <v>Pdcd10_98831</v>
      </c>
      <c r="J5334" s="3">
        <v>2892</v>
      </c>
      <c r="K5334" s="3">
        <v>6348</v>
      </c>
      <c r="L5334" s="3">
        <v>14402</v>
      </c>
      <c r="M5334" s="3">
        <v>23976</v>
      </c>
      <c r="N5334" s="3">
        <v>51213</v>
      </c>
    </row>
    <row r="5335" spans="1:14" x14ac:dyDescent="0.2">
      <c r="A5335" s="5" t="str">
        <f>HYPERLINK("http://www.ncbi.nlm.nih.gov/protein/54607128","Pdcd11")</f>
        <v>Pdcd11</v>
      </c>
      <c r="B5335" s="4"/>
      <c r="C5335" s="3">
        <v>2929</v>
      </c>
      <c r="D5335" s="3">
        <v>0</v>
      </c>
      <c r="E5335" s="3">
        <v>0</v>
      </c>
      <c r="F5335" s="3">
        <v>0</v>
      </c>
      <c r="G5335" s="3">
        <v>0</v>
      </c>
      <c r="H5335" s="2">
        <f t="shared" si="166"/>
        <v>2929</v>
      </c>
      <c r="I5335" t="str">
        <f t="shared" si="167"/>
        <v>Pdcd11_2929</v>
      </c>
      <c r="J5335" s="3">
        <v>2929</v>
      </c>
      <c r="K5335" s="3">
        <v>0</v>
      </c>
      <c r="L5335" s="3">
        <v>0</v>
      </c>
      <c r="M5335" s="3">
        <v>0</v>
      </c>
      <c r="N5335" s="3">
        <v>0</v>
      </c>
    </row>
    <row r="5336" spans="1:14" x14ac:dyDescent="0.2">
      <c r="A5336" s="5" t="str">
        <f>HYPERLINK("http://www.ncbi.nlm.nih.gov/protein/120407033","Pdcd2")</f>
        <v>Pdcd2</v>
      </c>
      <c r="B5336" s="4"/>
      <c r="C5336" s="3">
        <v>0</v>
      </c>
      <c r="D5336" s="3">
        <v>0</v>
      </c>
      <c r="E5336" s="3">
        <v>293</v>
      </c>
      <c r="F5336" s="3">
        <v>0</v>
      </c>
      <c r="G5336" s="3">
        <v>1564</v>
      </c>
      <c r="H5336" s="2">
        <f t="shared" si="166"/>
        <v>1857</v>
      </c>
      <c r="I5336" t="str">
        <f t="shared" si="167"/>
        <v>Pdcd2_1857</v>
      </c>
      <c r="J5336" s="3">
        <v>0</v>
      </c>
      <c r="K5336" s="3">
        <v>0</v>
      </c>
      <c r="L5336" s="3">
        <v>293</v>
      </c>
      <c r="M5336" s="3">
        <v>0</v>
      </c>
      <c r="N5336" s="3">
        <v>1564</v>
      </c>
    </row>
    <row r="5337" spans="1:14" x14ac:dyDescent="0.2">
      <c r="A5337" s="5" t="str">
        <f>HYPERLINK("http://www.ncbi.nlm.nih.gov/protein/110625656","Pdcd4")</f>
        <v>Pdcd4</v>
      </c>
      <c r="B5337" s="4"/>
      <c r="C5337" s="3">
        <v>696</v>
      </c>
      <c r="D5337" s="3">
        <v>10283</v>
      </c>
      <c r="E5337" s="3">
        <v>19194</v>
      </c>
      <c r="F5337" s="3">
        <v>195889</v>
      </c>
      <c r="G5337" s="3">
        <v>6372</v>
      </c>
      <c r="H5337" s="2">
        <f t="shared" si="166"/>
        <v>232434</v>
      </c>
      <c r="I5337" t="str">
        <f t="shared" si="167"/>
        <v>Pdcd4_232434</v>
      </c>
      <c r="J5337" s="3">
        <v>696</v>
      </c>
      <c r="K5337" s="3">
        <v>10283</v>
      </c>
      <c r="L5337" s="3">
        <v>19194</v>
      </c>
      <c r="M5337" s="3">
        <v>195889</v>
      </c>
      <c r="N5337" s="3">
        <v>6372</v>
      </c>
    </row>
    <row r="5338" spans="1:14" x14ac:dyDescent="0.2">
      <c r="A5338" s="5" t="str">
        <f>HYPERLINK("http://www.ncbi.nlm.nih.gov/protein/6755000","Pdcd6")</f>
        <v>Pdcd6</v>
      </c>
      <c r="B5338" s="4"/>
      <c r="C5338" s="3">
        <v>293</v>
      </c>
      <c r="D5338" s="3">
        <v>2277</v>
      </c>
      <c r="E5338" s="3">
        <v>2275</v>
      </c>
      <c r="F5338" s="3">
        <v>20341</v>
      </c>
      <c r="G5338" s="3">
        <v>2056</v>
      </c>
      <c r="H5338" s="2">
        <f t="shared" si="166"/>
        <v>27242</v>
      </c>
      <c r="I5338" t="str">
        <f t="shared" si="167"/>
        <v>Pdcd6_27242</v>
      </c>
      <c r="J5338" s="3">
        <v>293</v>
      </c>
      <c r="K5338" s="3">
        <v>2277</v>
      </c>
      <c r="L5338" s="3">
        <v>2275</v>
      </c>
      <c r="M5338" s="3">
        <v>20341</v>
      </c>
      <c r="N5338" s="3">
        <v>2056</v>
      </c>
    </row>
    <row r="5339" spans="1:14" x14ac:dyDescent="0.2">
      <c r="A5339" s="5" t="str">
        <f>HYPERLINK("http://www.ncbi.nlm.nih.gov/protein/258547152","Pdcd6ip")</f>
        <v>Pdcd6ip</v>
      </c>
      <c r="B5339" s="4"/>
      <c r="C5339" s="3">
        <v>989</v>
      </c>
      <c r="D5339" s="3">
        <v>11126</v>
      </c>
      <c r="E5339" s="3">
        <v>24028</v>
      </c>
      <c r="F5339" s="3">
        <v>3774</v>
      </c>
      <c r="G5339" s="3">
        <v>96932</v>
      </c>
      <c r="H5339" s="2">
        <f t="shared" si="166"/>
        <v>136849</v>
      </c>
      <c r="I5339" t="str">
        <f t="shared" si="167"/>
        <v>Pdcd6ip_136849</v>
      </c>
      <c r="J5339" s="3">
        <v>989</v>
      </c>
      <c r="K5339" s="3">
        <v>11126</v>
      </c>
      <c r="L5339" s="3">
        <v>24028</v>
      </c>
      <c r="M5339" s="3">
        <v>3774</v>
      </c>
      <c r="N5339" s="3">
        <v>96932</v>
      </c>
    </row>
    <row r="5340" spans="1:14" x14ac:dyDescent="0.2">
      <c r="A5340" s="5" t="str">
        <f>HYPERLINK("http://www.ncbi.nlm.nih.gov/protein/258547154","Pdcd6ip")</f>
        <v>Pdcd6ip</v>
      </c>
      <c r="B5340" s="4"/>
      <c r="C5340" s="3">
        <v>989</v>
      </c>
      <c r="D5340" s="3">
        <v>11126</v>
      </c>
      <c r="E5340" s="3">
        <v>24028</v>
      </c>
      <c r="F5340" s="3">
        <v>3774</v>
      </c>
      <c r="G5340" s="3">
        <v>96557</v>
      </c>
      <c r="H5340" s="2">
        <f t="shared" si="166"/>
        <v>136474</v>
      </c>
      <c r="I5340" t="str">
        <f t="shared" si="167"/>
        <v>Pdcd6ip_136474</v>
      </c>
      <c r="J5340" s="3">
        <v>989</v>
      </c>
      <c r="K5340" s="3">
        <v>11126</v>
      </c>
      <c r="L5340" s="3">
        <v>24028</v>
      </c>
      <c r="M5340" s="3">
        <v>3774</v>
      </c>
      <c r="N5340" s="3">
        <v>96557</v>
      </c>
    </row>
    <row r="5341" spans="1:14" x14ac:dyDescent="0.2">
      <c r="A5341" s="5" t="str">
        <f>HYPERLINK("http://www.ncbi.nlm.nih.gov/protein/258547156","Pdcd6ip")</f>
        <v>Pdcd6ip</v>
      </c>
      <c r="B5341" s="4"/>
      <c r="C5341" s="3">
        <v>989</v>
      </c>
      <c r="D5341" s="3">
        <v>11126</v>
      </c>
      <c r="E5341" s="3">
        <v>24028</v>
      </c>
      <c r="F5341" s="3">
        <v>3774</v>
      </c>
      <c r="G5341" s="3">
        <v>96932</v>
      </c>
      <c r="H5341" s="2">
        <f t="shared" si="166"/>
        <v>136849</v>
      </c>
      <c r="I5341" t="str">
        <f t="shared" si="167"/>
        <v>Pdcd6ip_136849</v>
      </c>
      <c r="J5341" s="3">
        <v>989</v>
      </c>
      <c r="K5341" s="3">
        <v>11126</v>
      </c>
      <c r="L5341" s="3">
        <v>24028</v>
      </c>
      <c r="M5341" s="3">
        <v>3774</v>
      </c>
      <c r="N5341" s="3">
        <v>96932</v>
      </c>
    </row>
    <row r="5342" spans="1:14" x14ac:dyDescent="0.2">
      <c r="A5342" s="5" t="str">
        <f>HYPERLINK("http://www.ncbi.nlm.nih.gov/protein/165932326","Pdcl")</f>
        <v>Pdcl</v>
      </c>
      <c r="B5342" s="4"/>
      <c r="C5342" s="3">
        <v>0</v>
      </c>
      <c r="D5342" s="3">
        <v>0</v>
      </c>
      <c r="E5342" s="3">
        <v>0</v>
      </c>
      <c r="F5342" s="3">
        <v>3291</v>
      </c>
      <c r="G5342" s="3">
        <v>0</v>
      </c>
      <c r="H5342" s="2">
        <f t="shared" si="166"/>
        <v>3291</v>
      </c>
      <c r="I5342" t="str">
        <f t="shared" si="167"/>
        <v>Pdcl_3291</v>
      </c>
      <c r="J5342" s="3">
        <v>0</v>
      </c>
      <c r="K5342" s="3">
        <v>0</v>
      </c>
      <c r="L5342" s="3">
        <v>0</v>
      </c>
      <c r="M5342" s="3">
        <v>3291</v>
      </c>
      <c r="N5342" s="3">
        <v>0</v>
      </c>
    </row>
    <row r="5343" spans="1:14" x14ac:dyDescent="0.2">
      <c r="A5343" s="5" t="str">
        <f>HYPERLINK("http://www.ncbi.nlm.nih.gov/protein/31560120","Pdcl3")</f>
        <v>Pdcl3</v>
      </c>
      <c r="B5343" s="4"/>
      <c r="C5343" s="3">
        <v>0</v>
      </c>
      <c r="D5343" s="3">
        <v>1305</v>
      </c>
      <c r="E5343" s="3">
        <v>836</v>
      </c>
      <c r="F5343" s="3">
        <v>25285</v>
      </c>
      <c r="G5343" s="3">
        <v>2270</v>
      </c>
      <c r="H5343" s="2">
        <f t="shared" si="166"/>
        <v>29696</v>
      </c>
      <c r="I5343" t="str">
        <f t="shared" si="167"/>
        <v>Pdcl3_29696</v>
      </c>
      <c r="J5343" s="3">
        <v>0</v>
      </c>
      <c r="K5343" s="3">
        <v>1305</v>
      </c>
      <c r="L5343" s="3">
        <v>836</v>
      </c>
      <c r="M5343" s="3">
        <v>25285</v>
      </c>
      <c r="N5343" s="3">
        <v>2270</v>
      </c>
    </row>
    <row r="5344" spans="1:14" x14ac:dyDescent="0.2">
      <c r="A5344" s="5" t="str">
        <f>HYPERLINK("http://www.ncbi.nlm.nih.gov/protein/157841170","Pddc1")</f>
        <v>Pddc1</v>
      </c>
      <c r="B5344" s="4"/>
      <c r="C5344" s="3">
        <v>0</v>
      </c>
      <c r="D5344" s="3">
        <v>1236</v>
      </c>
      <c r="E5344" s="3">
        <v>1280</v>
      </c>
      <c r="F5344" s="3">
        <v>3610</v>
      </c>
      <c r="G5344" s="3">
        <v>7454</v>
      </c>
      <c r="H5344" s="2">
        <f t="shared" si="166"/>
        <v>13580</v>
      </c>
      <c r="I5344" t="str">
        <f t="shared" si="167"/>
        <v>Pddc1_13580</v>
      </c>
      <c r="J5344" s="3">
        <v>0</v>
      </c>
      <c r="K5344" s="3">
        <v>1236</v>
      </c>
      <c r="L5344" s="3">
        <v>1280</v>
      </c>
      <c r="M5344" s="3">
        <v>3610</v>
      </c>
      <c r="N5344" s="3">
        <v>7454</v>
      </c>
    </row>
    <row r="5345" spans="1:14" x14ac:dyDescent="0.2">
      <c r="A5345" s="5" t="str">
        <f>HYPERLINK("http://www.ncbi.nlm.nih.gov/protein/40538842","Pde12")</f>
        <v>Pde12</v>
      </c>
      <c r="B5345" s="4"/>
      <c r="C5345" s="3">
        <v>0</v>
      </c>
      <c r="D5345" s="3">
        <v>822</v>
      </c>
      <c r="E5345" s="3">
        <v>0</v>
      </c>
      <c r="F5345" s="3">
        <v>655</v>
      </c>
      <c r="G5345" s="3">
        <v>3598</v>
      </c>
      <c r="H5345" s="2">
        <f t="shared" si="166"/>
        <v>5075</v>
      </c>
      <c r="I5345" t="str">
        <f t="shared" si="167"/>
        <v>Pde12_5075</v>
      </c>
      <c r="J5345" s="3">
        <v>0</v>
      </c>
      <c r="K5345" s="3">
        <v>822</v>
      </c>
      <c r="L5345" s="3">
        <v>0</v>
      </c>
      <c r="M5345" s="3">
        <v>655</v>
      </c>
      <c r="N5345" s="3">
        <v>3598</v>
      </c>
    </row>
    <row r="5346" spans="1:14" x14ac:dyDescent="0.2">
      <c r="A5346" s="5" t="str">
        <f>HYPERLINK("http://www.ncbi.nlm.nih.gov/protein/42475542","Pde4c")</f>
        <v>Pde4c</v>
      </c>
      <c r="B5346" s="4"/>
      <c r="C5346" s="3">
        <v>0</v>
      </c>
      <c r="D5346" s="3">
        <v>0</v>
      </c>
      <c r="E5346" s="3">
        <v>0</v>
      </c>
      <c r="F5346" s="3">
        <v>237</v>
      </c>
      <c r="G5346" s="3">
        <v>1660</v>
      </c>
      <c r="H5346" s="2">
        <f t="shared" si="166"/>
        <v>1897</v>
      </c>
      <c r="I5346" t="str">
        <f t="shared" si="167"/>
        <v>Pde4c_1897</v>
      </c>
      <c r="J5346" s="3">
        <v>0</v>
      </c>
      <c r="K5346" s="3">
        <v>0</v>
      </c>
      <c r="L5346" s="3">
        <v>0</v>
      </c>
      <c r="M5346" s="3">
        <v>237</v>
      </c>
      <c r="N5346" s="3">
        <v>1660</v>
      </c>
    </row>
    <row r="5347" spans="1:14" x14ac:dyDescent="0.2">
      <c r="A5347" s="5" t="str">
        <f>HYPERLINK("http://www.ncbi.nlm.nih.gov/protein/158749578","Pde4dip")</f>
        <v>Pde4dip</v>
      </c>
      <c r="B5347" s="4"/>
      <c r="C5347" s="3">
        <v>0</v>
      </c>
      <c r="D5347" s="3">
        <v>0</v>
      </c>
      <c r="E5347" s="3">
        <v>0</v>
      </c>
      <c r="F5347" s="3">
        <v>0</v>
      </c>
      <c r="G5347" s="3">
        <v>835</v>
      </c>
      <c r="H5347" s="2">
        <f t="shared" si="166"/>
        <v>835</v>
      </c>
      <c r="I5347" t="str">
        <f t="shared" si="167"/>
        <v>Pde4dip_835</v>
      </c>
      <c r="J5347" s="3">
        <v>0</v>
      </c>
      <c r="K5347" s="3">
        <v>0</v>
      </c>
      <c r="L5347" s="3">
        <v>0</v>
      </c>
      <c r="M5347" s="3">
        <v>0</v>
      </c>
      <c r="N5347" s="3">
        <v>835</v>
      </c>
    </row>
    <row r="5348" spans="1:14" x14ac:dyDescent="0.2">
      <c r="A5348" s="5" t="str">
        <f>HYPERLINK("http://www.ncbi.nlm.nih.gov/protein/158749580","Pde4dip")</f>
        <v>Pde4dip</v>
      </c>
      <c r="B5348" s="4"/>
      <c r="C5348" s="3">
        <v>0</v>
      </c>
      <c r="D5348" s="3">
        <v>0</v>
      </c>
      <c r="E5348" s="3">
        <v>0</v>
      </c>
      <c r="F5348" s="3">
        <v>0</v>
      </c>
      <c r="G5348" s="3">
        <v>835</v>
      </c>
      <c r="H5348" s="2">
        <f t="shared" si="166"/>
        <v>835</v>
      </c>
      <c r="I5348" t="str">
        <f t="shared" si="167"/>
        <v>Pde4dip_835</v>
      </c>
      <c r="J5348" s="3">
        <v>0</v>
      </c>
      <c r="K5348" s="3">
        <v>0</v>
      </c>
      <c r="L5348" s="3">
        <v>0</v>
      </c>
      <c r="M5348" s="3">
        <v>0</v>
      </c>
      <c r="N5348" s="3">
        <v>835</v>
      </c>
    </row>
    <row r="5349" spans="1:14" x14ac:dyDescent="0.2">
      <c r="A5349" s="5" t="str">
        <f>HYPERLINK("http://www.ncbi.nlm.nih.gov/protein/31542051","Pde4dip")</f>
        <v>Pde4dip</v>
      </c>
      <c r="B5349" s="4"/>
      <c r="C5349" s="3">
        <v>0</v>
      </c>
      <c r="D5349" s="3">
        <v>0</v>
      </c>
      <c r="E5349" s="3">
        <v>0</v>
      </c>
      <c r="F5349" s="3">
        <v>0</v>
      </c>
      <c r="G5349" s="3">
        <v>835</v>
      </c>
      <c r="H5349" s="2">
        <f t="shared" si="166"/>
        <v>835</v>
      </c>
      <c r="I5349" t="str">
        <f t="shared" si="167"/>
        <v>Pde4dip_835</v>
      </c>
      <c r="J5349" s="3">
        <v>0</v>
      </c>
      <c r="K5349" s="3">
        <v>0</v>
      </c>
      <c r="L5349" s="3">
        <v>0</v>
      </c>
      <c r="M5349" s="3">
        <v>0</v>
      </c>
      <c r="N5349" s="3">
        <v>835</v>
      </c>
    </row>
    <row r="5350" spans="1:14" x14ac:dyDescent="0.2">
      <c r="A5350" s="5" t="str">
        <f>HYPERLINK("http://www.ncbi.nlm.nih.gov/protein/6679245","Pde6d")</f>
        <v>Pde6d</v>
      </c>
      <c r="B5350" s="4"/>
      <c r="C5350" s="3">
        <v>0</v>
      </c>
      <c r="D5350" s="3">
        <v>495</v>
      </c>
      <c r="E5350" s="3">
        <v>291</v>
      </c>
      <c r="F5350" s="3">
        <v>475</v>
      </c>
      <c r="G5350" s="3">
        <v>7754</v>
      </c>
      <c r="H5350" s="2">
        <f t="shared" si="166"/>
        <v>9015</v>
      </c>
      <c r="I5350" t="str">
        <f t="shared" si="167"/>
        <v>Pde6d_9015</v>
      </c>
      <c r="J5350" s="3">
        <v>0</v>
      </c>
      <c r="K5350" s="3">
        <v>495</v>
      </c>
      <c r="L5350" s="3">
        <v>291</v>
      </c>
      <c r="M5350" s="3">
        <v>475</v>
      </c>
      <c r="N5350" s="3">
        <v>7754</v>
      </c>
    </row>
    <row r="5351" spans="1:14" x14ac:dyDescent="0.2">
      <c r="A5351" s="5" t="str">
        <f>HYPERLINK("http://www.ncbi.nlm.nih.gov/protein/170295853","Pde7a")</f>
        <v>Pde7a</v>
      </c>
      <c r="B5351" s="4"/>
      <c r="C5351" s="3">
        <v>0</v>
      </c>
      <c r="D5351" s="3">
        <v>0</v>
      </c>
      <c r="E5351" s="3">
        <v>0</v>
      </c>
      <c r="F5351" s="3">
        <v>679</v>
      </c>
      <c r="G5351" s="3">
        <v>0</v>
      </c>
      <c r="H5351" s="2">
        <f t="shared" si="166"/>
        <v>679</v>
      </c>
      <c r="I5351" t="str">
        <f t="shared" si="167"/>
        <v>Pde7a_679</v>
      </c>
      <c r="J5351" s="3">
        <v>0</v>
      </c>
      <c r="K5351" s="3">
        <v>0</v>
      </c>
      <c r="L5351" s="3">
        <v>0</v>
      </c>
      <c r="M5351" s="3">
        <v>679</v>
      </c>
      <c r="N5351" s="3">
        <v>0</v>
      </c>
    </row>
    <row r="5352" spans="1:14" x14ac:dyDescent="0.2">
      <c r="A5352" s="5" t="str">
        <f>HYPERLINK("http://www.ncbi.nlm.nih.gov/protein/170295857","Pde7a")</f>
        <v>Pde7a</v>
      </c>
      <c r="B5352" s="4"/>
      <c r="C5352" s="3">
        <v>0</v>
      </c>
      <c r="D5352" s="3">
        <v>0</v>
      </c>
      <c r="E5352" s="3">
        <v>0</v>
      </c>
      <c r="F5352" s="3">
        <v>679</v>
      </c>
      <c r="G5352" s="3">
        <v>0</v>
      </c>
      <c r="H5352" s="2">
        <f t="shared" si="166"/>
        <v>679</v>
      </c>
      <c r="I5352" t="str">
        <f t="shared" si="167"/>
        <v>Pde7a_679</v>
      </c>
      <c r="J5352" s="3">
        <v>0</v>
      </c>
      <c r="K5352" s="3">
        <v>0</v>
      </c>
      <c r="L5352" s="3">
        <v>0</v>
      </c>
      <c r="M5352" s="3">
        <v>679</v>
      </c>
      <c r="N5352" s="3">
        <v>0</v>
      </c>
    </row>
    <row r="5353" spans="1:14" x14ac:dyDescent="0.2">
      <c r="A5353" s="5" t="str">
        <f>HYPERLINK("http://www.ncbi.nlm.nih.gov/protein/255003823","Pdf")</f>
        <v>Pdf</v>
      </c>
      <c r="B5353" s="4"/>
      <c r="C5353" s="3">
        <v>0</v>
      </c>
      <c r="D5353" s="3">
        <v>994</v>
      </c>
      <c r="E5353" s="3">
        <v>0</v>
      </c>
      <c r="F5353" s="3">
        <v>0</v>
      </c>
      <c r="G5353" s="3">
        <v>0</v>
      </c>
      <c r="H5353" s="2">
        <f t="shared" si="166"/>
        <v>994</v>
      </c>
      <c r="I5353" t="str">
        <f t="shared" si="167"/>
        <v>Pdf_994</v>
      </c>
      <c r="J5353" s="3">
        <v>0</v>
      </c>
      <c r="K5353" s="3">
        <v>994</v>
      </c>
      <c r="L5353" s="3">
        <v>0</v>
      </c>
      <c r="M5353" s="3">
        <v>0</v>
      </c>
      <c r="N5353" s="3">
        <v>0</v>
      </c>
    </row>
    <row r="5354" spans="1:14" x14ac:dyDescent="0.2">
      <c r="A5354" s="5" t="str">
        <f>HYPERLINK("http://www.ncbi.nlm.nih.gov/protein/134032050","Pdgfra")</f>
        <v>Pdgfra</v>
      </c>
      <c r="B5354" s="4"/>
      <c r="C5354" s="3">
        <v>0</v>
      </c>
      <c r="D5354" s="3">
        <v>202</v>
      </c>
      <c r="E5354" s="3">
        <v>6785</v>
      </c>
      <c r="F5354" s="3">
        <v>36254</v>
      </c>
      <c r="G5354" s="3">
        <v>73039</v>
      </c>
      <c r="H5354" s="2">
        <f t="shared" si="166"/>
        <v>116280</v>
      </c>
      <c r="I5354" t="str">
        <f t="shared" si="167"/>
        <v>Pdgfra_116280</v>
      </c>
      <c r="J5354" s="3">
        <v>0</v>
      </c>
      <c r="K5354" s="3">
        <v>202</v>
      </c>
      <c r="L5354" s="3">
        <v>6785</v>
      </c>
      <c r="M5354" s="3">
        <v>36254</v>
      </c>
      <c r="N5354" s="3">
        <v>73039</v>
      </c>
    </row>
    <row r="5355" spans="1:14" x14ac:dyDescent="0.2">
      <c r="A5355" s="5" t="str">
        <f>HYPERLINK("http://www.ncbi.nlm.nih.gov/protein/226342982","Pdgfrb")</f>
        <v>Pdgfrb</v>
      </c>
      <c r="B5355" s="4"/>
      <c r="C5355" s="3">
        <v>0</v>
      </c>
      <c r="D5355" s="3">
        <v>202</v>
      </c>
      <c r="E5355" s="3">
        <v>6785</v>
      </c>
      <c r="F5355" s="3">
        <v>36254</v>
      </c>
      <c r="G5355" s="3">
        <v>73039</v>
      </c>
      <c r="H5355" s="2">
        <f t="shared" si="166"/>
        <v>116280</v>
      </c>
      <c r="I5355" t="str">
        <f t="shared" si="167"/>
        <v>Pdgfrb_116280</v>
      </c>
      <c r="J5355" s="3">
        <v>0</v>
      </c>
      <c r="K5355" s="3">
        <v>202</v>
      </c>
      <c r="L5355" s="3">
        <v>6785</v>
      </c>
      <c r="M5355" s="3">
        <v>36254</v>
      </c>
      <c r="N5355" s="3">
        <v>73039</v>
      </c>
    </row>
    <row r="5356" spans="1:14" x14ac:dyDescent="0.2">
      <c r="A5356" s="5" t="str">
        <f>HYPERLINK("http://www.ncbi.nlm.nih.gov/protein/226371752","Pdgfrb")</f>
        <v>Pdgfrb</v>
      </c>
      <c r="B5356" s="4"/>
      <c r="C5356" s="3">
        <v>0</v>
      </c>
      <c r="D5356" s="3">
        <v>202</v>
      </c>
      <c r="E5356" s="3">
        <v>6785</v>
      </c>
      <c r="F5356" s="3">
        <v>36254</v>
      </c>
      <c r="G5356" s="3">
        <v>73039</v>
      </c>
      <c r="H5356" s="2">
        <f t="shared" si="166"/>
        <v>116280</v>
      </c>
      <c r="I5356" t="str">
        <f t="shared" si="167"/>
        <v>Pdgfrb_116280</v>
      </c>
      <c r="J5356" s="3">
        <v>0</v>
      </c>
      <c r="K5356" s="3">
        <v>202</v>
      </c>
      <c r="L5356" s="3">
        <v>6785</v>
      </c>
      <c r="M5356" s="3">
        <v>36254</v>
      </c>
      <c r="N5356" s="3">
        <v>73039</v>
      </c>
    </row>
    <row r="5357" spans="1:14" x14ac:dyDescent="0.2">
      <c r="A5357" s="5" t="str">
        <f>HYPERLINK("http://www.ncbi.nlm.nih.gov/protein/6679261","Pdha1")</f>
        <v>Pdha1</v>
      </c>
      <c r="B5357" s="4"/>
      <c r="C5357" s="3">
        <v>63980</v>
      </c>
      <c r="D5357" s="3">
        <v>17921</v>
      </c>
      <c r="E5357" s="3">
        <v>407</v>
      </c>
      <c r="F5357" s="3">
        <v>319</v>
      </c>
      <c r="G5357" s="3">
        <v>0</v>
      </c>
      <c r="H5357" s="2">
        <f t="shared" si="166"/>
        <v>82627</v>
      </c>
      <c r="I5357" t="str">
        <f t="shared" si="167"/>
        <v>Pdha1_82627</v>
      </c>
      <c r="J5357" s="3">
        <v>63980</v>
      </c>
      <c r="K5357" s="3">
        <v>17921</v>
      </c>
      <c r="L5357" s="3">
        <v>407</v>
      </c>
      <c r="M5357" s="3">
        <v>319</v>
      </c>
      <c r="N5357" s="3">
        <v>0</v>
      </c>
    </row>
    <row r="5358" spans="1:14" x14ac:dyDescent="0.2">
      <c r="A5358" s="5" t="str">
        <f>HYPERLINK("http://www.ncbi.nlm.nih.gov/protein/6679263","Pdha2")</f>
        <v>Pdha2</v>
      </c>
      <c r="B5358" s="4"/>
      <c r="C5358" s="3">
        <v>366</v>
      </c>
      <c r="D5358" s="3">
        <v>3127</v>
      </c>
      <c r="E5358" s="3">
        <v>0</v>
      </c>
      <c r="F5358" s="3">
        <v>0</v>
      </c>
      <c r="G5358" s="3">
        <v>0</v>
      </c>
      <c r="H5358" s="2">
        <f t="shared" si="166"/>
        <v>3493</v>
      </c>
      <c r="I5358" t="str">
        <f t="shared" si="167"/>
        <v>Pdha2_3493</v>
      </c>
      <c r="J5358" s="3">
        <v>366</v>
      </c>
      <c r="K5358" s="3">
        <v>3127</v>
      </c>
      <c r="L5358" s="3">
        <v>0</v>
      </c>
      <c r="M5358" s="3">
        <v>0</v>
      </c>
      <c r="N5358" s="3">
        <v>0</v>
      </c>
    </row>
    <row r="5359" spans="1:14" x14ac:dyDescent="0.2">
      <c r="A5359" s="5" t="str">
        <f>HYPERLINK("http://www.ncbi.nlm.nih.gov/protein/18152793","Pdhb")</f>
        <v>Pdhb</v>
      </c>
      <c r="B5359" s="4"/>
      <c r="C5359" s="3">
        <v>67018</v>
      </c>
      <c r="D5359" s="3">
        <v>32237</v>
      </c>
      <c r="E5359" s="3">
        <v>395</v>
      </c>
      <c r="F5359" s="3">
        <v>4584</v>
      </c>
      <c r="G5359" s="3">
        <v>236</v>
      </c>
      <c r="H5359" s="2">
        <f t="shared" si="166"/>
        <v>104470</v>
      </c>
      <c r="I5359" t="str">
        <f t="shared" si="167"/>
        <v>Pdhb_104470</v>
      </c>
      <c r="J5359" s="3">
        <v>67018</v>
      </c>
      <c r="K5359" s="3">
        <v>32237</v>
      </c>
      <c r="L5359" s="3">
        <v>395</v>
      </c>
      <c r="M5359" s="3">
        <v>4584</v>
      </c>
      <c r="N5359" s="3">
        <v>236</v>
      </c>
    </row>
    <row r="5360" spans="1:14" x14ac:dyDescent="0.2">
      <c r="A5360" s="5" t="str">
        <f>HYPERLINK("http://www.ncbi.nlm.nih.gov/protein/28201978","Pdhx")</f>
        <v>Pdhx</v>
      </c>
      <c r="B5360" s="4"/>
      <c r="C5360" s="3">
        <v>3460</v>
      </c>
      <c r="D5360" s="3">
        <v>5624</v>
      </c>
      <c r="E5360" s="3">
        <v>0</v>
      </c>
      <c r="F5360" s="3">
        <v>0</v>
      </c>
      <c r="G5360" s="3">
        <v>0</v>
      </c>
      <c r="H5360" s="2">
        <f t="shared" si="166"/>
        <v>9084</v>
      </c>
      <c r="I5360" t="str">
        <f t="shared" si="167"/>
        <v>Pdhx_9084</v>
      </c>
      <c r="J5360" s="3">
        <v>3460</v>
      </c>
      <c r="K5360" s="3">
        <v>5624</v>
      </c>
      <c r="L5360" s="3">
        <v>0</v>
      </c>
      <c r="M5360" s="3">
        <v>0</v>
      </c>
      <c r="N5360" s="3">
        <v>0</v>
      </c>
    </row>
    <row r="5361" spans="1:14" x14ac:dyDescent="0.2">
      <c r="A5361" s="5" t="str">
        <f>HYPERLINK("http://www.ncbi.nlm.nih.gov/protein/112293264","Pdia3")</f>
        <v>Pdia3</v>
      </c>
      <c r="B5361" s="4"/>
      <c r="C5361" s="3">
        <v>1166459</v>
      </c>
      <c r="D5361" s="3">
        <v>46938</v>
      </c>
      <c r="E5361" s="3">
        <v>148274</v>
      </c>
      <c r="F5361" s="3">
        <v>671</v>
      </c>
      <c r="G5361" s="3">
        <v>337596</v>
      </c>
      <c r="H5361" s="2">
        <f t="shared" si="166"/>
        <v>1699938</v>
      </c>
      <c r="I5361" t="str">
        <f t="shared" si="167"/>
        <v>Pdia3_1699938</v>
      </c>
      <c r="J5361" s="3">
        <v>1166459</v>
      </c>
      <c r="K5361" s="3">
        <v>46938</v>
      </c>
      <c r="L5361" s="3">
        <v>148274</v>
      </c>
      <c r="M5361" s="3">
        <v>671</v>
      </c>
      <c r="N5361" s="3">
        <v>337596</v>
      </c>
    </row>
    <row r="5362" spans="1:14" x14ac:dyDescent="0.2">
      <c r="A5362" s="5" t="str">
        <f>HYPERLINK("http://www.ncbi.nlm.nih.gov/protein/86198316","Pdia4")</f>
        <v>Pdia4</v>
      </c>
      <c r="B5362" s="4"/>
      <c r="C5362" s="3">
        <v>145130</v>
      </c>
      <c r="D5362" s="3">
        <v>37162</v>
      </c>
      <c r="E5362" s="3">
        <v>38250</v>
      </c>
      <c r="F5362" s="3">
        <v>0</v>
      </c>
      <c r="G5362" s="3">
        <v>36037</v>
      </c>
      <c r="H5362" s="2">
        <f t="shared" si="166"/>
        <v>256579</v>
      </c>
      <c r="I5362" t="str">
        <f t="shared" si="167"/>
        <v>Pdia4_256579</v>
      </c>
      <c r="J5362" s="3">
        <v>145130</v>
      </c>
      <c r="K5362" s="3">
        <v>37162</v>
      </c>
      <c r="L5362" s="3">
        <v>38250</v>
      </c>
      <c r="M5362" s="3">
        <v>0</v>
      </c>
      <c r="N5362" s="3">
        <v>36037</v>
      </c>
    </row>
    <row r="5363" spans="1:14" x14ac:dyDescent="0.2">
      <c r="A5363" s="5" t="str">
        <f>HYPERLINK("http://www.ncbi.nlm.nih.gov/protein/30794140","Pdia5")</f>
        <v>Pdia5</v>
      </c>
      <c r="B5363" s="4"/>
      <c r="C5363" s="3">
        <v>0</v>
      </c>
      <c r="D5363" s="3">
        <v>27</v>
      </c>
      <c r="E5363" s="3">
        <v>120</v>
      </c>
      <c r="F5363" s="3">
        <v>0</v>
      </c>
      <c r="G5363" s="3">
        <v>0</v>
      </c>
      <c r="H5363" s="2">
        <f t="shared" si="166"/>
        <v>147</v>
      </c>
      <c r="I5363" t="str">
        <f t="shared" si="167"/>
        <v>Pdia5_147</v>
      </c>
      <c r="J5363" s="3">
        <v>0</v>
      </c>
      <c r="K5363" s="3">
        <v>27</v>
      </c>
      <c r="L5363" s="3">
        <v>120</v>
      </c>
      <c r="M5363" s="3">
        <v>0</v>
      </c>
      <c r="N5363" s="3">
        <v>0</v>
      </c>
    </row>
    <row r="5364" spans="1:14" x14ac:dyDescent="0.2">
      <c r="A5364" s="5" t="str">
        <f>HYPERLINK("http://www.ncbi.nlm.nih.gov/protein/377833208","Pdia6")</f>
        <v>Pdia6</v>
      </c>
      <c r="B5364" s="4"/>
      <c r="C5364" s="3">
        <v>207718</v>
      </c>
      <c r="D5364" s="3">
        <v>32580</v>
      </c>
      <c r="E5364" s="3">
        <v>14807</v>
      </c>
      <c r="F5364" s="3">
        <v>2685</v>
      </c>
      <c r="G5364" s="3">
        <v>37526</v>
      </c>
      <c r="H5364" s="2">
        <f t="shared" si="166"/>
        <v>295316</v>
      </c>
      <c r="I5364" t="str">
        <f t="shared" si="167"/>
        <v>Pdia6_295316</v>
      </c>
      <c r="J5364" s="3">
        <v>207718</v>
      </c>
      <c r="K5364" s="3">
        <v>32580</v>
      </c>
      <c r="L5364" s="3">
        <v>14807</v>
      </c>
      <c r="M5364" s="3">
        <v>2685</v>
      </c>
      <c r="N5364" s="3">
        <v>37526</v>
      </c>
    </row>
    <row r="5365" spans="1:14" x14ac:dyDescent="0.2">
      <c r="A5365" s="5" t="str">
        <f>HYPERLINK("http://www.ncbi.nlm.nih.gov/protein/58037267","Pdia6")</f>
        <v>Pdia6</v>
      </c>
      <c r="B5365" s="4"/>
      <c r="C5365" s="3">
        <v>436397</v>
      </c>
      <c r="D5365" s="3">
        <v>56484</v>
      </c>
      <c r="E5365" s="3">
        <v>36533</v>
      </c>
      <c r="F5365" s="3">
        <v>4117</v>
      </c>
      <c r="G5365" s="3">
        <v>61655</v>
      </c>
      <c r="H5365" s="2">
        <f t="shared" si="166"/>
        <v>595186</v>
      </c>
      <c r="I5365" t="str">
        <f t="shared" si="167"/>
        <v>Pdia6_595186</v>
      </c>
      <c r="J5365" s="3">
        <v>436397</v>
      </c>
      <c r="K5365" s="3">
        <v>56484</v>
      </c>
      <c r="L5365" s="3">
        <v>36533</v>
      </c>
      <c r="M5365" s="3">
        <v>4117</v>
      </c>
      <c r="N5365" s="3">
        <v>61655</v>
      </c>
    </row>
    <row r="5366" spans="1:14" x14ac:dyDescent="0.2">
      <c r="A5366" s="5" t="str">
        <f>HYPERLINK("http://www.ncbi.nlm.nih.gov/protein/110625975","Pdk1")</f>
        <v>Pdk1</v>
      </c>
      <c r="B5366" s="4"/>
      <c r="C5366" s="3">
        <v>30717</v>
      </c>
      <c r="D5366" s="3">
        <v>12270</v>
      </c>
      <c r="E5366" s="3">
        <v>260</v>
      </c>
      <c r="F5366" s="3">
        <v>0</v>
      </c>
      <c r="G5366" s="3">
        <v>0</v>
      </c>
      <c r="H5366" s="2">
        <f t="shared" si="166"/>
        <v>43247</v>
      </c>
      <c r="I5366" t="str">
        <f t="shared" si="167"/>
        <v>Pdk1_43247</v>
      </c>
      <c r="J5366" s="3">
        <v>30717</v>
      </c>
      <c r="K5366" s="3">
        <v>12270</v>
      </c>
      <c r="L5366" s="3">
        <v>260</v>
      </c>
      <c r="M5366" s="3">
        <v>0</v>
      </c>
      <c r="N5366" s="3">
        <v>0</v>
      </c>
    </row>
    <row r="5367" spans="1:14" x14ac:dyDescent="0.2">
      <c r="A5367" s="5" t="str">
        <f>HYPERLINK("http://www.ncbi.nlm.nih.gov/protein/226958643","Pdk2")</f>
        <v>Pdk2</v>
      </c>
      <c r="B5367" s="4"/>
      <c r="C5367" s="3">
        <v>0</v>
      </c>
      <c r="D5367" s="3">
        <v>92</v>
      </c>
      <c r="E5367" s="3">
        <v>0</v>
      </c>
      <c r="F5367" s="3">
        <v>0</v>
      </c>
      <c r="G5367" s="3">
        <v>0</v>
      </c>
      <c r="H5367" s="2">
        <f t="shared" si="166"/>
        <v>92</v>
      </c>
      <c r="I5367" t="str">
        <f t="shared" si="167"/>
        <v>Pdk2_92</v>
      </c>
      <c r="J5367" s="3">
        <v>0</v>
      </c>
      <c r="K5367" s="3">
        <v>92</v>
      </c>
      <c r="L5367" s="3">
        <v>0</v>
      </c>
      <c r="M5367" s="3">
        <v>0</v>
      </c>
      <c r="N5367" s="3">
        <v>0</v>
      </c>
    </row>
    <row r="5368" spans="1:14" x14ac:dyDescent="0.2">
      <c r="A5368" s="5" t="str">
        <f>HYPERLINK("http://www.ncbi.nlm.nih.gov/protein/21704122","Pdk3")</f>
        <v>Pdk3</v>
      </c>
      <c r="B5368" s="4"/>
      <c r="C5368" s="3">
        <v>3167</v>
      </c>
      <c r="D5368" s="3">
        <v>7586</v>
      </c>
      <c r="E5368" s="3">
        <v>0</v>
      </c>
      <c r="F5368" s="3">
        <v>0</v>
      </c>
      <c r="G5368" s="3">
        <v>0</v>
      </c>
      <c r="H5368" s="2">
        <f t="shared" si="166"/>
        <v>10753</v>
      </c>
      <c r="I5368" t="str">
        <f t="shared" si="167"/>
        <v>Pdk3_10753</v>
      </c>
      <c r="J5368" s="3">
        <v>3167</v>
      </c>
      <c r="K5368" s="3">
        <v>7586</v>
      </c>
      <c r="L5368" s="3">
        <v>0</v>
      </c>
      <c r="M5368" s="3">
        <v>0</v>
      </c>
      <c r="N5368" s="3">
        <v>0</v>
      </c>
    </row>
    <row r="5369" spans="1:14" x14ac:dyDescent="0.2">
      <c r="A5369" s="5" t="str">
        <f>HYPERLINK("http://www.ncbi.nlm.nih.gov/protein/158635992","Pdlim1")</f>
        <v>Pdlim1</v>
      </c>
      <c r="B5369" s="4"/>
      <c r="C5369" s="3">
        <v>0</v>
      </c>
      <c r="D5369" s="3">
        <v>6</v>
      </c>
      <c r="E5369" s="3">
        <v>511</v>
      </c>
      <c r="F5369" s="3">
        <v>0</v>
      </c>
      <c r="G5369" s="3">
        <v>107513</v>
      </c>
      <c r="H5369" s="2">
        <f t="shared" si="166"/>
        <v>108030</v>
      </c>
      <c r="I5369" t="str">
        <f t="shared" si="167"/>
        <v>Pdlim1_108030</v>
      </c>
      <c r="J5369" s="3">
        <v>0</v>
      </c>
      <c r="K5369" s="3">
        <v>6</v>
      </c>
      <c r="L5369" s="3">
        <v>511</v>
      </c>
      <c r="M5369" s="3">
        <v>0</v>
      </c>
      <c r="N5369" s="3">
        <v>107513</v>
      </c>
    </row>
    <row r="5370" spans="1:14" x14ac:dyDescent="0.2">
      <c r="A5370" s="5" t="str">
        <f>HYPERLINK("http://www.ncbi.nlm.nih.gov/protein/22122423","Pdlim2")</f>
        <v>Pdlim2</v>
      </c>
      <c r="B5370" s="4"/>
      <c r="C5370" s="3">
        <v>0</v>
      </c>
      <c r="D5370" s="3">
        <v>0</v>
      </c>
      <c r="E5370" s="3">
        <v>0</v>
      </c>
      <c r="F5370" s="3">
        <v>0</v>
      </c>
      <c r="G5370" s="3">
        <v>3545</v>
      </c>
      <c r="H5370" s="2">
        <f t="shared" si="166"/>
        <v>3545</v>
      </c>
      <c r="I5370" t="str">
        <f t="shared" si="167"/>
        <v>Pdlim2_3545</v>
      </c>
      <c r="J5370" s="3">
        <v>0</v>
      </c>
      <c r="K5370" s="3">
        <v>0</v>
      </c>
      <c r="L5370" s="3">
        <v>0</v>
      </c>
      <c r="M5370" s="3">
        <v>0</v>
      </c>
      <c r="N5370" s="3">
        <v>3545</v>
      </c>
    </row>
    <row r="5371" spans="1:14" x14ac:dyDescent="0.2">
      <c r="A5371" s="5" t="str">
        <f>HYPERLINK("http://www.ncbi.nlm.nih.gov/protein/170650625","Pdlim5")</f>
        <v>Pdlim5</v>
      </c>
      <c r="B5371" s="4"/>
      <c r="C5371" s="3">
        <v>0</v>
      </c>
      <c r="D5371" s="3">
        <v>2486</v>
      </c>
      <c r="E5371" s="3">
        <v>1408</v>
      </c>
      <c r="F5371" s="3">
        <v>0</v>
      </c>
      <c r="G5371" s="3">
        <v>14040</v>
      </c>
      <c r="H5371" s="2">
        <f t="shared" si="166"/>
        <v>17934</v>
      </c>
      <c r="I5371" t="str">
        <f t="shared" si="167"/>
        <v>Pdlim5_17934</v>
      </c>
      <c r="J5371" s="3">
        <v>0</v>
      </c>
      <c r="K5371" s="3">
        <v>2486</v>
      </c>
      <c r="L5371" s="3">
        <v>1408</v>
      </c>
      <c r="M5371" s="3">
        <v>0</v>
      </c>
      <c r="N5371" s="3">
        <v>14040</v>
      </c>
    </row>
    <row r="5372" spans="1:14" x14ac:dyDescent="0.2">
      <c r="A5372" s="5" t="str">
        <f>HYPERLINK("http://www.ncbi.nlm.nih.gov/protein/170650627","Pdlim5")</f>
        <v>Pdlim5</v>
      </c>
      <c r="B5372" s="4"/>
      <c r="C5372" s="3">
        <v>0</v>
      </c>
      <c r="D5372" s="3">
        <v>3964</v>
      </c>
      <c r="E5372" s="3">
        <v>2602</v>
      </c>
      <c r="F5372" s="3">
        <v>0</v>
      </c>
      <c r="G5372" s="3">
        <v>30447</v>
      </c>
      <c r="H5372" s="2">
        <f t="shared" si="166"/>
        <v>37013</v>
      </c>
      <c r="I5372" t="str">
        <f t="shared" si="167"/>
        <v>Pdlim5_37013</v>
      </c>
      <c r="J5372" s="3">
        <v>0</v>
      </c>
      <c r="K5372" s="3">
        <v>3964</v>
      </c>
      <c r="L5372" s="3">
        <v>2602</v>
      </c>
      <c r="M5372" s="3">
        <v>0</v>
      </c>
      <c r="N5372" s="3">
        <v>30447</v>
      </c>
    </row>
    <row r="5373" spans="1:14" x14ac:dyDescent="0.2">
      <c r="A5373" s="5" t="str">
        <f>HYPERLINK("http://www.ncbi.nlm.nih.gov/protein/300069034","Pdlim5")</f>
        <v>Pdlim5</v>
      </c>
      <c r="B5373" s="4"/>
      <c r="C5373" s="3">
        <v>0</v>
      </c>
      <c r="D5373" s="3">
        <v>2463</v>
      </c>
      <c r="E5373" s="3">
        <v>1408</v>
      </c>
      <c r="F5373" s="3">
        <v>0</v>
      </c>
      <c r="G5373" s="3">
        <v>14040</v>
      </c>
      <c r="H5373" s="2">
        <f t="shared" si="166"/>
        <v>17911</v>
      </c>
      <c r="I5373" t="str">
        <f t="shared" si="167"/>
        <v>Pdlim5_17911</v>
      </c>
      <c r="J5373" s="3">
        <v>0</v>
      </c>
      <c r="K5373" s="3">
        <v>2463</v>
      </c>
      <c r="L5373" s="3">
        <v>1408</v>
      </c>
      <c r="M5373" s="3">
        <v>0</v>
      </c>
      <c r="N5373" s="3">
        <v>14040</v>
      </c>
    </row>
    <row r="5374" spans="1:14" x14ac:dyDescent="0.2">
      <c r="A5374" s="5" t="str">
        <f>HYPERLINK("http://www.ncbi.nlm.nih.gov/protein/300069043","Pdlim5")</f>
        <v>Pdlim5</v>
      </c>
      <c r="B5374" s="4"/>
      <c r="C5374" s="3">
        <v>0</v>
      </c>
      <c r="D5374" s="3">
        <v>2486</v>
      </c>
      <c r="E5374" s="3">
        <v>1408</v>
      </c>
      <c r="F5374" s="3">
        <v>0</v>
      </c>
      <c r="G5374" s="3">
        <v>14040</v>
      </c>
      <c r="H5374" s="2">
        <f t="shared" si="166"/>
        <v>17934</v>
      </c>
      <c r="I5374" t="str">
        <f t="shared" si="167"/>
        <v>Pdlim5_17934</v>
      </c>
      <c r="J5374" s="3">
        <v>0</v>
      </c>
      <c r="K5374" s="3">
        <v>2486</v>
      </c>
      <c r="L5374" s="3">
        <v>1408</v>
      </c>
      <c r="M5374" s="3">
        <v>0</v>
      </c>
      <c r="N5374" s="3">
        <v>14040</v>
      </c>
    </row>
    <row r="5375" spans="1:14" x14ac:dyDescent="0.2">
      <c r="A5375" s="5" t="str">
        <f>HYPERLINK("http://www.ncbi.nlm.nih.gov/protein/170650623","Pdlim5")</f>
        <v>Pdlim5</v>
      </c>
      <c r="B5375" s="4"/>
      <c r="C5375" s="3">
        <v>1776</v>
      </c>
      <c r="D5375" s="3">
        <v>11043</v>
      </c>
      <c r="E5375" s="3">
        <v>9269</v>
      </c>
      <c r="F5375" s="3">
        <v>0</v>
      </c>
      <c r="G5375" s="3">
        <v>81949</v>
      </c>
      <c r="H5375" s="2">
        <f t="shared" si="166"/>
        <v>104037</v>
      </c>
      <c r="I5375" t="str">
        <f t="shared" si="167"/>
        <v>Pdlim5_104037</v>
      </c>
      <c r="J5375" s="3">
        <v>1776</v>
      </c>
      <c r="K5375" s="3">
        <v>11043</v>
      </c>
      <c r="L5375" s="3">
        <v>9269</v>
      </c>
      <c r="M5375" s="3">
        <v>0</v>
      </c>
      <c r="N5375" s="3">
        <v>81949</v>
      </c>
    </row>
    <row r="5376" spans="1:14" x14ac:dyDescent="0.2">
      <c r="A5376" s="5" t="str">
        <f>HYPERLINK("http://www.ncbi.nlm.nih.gov/protein/300069024","Pdlim5")</f>
        <v>Pdlim5</v>
      </c>
      <c r="B5376" s="4"/>
      <c r="C5376" s="3">
        <v>1776</v>
      </c>
      <c r="D5376" s="3">
        <v>9281</v>
      </c>
      <c r="E5376" s="3">
        <v>8075</v>
      </c>
      <c r="F5376" s="3">
        <v>0</v>
      </c>
      <c r="G5376" s="3">
        <v>65531</v>
      </c>
      <c r="H5376" s="2">
        <f t="shared" si="166"/>
        <v>84663</v>
      </c>
      <c r="I5376" t="str">
        <f t="shared" si="167"/>
        <v>Pdlim5_84663</v>
      </c>
      <c r="J5376" s="3">
        <v>1776</v>
      </c>
      <c r="K5376" s="3">
        <v>9281</v>
      </c>
      <c r="L5376" s="3">
        <v>8075</v>
      </c>
      <c r="M5376" s="3">
        <v>0</v>
      </c>
      <c r="N5376" s="3">
        <v>65531</v>
      </c>
    </row>
    <row r="5377" spans="1:14" x14ac:dyDescent="0.2">
      <c r="A5377" s="5" t="str">
        <f>HYPERLINK("http://www.ncbi.nlm.nih.gov/protein/300069036","Pdlim5")</f>
        <v>Pdlim5</v>
      </c>
      <c r="B5377" s="4"/>
      <c r="C5377" s="3">
        <v>1776</v>
      </c>
      <c r="D5377" s="3">
        <v>9565</v>
      </c>
      <c r="E5377" s="3">
        <v>8075</v>
      </c>
      <c r="F5377" s="3">
        <v>0</v>
      </c>
      <c r="G5377" s="3">
        <v>65531</v>
      </c>
      <c r="H5377" s="2">
        <f t="shared" si="166"/>
        <v>84947</v>
      </c>
      <c r="I5377" t="str">
        <f t="shared" si="167"/>
        <v>Pdlim5_84947</v>
      </c>
      <c r="J5377" s="3">
        <v>1776</v>
      </c>
      <c r="K5377" s="3">
        <v>9565</v>
      </c>
      <c r="L5377" s="3">
        <v>8075</v>
      </c>
      <c r="M5377" s="3">
        <v>0</v>
      </c>
      <c r="N5377" s="3">
        <v>65531</v>
      </c>
    </row>
    <row r="5378" spans="1:14" x14ac:dyDescent="0.2">
      <c r="A5378" s="5" t="str">
        <f>HYPERLINK("http://www.ncbi.nlm.nih.gov/protein/300069038","Pdlim5")</f>
        <v>Pdlim5</v>
      </c>
      <c r="B5378" s="4"/>
      <c r="C5378" s="3">
        <v>1776</v>
      </c>
      <c r="D5378" s="3">
        <v>9281</v>
      </c>
      <c r="E5378" s="3">
        <v>8075</v>
      </c>
      <c r="F5378" s="3">
        <v>0</v>
      </c>
      <c r="G5378" s="3">
        <v>65531</v>
      </c>
      <c r="H5378" s="2">
        <f t="shared" ref="H5378:H5441" si="168">SUM(C5378:G5378)</f>
        <v>84663</v>
      </c>
      <c r="I5378" t="str">
        <f t="shared" ref="I5378:I5441" si="169">A5378&amp;"_"&amp;H5378</f>
        <v>Pdlim5_84663</v>
      </c>
      <c r="J5378" s="3">
        <v>1776</v>
      </c>
      <c r="K5378" s="3">
        <v>9281</v>
      </c>
      <c r="L5378" s="3">
        <v>8075</v>
      </c>
      <c r="M5378" s="3">
        <v>0</v>
      </c>
      <c r="N5378" s="3">
        <v>65531</v>
      </c>
    </row>
    <row r="5379" spans="1:14" x14ac:dyDescent="0.2">
      <c r="A5379" s="5" t="str">
        <f>HYPERLINK("http://www.ncbi.nlm.nih.gov/protein/300069041","Pdlim5")</f>
        <v>Pdlim5</v>
      </c>
      <c r="B5379" s="4"/>
      <c r="C5379" s="3">
        <v>1776</v>
      </c>
      <c r="D5379" s="3">
        <v>9281</v>
      </c>
      <c r="E5379" s="3">
        <v>8075</v>
      </c>
      <c r="F5379" s="3">
        <v>0</v>
      </c>
      <c r="G5379" s="3">
        <v>65531</v>
      </c>
      <c r="H5379" s="2">
        <f t="shared" si="168"/>
        <v>84663</v>
      </c>
      <c r="I5379" t="str">
        <f t="shared" si="169"/>
        <v>Pdlim5_84663</v>
      </c>
      <c r="J5379" s="3">
        <v>1776</v>
      </c>
      <c r="K5379" s="3">
        <v>9281</v>
      </c>
      <c r="L5379" s="3">
        <v>8075</v>
      </c>
      <c r="M5379" s="3">
        <v>0</v>
      </c>
      <c r="N5379" s="3">
        <v>65531</v>
      </c>
    </row>
    <row r="5380" spans="1:14" x14ac:dyDescent="0.2">
      <c r="A5380" s="5" t="str">
        <f>HYPERLINK("http://www.ncbi.nlm.nih.gov/protein/166197677","Pdlim7")</f>
        <v>Pdlim7</v>
      </c>
      <c r="B5380" s="4"/>
      <c r="C5380" s="3">
        <v>0</v>
      </c>
      <c r="D5380" s="3">
        <v>0</v>
      </c>
      <c r="E5380" s="3">
        <v>205</v>
      </c>
      <c r="F5380" s="3">
        <v>0</v>
      </c>
      <c r="G5380" s="3">
        <v>0</v>
      </c>
      <c r="H5380" s="2">
        <f t="shared" si="168"/>
        <v>205</v>
      </c>
      <c r="I5380" t="str">
        <f t="shared" si="169"/>
        <v>Pdlim7_205</v>
      </c>
      <c r="J5380" s="3">
        <v>0</v>
      </c>
      <c r="K5380" s="3">
        <v>0</v>
      </c>
      <c r="L5380" s="3">
        <v>205</v>
      </c>
      <c r="M5380" s="3">
        <v>0</v>
      </c>
      <c r="N5380" s="3">
        <v>0</v>
      </c>
    </row>
    <row r="5381" spans="1:14" x14ac:dyDescent="0.2">
      <c r="A5381" s="5" t="str">
        <f>HYPERLINK("http://www.ncbi.nlm.nih.gov/protein/166197679","Pdlim7")</f>
        <v>Pdlim7</v>
      </c>
      <c r="B5381" s="4"/>
      <c r="C5381" s="3">
        <v>0</v>
      </c>
      <c r="D5381" s="3">
        <v>0</v>
      </c>
      <c r="E5381" s="3">
        <v>205</v>
      </c>
      <c r="F5381" s="3">
        <v>0</v>
      </c>
      <c r="G5381" s="3">
        <v>0</v>
      </c>
      <c r="H5381" s="2">
        <f t="shared" si="168"/>
        <v>205</v>
      </c>
      <c r="I5381" t="str">
        <f t="shared" si="169"/>
        <v>Pdlim7_205</v>
      </c>
      <c r="J5381" s="3">
        <v>0</v>
      </c>
      <c r="K5381" s="3">
        <v>0</v>
      </c>
      <c r="L5381" s="3">
        <v>205</v>
      </c>
      <c r="M5381" s="3">
        <v>0</v>
      </c>
      <c r="N5381" s="3">
        <v>0</v>
      </c>
    </row>
    <row r="5382" spans="1:14" x14ac:dyDescent="0.2">
      <c r="A5382" s="5" t="str">
        <f>HYPERLINK("http://www.ncbi.nlm.nih.gov/protein/166197681","Pdlim7")</f>
        <v>Pdlim7</v>
      </c>
      <c r="B5382" s="4"/>
      <c r="C5382" s="3">
        <v>0</v>
      </c>
      <c r="D5382" s="3">
        <v>1666</v>
      </c>
      <c r="E5382" s="3">
        <v>1299</v>
      </c>
      <c r="F5382" s="3">
        <v>1547</v>
      </c>
      <c r="G5382" s="3">
        <v>621</v>
      </c>
      <c r="H5382" s="2">
        <f t="shared" si="168"/>
        <v>5133</v>
      </c>
      <c r="I5382" t="str">
        <f t="shared" si="169"/>
        <v>Pdlim7_5133</v>
      </c>
      <c r="J5382" s="3">
        <v>0</v>
      </c>
      <c r="K5382" s="3">
        <v>1666</v>
      </c>
      <c r="L5382" s="3">
        <v>1299</v>
      </c>
      <c r="M5382" s="3">
        <v>1547</v>
      </c>
      <c r="N5382" s="3">
        <v>621</v>
      </c>
    </row>
    <row r="5383" spans="1:14" x14ac:dyDescent="0.2">
      <c r="A5383" s="5" t="str">
        <f>HYPERLINK("http://www.ncbi.nlm.nih.gov/protein/148277602","Pdp1")</f>
        <v>Pdp1</v>
      </c>
      <c r="B5383" s="4"/>
      <c r="C5383" s="3">
        <v>0</v>
      </c>
      <c r="D5383" s="3">
        <v>440</v>
      </c>
      <c r="E5383" s="3">
        <v>0</v>
      </c>
      <c r="F5383" s="3">
        <v>0</v>
      </c>
      <c r="G5383" s="3">
        <v>0</v>
      </c>
      <c r="H5383" s="2">
        <f t="shared" si="168"/>
        <v>440</v>
      </c>
      <c r="I5383" t="str">
        <f t="shared" si="169"/>
        <v>Pdp1_440</v>
      </c>
      <c r="J5383" s="3">
        <v>0</v>
      </c>
      <c r="K5383" s="3">
        <v>440</v>
      </c>
      <c r="L5383" s="3">
        <v>0</v>
      </c>
      <c r="M5383" s="3">
        <v>0</v>
      </c>
      <c r="N5383" s="3">
        <v>0</v>
      </c>
    </row>
    <row r="5384" spans="1:14" x14ac:dyDescent="0.2">
      <c r="A5384" s="5" t="str">
        <f>HYPERLINK("http://www.ncbi.nlm.nih.gov/protein/148277650","Pdp1")</f>
        <v>Pdp1</v>
      </c>
      <c r="B5384" s="4"/>
      <c r="C5384" s="3">
        <v>0</v>
      </c>
      <c r="D5384" s="3">
        <v>440</v>
      </c>
      <c r="E5384" s="3">
        <v>0</v>
      </c>
      <c r="F5384" s="3">
        <v>0</v>
      </c>
      <c r="G5384" s="3">
        <v>0</v>
      </c>
      <c r="H5384" s="2">
        <f t="shared" si="168"/>
        <v>440</v>
      </c>
      <c r="I5384" t="str">
        <f t="shared" si="169"/>
        <v>Pdp1_440</v>
      </c>
      <c r="J5384" s="3">
        <v>0</v>
      </c>
      <c r="K5384" s="3">
        <v>440</v>
      </c>
      <c r="L5384" s="3">
        <v>0</v>
      </c>
      <c r="M5384" s="3">
        <v>0</v>
      </c>
      <c r="N5384" s="3">
        <v>0</v>
      </c>
    </row>
    <row r="5385" spans="1:14" x14ac:dyDescent="0.2">
      <c r="A5385" s="5" t="str">
        <f>HYPERLINK("http://www.ncbi.nlm.nih.gov/protein/84794625","Pdp1")</f>
        <v>Pdp1</v>
      </c>
      <c r="B5385" s="4"/>
      <c r="C5385" s="3">
        <v>0</v>
      </c>
      <c r="D5385" s="3">
        <v>440</v>
      </c>
      <c r="E5385" s="3">
        <v>0</v>
      </c>
      <c r="F5385" s="3">
        <v>0</v>
      </c>
      <c r="G5385" s="3">
        <v>0</v>
      </c>
      <c r="H5385" s="2">
        <f t="shared" si="168"/>
        <v>440</v>
      </c>
      <c r="I5385" t="str">
        <f t="shared" si="169"/>
        <v>Pdp1_440</v>
      </c>
      <c r="J5385" s="3">
        <v>0</v>
      </c>
      <c r="K5385" s="3">
        <v>440</v>
      </c>
      <c r="L5385" s="3">
        <v>0</v>
      </c>
      <c r="M5385" s="3">
        <v>0</v>
      </c>
      <c r="N5385" s="3">
        <v>0</v>
      </c>
    </row>
    <row r="5386" spans="1:14" x14ac:dyDescent="0.2">
      <c r="A5386" s="5" t="str">
        <f>HYPERLINK("http://www.ncbi.nlm.nih.gov/protein/124107594","Pdpk1")</f>
        <v>Pdpk1</v>
      </c>
      <c r="B5386" s="4"/>
      <c r="C5386" s="3">
        <v>0</v>
      </c>
      <c r="D5386" s="3">
        <v>0</v>
      </c>
      <c r="E5386" s="3">
        <v>0</v>
      </c>
      <c r="F5386" s="3">
        <v>0</v>
      </c>
      <c r="G5386" s="3">
        <v>3234</v>
      </c>
      <c r="H5386" s="2">
        <f t="shared" si="168"/>
        <v>3234</v>
      </c>
      <c r="I5386" t="str">
        <f t="shared" si="169"/>
        <v>Pdpk1_3234</v>
      </c>
      <c r="J5386" s="3">
        <v>0</v>
      </c>
      <c r="K5386" s="3">
        <v>0</v>
      </c>
      <c r="L5386" s="3">
        <v>0</v>
      </c>
      <c r="M5386" s="3">
        <v>0</v>
      </c>
      <c r="N5386" s="3">
        <v>3234</v>
      </c>
    </row>
    <row r="5387" spans="1:14" x14ac:dyDescent="0.2">
      <c r="A5387" s="5" t="str">
        <f>HYPERLINK("http://www.ncbi.nlm.nih.gov/protein/124107598","Pdpk1")</f>
        <v>Pdpk1</v>
      </c>
      <c r="B5387" s="4"/>
      <c r="C5387" s="3">
        <v>0</v>
      </c>
      <c r="D5387" s="3">
        <v>0</v>
      </c>
      <c r="E5387" s="3">
        <v>0</v>
      </c>
      <c r="F5387" s="3">
        <v>0</v>
      </c>
      <c r="G5387" s="3">
        <v>3234</v>
      </c>
      <c r="H5387" s="2">
        <f t="shared" si="168"/>
        <v>3234</v>
      </c>
      <c r="I5387" t="str">
        <f t="shared" si="169"/>
        <v>Pdpk1_3234</v>
      </c>
      <c r="J5387" s="3">
        <v>0</v>
      </c>
      <c r="K5387" s="3">
        <v>0</v>
      </c>
      <c r="L5387" s="3">
        <v>0</v>
      </c>
      <c r="M5387" s="3">
        <v>0</v>
      </c>
      <c r="N5387" s="3">
        <v>3234</v>
      </c>
    </row>
    <row r="5388" spans="1:14" x14ac:dyDescent="0.2">
      <c r="A5388" s="5" t="str">
        <f>HYPERLINK("http://www.ncbi.nlm.nih.gov/protein/38142488","Pdpr")</f>
        <v>Pdpr</v>
      </c>
      <c r="B5388" s="4"/>
      <c r="C5388" s="3">
        <v>0</v>
      </c>
      <c r="D5388" s="3">
        <v>827</v>
      </c>
      <c r="E5388" s="3">
        <v>0</v>
      </c>
      <c r="F5388" s="3">
        <v>0</v>
      </c>
      <c r="G5388" s="3">
        <v>0</v>
      </c>
      <c r="H5388" s="2">
        <f t="shared" si="168"/>
        <v>827</v>
      </c>
      <c r="I5388" t="str">
        <f t="shared" si="169"/>
        <v>Pdpr_827</v>
      </c>
      <c r="J5388" s="3">
        <v>0</v>
      </c>
      <c r="K5388" s="3">
        <v>827</v>
      </c>
      <c r="L5388" s="3">
        <v>0</v>
      </c>
      <c r="M5388" s="3">
        <v>0</v>
      </c>
      <c r="N5388" s="3">
        <v>0</v>
      </c>
    </row>
    <row r="5389" spans="1:14" x14ac:dyDescent="0.2">
      <c r="A5389" s="5" t="str">
        <f>HYPERLINK("http://www.ncbi.nlm.nih.gov/protein/32490570","Pdrg1")</f>
        <v>Pdrg1</v>
      </c>
      <c r="B5389" s="4"/>
      <c r="C5389" s="3">
        <v>0</v>
      </c>
      <c r="D5389" s="3">
        <v>42</v>
      </c>
      <c r="E5389" s="3">
        <v>117</v>
      </c>
      <c r="F5389" s="3">
        <v>802</v>
      </c>
      <c r="G5389" s="3">
        <v>0</v>
      </c>
      <c r="H5389" s="2">
        <f t="shared" si="168"/>
        <v>961</v>
      </c>
      <c r="I5389" t="str">
        <f t="shared" si="169"/>
        <v>Pdrg1_961</v>
      </c>
      <c r="J5389" s="3">
        <v>0</v>
      </c>
      <c r="K5389" s="3">
        <v>42</v>
      </c>
      <c r="L5389" s="3">
        <v>117</v>
      </c>
      <c r="M5389" s="3">
        <v>802</v>
      </c>
      <c r="N5389" s="3">
        <v>0</v>
      </c>
    </row>
    <row r="5390" spans="1:14" x14ac:dyDescent="0.2">
      <c r="A5390" s="5" t="str">
        <f>HYPERLINK("http://www.ncbi.nlm.nih.gov/protein/124486765","Pds5a")</f>
        <v>Pds5a</v>
      </c>
      <c r="B5390" s="4"/>
      <c r="C5390" s="3">
        <v>9519</v>
      </c>
      <c r="D5390" s="3">
        <v>31</v>
      </c>
      <c r="E5390" s="3">
        <v>1747</v>
      </c>
      <c r="F5390" s="3">
        <v>393</v>
      </c>
      <c r="G5390" s="3">
        <v>75</v>
      </c>
      <c r="H5390" s="2">
        <f t="shared" si="168"/>
        <v>11765</v>
      </c>
      <c r="I5390" t="str">
        <f t="shared" si="169"/>
        <v>Pds5a_11765</v>
      </c>
      <c r="J5390" s="3">
        <v>9519</v>
      </c>
      <c r="K5390" s="3">
        <v>31</v>
      </c>
      <c r="L5390" s="3">
        <v>1747</v>
      </c>
      <c r="M5390" s="3">
        <v>393</v>
      </c>
      <c r="N5390" s="3">
        <v>75</v>
      </c>
    </row>
    <row r="5391" spans="1:14" x14ac:dyDescent="0.2">
      <c r="A5391" s="5" t="str">
        <f>HYPERLINK("http://www.ncbi.nlm.nih.gov/protein/66955886","Pds5b")</f>
        <v>Pds5b</v>
      </c>
      <c r="B5391" s="4"/>
      <c r="C5391" s="3">
        <v>4357</v>
      </c>
      <c r="D5391" s="3">
        <v>211</v>
      </c>
      <c r="E5391" s="3">
        <v>2957</v>
      </c>
      <c r="F5391" s="3">
        <v>98</v>
      </c>
      <c r="G5391" s="3">
        <v>0</v>
      </c>
      <c r="H5391" s="2">
        <f t="shared" si="168"/>
        <v>7623</v>
      </c>
      <c r="I5391" t="str">
        <f t="shared" si="169"/>
        <v>Pds5b_7623</v>
      </c>
      <c r="J5391" s="3">
        <v>4357</v>
      </c>
      <c r="K5391" s="3">
        <v>211</v>
      </c>
      <c r="L5391" s="3">
        <v>2957</v>
      </c>
      <c r="M5391" s="3">
        <v>98</v>
      </c>
      <c r="N5391" s="3">
        <v>0</v>
      </c>
    </row>
    <row r="5392" spans="1:14" x14ac:dyDescent="0.2">
      <c r="A5392" s="5" t="str">
        <f>HYPERLINK("http://www.ncbi.nlm.nih.gov/protein/88758582","Pdxdc1")</f>
        <v>Pdxdc1</v>
      </c>
      <c r="B5392" s="4"/>
      <c r="C5392" s="3">
        <v>1867</v>
      </c>
      <c r="D5392" s="3">
        <v>8183</v>
      </c>
      <c r="E5392" s="3">
        <v>2359</v>
      </c>
      <c r="F5392" s="3">
        <v>15945</v>
      </c>
      <c r="G5392" s="3">
        <v>96032</v>
      </c>
      <c r="H5392" s="2">
        <f t="shared" si="168"/>
        <v>124386</v>
      </c>
      <c r="I5392" t="str">
        <f t="shared" si="169"/>
        <v>Pdxdc1_124386</v>
      </c>
      <c r="J5392" s="3">
        <v>1867</v>
      </c>
      <c r="K5392" s="3">
        <v>8183</v>
      </c>
      <c r="L5392" s="3">
        <v>2359</v>
      </c>
      <c r="M5392" s="3">
        <v>15945</v>
      </c>
      <c r="N5392" s="3">
        <v>96032</v>
      </c>
    </row>
    <row r="5393" spans="1:14" x14ac:dyDescent="0.2">
      <c r="A5393" s="5" t="str">
        <f>HYPERLINK("http://www.ncbi.nlm.nih.gov/protein/88758584","Pdxdc1")</f>
        <v>Pdxdc1</v>
      </c>
      <c r="B5393" s="4"/>
      <c r="C5393" s="3">
        <v>1867</v>
      </c>
      <c r="D5393" s="3">
        <v>8183</v>
      </c>
      <c r="E5393" s="3">
        <v>2359</v>
      </c>
      <c r="F5393" s="3">
        <v>15945</v>
      </c>
      <c r="G5393" s="3">
        <v>85141</v>
      </c>
      <c r="H5393" s="2">
        <f t="shared" si="168"/>
        <v>113495</v>
      </c>
      <c r="I5393" t="str">
        <f t="shared" si="169"/>
        <v>Pdxdc1_113495</v>
      </c>
      <c r="J5393" s="3">
        <v>1867</v>
      </c>
      <c r="K5393" s="3">
        <v>8183</v>
      </c>
      <c r="L5393" s="3">
        <v>2359</v>
      </c>
      <c r="M5393" s="3">
        <v>15945</v>
      </c>
      <c r="N5393" s="3">
        <v>85141</v>
      </c>
    </row>
    <row r="5394" spans="1:14" x14ac:dyDescent="0.2">
      <c r="A5394" s="5" t="str">
        <f>HYPERLINK("http://www.ncbi.nlm.nih.gov/protein/26006861","Pdxk")</f>
        <v>Pdxk</v>
      </c>
      <c r="B5394" s="4"/>
      <c r="C5394" s="3">
        <v>0</v>
      </c>
      <c r="D5394" s="3">
        <v>2968</v>
      </c>
      <c r="E5394" s="3">
        <v>3644</v>
      </c>
      <c r="F5394" s="3">
        <v>1498</v>
      </c>
      <c r="G5394" s="3">
        <v>107920</v>
      </c>
      <c r="H5394" s="2">
        <f t="shared" si="168"/>
        <v>116030</v>
      </c>
      <c r="I5394" t="str">
        <f t="shared" si="169"/>
        <v>Pdxk_116030</v>
      </c>
      <c r="J5394" s="3">
        <v>0</v>
      </c>
      <c r="K5394" s="3">
        <v>2968</v>
      </c>
      <c r="L5394" s="3">
        <v>3644</v>
      </c>
      <c r="M5394" s="3">
        <v>1498</v>
      </c>
      <c r="N5394" s="3">
        <v>107920</v>
      </c>
    </row>
    <row r="5395" spans="1:14" x14ac:dyDescent="0.2">
      <c r="A5395" s="5" t="str">
        <f>HYPERLINK("http://www.ncbi.nlm.nih.gov/protein/21312244","Pdzd11")</f>
        <v>Pdzd11</v>
      </c>
      <c r="B5395" s="4"/>
      <c r="C5395" s="3">
        <v>0</v>
      </c>
      <c r="D5395" s="3">
        <v>0</v>
      </c>
      <c r="E5395" s="3">
        <v>105</v>
      </c>
      <c r="F5395" s="3">
        <v>319</v>
      </c>
      <c r="G5395" s="3">
        <v>0</v>
      </c>
      <c r="H5395" s="2">
        <f t="shared" si="168"/>
        <v>424</v>
      </c>
      <c r="I5395" t="str">
        <f t="shared" si="169"/>
        <v>Pdzd11_424</v>
      </c>
      <c r="J5395" s="3">
        <v>0</v>
      </c>
      <c r="K5395" s="3">
        <v>0</v>
      </c>
      <c r="L5395" s="3">
        <v>105</v>
      </c>
      <c r="M5395" s="3">
        <v>319</v>
      </c>
      <c r="N5395" s="3">
        <v>0</v>
      </c>
    </row>
    <row r="5396" spans="1:14" x14ac:dyDescent="0.2">
      <c r="A5396" s="5" t="str">
        <f>HYPERLINK("http://www.ncbi.nlm.nih.gov/protein/305682586","Pdzd7")</f>
        <v>Pdzd7</v>
      </c>
      <c r="B5396" s="4"/>
      <c r="C5396" s="3">
        <v>3661</v>
      </c>
      <c r="D5396" s="3">
        <v>0</v>
      </c>
      <c r="E5396" s="3">
        <v>2919</v>
      </c>
      <c r="F5396" s="3">
        <v>5984</v>
      </c>
      <c r="G5396" s="3">
        <v>0</v>
      </c>
      <c r="H5396" s="2">
        <f t="shared" si="168"/>
        <v>12564</v>
      </c>
      <c r="I5396" t="str">
        <f t="shared" si="169"/>
        <v>Pdzd7_12564</v>
      </c>
      <c r="J5396" s="3">
        <v>3661</v>
      </c>
      <c r="K5396" s="3">
        <v>0</v>
      </c>
      <c r="L5396" s="3">
        <v>2919</v>
      </c>
      <c r="M5396" s="3">
        <v>5984</v>
      </c>
      <c r="N5396" s="3">
        <v>0</v>
      </c>
    </row>
    <row r="5397" spans="1:14" x14ac:dyDescent="0.2">
      <c r="A5397" s="5" t="str">
        <f>HYPERLINK("http://www.ncbi.nlm.nih.gov/protein/164698472","Pdzd8")</f>
        <v>Pdzd8</v>
      </c>
      <c r="B5397" s="4"/>
      <c r="C5397" s="3">
        <v>0</v>
      </c>
      <c r="D5397" s="3">
        <v>29</v>
      </c>
      <c r="E5397" s="3">
        <v>246</v>
      </c>
      <c r="F5397" s="3">
        <v>0</v>
      </c>
      <c r="G5397" s="3">
        <v>0</v>
      </c>
      <c r="H5397" s="2">
        <f t="shared" si="168"/>
        <v>275</v>
      </c>
      <c r="I5397" t="str">
        <f t="shared" si="169"/>
        <v>Pdzd8_275</v>
      </c>
      <c r="J5397" s="3">
        <v>0</v>
      </c>
      <c r="K5397" s="3">
        <v>29</v>
      </c>
      <c r="L5397" s="3">
        <v>246</v>
      </c>
      <c r="M5397" s="3">
        <v>0</v>
      </c>
      <c r="N5397" s="3">
        <v>0</v>
      </c>
    </row>
    <row r="5398" spans="1:14" x14ac:dyDescent="0.2">
      <c r="A5398" s="5" t="str">
        <f>HYPERLINK("http://www.ncbi.nlm.nih.gov/protein/13385522","Pdzk1ip1")</f>
        <v>Pdzk1ip1</v>
      </c>
      <c r="B5398" s="4"/>
      <c r="C5398" s="3">
        <v>2050</v>
      </c>
      <c r="D5398" s="3">
        <v>1616</v>
      </c>
      <c r="E5398" s="3">
        <v>1263</v>
      </c>
      <c r="F5398" s="3">
        <v>1793</v>
      </c>
      <c r="G5398" s="3">
        <v>0</v>
      </c>
      <c r="H5398" s="2">
        <f t="shared" si="168"/>
        <v>6722</v>
      </c>
      <c r="I5398" t="str">
        <f t="shared" si="169"/>
        <v>Pdzk1ip1_6722</v>
      </c>
      <c r="J5398" s="3">
        <v>2050</v>
      </c>
      <c r="K5398" s="3">
        <v>1616</v>
      </c>
      <c r="L5398" s="3">
        <v>1263</v>
      </c>
      <c r="M5398" s="3">
        <v>1793</v>
      </c>
      <c r="N5398" s="3">
        <v>0</v>
      </c>
    </row>
    <row r="5399" spans="1:14" x14ac:dyDescent="0.2">
      <c r="A5399" s="5" t="str">
        <f>HYPERLINK("http://www.ncbi.nlm.nih.gov/protein/257095992","Pdzk1ip1")</f>
        <v>Pdzk1ip1</v>
      </c>
      <c r="B5399" s="4"/>
      <c r="C5399" s="3">
        <v>2050</v>
      </c>
      <c r="D5399" s="3">
        <v>1616</v>
      </c>
      <c r="E5399" s="3">
        <v>1263</v>
      </c>
      <c r="F5399" s="3">
        <v>1793</v>
      </c>
      <c r="G5399" s="3">
        <v>0</v>
      </c>
      <c r="H5399" s="2">
        <f t="shared" si="168"/>
        <v>6722</v>
      </c>
      <c r="I5399" t="str">
        <f t="shared" si="169"/>
        <v>Pdzk1ip1_6722</v>
      </c>
      <c r="J5399" s="3">
        <v>2050</v>
      </c>
      <c r="K5399" s="3">
        <v>1616</v>
      </c>
      <c r="L5399" s="3">
        <v>1263</v>
      </c>
      <c r="M5399" s="3">
        <v>1793</v>
      </c>
      <c r="N5399" s="3">
        <v>0</v>
      </c>
    </row>
    <row r="5400" spans="1:14" x14ac:dyDescent="0.2">
      <c r="A5400" s="5" t="str">
        <f>HYPERLINK("http://www.ncbi.nlm.nih.gov/protein/21426847","Pea15a")</f>
        <v>Pea15a</v>
      </c>
      <c r="B5400" s="4"/>
      <c r="C5400" s="3">
        <v>3551</v>
      </c>
      <c r="D5400" s="3">
        <v>570</v>
      </c>
      <c r="E5400" s="3">
        <v>4748</v>
      </c>
      <c r="F5400" s="3">
        <v>0</v>
      </c>
      <c r="G5400" s="3">
        <v>15250</v>
      </c>
      <c r="H5400" s="2">
        <f t="shared" si="168"/>
        <v>24119</v>
      </c>
      <c r="I5400" t="str">
        <f t="shared" si="169"/>
        <v>Pea15a_24119</v>
      </c>
      <c r="J5400" s="3">
        <v>3551</v>
      </c>
      <c r="K5400" s="3">
        <v>570</v>
      </c>
      <c r="L5400" s="3">
        <v>4748</v>
      </c>
      <c r="M5400" s="3">
        <v>0</v>
      </c>
      <c r="N5400" s="3">
        <v>15250</v>
      </c>
    </row>
    <row r="5401" spans="1:14" x14ac:dyDescent="0.2">
      <c r="A5401" s="5" t="str">
        <f>HYPERLINK("http://www.ncbi.nlm.nih.gov/protein/84794552","Pebp1")</f>
        <v>Pebp1</v>
      </c>
      <c r="B5401" s="4"/>
      <c r="C5401" s="3">
        <v>15450</v>
      </c>
      <c r="D5401" s="3">
        <v>7373</v>
      </c>
      <c r="E5401" s="3">
        <v>20863</v>
      </c>
      <c r="F5401" s="3">
        <v>1203</v>
      </c>
      <c r="G5401" s="3">
        <v>403823</v>
      </c>
      <c r="H5401" s="2">
        <f t="shared" si="168"/>
        <v>448712</v>
      </c>
      <c r="I5401" t="str">
        <f t="shared" si="169"/>
        <v>Pebp1_448712</v>
      </c>
      <c r="J5401" s="3">
        <v>15450</v>
      </c>
      <c r="K5401" s="3">
        <v>7373</v>
      </c>
      <c r="L5401" s="3">
        <v>20863</v>
      </c>
      <c r="M5401" s="3">
        <v>1203</v>
      </c>
      <c r="N5401" s="3">
        <v>403823</v>
      </c>
    </row>
    <row r="5402" spans="1:14" x14ac:dyDescent="0.2">
      <c r="A5402" s="5" t="str">
        <f>HYPERLINK("http://www.ncbi.nlm.nih.gov/protein/227908837","Pecr")</f>
        <v>Pecr</v>
      </c>
      <c r="B5402" s="4"/>
      <c r="C5402" s="3">
        <v>0</v>
      </c>
      <c r="D5402" s="3">
        <v>2380</v>
      </c>
      <c r="E5402" s="3">
        <v>320</v>
      </c>
      <c r="F5402" s="3">
        <v>0</v>
      </c>
      <c r="G5402" s="3">
        <v>0</v>
      </c>
      <c r="H5402" s="2">
        <f t="shared" si="168"/>
        <v>2700</v>
      </c>
      <c r="I5402" t="str">
        <f t="shared" si="169"/>
        <v>Pecr_2700</v>
      </c>
      <c r="J5402" s="3">
        <v>0</v>
      </c>
      <c r="K5402" s="3">
        <v>2380</v>
      </c>
      <c r="L5402" s="3">
        <v>320</v>
      </c>
      <c r="M5402" s="3">
        <v>0</v>
      </c>
      <c r="N5402" s="3">
        <v>0</v>
      </c>
    </row>
    <row r="5403" spans="1:14" x14ac:dyDescent="0.2">
      <c r="A5403" s="5" t="str">
        <f>HYPERLINK("http://www.ncbi.nlm.nih.gov/protein/31980937","Pef1")</f>
        <v>Pef1</v>
      </c>
      <c r="B5403" s="4"/>
      <c r="C5403" s="3">
        <v>0</v>
      </c>
      <c r="D5403" s="3">
        <v>820</v>
      </c>
      <c r="E5403" s="3">
        <v>438</v>
      </c>
      <c r="F5403" s="3">
        <v>254</v>
      </c>
      <c r="G5403" s="3">
        <v>1863</v>
      </c>
      <c r="H5403" s="2">
        <f t="shared" si="168"/>
        <v>3375</v>
      </c>
      <c r="I5403" t="str">
        <f t="shared" si="169"/>
        <v>Pef1_3375</v>
      </c>
      <c r="J5403" s="3">
        <v>0</v>
      </c>
      <c r="K5403" s="3">
        <v>820</v>
      </c>
      <c r="L5403" s="3">
        <v>438</v>
      </c>
      <c r="M5403" s="3">
        <v>254</v>
      </c>
      <c r="N5403" s="3">
        <v>1863</v>
      </c>
    </row>
    <row r="5404" spans="1:14" x14ac:dyDescent="0.2">
      <c r="A5404" s="5" t="str">
        <f>HYPERLINK("http://www.ncbi.nlm.nih.gov/protein/164698448","Pelo")</f>
        <v>Pelo</v>
      </c>
      <c r="B5404" s="4"/>
      <c r="C5404" s="3">
        <v>0</v>
      </c>
      <c r="D5404" s="3">
        <v>0</v>
      </c>
      <c r="E5404" s="3">
        <v>6512</v>
      </c>
      <c r="F5404" s="3">
        <v>5362</v>
      </c>
      <c r="G5404" s="3">
        <v>1028</v>
      </c>
      <c r="H5404" s="2">
        <f t="shared" si="168"/>
        <v>12902</v>
      </c>
      <c r="I5404" t="str">
        <f t="shared" si="169"/>
        <v>Pelo_12902</v>
      </c>
      <c r="J5404" s="3">
        <v>0</v>
      </c>
      <c r="K5404" s="3">
        <v>0</v>
      </c>
      <c r="L5404" s="3">
        <v>6512</v>
      </c>
      <c r="M5404" s="3">
        <v>5362</v>
      </c>
      <c r="N5404" s="3">
        <v>1028</v>
      </c>
    </row>
    <row r="5405" spans="1:14" x14ac:dyDescent="0.2">
      <c r="A5405" s="5" t="str">
        <f>HYPERLINK("http://www.ncbi.nlm.nih.gov/protein/257900472","Pelp1")</f>
        <v>Pelp1</v>
      </c>
      <c r="B5405" s="4"/>
      <c r="C5405" s="3">
        <v>0</v>
      </c>
      <c r="D5405" s="3">
        <v>0</v>
      </c>
      <c r="E5405" s="3">
        <v>1945</v>
      </c>
      <c r="F5405" s="3">
        <v>106</v>
      </c>
      <c r="G5405" s="3">
        <v>0</v>
      </c>
      <c r="H5405" s="2">
        <f t="shared" si="168"/>
        <v>2051</v>
      </c>
      <c r="I5405" t="str">
        <f t="shared" si="169"/>
        <v>Pelp1_2051</v>
      </c>
      <c r="J5405" s="3">
        <v>0</v>
      </c>
      <c r="K5405" s="3">
        <v>0</v>
      </c>
      <c r="L5405" s="3">
        <v>1945</v>
      </c>
      <c r="M5405" s="3">
        <v>106</v>
      </c>
      <c r="N5405" s="3">
        <v>0</v>
      </c>
    </row>
    <row r="5406" spans="1:14" x14ac:dyDescent="0.2">
      <c r="A5406" s="5" t="str">
        <f>HYPERLINK("http://www.ncbi.nlm.nih.gov/protein/170650724","Pepd")</f>
        <v>Pepd</v>
      </c>
      <c r="B5406" s="4"/>
      <c r="C5406" s="3">
        <v>1959</v>
      </c>
      <c r="D5406" s="3">
        <v>5309</v>
      </c>
      <c r="E5406" s="3">
        <v>2217</v>
      </c>
      <c r="F5406" s="3">
        <v>3544</v>
      </c>
      <c r="G5406" s="3">
        <v>43149</v>
      </c>
      <c r="H5406" s="2">
        <f t="shared" si="168"/>
        <v>56178</v>
      </c>
      <c r="I5406" t="str">
        <f t="shared" si="169"/>
        <v>Pepd_56178</v>
      </c>
      <c r="J5406" s="3">
        <v>1959</v>
      </c>
      <c r="K5406" s="3">
        <v>5309</v>
      </c>
      <c r="L5406" s="3">
        <v>2217</v>
      </c>
      <c r="M5406" s="3">
        <v>3544</v>
      </c>
      <c r="N5406" s="3">
        <v>43149</v>
      </c>
    </row>
    <row r="5407" spans="1:14" x14ac:dyDescent="0.2">
      <c r="A5407" s="5" t="str">
        <f>HYPERLINK("http://www.ncbi.nlm.nih.gov/protein/12584984","Pes1")</f>
        <v>Pes1</v>
      </c>
      <c r="B5407" s="4"/>
      <c r="C5407" s="3">
        <v>0</v>
      </c>
      <c r="D5407" s="3">
        <v>0</v>
      </c>
      <c r="E5407" s="3">
        <v>51</v>
      </c>
      <c r="F5407" s="3">
        <v>11746</v>
      </c>
      <c r="G5407" s="3">
        <v>64</v>
      </c>
      <c r="H5407" s="2">
        <f t="shared" si="168"/>
        <v>11861</v>
      </c>
      <c r="I5407" t="str">
        <f t="shared" si="169"/>
        <v>Pes1_11861</v>
      </c>
      <c r="J5407" s="3">
        <v>0</v>
      </c>
      <c r="K5407" s="3">
        <v>0</v>
      </c>
      <c r="L5407" s="3">
        <v>51</v>
      </c>
      <c r="M5407" s="3">
        <v>11746</v>
      </c>
      <c r="N5407" s="3">
        <v>64</v>
      </c>
    </row>
    <row r="5408" spans="1:14" x14ac:dyDescent="0.2">
      <c r="A5408" s="5" t="str">
        <f>HYPERLINK("http://www.ncbi.nlm.nih.gov/protein/21450279","Pet112")</f>
        <v>Pet112</v>
      </c>
      <c r="B5408" s="4"/>
      <c r="C5408" s="3">
        <v>0</v>
      </c>
      <c r="D5408" s="3">
        <v>73</v>
      </c>
      <c r="E5408" s="3">
        <v>0</v>
      </c>
      <c r="F5408" s="3">
        <v>0</v>
      </c>
      <c r="G5408" s="3">
        <v>0</v>
      </c>
      <c r="H5408" s="2">
        <f t="shared" si="168"/>
        <v>73</v>
      </c>
      <c r="I5408" t="str">
        <f t="shared" si="169"/>
        <v>Pet112_73</v>
      </c>
      <c r="J5408" s="3">
        <v>0</v>
      </c>
      <c r="K5408" s="3">
        <v>73</v>
      </c>
      <c r="L5408" s="3">
        <v>0</v>
      </c>
      <c r="M5408" s="3">
        <v>0</v>
      </c>
      <c r="N5408" s="3">
        <v>0</v>
      </c>
    </row>
    <row r="5409" spans="1:14" x14ac:dyDescent="0.2">
      <c r="A5409" s="5" t="str">
        <f>HYPERLINK("http://www.ncbi.nlm.nih.gov/protein/258679439","Pet117")</f>
        <v>Pet117</v>
      </c>
      <c r="B5409" s="4"/>
      <c r="C5409" s="3">
        <v>0</v>
      </c>
      <c r="D5409" s="3">
        <v>875</v>
      </c>
      <c r="E5409" s="3">
        <v>0</v>
      </c>
      <c r="F5409" s="3">
        <v>0</v>
      </c>
      <c r="G5409" s="3">
        <v>0</v>
      </c>
      <c r="H5409" s="2">
        <f t="shared" si="168"/>
        <v>875</v>
      </c>
      <c r="I5409" t="str">
        <f t="shared" si="169"/>
        <v>Pet117_875</v>
      </c>
      <c r="J5409" s="3">
        <v>0</v>
      </c>
      <c r="K5409" s="3">
        <v>875</v>
      </c>
      <c r="L5409" s="3">
        <v>0</v>
      </c>
      <c r="M5409" s="3">
        <v>0</v>
      </c>
      <c r="N5409" s="3">
        <v>0</v>
      </c>
    </row>
    <row r="5410" spans="1:14" x14ac:dyDescent="0.2">
      <c r="A5410" s="5" t="str">
        <f>HYPERLINK("http://www.ncbi.nlm.nih.gov/protein/61657895","Pex1")</f>
        <v>Pex1</v>
      </c>
      <c r="B5410" s="4"/>
      <c r="C5410" s="3">
        <v>0</v>
      </c>
      <c r="D5410" s="3">
        <v>386</v>
      </c>
      <c r="E5410" s="3">
        <v>256</v>
      </c>
      <c r="F5410" s="3">
        <v>0</v>
      </c>
      <c r="G5410" s="3">
        <v>0</v>
      </c>
      <c r="H5410" s="2">
        <f t="shared" si="168"/>
        <v>642</v>
      </c>
      <c r="I5410" t="str">
        <f t="shared" si="169"/>
        <v>Pex1_642</v>
      </c>
      <c r="J5410" s="3">
        <v>0</v>
      </c>
      <c r="K5410" s="3">
        <v>386</v>
      </c>
      <c r="L5410" s="3">
        <v>256</v>
      </c>
      <c r="M5410" s="3">
        <v>0</v>
      </c>
      <c r="N5410" s="3">
        <v>0</v>
      </c>
    </row>
    <row r="5411" spans="1:14" x14ac:dyDescent="0.2">
      <c r="A5411" s="5" t="str">
        <f>HYPERLINK("http://www.ncbi.nlm.nih.gov/protein/109150414","Pex10")</f>
        <v>Pex10</v>
      </c>
      <c r="B5411" s="4"/>
      <c r="C5411" s="3">
        <v>0</v>
      </c>
      <c r="D5411" s="3">
        <v>754</v>
      </c>
      <c r="E5411" s="3">
        <v>0</v>
      </c>
      <c r="F5411" s="3">
        <v>3618</v>
      </c>
      <c r="G5411" s="3">
        <v>0</v>
      </c>
      <c r="H5411" s="2">
        <f t="shared" si="168"/>
        <v>4372</v>
      </c>
      <c r="I5411" t="str">
        <f t="shared" si="169"/>
        <v>Pex10_4372</v>
      </c>
      <c r="J5411" s="3">
        <v>0</v>
      </c>
      <c r="K5411" s="3">
        <v>754</v>
      </c>
      <c r="L5411" s="3">
        <v>0</v>
      </c>
      <c r="M5411" s="3">
        <v>3618</v>
      </c>
      <c r="N5411" s="3">
        <v>0</v>
      </c>
    </row>
    <row r="5412" spans="1:14" x14ac:dyDescent="0.2">
      <c r="A5412" s="5" t="str">
        <f>HYPERLINK("http://www.ncbi.nlm.nih.gov/protein/241666481","Pex11b")</f>
        <v>Pex11b</v>
      </c>
      <c r="B5412" s="4"/>
      <c r="C5412" s="3">
        <v>9904</v>
      </c>
      <c r="D5412" s="3">
        <v>7273</v>
      </c>
      <c r="E5412" s="3">
        <v>5534</v>
      </c>
      <c r="F5412" s="3">
        <v>0</v>
      </c>
      <c r="G5412" s="3">
        <v>0</v>
      </c>
      <c r="H5412" s="2">
        <f t="shared" si="168"/>
        <v>22711</v>
      </c>
      <c r="I5412" t="str">
        <f t="shared" si="169"/>
        <v>Pex11b_22711</v>
      </c>
      <c r="J5412" s="3">
        <v>9904</v>
      </c>
      <c r="K5412" s="3">
        <v>7273</v>
      </c>
      <c r="L5412" s="3">
        <v>5534</v>
      </c>
      <c r="M5412" s="3">
        <v>0</v>
      </c>
      <c r="N5412" s="3">
        <v>0</v>
      </c>
    </row>
    <row r="5413" spans="1:14" x14ac:dyDescent="0.2">
      <c r="A5413" s="5" t="str">
        <f>HYPERLINK("http://www.ncbi.nlm.nih.gov/protein/241666485","Pex11b")</f>
        <v>Pex11b</v>
      </c>
      <c r="B5413" s="4"/>
      <c r="C5413" s="3">
        <v>9904</v>
      </c>
      <c r="D5413" s="3">
        <v>7273</v>
      </c>
      <c r="E5413" s="3">
        <v>5534</v>
      </c>
      <c r="F5413" s="3">
        <v>0</v>
      </c>
      <c r="G5413" s="3">
        <v>0</v>
      </c>
      <c r="H5413" s="2">
        <f t="shared" si="168"/>
        <v>22711</v>
      </c>
      <c r="I5413" t="str">
        <f t="shared" si="169"/>
        <v>Pex11b_22711</v>
      </c>
      <c r="J5413" s="3">
        <v>9904</v>
      </c>
      <c r="K5413" s="3">
        <v>7273</v>
      </c>
      <c r="L5413" s="3">
        <v>5534</v>
      </c>
      <c r="M5413" s="3">
        <v>0</v>
      </c>
      <c r="N5413" s="3">
        <v>0</v>
      </c>
    </row>
    <row r="5414" spans="1:14" x14ac:dyDescent="0.2">
      <c r="A5414" s="5" t="str">
        <f>HYPERLINK("http://www.ncbi.nlm.nih.gov/protein/21735445","Pex11g")</f>
        <v>Pex11g</v>
      </c>
      <c r="B5414" s="4"/>
      <c r="C5414" s="3">
        <v>0</v>
      </c>
      <c r="D5414" s="3">
        <v>286</v>
      </c>
      <c r="E5414" s="3">
        <v>837</v>
      </c>
      <c r="F5414" s="3">
        <v>0</v>
      </c>
      <c r="G5414" s="3">
        <v>0</v>
      </c>
      <c r="H5414" s="2">
        <f t="shared" si="168"/>
        <v>1123</v>
      </c>
      <c r="I5414" t="str">
        <f t="shared" si="169"/>
        <v>Pex11g_1123</v>
      </c>
      <c r="J5414" s="3">
        <v>0</v>
      </c>
      <c r="K5414" s="3">
        <v>286</v>
      </c>
      <c r="L5414" s="3">
        <v>837</v>
      </c>
      <c r="M5414" s="3">
        <v>0</v>
      </c>
      <c r="N5414" s="3">
        <v>0</v>
      </c>
    </row>
    <row r="5415" spans="1:14" x14ac:dyDescent="0.2">
      <c r="A5415" s="5" t="str">
        <f>HYPERLINK("http://www.ncbi.nlm.nih.gov/protein/9790153","Pex14")</f>
        <v>Pex14</v>
      </c>
      <c r="B5415" s="4"/>
      <c r="C5415" s="3">
        <v>0</v>
      </c>
      <c r="D5415" s="3">
        <v>261</v>
      </c>
      <c r="E5415" s="3">
        <v>2789</v>
      </c>
      <c r="F5415" s="3">
        <v>0</v>
      </c>
      <c r="G5415" s="3">
        <v>0</v>
      </c>
      <c r="H5415" s="2">
        <f t="shared" si="168"/>
        <v>3050</v>
      </c>
      <c r="I5415" t="str">
        <f t="shared" si="169"/>
        <v>Pex14_3050</v>
      </c>
      <c r="J5415" s="3">
        <v>0</v>
      </c>
      <c r="K5415" s="3">
        <v>261</v>
      </c>
      <c r="L5415" s="3">
        <v>2789</v>
      </c>
      <c r="M5415" s="3">
        <v>0</v>
      </c>
      <c r="N5415" s="3">
        <v>0</v>
      </c>
    </row>
    <row r="5416" spans="1:14" x14ac:dyDescent="0.2">
      <c r="A5416" s="5" t="str">
        <f>HYPERLINK("http://www.ncbi.nlm.nih.gov/protein/254750742","Pex16")</f>
        <v>Pex16</v>
      </c>
      <c r="B5416" s="4"/>
      <c r="C5416" s="3">
        <v>0</v>
      </c>
      <c r="D5416" s="3">
        <v>4386</v>
      </c>
      <c r="E5416" s="3">
        <v>3083</v>
      </c>
      <c r="F5416" s="3">
        <v>0</v>
      </c>
      <c r="G5416" s="3">
        <v>0</v>
      </c>
      <c r="H5416" s="2">
        <f t="shared" si="168"/>
        <v>7469</v>
      </c>
      <c r="I5416" t="str">
        <f t="shared" si="169"/>
        <v>Pex16_7469</v>
      </c>
      <c r="J5416" s="3">
        <v>0</v>
      </c>
      <c r="K5416" s="3">
        <v>4386</v>
      </c>
      <c r="L5416" s="3">
        <v>3083</v>
      </c>
      <c r="M5416" s="3">
        <v>0</v>
      </c>
      <c r="N5416" s="3">
        <v>0</v>
      </c>
    </row>
    <row r="5417" spans="1:14" x14ac:dyDescent="0.2">
      <c r="A5417" s="5" t="str">
        <f>HYPERLINK("http://www.ncbi.nlm.nih.gov/protein/226958492","Pex19")</f>
        <v>Pex19</v>
      </c>
      <c r="B5417" s="4"/>
      <c r="C5417" s="3">
        <v>0</v>
      </c>
      <c r="D5417" s="3">
        <v>0</v>
      </c>
      <c r="E5417" s="3">
        <v>413</v>
      </c>
      <c r="F5417" s="3">
        <v>0</v>
      </c>
      <c r="G5417" s="3">
        <v>27684</v>
      </c>
      <c r="H5417" s="2">
        <f t="shared" si="168"/>
        <v>28097</v>
      </c>
      <c r="I5417" t="str">
        <f t="shared" si="169"/>
        <v>Pex19_28097</v>
      </c>
      <c r="J5417" s="3">
        <v>0</v>
      </c>
      <c r="K5417" s="3">
        <v>0</v>
      </c>
      <c r="L5417" s="3">
        <v>413</v>
      </c>
      <c r="M5417" s="3">
        <v>0</v>
      </c>
      <c r="N5417" s="3">
        <v>27684</v>
      </c>
    </row>
    <row r="5418" spans="1:14" x14ac:dyDescent="0.2">
      <c r="A5418" s="5" t="str">
        <f>HYPERLINK("http://www.ncbi.nlm.nih.gov/protein/226958490","Pex19")</f>
        <v>Pex19</v>
      </c>
      <c r="B5418" s="4"/>
      <c r="C5418" s="3">
        <v>0</v>
      </c>
      <c r="D5418" s="3">
        <v>1044</v>
      </c>
      <c r="E5418" s="3">
        <v>1576</v>
      </c>
      <c r="F5418" s="3">
        <v>0</v>
      </c>
      <c r="G5418" s="3">
        <v>44744</v>
      </c>
      <c r="H5418" s="2">
        <f t="shared" si="168"/>
        <v>47364</v>
      </c>
      <c r="I5418" t="str">
        <f t="shared" si="169"/>
        <v>Pex19_47364</v>
      </c>
      <c r="J5418" s="3">
        <v>0</v>
      </c>
      <c r="K5418" s="3">
        <v>1044</v>
      </c>
      <c r="L5418" s="3">
        <v>1576</v>
      </c>
      <c r="M5418" s="3">
        <v>0</v>
      </c>
      <c r="N5418" s="3">
        <v>44744</v>
      </c>
    </row>
    <row r="5419" spans="1:14" x14ac:dyDescent="0.2">
      <c r="A5419" s="5" t="str">
        <f>HYPERLINK("http://www.ncbi.nlm.nih.gov/protein/255958309","Pex3")</f>
        <v>Pex3</v>
      </c>
      <c r="B5419" s="4"/>
      <c r="C5419" s="3">
        <v>0</v>
      </c>
      <c r="D5419" s="3">
        <v>317</v>
      </c>
      <c r="E5419" s="3">
        <v>806</v>
      </c>
      <c r="F5419" s="3">
        <v>0</v>
      </c>
      <c r="G5419" s="3">
        <v>0</v>
      </c>
      <c r="H5419" s="2">
        <f t="shared" si="168"/>
        <v>1123</v>
      </c>
      <c r="I5419" t="str">
        <f t="shared" si="169"/>
        <v>Pex3_1123</v>
      </c>
      <c r="J5419" s="3">
        <v>0</v>
      </c>
      <c r="K5419" s="3">
        <v>317</v>
      </c>
      <c r="L5419" s="3">
        <v>806</v>
      </c>
      <c r="M5419" s="3">
        <v>0</v>
      </c>
      <c r="N5419" s="3">
        <v>0</v>
      </c>
    </row>
    <row r="5420" spans="1:14" x14ac:dyDescent="0.2">
      <c r="A5420" s="5" t="str">
        <f>HYPERLINK("http://www.ncbi.nlm.nih.gov/protein/9910484","Pex3")</f>
        <v>Pex3</v>
      </c>
      <c r="B5420" s="4"/>
      <c r="C5420" s="3">
        <v>0</v>
      </c>
      <c r="D5420" s="3">
        <v>317</v>
      </c>
      <c r="E5420" s="3">
        <v>806</v>
      </c>
      <c r="F5420" s="3">
        <v>0</v>
      </c>
      <c r="G5420" s="3">
        <v>0</v>
      </c>
      <c r="H5420" s="2">
        <f t="shared" si="168"/>
        <v>1123</v>
      </c>
      <c r="I5420" t="str">
        <f t="shared" si="169"/>
        <v>Pex3_1123</v>
      </c>
      <c r="J5420" s="3">
        <v>0</v>
      </c>
      <c r="K5420" s="3">
        <v>317</v>
      </c>
      <c r="L5420" s="3">
        <v>806</v>
      </c>
      <c r="M5420" s="3">
        <v>0</v>
      </c>
      <c r="N5420" s="3">
        <v>0</v>
      </c>
    </row>
    <row r="5421" spans="1:14" x14ac:dyDescent="0.2">
      <c r="A5421" s="5" t="str">
        <f>HYPERLINK("http://www.ncbi.nlm.nih.gov/protein/21703962","Pex6")</f>
        <v>Pex6</v>
      </c>
      <c r="B5421" s="4"/>
      <c r="C5421" s="3">
        <v>0</v>
      </c>
      <c r="D5421" s="3">
        <v>88</v>
      </c>
      <c r="E5421" s="3">
        <v>0</v>
      </c>
      <c r="F5421" s="3">
        <v>278</v>
      </c>
      <c r="G5421" s="3">
        <v>0</v>
      </c>
      <c r="H5421" s="2">
        <f t="shared" si="168"/>
        <v>366</v>
      </c>
      <c r="I5421" t="str">
        <f t="shared" si="169"/>
        <v>Pex6_366</v>
      </c>
      <c r="J5421" s="3">
        <v>0</v>
      </c>
      <c r="K5421" s="3">
        <v>88</v>
      </c>
      <c r="L5421" s="3">
        <v>0</v>
      </c>
      <c r="M5421" s="3">
        <v>278</v>
      </c>
      <c r="N5421" s="3">
        <v>0</v>
      </c>
    </row>
    <row r="5422" spans="1:14" x14ac:dyDescent="0.2">
      <c r="A5422" s="5" t="str">
        <f>HYPERLINK("http://www.ncbi.nlm.nih.gov/protein/240120097","Pex7")</f>
        <v>Pex7</v>
      </c>
      <c r="B5422" s="4"/>
      <c r="C5422" s="3">
        <v>0</v>
      </c>
      <c r="D5422" s="3">
        <v>0</v>
      </c>
      <c r="E5422" s="3">
        <v>0</v>
      </c>
      <c r="F5422" s="3">
        <v>0</v>
      </c>
      <c r="G5422" s="3">
        <v>2153</v>
      </c>
      <c r="H5422" s="2">
        <f t="shared" si="168"/>
        <v>2153</v>
      </c>
      <c r="I5422" t="str">
        <f t="shared" si="169"/>
        <v>Pex7_2153</v>
      </c>
      <c r="J5422" s="3">
        <v>0</v>
      </c>
      <c r="K5422" s="3">
        <v>0</v>
      </c>
      <c r="L5422" s="3">
        <v>0</v>
      </c>
      <c r="M5422" s="3">
        <v>0</v>
      </c>
      <c r="N5422" s="3">
        <v>2153</v>
      </c>
    </row>
    <row r="5423" spans="1:14" x14ac:dyDescent="0.2">
      <c r="A5423" s="5" t="str">
        <f>HYPERLINK("http://www.ncbi.nlm.nih.gov/protein/6679283","Pex7")</f>
        <v>Pex7</v>
      </c>
      <c r="B5423" s="4"/>
      <c r="C5423" s="3">
        <v>0</v>
      </c>
      <c r="D5423" s="3">
        <v>0</v>
      </c>
      <c r="E5423" s="3">
        <v>0</v>
      </c>
      <c r="F5423" s="3">
        <v>0</v>
      </c>
      <c r="G5423" s="3">
        <v>2153</v>
      </c>
      <c r="H5423" s="2">
        <f t="shared" si="168"/>
        <v>2153</v>
      </c>
      <c r="I5423" t="str">
        <f t="shared" si="169"/>
        <v>Pex7_2153</v>
      </c>
      <c r="J5423" s="3">
        <v>0</v>
      </c>
      <c r="K5423" s="3">
        <v>0</v>
      </c>
      <c r="L5423" s="3">
        <v>0</v>
      </c>
      <c r="M5423" s="3">
        <v>0</v>
      </c>
      <c r="N5423" s="3">
        <v>2153</v>
      </c>
    </row>
    <row r="5424" spans="1:14" x14ac:dyDescent="0.2">
      <c r="A5424" s="5" t="str">
        <f>HYPERLINK("http://www.ncbi.nlm.nih.gov/protein/226958458","Pfas")</f>
        <v>Pfas</v>
      </c>
      <c r="B5424" s="4"/>
      <c r="C5424" s="3">
        <v>494</v>
      </c>
      <c r="D5424" s="3">
        <v>1474</v>
      </c>
      <c r="E5424" s="3">
        <v>4242</v>
      </c>
      <c r="F5424" s="3">
        <v>18729</v>
      </c>
      <c r="G5424" s="3">
        <v>130078</v>
      </c>
      <c r="H5424" s="2">
        <f t="shared" si="168"/>
        <v>155017</v>
      </c>
      <c r="I5424" t="str">
        <f t="shared" si="169"/>
        <v>Pfas_155017</v>
      </c>
      <c r="J5424" s="3">
        <v>494</v>
      </c>
      <c r="K5424" s="3">
        <v>1474</v>
      </c>
      <c r="L5424" s="3">
        <v>4242</v>
      </c>
      <c r="M5424" s="3">
        <v>18729</v>
      </c>
      <c r="N5424" s="3">
        <v>130078</v>
      </c>
    </row>
    <row r="5425" spans="1:14" x14ac:dyDescent="0.2">
      <c r="A5425" s="5" t="str">
        <f>HYPERLINK("http://www.ncbi.nlm.nih.gov/protein/13385532","Pfdn1")</f>
        <v>Pfdn1</v>
      </c>
      <c r="B5425" s="4"/>
      <c r="C5425" s="3">
        <v>0</v>
      </c>
      <c r="D5425" s="3">
        <v>194</v>
      </c>
      <c r="E5425" s="3">
        <v>1178</v>
      </c>
      <c r="F5425" s="3">
        <v>4535</v>
      </c>
      <c r="G5425" s="3">
        <v>17146</v>
      </c>
      <c r="H5425" s="2">
        <f t="shared" si="168"/>
        <v>23053</v>
      </c>
      <c r="I5425" t="str">
        <f t="shared" si="169"/>
        <v>Pfdn1_23053</v>
      </c>
      <c r="J5425" s="3">
        <v>0</v>
      </c>
      <c r="K5425" s="3">
        <v>194</v>
      </c>
      <c r="L5425" s="3">
        <v>1178</v>
      </c>
      <c r="M5425" s="3">
        <v>4535</v>
      </c>
      <c r="N5425" s="3">
        <v>17146</v>
      </c>
    </row>
    <row r="5426" spans="1:14" x14ac:dyDescent="0.2">
      <c r="A5426" s="5" t="str">
        <f>HYPERLINK("http://www.ncbi.nlm.nih.gov/protein/31981577","Pfdn2")</f>
        <v>Pfdn2</v>
      </c>
      <c r="B5426" s="4"/>
      <c r="C5426" s="3">
        <v>0</v>
      </c>
      <c r="D5426" s="3">
        <v>1232</v>
      </c>
      <c r="E5426" s="3">
        <v>4015</v>
      </c>
      <c r="F5426" s="3">
        <v>8538</v>
      </c>
      <c r="G5426" s="3">
        <v>15432</v>
      </c>
      <c r="H5426" s="2">
        <f t="shared" si="168"/>
        <v>29217</v>
      </c>
      <c r="I5426" t="str">
        <f t="shared" si="169"/>
        <v>Pfdn2_29217</v>
      </c>
      <c r="J5426" s="3">
        <v>0</v>
      </c>
      <c r="K5426" s="3">
        <v>1232</v>
      </c>
      <c r="L5426" s="3">
        <v>4015</v>
      </c>
      <c r="M5426" s="3">
        <v>8538</v>
      </c>
      <c r="N5426" s="3">
        <v>15432</v>
      </c>
    </row>
    <row r="5427" spans="1:14" x14ac:dyDescent="0.2">
      <c r="A5427" s="5" t="str">
        <f>HYPERLINK("http://www.ncbi.nlm.nih.gov/protein/158711747","Pfdn4")</f>
        <v>Pfdn4</v>
      </c>
      <c r="B5427" s="4"/>
      <c r="C5427" s="3">
        <v>0</v>
      </c>
      <c r="D5427" s="3">
        <v>0</v>
      </c>
      <c r="E5427" s="3">
        <v>382</v>
      </c>
      <c r="F5427" s="3">
        <v>254</v>
      </c>
      <c r="G5427" s="3">
        <v>2120</v>
      </c>
      <c r="H5427" s="2">
        <f t="shared" si="168"/>
        <v>2756</v>
      </c>
      <c r="I5427" t="str">
        <f t="shared" si="169"/>
        <v>Pfdn4_2756</v>
      </c>
      <c r="J5427" s="3">
        <v>0</v>
      </c>
      <c r="K5427" s="3">
        <v>0</v>
      </c>
      <c r="L5427" s="3">
        <v>382</v>
      </c>
      <c r="M5427" s="3">
        <v>254</v>
      </c>
      <c r="N5427" s="3">
        <v>2120</v>
      </c>
    </row>
    <row r="5428" spans="1:14" x14ac:dyDescent="0.2">
      <c r="A5428" s="5" t="str">
        <f>HYPERLINK("http://www.ncbi.nlm.nih.gov/protein/315507139","Pfdn4")</f>
        <v>Pfdn4</v>
      </c>
      <c r="B5428" s="4"/>
      <c r="C5428" s="3">
        <v>0</v>
      </c>
      <c r="D5428" s="3">
        <v>0</v>
      </c>
      <c r="E5428" s="3">
        <v>382</v>
      </c>
      <c r="F5428" s="3">
        <v>254</v>
      </c>
      <c r="G5428" s="3">
        <v>2120</v>
      </c>
      <c r="H5428" s="2">
        <f t="shared" si="168"/>
        <v>2756</v>
      </c>
      <c r="I5428" t="str">
        <f t="shared" si="169"/>
        <v>Pfdn4_2756</v>
      </c>
      <c r="J5428" s="3">
        <v>0</v>
      </c>
      <c r="K5428" s="3">
        <v>0</v>
      </c>
      <c r="L5428" s="3">
        <v>382</v>
      </c>
      <c r="M5428" s="3">
        <v>254</v>
      </c>
      <c r="N5428" s="3">
        <v>2120</v>
      </c>
    </row>
    <row r="5429" spans="1:14" x14ac:dyDescent="0.2">
      <c r="A5429" s="5" t="str">
        <f>HYPERLINK("http://www.ncbi.nlm.nih.gov/protein/61656178","Pfdn4")</f>
        <v>Pfdn4</v>
      </c>
      <c r="B5429" s="4"/>
      <c r="C5429" s="3">
        <v>0</v>
      </c>
      <c r="D5429" s="3">
        <v>0</v>
      </c>
      <c r="E5429" s="3">
        <v>356</v>
      </c>
      <c r="F5429" s="3">
        <v>254</v>
      </c>
      <c r="G5429" s="3">
        <v>514</v>
      </c>
      <c r="H5429" s="2">
        <f t="shared" si="168"/>
        <v>1124</v>
      </c>
      <c r="I5429" t="str">
        <f t="shared" si="169"/>
        <v>Pfdn4_1124</v>
      </c>
      <c r="J5429" s="3">
        <v>0</v>
      </c>
      <c r="K5429" s="3">
        <v>0</v>
      </c>
      <c r="L5429" s="3">
        <v>356</v>
      </c>
      <c r="M5429" s="3">
        <v>254</v>
      </c>
      <c r="N5429" s="3">
        <v>514</v>
      </c>
    </row>
    <row r="5430" spans="1:14" x14ac:dyDescent="0.2">
      <c r="A5430" s="5" t="str">
        <f>HYPERLINK("http://www.ncbi.nlm.nih.gov/protein/55741463","Pfdn5")</f>
        <v>Pfdn5</v>
      </c>
      <c r="B5430" s="4"/>
      <c r="C5430" s="3">
        <v>0</v>
      </c>
      <c r="D5430" s="3">
        <v>296</v>
      </c>
      <c r="E5430" s="3">
        <v>1018</v>
      </c>
      <c r="F5430" s="3">
        <v>1130</v>
      </c>
      <c r="G5430" s="3">
        <v>13001</v>
      </c>
      <c r="H5430" s="2">
        <f t="shared" si="168"/>
        <v>15445</v>
      </c>
      <c r="I5430" t="str">
        <f t="shared" si="169"/>
        <v>Pfdn5_15445</v>
      </c>
      <c r="J5430" s="3">
        <v>0</v>
      </c>
      <c r="K5430" s="3">
        <v>296</v>
      </c>
      <c r="L5430" s="3">
        <v>1018</v>
      </c>
      <c r="M5430" s="3">
        <v>1130</v>
      </c>
      <c r="N5430" s="3">
        <v>13001</v>
      </c>
    </row>
    <row r="5431" spans="1:14" x14ac:dyDescent="0.2">
      <c r="A5431" s="5" t="str">
        <f>HYPERLINK("http://www.ncbi.nlm.nih.gov/protein/295293207","Pfkfb3")</f>
        <v>Pfkfb3</v>
      </c>
      <c r="B5431" s="4"/>
      <c r="C5431" s="3">
        <v>0</v>
      </c>
      <c r="D5431" s="3">
        <v>0</v>
      </c>
      <c r="E5431" s="3">
        <v>0</v>
      </c>
      <c r="F5431" s="3">
        <v>0</v>
      </c>
      <c r="G5431" s="3">
        <v>1403</v>
      </c>
      <c r="H5431" s="2">
        <f t="shared" si="168"/>
        <v>1403</v>
      </c>
      <c r="I5431" t="str">
        <f t="shared" si="169"/>
        <v>Pfkfb3_1403</v>
      </c>
      <c r="J5431" s="3">
        <v>0</v>
      </c>
      <c r="K5431" s="3">
        <v>0</v>
      </c>
      <c r="L5431" s="3">
        <v>0</v>
      </c>
      <c r="M5431" s="3">
        <v>0</v>
      </c>
      <c r="N5431" s="3">
        <v>1403</v>
      </c>
    </row>
    <row r="5432" spans="1:14" x14ac:dyDescent="0.2">
      <c r="A5432" s="5" t="str">
        <f>HYPERLINK("http://www.ncbi.nlm.nih.gov/protein/295293209","Pfkfb3")</f>
        <v>Pfkfb3</v>
      </c>
      <c r="B5432" s="4"/>
      <c r="C5432" s="3">
        <v>0</v>
      </c>
      <c r="D5432" s="3">
        <v>0</v>
      </c>
      <c r="E5432" s="3">
        <v>0</v>
      </c>
      <c r="F5432" s="3">
        <v>0</v>
      </c>
      <c r="G5432" s="3">
        <v>1403</v>
      </c>
      <c r="H5432" s="2">
        <f t="shared" si="168"/>
        <v>1403</v>
      </c>
      <c r="I5432" t="str">
        <f t="shared" si="169"/>
        <v>Pfkfb3_1403</v>
      </c>
      <c r="J5432" s="3">
        <v>0</v>
      </c>
      <c r="K5432" s="3">
        <v>0</v>
      </c>
      <c r="L5432" s="3">
        <v>0</v>
      </c>
      <c r="M5432" s="3">
        <v>0</v>
      </c>
      <c r="N5432" s="3">
        <v>1403</v>
      </c>
    </row>
    <row r="5433" spans="1:14" x14ac:dyDescent="0.2">
      <c r="A5433" s="5" t="str">
        <f>HYPERLINK("http://www.ncbi.nlm.nih.gov/protein/295293211","Pfkfb3")</f>
        <v>Pfkfb3</v>
      </c>
      <c r="B5433" s="4"/>
      <c r="C5433" s="3">
        <v>0</v>
      </c>
      <c r="D5433" s="3">
        <v>0</v>
      </c>
      <c r="E5433" s="3">
        <v>0</v>
      </c>
      <c r="F5433" s="3">
        <v>0</v>
      </c>
      <c r="G5433" s="3">
        <v>1403</v>
      </c>
      <c r="H5433" s="2">
        <f t="shared" si="168"/>
        <v>1403</v>
      </c>
      <c r="I5433" t="str">
        <f t="shared" si="169"/>
        <v>Pfkfb3_1403</v>
      </c>
      <c r="J5433" s="3">
        <v>0</v>
      </c>
      <c r="K5433" s="3">
        <v>0</v>
      </c>
      <c r="L5433" s="3">
        <v>0</v>
      </c>
      <c r="M5433" s="3">
        <v>0</v>
      </c>
      <c r="N5433" s="3">
        <v>1403</v>
      </c>
    </row>
    <row r="5434" spans="1:14" x14ac:dyDescent="0.2">
      <c r="A5434" s="5" t="str">
        <f>HYPERLINK("http://www.ncbi.nlm.nih.gov/protein/295293213","Pfkfb3")</f>
        <v>Pfkfb3</v>
      </c>
      <c r="B5434" s="4"/>
      <c r="C5434" s="3">
        <v>0</v>
      </c>
      <c r="D5434" s="3">
        <v>0</v>
      </c>
      <c r="E5434" s="3">
        <v>0</v>
      </c>
      <c r="F5434" s="3">
        <v>0</v>
      </c>
      <c r="G5434" s="3">
        <v>1403</v>
      </c>
      <c r="H5434" s="2">
        <f t="shared" si="168"/>
        <v>1403</v>
      </c>
      <c r="I5434" t="str">
        <f t="shared" si="169"/>
        <v>Pfkfb3_1403</v>
      </c>
      <c r="J5434" s="3">
        <v>0</v>
      </c>
      <c r="K5434" s="3">
        <v>0</v>
      </c>
      <c r="L5434" s="3">
        <v>0</v>
      </c>
      <c r="M5434" s="3">
        <v>0</v>
      </c>
      <c r="N5434" s="3">
        <v>1403</v>
      </c>
    </row>
    <row r="5435" spans="1:14" x14ac:dyDescent="0.2">
      <c r="A5435" s="5" t="str">
        <f>HYPERLINK("http://www.ncbi.nlm.nih.gov/protein/295293215","Pfkfb3")</f>
        <v>Pfkfb3</v>
      </c>
      <c r="B5435" s="4"/>
      <c r="C5435" s="3">
        <v>0</v>
      </c>
      <c r="D5435" s="3">
        <v>0</v>
      </c>
      <c r="E5435" s="3">
        <v>0</v>
      </c>
      <c r="F5435" s="3">
        <v>0</v>
      </c>
      <c r="G5435" s="3">
        <v>1403</v>
      </c>
      <c r="H5435" s="2">
        <f t="shared" si="168"/>
        <v>1403</v>
      </c>
      <c r="I5435" t="str">
        <f t="shared" si="169"/>
        <v>Pfkfb3_1403</v>
      </c>
      <c r="J5435" s="3">
        <v>0</v>
      </c>
      <c r="K5435" s="3">
        <v>0</v>
      </c>
      <c r="L5435" s="3">
        <v>0</v>
      </c>
      <c r="M5435" s="3">
        <v>0</v>
      </c>
      <c r="N5435" s="3">
        <v>1403</v>
      </c>
    </row>
    <row r="5436" spans="1:14" x14ac:dyDescent="0.2">
      <c r="A5436" s="5" t="str">
        <f>HYPERLINK("http://www.ncbi.nlm.nih.gov/protein/295293217","Pfkfb3")</f>
        <v>Pfkfb3</v>
      </c>
      <c r="B5436" s="4"/>
      <c r="C5436" s="3">
        <v>0</v>
      </c>
      <c r="D5436" s="3">
        <v>0</v>
      </c>
      <c r="E5436" s="3">
        <v>0</v>
      </c>
      <c r="F5436" s="3">
        <v>0</v>
      </c>
      <c r="G5436" s="3">
        <v>1403</v>
      </c>
      <c r="H5436" s="2">
        <f t="shared" si="168"/>
        <v>1403</v>
      </c>
      <c r="I5436" t="str">
        <f t="shared" si="169"/>
        <v>Pfkfb3_1403</v>
      </c>
      <c r="J5436" s="3">
        <v>0</v>
      </c>
      <c r="K5436" s="3">
        <v>0</v>
      </c>
      <c r="L5436" s="3">
        <v>0</v>
      </c>
      <c r="M5436" s="3">
        <v>0</v>
      </c>
      <c r="N5436" s="3">
        <v>1403</v>
      </c>
    </row>
    <row r="5437" spans="1:14" x14ac:dyDescent="0.2">
      <c r="A5437" s="5" t="str">
        <f>HYPERLINK("http://www.ncbi.nlm.nih.gov/protein/295293220","Pfkfb3")</f>
        <v>Pfkfb3</v>
      </c>
      <c r="B5437" s="4"/>
      <c r="C5437" s="3">
        <v>0</v>
      </c>
      <c r="D5437" s="3">
        <v>0</v>
      </c>
      <c r="E5437" s="3">
        <v>0</v>
      </c>
      <c r="F5437" s="3">
        <v>0</v>
      </c>
      <c r="G5437" s="3">
        <v>1403</v>
      </c>
      <c r="H5437" s="2">
        <f t="shared" si="168"/>
        <v>1403</v>
      </c>
      <c r="I5437" t="str">
        <f t="shared" si="169"/>
        <v>Pfkfb3_1403</v>
      </c>
      <c r="J5437" s="3">
        <v>0</v>
      </c>
      <c r="K5437" s="3">
        <v>0</v>
      </c>
      <c r="L5437" s="3">
        <v>0</v>
      </c>
      <c r="M5437" s="3">
        <v>0</v>
      </c>
      <c r="N5437" s="3">
        <v>1403</v>
      </c>
    </row>
    <row r="5438" spans="1:14" x14ac:dyDescent="0.2">
      <c r="A5438" s="5" t="str">
        <f>HYPERLINK("http://www.ncbi.nlm.nih.gov/protein/87298847","Pfkfb3")</f>
        <v>Pfkfb3</v>
      </c>
      <c r="B5438" s="4"/>
      <c r="C5438" s="3">
        <v>0</v>
      </c>
      <c r="D5438" s="3">
        <v>0</v>
      </c>
      <c r="E5438" s="3">
        <v>0</v>
      </c>
      <c r="F5438" s="3">
        <v>0</v>
      </c>
      <c r="G5438" s="3">
        <v>1403</v>
      </c>
      <c r="H5438" s="2">
        <f t="shared" si="168"/>
        <v>1403</v>
      </c>
      <c r="I5438" t="str">
        <f t="shared" si="169"/>
        <v>Pfkfb3_1403</v>
      </c>
      <c r="J5438" s="3">
        <v>0</v>
      </c>
      <c r="K5438" s="3">
        <v>0</v>
      </c>
      <c r="L5438" s="3">
        <v>0</v>
      </c>
      <c r="M5438" s="3">
        <v>0</v>
      </c>
      <c r="N5438" s="3">
        <v>1403</v>
      </c>
    </row>
    <row r="5439" spans="1:14" x14ac:dyDescent="0.2">
      <c r="A5439" s="5" t="str">
        <f>HYPERLINK("http://www.ncbi.nlm.nih.gov/protein/31560653","Pfkl")</f>
        <v>Pfkl</v>
      </c>
      <c r="B5439" s="4"/>
      <c r="C5439" s="3">
        <v>76812</v>
      </c>
      <c r="D5439" s="3">
        <v>28511</v>
      </c>
      <c r="E5439" s="3">
        <v>65527</v>
      </c>
      <c r="F5439" s="3">
        <v>811058</v>
      </c>
      <c r="G5439" s="3">
        <v>173141</v>
      </c>
      <c r="H5439" s="2">
        <f t="shared" si="168"/>
        <v>1155049</v>
      </c>
      <c r="I5439" t="str">
        <f t="shared" si="169"/>
        <v>Pfkl_1155049</v>
      </c>
      <c r="J5439" s="3">
        <v>76812</v>
      </c>
      <c r="K5439" s="3">
        <v>28511</v>
      </c>
      <c r="L5439" s="3">
        <v>65527</v>
      </c>
      <c r="M5439" s="3">
        <v>811058</v>
      </c>
      <c r="N5439" s="3">
        <v>173141</v>
      </c>
    </row>
    <row r="5440" spans="1:14" x14ac:dyDescent="0.2">
      <c r="A5440" s="5" t="str">
        <f>HYPERLINK("http://www.ncbi.nlm.nih.gov/protein/254553348;254553344","Pfkm")</f>
        <v>Pfkm</v>
      </c>
      <c r="B5440" s="4"/>
      <c r="C5440" s="3">
        <v>5565</v>
      </c>
      <c r="D5440" s="3">
        <v>7277</v>
      </c>
      <c r="E5440" s="3">
        <v>21280</v>
      </c>
      <c r="F5440" s="3">
        <v>117225</v>
      </c>
      <c r="G5440" s="3">
        <v>53505</v>
      </c>
      <c r="H5440" s="2">
        <f t="shared" si="168"/>
        <v>204852</v>
      </c>
      <c r="I5440" t="str">
        <f t="shared" si="169"/>
        <v>Pfkm_204852</v>
      </c>
      <c r="J5440" s="3">
        <v>5565</v>
      </c>
      <c r="K5440" s="3">
        <v>7277</v>
      </c>
      <c r="L5440" s="3">
        <v>21280</v>
      </c>
      <c r="M5440" s="3">
        <v>117225</v>
      </c>
      <c r="N5440" s="3">
        <v>53505</v>
      </c>
    </row>
    <row r="5441" spans="1:14" x14ac:dyDescent="0.2">
      <c r="A5441" s="5" t="str">
        <f>HYPERLINK("http://www.ncbi.nlm.nih.gov/protein/9790051","Pfkp")</f>
        <v>Pfkp</v>
      </c>
      <c r="B5441" s="4"/>
      <c r="C5441" s="3">
        <v>805</v>
      </c>
      <c r="D5441" s="3">
        <v>10726</v>
      </c>
      <c r="E5441" s="3">
        <v>21405</v>
      </c>
      <c r="F5441" s="3">
        <v>306443</v>
      </c>
      <c r="G5441" s="3">
        <v>56075</v>
      </c>
      <c r="H5441" s="2">
        <f t="shared" si="168"/>
        <v>395454</v>
      </c>
      <c r="I5441" t="str">
        <f t="shared" si="169"/>
        <v>Pfkp_395454</v>
      </c>
      <c r="J5441" s="3">
        <v>805</v>
      </c>
      <c r="K5441" s="3">
        <v>10726</v>
      </c>
      <c r="L5441" s="3">
        <v>21405</v>
      </c>
      <c r="M5441" s="3">
        <v>306443</v>
      </c>
      <c r="N5441" s="3">
        <v>56075</v>
      </c>
    </row>
    <row r="5442" spans="1:14" x14ac:dyDescent="0.2">
      <c r="A5442" s="5" t="str">
        <f>HYPERLINK("http://www.ncbi.nlm.nih.gov/protein/6755040","Pfn1")</f>
        <v>Pfn1</v>
      </c>
      <c r="B5442" s="4"/>
      <c r="C5442" s="3">
        <v>114559</v>
      </c>
      <c r="D5442" s="3">
        <v>38694</v>
      </c>
      <c r="E5442" s="3">
        <v>47135</v>
      </c>
      <c r="F5442" s="3">
        <v>123537</v>
      </c>
      <c r="G5442" s="3">
        <v>540926</v>
      </c>
      <c r="H5442" s="2">
        <f t="shared" ref="H5442:H5505" si="170">SUM(C5442:G5442)</f>
        <v>864851</v>
      </c>
      <c r="I5442" t="str">
        <f t="shared" ref="I5442:I5505" si="171">A5442&amp;"_"&amp;H5442</f>
        <v>Pfn1_864851</v>
      </c>
      <c r="J5442" s="3">
        <v>114559</v>
      </c>
      <c r="K5442" s="3">
        <v>38694</v>
      </c>
      <c r="L5442" s="3">
        <v>47135</v>
      </c>
      <c r="M5442" s="3">
        <v>123537</v>
      </c>
      <c r="N5442" s="3">
        <v>540926</v>
      </c>
    </row>
    <row r="5443" spans="1:14" x14ac:dyDescent="0.2">
      <c r="A5443" s="5" t="str">
        <f>HYPERLINK("http://www.ncbi.nlm.nih.gov/protein/9506971","Pfn2")</f>
        <v>Pfn2</v>
      </c>
      <c r="B5443" s="4"/>
      <c r="C5443" s="3">
        <v>403</v>
      </c>
      <c r="D5443" s="3">
        <v>309</v>
      </c>
      <c r="E5443" s="3">
        <v>906</v>
      </c>
      <c r="F5443" s="3">
        <v>2055</v>
      </c>
      <c r="G5443" s="3">
        <v>10185</v>
      </c>
      <c r="H5443" s="2">
        <f t="shared" si="170"/>
        <v>13858</v>
      </c>
      <c r="I5443" t="str">
        <f t="shared" si="171"/>
        <v>Pfn2_13858</v>
      </c>
      <c r="J5443" s="3">
        <v>403</v>
      </c>
      <c r="K5443" s="3">
        <v>309</v>
      </c>
      <c r="L5443" s="3">
        <v>906</v>
      </c>
      <c r="M5443" s="3">
        <v>2055</v>
      </c>
      <c r="N5443" s="3">
        <v>10185</v>
      </c>
    </row>
    <row r="5444" spans="1:14" x14ac:dyDescent="0.2">
      <c r="A5444" s="5" t="str">
        <f>HYPERLINK("http://www.ncbi.nlm.nih.gov/protein/114326546","Pgam1")</f>
        <v>Pgam1</v>
      </c>
      <c r="B5444" s="4"/>
      <c r="C5444" s="3">
        <v>356638</v>
      </c>
      <c r="D5444" s="3">
        <v>56770</v>
      </c>
      <c r="E5444" s="3">
        <v>93328</v>
      </c>
      <c r="F5444" s="3">
        <v>50276</v>
      </c>
      <c r="G5444" s="3">
        <v>1449435</v>
      </c>
      <c r="H5444" s="2">
        <f t="shared" si="170"/>
        <v>2006447</v>
      </c>
      <c r="I5444" t="str">
        <f t="shared" si="171"/>
        <v>Pgam1_2006447</v>
      </c>
      <c r="J5444" s="3">
        <v>356638</v>
      </c>
      <c r="K5444" s="3">
        <v>56770</v>
      </c>
      <c r="L5444" s="3">
        <v>93328</v>
      </c>
      <c r="M5444" s="3">
        <v>50276</v>
      </c>
      <c r="N5444" s="3">
        <v>1449435</v>
      </c>
    </row>
    <row r="5445" spans="1:14" x14ac:dyDescent="0.2">
      <c r="A5445" s="5" t="str">
        <f>HYPERLINK("http://www.ncbi.nlm.nih.gov/protein/9256624","Pgam2")</f>
        <v>Pgam2</v>
      </c>
      <c r="B5445" s="4"/>
      <c r="C5445" s="3">
        <v>40035</v>
      </c>
      <c r="D5445" s="3">
        <v>17594</v>
      </c>
      <c r="E5445" s="3">
        <v>24972</v>
      </c>
      <c r="F5445" s="3">
        <v>9397</v>
      </c>
      <c r="G5445" s="3">
        <v>661419</v>
      </c>
      <c r="H5445" s="2">
        <f t="shared" si="170"/>
        <v>753417</v>
      </c>
      <c r="I5445" t="str">
        <f t="shared" si="171"/>
        <v>Pgam2_753417</v>
      </c>
      <c r="J5445" s="3">
        <v>40035</v>
      </c>
      <c r="K5445" s="3">
        <v>17594</v>
      </c>
      <c r="L5445" s="3">
        <v>24972</v>
      </c>
      <c r="M5445" s="3">
        <v>9397</v>
      </c>
      <c r="N5445" s="3">
        <v>661419</v>
      </c>
    </row>
    <row r="5446" spans="1:14" x14ac:dyDescent="0.2">
      <c r="A5446" s="5" t="str">
        <f>HYPERLINK("http://www.ncbi.nlm.nih.gov/protein/254587960","Pgam5")</f>
        <v>Pgam5</v>
      </c>
      <c r="B5446" s="4"/>
      <c r="C5446" s="3">
        <v>30772</v>
      </c>
      <c r="D5446" s="3">
        <v>6699</v>
      </c>
      <c r="E5446" s="3">
        <v>383</v>
      </c>
      <c r="F5446" s="3">
        <v>0</v>
      </c>
      <c r="G5446" s="3">
        <v>0</v>
      </c>
      <c r="H5446" s="2">
        <f t="shared" si="170"/>
        <v>37854</v>
      </c>
      <c r="I5446" t="str">
        <f t="shared" si="171"/>
        <v>Pgam5_37854</v>
      </c>
      <c r="J5446" s="3">
        <v>30772</v>
      </c>
      <c r="K5446" s="3">
        <v>6699</v>
      </c>
      <c r="L5446" s="3">
        <v>383</v>
      </c>
      <c r="M5446" s="3">
        <v>0</v>
      </c>
      <c r="N5446" s="3">
        <v>0</v>
      </c>
    </row>
    <row r="5447" spans="1:14" x14ac:dyDescent="0.2">
      <c r="A5447" s="5" t="str">
        <f>HYPERLINK("http://www.ncbi.nlm.nih.gov/protein/254587962","Pgam5")</f>
        <v>Pgam5</v>
      </c>
      <c r="B5447" s="4"/>
      <c r="C5447" s="3">
        <v>30772</v>
      </c>
      <c r="D5447" s="3">
        <v>6699</v>
      </c>
      <c r="E5447" s="3">
        <v>383</v>
      </c>
      <c r="F5447" s="3">
        <v>0</v>
      </c>
      <c r="G5447" s="3">
        <v>0</v>
      </c>
      <c r="H5447" s="2">
        <f t="shared" si="170"/>
        <v>37854</v>
      </c>
      <c r="I5447" t="str">
        <f t="shared" si="171"/>
        <v>Pgam5_37854</v>
      </c>
      <c r="J5447" s="3">
        <v>30772</v>
      </c>
      <c r="K5447" s="3">
        <v>6699</v>
      </c>
      <c r="L5447" s="3">
        <v>383</v>
      </c>
      <c r="M5447" s="3">
        <v>0</v>
      </c>
      <c r="N5447" s="3">
        <v>0</v>
      </c>
    </row>
    <row r="5448" spans="1:14" x14ac:dyDescent="0.2">
      <c r="A5448" s="5" t="str">
        <f>HYPERLINK("http://www.ncbi.nlm.nih.gov/protein/254028203","Pgap1")</f>
        <v>Pgap1</v>
      </c>
      <c r="B5448" s="4"/>
      <c r="C5448" s="3">
        <v>22169</v>
      </c>
      <c r="D5448" s="3">
        <v>4127</v>
      </c>
      <c r="E5448" s="3">
        <v>7018</v>
      </c>
      <c r="F5448" s="3">
        <v>0</v>
      </c>
      <c r="G5448" s="3">
        <v>0</v>
      </c>
      <c r="H5448" s="2">
        <f t="shared" si="170"/>
        <v>33314</v>
      </c>
      <c r="I5448" t="str">
        <f t="shared" si="171"/>
        <v>Pgap1_33314</v>
      </c>
      <c r="J5448" s="3">
        <v>22169</v>
      </c>
      <c r="K5448" s="3">
        <v>4127</v>
      </c>
      <c r="L5448" s="3">
        <v>7018</v>
      </c>
      <c r="M5448" s="3">
        <v>0</v>
      </c>
      <c r="N5448" s="3">
        <v>0</v>
      </c>
    </row>
    <row r="5449" spans="1:14" x14ac:dyDescent="0.2">
      <c r="A5449" s="5" t="str">
        <f>HYPERLINK("http://www.ncbi.nlm.nih.gov/protein/114326508","Pgap3")</f>
        <v>Pgap3</v>
      </c>
      <c r="B5449" s="4"/>
      <c r="C5449" s="3">
        <v>0</v>
      </c>
      <c r="D5449" s="3">
        <v>61</v>
      </c>
      <c r="E5449" s="3">
        <v>0</v>
      </c>
      <c r="F5449" s="3">
        <v>0</v>
      </c>
      <c r="G5449" s="3">
        <v>0</v>
      </c>
      <c r="H5449" s="2">
        <f t="shared" si="170"/>
        <v>61</v>
      </c>
      <c r="I5449" t="str">
        <f t="shared" si="171"/>
        <v>Pgap3_61</v>
      </c>
      <c r="J5449" s="3">
        <v>0</v>
      </c>
      <c r="K5449" s="3">
        <v>61</v>
      </c>
      <c r="L5449" s="3">
        <v>0</v>
      </c>
      <c r="M5449" s="3">
        <v>0</v>
      </c>
      <c r="N5449" s="3">
        <v>0</v>
      </c>
    </row>
    <row r="5450" spans="1:14" x14ac:dyDescent="0.2">
      <c r="A5450" s="5" t="str">
        <f>HYPERLINK("http://www.ncbi.nlm.nih.gov/protein/124486895","Pgd")</f>
        <v>Pgd</v>
      </c>
      <c r="B5450" s="4"/>
      <c r="C5450" s="3">
        <v>4595</v>
      </c>
      <c r="D5450" s="3">
        <v>17036</v>
      </c>
      <c r="E5450" s="3">
        <v>47845</v>
      </c>
      <c r="F5450" s="3">
        <v>66483</v>
      </c>
      <c r="G5450" s="3">
        <v>619384</v>
      </c>
      <c r="H5450" s="2">
        <f t="shared" si="170"/>
        <v>755343</v>
      </c>
      <c r="I5450" t="str">
        <f t="shared" si="171"/>
        <v>Pgd_755343</v>
      </c>
      <c r="J5450" s="3">
        <v>4595</v>
      </c>
      <c r="K5450" s="3">
        <v>17036</v>
      </c>
      <c r="L5450" s="3">
        <v>47845</v>
      </c>
      <c r="M5450" s="3">
        <v>66483</v>
      </c>
      <c r="N5450" s="3">
        <v>619384</v>
      </c>
    </row>
    <row r="5451" spans="1:14" x14ac:dyDescent="0.2">
      <c r="A5451" s="5" t="str">
        <f>HYPERLINK("http://www.ncbi.nlm.nih.gov/protein/27369904","Pggt1b")</f>
        <v>Pggt1b</v>
      </c>
      <c r="B5451" s="4"/>
      <c r="C5451" s="3">
        <v>0</v>
      </c>
      <c r="D5451" s="3">
        <v>0</v>
      </c>
      <c r="E5451" s="3">
        <v>0</v>
      </c>
      <c r="F5451" s="3">
        <v>0</v>
      </c>
      <c r="G5451" s="3">
        <v>5815</v>
      </c>
      <c r="H5451" s="2">
        <f t="shared" si="170"/>
        <v>5815</v>
      </c>
      <c r="I5451" t="str">
        <f t="shared" si="171"/>
        <v>Pggt1b_5815</v>
      </c>
      <c r="J5451" s="3">
        <v>0</v>
      </c>
      <c r="K5451" s="3">
        <v>0</v>
      </c>
      <c r="L5451" s="3">
        <v>0</v>
      </c>
      <c r="M5451" s="3">
        <v>0</v>
      </c>
      <c r="N5451" s="3">
        <v>5815</v>
      </c>
    </row>
    <row r="5452" spans="1:14" x14ac:dyDescent="0.2">
      <c r="A5452" s="5" t="str">
        <f>HYPERLINK("http://www.ncbi.nlm.nih.gov/protein/70778976","Pgk1")</f>
        <v>Pgk1</v>
      </c>
      <c r="B5452" s="4"/>
      <c r="C5452" s="3">
        <v>279734</v>
      </c>
      <c r="D5452" s="3">
        <v>115963</v>
      </c>
      <c r="E5452" s="3">
        <v>233051</v>
      </c>
      <c r="F5452" s="3">
        <v>314440</v>
      </c>
      <c r="G5452" s="3">
        <v>3467716</v>
      </c>
      <c r="H5452" s="2">
        <f t="shared" si="170"/>
        <v>4410904</v>
      </c>
      <c r="I5452" t="str">
        <f t="shared" si="171"/>
        <v>Pgk1_4410904</v>
      </c>
      <c r="J5452" s="3">
        <v>279734</v>
      </c>
      <c r="K5452" s="3">
        <v>115963</v>
      </c>
      <c r="L5452" s="3">
        <v>233051</v>
      </c>
      <c r="M5452" s="3">
        <v>314440</v>
      </c>
      <c r="N5452" s="3">
        <v>3467716</v>
      </c>
    </row>
    <row r="5453" spans="1:14" x14ac:dyDescent="0.2">
      <c r="A5453" s="5" t="str">
        <f>HYPERLINK("http://www.ncbi.nlm.nih.gov/protein/226246531","Pgk2")</f>
        <v>Pgk2</v>
      </c>
      <c r="B5453" s="4"/>
      <c r="C5453" s="3">
        <v>68410</v>
      </c>
      <c r="D5453" s="3">
        <v>18911</v>
      </c>
      <c r="E5453" s="3">
        <v>88730</v>
      </c>
      <c r="F5453" s="3">
        <v>95476</v>
      </c>
      <c r="G5453" s="3">
        <v>866677</v>
      </c>
      <c r="H5453" s="2">
        <f t="shared" si="170"/>
        <v>1138204</v>
      </c>
      <c r="I5453" t="str">
        <f t="shared" si="171"/>
        <v>Pgk2_1138204</v>
      </c>
      <c r="J5453" s="3">
        <v>68410</v>
      </c>
      <c r="K5453" s="3">
        <v>18911</v>
      </c>
      <c r="L5453" s="3">
        <v>88730</v>
      </c>
      <c r="M5453" s="3">
        <v>95476</v>
      </c>
      <c r="N5453" s="3">
        <v>866677</v>
      </c>
    </row>
    <row r="5454" spans="1:14" x14ac:dyDescent="0.2">
      <c r="A5454" s="5" t="str">
        <f>HYPERLINK("http://www.ncbi.nlm.nih.gov/protein/13384778","Pgls")</f>
        <v>Pgls</v>
      </c>
      <c r="B5454" s="4"/>
      <c r="C5454" s="3">
        <v>1940</v>
      </c>
      <c r="D5454" s="3">
        <v>6951</v>
      </c>
      <c r="E5454" s="3">
        <v>3367</v>
      </c>
      <c r="F5454" s="3">
        <v>655</v>
      </c>
      <c r="G5454" s="3">
        <v>112407</v>
      </c>
      <c r="H5454" s="2">
        <f t="shared" si="170"/>
        <v>125320</v>
      </c>
      <c r="I5454" t="str">
        <f t="shared" si="171"/>
        <v>Pgls_125320</v>
      </c>
      <c r="J5454" s="3">
        <v>1940</v>
      </c>
      <c r="K5454" s="3">
        <v>6951</v>
      </c>
      <c r="L5454" s="3">
        <v>3367</v>
      </c>
      <c r="M5454" s="3">
        <v>655</v>
      </c>
      <c r="N5454" s="3">
        <v>112407</v>
      </c>
    </row>
    <row r="5455" spans="1:14" x14ac:dyDescent="0.2">
      <c r="A5455" s="5" t="str">
        <f>HYPERLINK("http://www.ncbi.nlm.nih.gov/protein/33859686","Pgm1")</f>
        <v>Pgm1</v>
      </c>
      <c r="B5455" s="4"/>
      <c r="C5455" s="3">
        <v>0</v>
      </c>
      <c r="D5455" s="3">
        <v>3188</v>
      </c>
      <c r="E5455" s="3">
        <v>736</v>
      </c>
      <c r="F5455" s="3">
        <v>0</v>
      </c>
      <c r="G5455" s="3">
        <v>46276</v>
      </c>
      <c r="H5455" s="2">
        <f t="shared" si="170"/>
        <v>50200</v>
      </c>
      <c r="I5455" t="str">
        <f t="shared" si="171"/>
        <v>Pgm1_50200</v>
      </c>
      <c r="J5455" s="3">
        <v>0</v>
      </c>
      <c r="K5455" s="3">
        <v>3188</v>
      </c>
      <c r="L5455" s="3">
        <v>736</v>
      </c>
      <c r="M5455" s="3">
        <v>0</v>
      </c>
      <c r="N5455" s="3">
        <v>46276</v>
      </c>
    </row>
    <row r="5456" spans="1:14" x14ac:dyDescent="0.2">
      <c r="A5456" s="5" t="str">
        <f>HYPERLINK("http://www.ncbi.nlm.nih.gov/protein/227330633","Pgm2")</f>
        <v>Pgm2</v>
      </c>
      <c r="B5456" s="4"/>
      <c r="C5456" s="3">
        <v>0</v>
      </c>
      <c r="D5456" s="3">
        <v>6419</v>
      </c>
      <c r="E5456" s="3">
        <v>41356</v>
      </c>
      <c r="F5456" s="3">
        <v>24647</v>
      </c>
      <c r="G5456" s="3">
        <v>270158</v>
      </c>
      <c r="H5456" s="2">
        <f t="shared" si="170"/>
        <v>342580</v>
      </c>
      <c r="I5456" t="str">
        <f t="shared" si="171"/>
        <v>Pgm2_342580</v>
      </c>
      <c r="J5456" s="3">
        <v>0</v>
      </c>
      <c r="K5456" s="3">
        <v>6419</v>
      </c>
      <c r="L5456" s="3">
        <v>41356</v>
      </c>
      <c r="M5456" s="3">
        <v>24647</v>
      </c>
      <c r="N5456" s="3">
        <v>270158</v>
      </c>
    </row>
    <row r="5457" spans="1:14" x14ac:dyDescent="0.2">
      <c r="A5457" s="5" t="str">
        <f>HYPERLINK("http://www.ncbi.nlm.nih.gov/protein/28076969","Pgm2l1")</f>
        <v>Pgm2l1</v>
      </c>
      <c r="B5457" s="4"/>
      <c r="C5457" s="3">
        <v>0</v>
      </c>
      <c r="D5457" s="3">
        <v>0</v>
      </c>
      <c r="E5457" s="3">
        <v>0</v>
      </c>
      <c r="F5457" s="3">
        <v>0</v>
      </c>
      <c r="G5457" s="3">
        <v>7004</v>
      </c>
      <c r="H5457" s="2">
        <f t="shared" si="170"/>
        <v>7004</v>
      </c>
      <c r="I5457" t="str">
        <f t="shared" si="171"/>
        <v>Pgm2l1_7004</v>
      </c>
      <c r="J5457" s="3">
        <v>0</v>
      </c>
      <c r="K5457" s="3">
        <v>0</v>
      </c>
      <c r="L5457" s="3">
        <v>0</v>
      </c>
      <c r="M5457" s="3">
        <v>0</v>
      </c>
      <c r="N5457" s="3">
        <v>7004</v>
      </c>
    </row>
    <row r="5458" spans="1:14" x14ac:dyDescent="0.2">
      <c r="A5458" s="5" t="str">
        <f>HYPERLINK("http://www.ncbi.nlm.nih.gov/protein/255522939","Pgm3")</f>
        <v>Pgm3</v>
      </c>
      <c r="B5458" s="4"/>
      <c r="C5458" s="3">
        <v>0</v>
      </c>
      <c r="D5458" s="3">
        <v>0</v>
      </c>
      <c r="E5458" s="3">
        <v>101</v>
      </c>
      <c r="F5458" s="3">
        <v>25</v>
      </c>
      <c r="G5458" s="3">
        <v>9542</v>
      </c>
      <c r="H5458" s="2">
        <f t="shared" si="170"/>
        <v>9668</v>
      </c>
      <c r="I5458" t="str">
        <f t="shared" si="171"/>
        <v>Pgm3_9668</v>
      </c>
      <c r="J5458" s="3">
        <v>0</v>
      </c>
      <c r="K5458" s="3">
        <v>0</v>
      </c>
      <c r="L5458" s="3">
        <v>101</v>
      </c>
      <c r="M5458" s="3">
        <v>25</v>
      </c>
      <c r="N5458" s="3">
        <v>9542</v>
      </c>
    </row>
    <row r="5459" spans="1:14" x14ac:dyDescent="0.2">
      <c r="A5459" s="5" t="str">
        <f>HYPERLINK("http://www.ncbi.nlm.nih.gov/protein/255522941","Pgm3")</f>
        <v>Pgm3</v>
      </c>
      <c r="B5459" s="4"/>
      <c r="C5459" s="3">
        <v>0</v>
      </c>
      <c r="D5459" s="3">
        <v>0</v>
      </c>
      <c r="E5459" s="3">
        <v>101</v>
      </c>
      <c r="F5459" s="3">
        <v>25</v>
      </c>
      <c r="G5459" s="3">
        <v>9542</v>
      </c>
      <c r="H5459" s="2">
        <f t="shared" si="170"/>
        <v>9668</v>
      </c>
      <c r="I5459" t="str">
        <f t="shared" si="171"/>
        <v>Pgm3_9668</v>
      </c>
      <c r="J5459" s="3">
        <v>0</v>
      </c>
      <c r="K5459" s="3">
        <v>0</v>
      </c>
      <c r="L5459" s="3">
        <v>101</v>
      </c>
      <c r="M5459" s="3">
        <v>25</v>
      </c>
      <c r="N5459" s="3">
        <v>9542</v>
      </c>
    </row>
    <row r="5460" spans="1:14" x14ac:dyDescent="0.2">
      <c r="A5460" s="5" t="str">
        <f>HYPERLINK("http://www.ncbi.nlm.nih.gov/protein/40254507","Pgp")</f>
        <v>Pgp</v>
      </c>
      <c r="B5460" s="4"/>
      <c r="C5460" s="3">
        <v>0</v>
      </c>
      <c r="D5460" s="3">
        <v>4561</v>
      </c>
      <c r="E5460" s="3">
        <v>2227</v>
      </c>
      <c r="F5460" s="3">
        <v>548</v>
      </c>
      <c r="G5460" s="3">
        <v>187459</v>
      </c>
      <c r="H5460" s="2">
        <f t="shared" si="170"/>
        <v>194795</v>
      </c>
      <c r="I5460" t="str">
        <f t="shared" si="171"/>
        <v>Pgp_194795</v>
      </c>
      <c r="J5460" s="3">
        <v>0</v>
      </c>
      <c r="K5460" s="3">
        <v>4561</v>
      </c>
      <c r="L5460" s="3">
        <v>2227</v>
      </c>
      <c r="M5460" s="3">
        <v>548</v>
      </c>
      <c r="N5460" s="3">
        <v>187459</v>
      </c>
    </row>
    <row r="5461" spans="1:14" x14ac:dyDescent="0.2">
      <c r="A5461" s="5" t="str">
        <f>HYPERLINK("http://www.ncbi.nlm.nih.gov/protein/31980806","Pgrmc1")</f>
        <v>Pgrmc1</v>
      </c>
      <c r="B5461" s="4"/>
      <c r="C5461" s="3">
        <v>21583</v>
      </c>
      <c r="D5461" s="3">
        <v>2881</v>
      </c>
      <c r="E5461" s="3">
        <v>2927</v>
      </c>
      <c r="F5461" s="3">
        <v>589</v>
      </c>
      <c r="G5461" s="3">
        <v>0</v>
      </c>
      <c r="H5461" s="2">
        <f t="shared" si="170"/>
        <v>27980</v>
      </c>
      <c r="I5461" t="str">
        <f t="shared" si="171"/>
        <v>Pgrmc1_27980</v>
      </c>
      <c r="J5461" s="3">
        <v>21583</v>
      </c>
      <c r="K5461" s="3">
        <v>2881</v>
      </c>
      <c r="L5461" s="3">
        <v>2927</v>
      </c>
      <c r="M5461" s="3">
        <v>589</v>
      </c>
      <c r="N5461" s="3">
        <v>0</v>
      </c>
    </row>
    <row r="5462" spans="1:14" x14ac:dyDescent="0.2">
      <c r="A5462" s="5" t="str">
        <f>HYPERLINK("http://www.ncbi.nlm.nih.gov/protein/226442772","Pgrmc2")</f>
        <v>Pgrmc2</v>
      </c>
      <c r="B5462" s="4"/>
      <c r="C5462" s="3">
        <v>34781</v>
      </c>
      <c r="D5462" s="3">
        <v>6966</v>
      </c>
      <c r="E5462" s="3">
        <v>4440</v>
      </c>
      <c r="F5462" s="3">
        <v>434</v>
      </c>
      <c r="G5462" s="3">
        <v>0</v>
      </c>
      <c r="H5462" s="2">
        <f t="shared" si="170"/>
        <v>46621</v>
      </c>
      <c r="I5462" t="str">
        <f t="shared" si="171"/>
        <v>Pgrmc2_46621</v>
      </c>
      <c r="J5462" s="3">
        <v>34781</v>
      </c>
      <c r="K5462" s="3">
        <v>6966</v>
      </c>
      <c r="L5462" s="3">
        <v>4440</v>
      </c>
      <c r="M5462" s="3">
        <v>434</v>
      </c>
      <c r="N5462" s="3">
        <v>0</v>
      </c>
    </row>
    <row r="5463" spans="1:14" x14ac:dyDescent="0.2">
      <c r="A5463" s="5" t="str">
        <f>HYPERLINK("http://www.ncbi.nlm.nih.gov/protein/110626163","Pgs1")</f>
        <v>Pgs1</v>
      </c>
      <c r="B5463" s="4"/>
      <c r="C5463" s="3">
        <v>0</v>
      </c>
      <c r="D5463" s="3">
        <v>549</v>
      </c>
      <c r="E5463" s="3">
        <v>12</v>
      </c>
      <c r="F5463" s="3">
        <v>0</v>
      </c>
      <c r="G5463" s="3">
        <v>0</v>
      </c>
      <c r="H5463" s="2">
        <f t="shared" si="170"/>
        <v>561</v>
      </c>
      <c r="I5463" t="str">
        <f t="shared" si="171"/>
        <v>Pgs1_561</v>
      </c>
      <c r="J5463" s="3">
        <v>0</v>
      </c>
      <c r="K5463" s="3">
        <v>549</v>
      </c>
      <c r="L5463" s="3">
        <v>12</v>
      </c>
      <c r="M5463" s="3">
        <v>0</v>
      </c>
      <c r="N5463" s="3">
        <v>0</v>
      </c>
    </row>
    <row r="5464" spans="1:14" x14ac:dyDescent="0.2">
      <c r="A5464" s="5" t="str">
        <f>HYPERLINK("http://www.ncbi.nlm.nih.gov/protein/54144633","Phactr1")</f>
        <v>Phactr1</v>
      </c>
      <c r="B5464" s="4"/>
      <c r="C5464" s="3">
        <v>0</v>
      </c>
      <c r="D5464" s="3">
        <v>0</v>
      </c>
      <c r="E5464" s="3">
        <v>0</v>
      </c>
      <c r="F5464" s="3">
        <v>0</v>
      </c>
      <c r="G5464" s="3">
        <v>225</v>
      </c>
      <c r="H5464" s="2">
        <f t="shared" si="170"/>
        <v>225</v>
      </c>
      <c r="I5464" t="str">
        <f t="shared" si="171"/>
        <v>Phactr1_225</v>
      </c>
      <c r="J5464" s="3">
        <v>0</v>
      </c>
      <c r="K5464" s="3">
        <v>0</v>
      </c>
      <c r="L5464" s="3">
        <v>0</v>
      </c>
      <c r="M5464" s="3">
        <v>0</v>
      </c>
      <c r="N5464" s="3">
        <v>225</v>
      </c>
    </row>
    <row r="5465" spans="1:14" x14ac:dyDescent="0.2">
      <c r="A5465" s="5" t="str">
        <f>HYPERLINK("http://www.ncbi.nlm.nih.gov/protein/54144635","Phactr1")</f>
        <v>Phactr1</v>
      </c>
      <c r="B5465" s="4"/>
      <c r="C5465" s="3">
        <v>0</v>
      </c>
      <c r="D5465" s="3">
        <v>0</v>
      </c>
      <c r="E5465" s="3">
        <v>0</v>
      </c>
      <c r="F5465" s="3">
        <v>0</v>
      </c>
      <c r="G5465" s="3">
        <v>225</v>
      </c>
      <c r="H5465" s="2">
        <f t="shared" si="170"/>
        <v>225</v>
      </c>
      <c r="I5465" t="str">
        <f t="shared" si="171"/>
        <v>Phactr1_225</v>
      </c>
      <c r="J5465" s="3">
        <v>0</v>
      </c>
      <c r="K5465" s="3">
        <v>0</v>
      </c>
      <c r="L5465" s="3">
        <v>0</v>
      </c>
      <c r="M5465" s="3">
        <v>0</v>
      </c>
      <c r="N5465" s="3">
        <v>225</v>
      </c>
    </row>
    <row r="5466" spans="1:14" x14ac:dyDescent="0.2">
      <c r="A5466" s="5" t="str">
        <f>HYPERLINK("http://www.ncbi.nlm.nih.gov/protein/54144637","Phactr1")</f>
        <v>Phactr1</v>
      </c>
      <c r="B5466" s="4"/>
      <c r="C5466" s="3">
        <v>0</v>
      </c>
      <c r="D5466" s="3">
        <v>0</v>
      </c>
      <c r="E5466" s="3">
        <v>0</v>
      </c>
      <c r="F5466" s="3">
        <v>0</v>
      </c>
      <c r="G5466" s="3">
        <v>225</v>
      </c>
      <c r="H5466" s="2">
        <f t="shared" si="170"/>
        <v>225</v>
      </c>
      <c r="I5466" t="str">
        <f t="shared" si="171"/>
        <v>Phactr1_225</v>
      </c>
      <c r="J5466" s="3">
        <v>0</v>
      </c>
      <c r="K5466" s="3">
        <v>0</v>
      </c>
      <c r="L5466" s="3">
        <v>0</v>
      </c>
      <c r="M5466" s="3">
        <v>0</v>
      </c>
      <c r="N5466" s="3">
        <v>225</v>
      </c>
    </row>
    <row r="5467" spans="1:14" x14ac:dyDescent="0.2">
      <c r="A5467" s="5" t="str">
        <f>HYPERLINK("http://www.ncbi.nlm.nih.gov/protein/304361725","Phactr2")</f>
        <v>Phactr2</v>
      </c>
      <c r="B5467" s="4"/>
      <c r="C5467" s="3">
        <v>0</v>
      </c>
      <c r="D5467" s="3">
        <v>0</v>
      </c>
      <c r="E5467" s="3">
        <v>0</v>
      </c>
      <c r="F5467" s="3">
        <v>5992</v>
      </c>
      <c r="G5467" s="3">
        <v>1424</v>
      </c>
      <c r="H5467" s="2">
        <f t="shared" si="170"/>
        <v>7416</v>
      </c>
      <c r="I5467" t="str">
        <f t="shared" si="171"/>
        <v>Phactr2_7416</v>
      </c>
      <c r="J5467" s="3">
        <v>0</v>
      </c>
      <c r="K5467" s="3">
        <v>0</v>
      </c>
      <c r="L5467" s="3">
        <v>0</v>
      </c>
      <c r="M5467" s="3">
        <v>5992</v>
      </c>
      <c r="N5467" s="3">
        <v>1424</v>
      </c>
    </row>
    <row r="5468" spans="1:14" x14ac:dyDescent="0.2">
      <c r="A5468" s="5" t="str">
        <f>HYPERLINK("http://www.ncbi.nlm.nih.gov/protein/304361727","Phactr2")</f>
        <v>Phactr2</v>
      </c>
      <c r="B5468" s="4"/>
      <c r="C5468" s="3">
        <v>0</v>
      </c>
      <c r="D5468" s="3">
        <v>0</v>
      </c>
      <c r="E5468" s="3">
        <v>0</v>
      </c>
      <c r="F5468" s="3">
        <v>5992</v>
      </c>
      <c r="G5468" s="3">
        <v>1424</v>
      </c>
      <c r="H5468" s="2">
        <f t="shared" si="170"/>
        <v>7416</v>
      </c>
      <c r="I5468" t="str">
        <f t="shared" si="171"/>
        <v>Phactr2_7416</v>
      </c>
      <c r="J5468" s="3">
        <v>0</v>
      </c>
      <c r="K5468" s="3">
        <v>0</v>
      </c>
      <c r="L5468" s="3">
        <v>0</v>
      </c>
      <c r="M5468" s="3">
        <v>5992</v>
      </c>
      <c r="N5468" s="3">
        <v>1424</v>
      </c>
    </row>
    <row r="5469" spans="1:14" x14ac:dyDescent="0.2">
      <c r="A5469" s="5" t="str">
        <f>HYPERLINK("http://www.ncbi.nlm.nih.gov/protein/304361740","Phactr2")</f>
        <v>Phactr2</v>
      </c>
      <c r="B5469" s="4"/>
      <c r="C5469" s="3">
        <v>0</v>
      </c>
      <c r="D5469" s="3">
        <v>0</v>
      </c>
      <c r="E5469" s="3">
        <v>0</v>
      </c>
      <c r="F5469" s="3">
        <v>5992</v>
      </c>
      <c r="G5469" s="3">
        <v>1424</v>
      </c>
      <c r="H5469" s="2">
        <f t="shared" si="170"/>
        <v>7416</v>
      </c>
      <c r="I5469" t="str">
        <f t="shared" si="171"/>
        <v>Phactr2_7416</v>
      </c>
      <c r="J5469" s="3">
        <v>0</v>
      </c>
      <c r="K5469" s="3">
        <v>0</v>
      </c>
      <c r="L5469" s="3">
        <v>0</v>
      </c>
      <c r="M5469" s="3">
        <v>5992</v>
      </c>
      <c r="N5469" s="3">
        <v>1424</v>
      </c>
    </row>
    <row r="5470" spans="1:14" x14ac:dyDescent="0.2">
      <c r="A5470" s="5" t="str">
        <f>HYPERLINK("http://www.ncbi.nlm.nih.gov/protein/84781783","Phactr2")</f>
        <v>Phactr2</v>
      </c>
      <c r="B5470" s="4"/>
      <c r="C5470" s="3">
        <v>0</v>
      </c>
      <c r="D5470" s="3">
        <v>0</v>
      </c>
      <c r="E5470" s="3">
        <v>0</v>
      </c>
      <c r="F5470" s="3">
        <v>5992</v>
      </c>
      <c r="G5470" s="3">
        <v>1424</v>
      </c>
      <c r="H5470" s="2">
        <f t="shared" si="170"/>
        <v>7416</v>
      </c>
      <c r="I5470" t="str">
        <f t="shared" si="171"/>
        <v>Phactr2_7416</v>
      </c>
      <c r="J5470" s="3">
        <v>0</v>
      </c>
      <c r="K5470" s="3">
        <v>0</v>
      </c>
      <c r="L5470" s="3">
        <v>0</v>
      </c>
      <c r="M5470" s="3">
        <v>5992</v>
      </c>
      <c r="N5470" s="3">
        <v>1424</v>
      </c>
    </row>
    <row r="5471" spans="1:14" x14ac:dyDescent="0.2">
      <c r="A5471" s="5" t="str">
        <f>HYPERLINK("http://www.ncbi.nlm.nih.gov/protein/239985486","Phactr4")</f>
        <v>Phactr4</v>
      </c>
      <c r="B5471" s="4"/>
      <c r="C5471" s="3">
        <v>0</v>
      </c>
      <c r="D5471" s="3">
        <v>44</v>
      </c>
      <c r="E5471" s="3">
        <v>170</v>
      </c>
      <c r="F5471" s="3">
        <v>2529</v>
      </c>
      <c r="G5471" s="3">
        <v>632</v>
      </c>
      <c r="H5471" s="2">
        <f t="shared" si="170"/>
        <v>3375</v>
      </c>
      <c r="I5471" t="str">
        <f t="shared" si="171"/>
        <v>Phactr4_3375</v>
      </c>
      <c r="J5471" s="3">
        <v>0</v>
      </c>
      <c r="K5471" s="3">
        <v>44</v>
      </c>
      <c r="L5471" s="3">
        <v>170</v>
      </c>
      <c r="M5471" s="3">
        <v>2529</v>
      </c>
      <c r="N5471" s="3">
        <v>632</v>
      </c>
    </row>
    <row r="5472" spans="1:14" x14ac:dyDescent="0.2">
      <c r="A5472" s="5" t="str">
        <f>HYPERLINK("http://www.ncbi.nlm.nih.gov/protein/239985488","Phactr4")</f>
        <v>Phactr4</v>
      </c>
      <c r="B5472" s="4"/>
      <c r="C5472" s="3">
        <v>0</v>
      </c>
      <c r="D5472" s="3">
        <v>44</v>
      </c>
      <c r="E5472" s="3">
        <v>170</v>
      </c>
      <c r="F5472" s="3">
        <v>2529</v>
      </c>
      <c r="G5472" s="3">
        <v>632</v>
      </c>
      <c r="H5472" s="2">
        <f t="shared" si="170"/>
        <v>3375</v>
      </c>
      <c r="I5472" t="str">
        <f t="shared" si="171"/>
        <v>Phactr4_3375</v>
      </c>
      <c r="J5472" s="3">
        <v>0</v>
      </c>
      <c r="K5472" s="3">
        <v>44</v>
      </c>
      <c r="L5472" s="3">
        <v>170</v>
      </c>
      <c r="M5472" s="3">
        <v>2529</v>
      </c>
      <c r="N5472" s="3">
        <v>632</v>
      </c>
    </row>
    <row r="5473" spans="1:14" x14ac:dyDescent="0.2">
      <c r="A5473" s="5" t="str">
        <f>HYPERLINK("http://www.ncbi.nlm.nih.gov/protein/253314458","Phax")</f>
        <v>Phax</v>
      </c>
      <c r="B5473" s="4"/>
      <c r="C5473" s="3">
        <v>0</v>
      </c>
      <c r="D5473" s="3">
        <v>15</v>
      </c>
      <c r="E5473" s="3">
        <v>92</v>
      </c>
      <c r="F5473" s="3">
        <v>1187</v>
      </c>
      <c r="G5473" s="3">
        <v>7539</v>
      </c>
      <c r="H5473" s="2">
        <f t="shared" si="170"/>
        <v>8833</v>
      </c>
      <c r="I5473" t="str">
        <f t="shared" si="171"/>
        <v>Phax_8833</v>
      </c>
      <c r="J5473" s="3">
        <v>0</v>
      </c>
      <c r="K5473" s="3">
        <v>15</v>
      </c>
      <c r="L5473" s="3">
        <v>92</v>
      </c>
      <c r="M5473" s="3">
        <v>1187</v>
      </c>
      <c r="N5473" s="3">
        <v>7539</v>
      </c>
    </row>
    <row r="5474" spans="1:14" x14ac:dyDescent="0.2">
      <c r="A5474" s="5" t="str">
        <f>HYPERLINK("http://www.ncbi.nlm.nih.gov/protein/253314461","Phax")</f>
        <v>Phax</v>
      </c>
      <c r="B5474" s="4"/>
      <c r="C5474" s="3">
        <v>0</v>
      </c>
      <c r="D5474" s="3">
        <v>15</v>
      </c>
      <c r="E5474" s="3">
        <v>92</v>
      </c>
      <c r="F5474" s="3">
        <v>1187</v>
      </c>
      <c r="G5474" s="3">
        <v>7539</v>
      </c>
      <c r="H5474" s="2">
        <f t="shared" si="170"/>
        <v>8833</v>
      </c>
      <c r="I5474" t="str">
        <f t="shared" si="171"/>
        <v>Phax_8833</v>
      </c>
      <c r="J5474" s="3">
        <v>0</v>
      </c>
      <c r="K5474" s="3">
        <v>15</v>
      </c>
      <c r="L5474" s="3">
        <v>92</v>
      </c>
      <c r="M5474" s="3">
        <v>1187</v>
      </c>
      <c r="N5474" s="3">
        <v>7539</v>
      </c>
    </row>
    <row r="5475" spans="1:14" x14ac:dyDescent="0.2">
      <c r="A5475" s="5" t="str">
        <f>HYPERLINK("http://www.ncbi.nlm.nih.gov/protein/6679299","Phb")</f>
        <v>Phb</v>
      </c>
      <c r="B5475" s="4"/>
      <c r="C5475" s="3">
        <v>426384</v>
      </c>
      <c r="D5475" s="3">
        <v>103916</v>
      </c>
      <c r="E5475" s="3">
        <v>17629</v>
      </c>
      <c r="F5475" s="3">
        <v>982</v>
      </c>
      <c r="G5475" s="3">
        <v>0</v>
      </c>
      <c r="H5475" s="2">
        <f t="shared" si="170"/>
        <v>548911</v>
      </c>
      <c r="I5475" t="str">
        <f t="shared" si="171"/>
        <v>Phb_548911</v>
      </c>
      <c r="J5475" s="3">
        <v>426384</v>
      </c>
      <c r="K5475" s="3">
        <v>103916</v>
      </c>
      <c r="L5475" s="3">
        <v>17629</v>
      </c>
      <c r="M5475" s="3">
        <v>982</v>
      </c>
      <c r="N5475" s="3">
        <v>0</v>
      </c>
    </row>
    <row r="5476" spans="1:14" x14ac:dyDescent="0.2">
      <c r="A5476" s="5" t="str">
        <f>HYPERLINK("http://www.ncbi.nlm.nih.gov/protein/126723336","Phb2")</f>
        <v>Phb2</v>
      </c>
      <c r="B5476" s="4"/>
      <c r="C5476" s="3">
        <v>946750</v>
      </c>
      <c r="D5476" s="3">
        <v>124831</v>
      </c>
      <c r="E5476" s="3">
        <v>18208</v>
      </c>
      <c r="F5476" s="3">
        <v>1465</v>
      </c>
      <c r="G5476" s="3">
        <v>0</v>
      </c>
      <c r="H5476" s="2">
        <f t="shared" si="170"/>
        <v>1091254</v>
      </c>
      <c r="I5476" t="str">
        <f t="shared" si="171"/>
        <v>Phb2_1091254</v>
      </c>
      <c r="J5476" s="3">
        <v>946750</v>
      </c>
      <c r="K5476" s="3">
        <v>124831</v>
      </c>
      <c r="L5476" s="3">
        <v>18208</v>
      </c>
      <c r="M5476" s="3">
        <v>1465</v>
      </c>
      <c r="N5476" s="3">
        <v>0</v>
      </c>
    </row>
    <row r="5477" spans="1:14" x14ac:dyDescent="0.2">
      <c r="A5477" s="5" t="str">
        <f>HYPERLINK("http://www.ncbi.nlm.nih.gov/protein/270288742","Phf14")</f>
        <v>Phf14</v>
      </c>
      <c r="B5477" s="4"/>
      <c r="C5477" s="3">
        <v>1281</v>
      </c>
      <c r="D5477" s="3">
        <v>0</v>
      </c>
      <c r="E5477" s="3">
        <v>0</v>
      </c>
      <c r="F5477" s="3">
        <v>0</v>
      </c>
      <c r="G5477" s="3">
        <v>0</v>
      </c>
      <c r="H5477" s="2">
        <f t="shared" si="170"/>
        <v>1281</v>
      </c>
      <c r="I5477" t="str">
        <f t="shared" si="171"/>
        <v>Phf14_1281</v>
      </c>
      <c r="J5477" s="3">
        <v>1281</v>
      </c>
      <c r="K5477" s="3">
        <v>0</v>
      </c>
      <c r="L5477" s="3">
        <v>0</v>
      </c>
      <c r="M5477" s="3">
        <v>0</v>
      </c>
      <c r="N5477" s="3">
        <v>0</v>
      </c>
    </row>
    <row r="5478" spans="1:14" x14ac:dyDescent="0.2">
      <c r="A5478" s="5" t="str">
        <f>HYPERLINK("http://www.ncbi.nlm.nih.gov/protein/270288744","Phf14")</f>
        <v>Phf14</v>
      </c>
      <c r="B5478" s="4"/>
      <c r="C5478" s="3">
        <v>1281</v>
      </c>
      <c r="D5478" s="3">
        <v>0</v>
      </c>
      <c r="E5478" s="3">
        <v>0</v>
      </c>
      <c r="F5478" s="3">
        <v>0</v>
      </c>
      <c r="G5478" s="3">
        <v>0</v>
      </c>
      <c r="H5478" s="2">
        <f t="shared" si="170"/>
        <v>1281</v>
      </c>
      <c r="I5478" t="str">
        <f t="shared" si="171"/>
        <v>Phf14_1281</v>
      </c>
      <c r="J5478" s="3">
        <v>1281</v>
      </c>
      <c r="K5478" s="3">
        <v>0</v>
      </c>
      <c r="L5478" s="3">
        <v>0</v>
      </c>
      <c r="M5478" s="3">
        <v>0</v>
      </c>
      <c r="N5478" s="3">
        <v>0</v>
      </c>
    </row>
    <row r="5479" spans="1:14" x14ac:dyDescent="0.2">
      <c r="A5479" s="5" t="str">
        <f>HYPERLINK("http://www.ncbi.nlm.nih.gov/protein/24415990","Phf5a")</f>
        <v>Phf5a</v>
      </c>
      <c r="B5479" s="4"/>
      <c r="C5479" s="3">
        <v>11990</v>
      </c>
      <c r="D5479" s="3">
        <v>474</v>
      </c>
      <c r="E5479" s="3">
        <v>935</v>
      </c>
      <c r="F5479" s="3">
        <v>3618</v>
      </c>
      <c r="G5479" s="3">
        <v>3534</v>
      </c>
      <c r="H5479" s="2">
        <f t="shared" si="170"/>
        <v>20551</v>
      </c>
      <c r="I5479" t="str">
        <f t="shared" si="171"/>
        <v>Phf5a_20551</v>
      </c>
      <c r="J5479" s="3">
        <v>11990</v>
      </c>
      <c r="K5479" s="3">
        <v>474</v>
      </c>
      <c r="L5479" s="3">
        <v>935</v>
      </c>
      <c r="M5479" s="3">
        <v>3618</v>
      </c>
      <c r="N5479" s="3">
        <v>3534</v>
      </c>
    </row>
    <row r="5480" spans="1:14" x14ac:dyDescent="0.2">
      <c r="A5480" s="5" t="str">
        <f>HYPERLINK("http://www.ncbi.nlm.nih.gov/protein/33563292","Phf6")</f>
        <v>Phf6</v>
      </c>
      <c r="B5480" s="4"/>
      <c r="C5480" s="3">
        <v>0</v>
      </c>
      <c r="D5480" s="3">
        <v>0</v>
      </c>
      <c r="E5480" s="3">
        <v>344</v>
      </c>
      <c r="F5480" s="3">
        <v>1130</v>
      </c>
      <c r="G5480" s="3">
        <v>0</v>
      </c>
      <c r="H5480" s="2">
        <f t="shared" si="170"/>
        <v>1474</v>
      </c>
      <c r="I5480" t="str">
        <f t="shared" si="171"/>
        <v>Phf6_1474</v>
      </c>
      <c r="J5480" s="3">
        <v>0</v>
      </c>
      <c r="K5480" s="3">
        <v>0</v>
      </c>
      <c r="L5480" s="3">
        <v>344</v>
      </c>
      <c r="M5480" s="3">
        <v>1130</v>
      </c>
      <c r="N5480" s="3">
        <v>0</v>
      </c>
    </row>
    <row r="5481" spans="1:14" x14ac:dyDescent="0.2">
      <c r="A5481" s="5" t="str">
        <f>HYPERLINK("http://www.ncbi.nlm.nih.gov/protein/164518891","Phf8")</f>
        <v>Phf8</v>
      </c>
      <c r="B5481" s="4"/>
      <c r="C5481" s="3">
        <v>0</v>
      </c>
      <c r="D5481" s="3">
        <v>0</v>
      </c>
      <c r="E5481" s="3">
        <v>18</v>
      </c>
      <c r="F5481" s="3">
        <v>0</v>
      </c>
      <c r="G5481" s="3">
        <v>0</v>
      </c>
      <c r="H5481" s="2">
        <f t="shared" si="170"/>
        <v>18</v>
      </c>
      <c r="I5481" t="str">
        <f t="shared" si="171"/>
        <v>Phf8_18</v>
      </c>
      <c r="J5481" s="3">
        <v>0</v>
      </c>
      <c r="K5481" s="3">
        <v>0</v>
      </c>
      <c r="L5481" s="3">
        <v>18</v>
      </c>
      <c r="M5481" s="3">
        <v>0</v>
      </c>
      <c r="N5481" s="3">
        <v>0</v>
      </c>
    </row>
    <row r="5482" spans="1:14" x14ac:dyDescent="0.2">
      <c r="A5482" s="5" t="str">
        <f>HYPERLINK("http://www.ncbi.nlm.nih.gov/protein/52353955","Phgdh")</f>
        <v>Phgdh</v>
      </c>
      <c r="B5482" s="4"/>
      <c r="C5482" s="3">
        <v>51843</v>
      </c>
      <c r="D5482" s="3">
        <v>64417</v>
      </c>
      <c r="E5482" s="3">
        <v>153369</v>
      </c>
      <c r="F5482" s="3">
        <v>280830</v>
      </c>
      <c r="G5482" s="3">
        <v>601135</v>
      </c>
      <c r="H5482" s="2">
        <f t="shared" si="170"/>
        <v>1151594</v>
      </c>
      <c r="I5482" t="str">
        <f t="shared" si="171"/>
        <v>Phgdh_1151594</v>
      </c>
      <c r="J5482" s="3">
        <v>51843</v>
      </c>
      <c r="K5482" s="3">
        <v>64417</v>
      </c>
      <c r="L5482" s="3">
        <v>153369</v>
      </c>
      <c r="M5482" s="3">
        <v>280830</v>
      </c>
      <c r="N5482" s="3">
        <v>601135</v>
      </c>
    </row>
    <row r="5483" spans="1:14" x14ac:dyDescent="0.2">
      <c r="A5483" s="5" t="str">
        <f>HYPERLINK("http://www.ncbi.nlm.nih.gov/protein/40789096","Phkb")</f>
        <v>Phkb</v>
      </c>
      <c r="B5483" s="4"/>
      <c r="C5483" s="3">
        <v>0</v>
      </c>
      <c r="D5483" s="3">
        <v>0</v>
      </c>
      <c r="E5483" s="3">
        <v>0</v>
      </c>
      <c r="F5483" s="3">
        <v>786</v>
      </c>
      <c r="G5483" s="3">
        <v>268</v>
      </c>
      <c r="H5483" s="2">
        <f t="shared" si="170"/>
        <v>1054</v>
      </c>
      <c r="I5483" t="str">
        <f t="shared" si="171"/>
        <v>Phkb_1054</v>
      </c>
      <c r="J5483" s="3">
        <v>0</v>
      </c>
      <c r="K5483" s="3">
        <v>0</v>
      </c>
      <c r="L5483" s="3">
        <v>0</v>
      </c>
      <c r="M5483" s="3">
        <v>786</v>
      </c>
      <c r="N5483" s="3">
        <v>268</v>
      </c>
    </row>
    <row r="5484" spans="1:14" x14ac:dyDescent="0.2">
      <c r="A5484" s="5" t="str">
        <f>HYPERLINK("http://www.ncbi.nlm.nih.gov/protein/226442929","Phlda1")</f>
        <v>Phlda1</v>
      </c>
      <c r="B5484" s="4"/>
      <c r="C5484" s="3">
        <v>0</v>
      </c>
      <c r="D5484" s="3">
        <v>0</v>
      </c>
      <c r="E5484" s="3">
        <v>56</v>
      </c>
      <c r="F5484" s="3">
        <v>0</v>
      </c>
      <c r="G5484" s="3">
        <v>0</v>
      </c>
      <c r="H5484" s="2">
        <f t="shared" si="170"/>
        <v>56</v>
      </c>
      <c r="I5484" t="str">
        <f t="shared" si="171"/>
        <v>Phlda1_56</v>
      </c>
      <c r="J5484" s="3">
        <v>0</v>
      </c>
      <c r="K5484" s="3">
        <v>0</v>
      </c>
      <c r="L5484" s="3">
        <v>56</v>
      </c>
      <c r="M5484" s="3">
        <v>0</v>
      </c>
      <c r="N5484" s="3">
        <v>0</v>
      </c>
    </row>
    <row r="5485" spans="1:14" x14ac:dyDescent="0.2">
      <c r="A5485" s="5" t="str">
        <f>HYPERLINK("http://www.ncbi.nlm.nih.gov/protein/7305377","Phlda3")</f>
        <v>Phlda3</v>
      </c>
      <c r="B5485" s="4"/>
      <c r="C5485" s="3">
        <v>0</v>
      </c>
      <c r="D5485" s="3">
        <v>0</v>
      </c>
      <c r="E5485" s="3">
        <v>13</v>
      </c>
      <c r="F5485" s="3">
        <v>0</v>
      </c>
      <c r="G5485" s="3">
        <v>0</v>
      </c>
      <c r="H5485" s="2">
        <f t="shared" si="170"/>
        <v>13</v>
      </c>
      <c r="I5485" t="str">
        <f t="shared" si="171"/>
        <v>Phlda3_13</v>
      </c>
      <c r="J5485" s="3">
        <v>0</v>
      </c>
      <c r="K5485" s="3">
        <v>0</v>
      </c>
      <c r="L5485" s="3">
        <v>13</v>
      </c>
      <c r="M5485" s="3">
        <v>0</v>
      </c>
      <c r="N5485" s="3">
        <v>0</v>
      </c>
    </row>
    <row r="5486" spans="1:14" x14ac:dyDescent="0.2">
      <c r="A5486" s="5" t="str">
        <f>HYPERLINK("http://www.ncbi.nlm.nih.gov/protein/188528897","Phldb2")</f>
        <v>Phldb2</v>
      </c>
      <c r="B5486" s="4"/>
      <c r="C5486" s="3">
        <v>0</v>
      </c>
      <c r="D5486" s="3">
        <v>65</v>
      </c>
      <c r="E5486" s="3">
        <v>1831</v>
      </c>
      <c r="F5486" s="3">
        <v>0</v>
      </c>
      <c r="G5486" s="3">
        <v>0</v>
      </c>
      <c r="H5486" s="2">
        <f t="shared" si="170"/>
        <v>1896</v>
      </c>
      <c r="I5486" t="str">
        <f t="shared" si="171"/>
        <v>Phldb2_1896</v>
      </c>
      <c r="J5486" s="3">
        <v>0</v>
      </c>
      <c r="K5486" s="3">
        <v>65</v>
      </c>
      <c r="L5486" s="3">
        <v>1831</v>
      </c>
      <c r="M5486" s="3">
        <v>0</v>
      </c>
      <c r="N5486" s="3">
        <v>0</v>
      </c>
    </row>
    <row r="5487" spans="1:14" x14ac:dyDescent="0.2">
      <c r="A5487" s="5" t="str">
        <f>HYPERLINK("http://www.ncbi.nlm.nih.gov/protein/356995938","Phldb2")</f>
        <v>Phldb2</v>
      </c>
      <c r="B5487" s="4"/>
      <c r="C5487" s="3">
        <v>0</v>
      </c>
      <c r="D5487" s="3">
        <v>65</v>
      </c>
      <c r="E5487" s="3">
        <v>1831</v>
      </c>
      <c r="F5487" s="3">
        <v>0</v>
      </c>
      <c r="G5487" s="3">
        <v>0</v>
      </c>
      <c r="H5487" s="2">
        <f t="shared" si="170"/>
        <v>1896</v>
      </c>
      <c r="I5487" t="str">
        <f t="shared" si="171"/>
        <v>Phldb2_1896</v>
      </c>
      <c r="J5487" s="3">
        <v>0</v>
      </c>
      <c r="K5487" s="3">
        <v>65</v>
      </c>
      <c r="L5487" s="3">
        <v>1831</v>
      </c>
      <c r="M5487" s="3">
        <v>0</v>
      </c>
      <c r="N5487" s="3">
        <v>0</v>
      </c>
    </row>
    <row r="5488" spans="1:14" x14ac:dyDescent="0.2">
      <c r="A5488" s="5" t="str">
        <f>HYPERLINK("http://www.ncbi.nlm.nih.gov/protein/156616318","Phldb3")</f>
        <v>Phldb3</v>
      </c>
      <c r="B5488" s="4"/>
      <c r="C5488" s="3">
        <v>0</v>
      </c>
      <c r="D5488" s="3">
        <v>0</v>
      </c>
      <c r="E5488" s="3">
        <v>0</v>
      </c>
      <c r="F5488" s="3">
        <v>0</v>
      </c>
      <c r="G5488" s="3">
        <v>1735</v>
      </c>
      <c r="H5488" s="2">
        <f t="shared" si="170"/>
        <v>1735</v>
      </c>
      <c r="I5488" t="str">
        <f t="shared" si="171"/>
        <v>Phldb3_1735</v>
      </c>
      <c r="J5488" s="3">
        <v>0</v>
      </c>
      <c r="K5488" s="3">
        <v>0</v>
      </c>
      <c r="L5488" s="3">
        <v>0</v>
      </c>
      <c r="M5488" s="3">
        <v>0</v>
      </c>
      <c r="N5488" s="3">
        <v>1735</v>
      </c>
    </row>
    <row r="5489" spans="1:14" x14ac:dyDescent="0.2">
      <c r="A5489" s="5" t="str">
        <f>HYPERLINK("http://www.ncbi.nlm.nih.gov/protein/21312114","Phospho2")</f>
        <v>Phospho2</v>
      </c>
      <c r="B5489" s="4"/>
      <c r="C5489" s="3">
        <v>0</v>
      </c>
      <c r="D5489" s="3">
        <v>0</v>
      </c>
      <c r="E5489" s="3">
        <v>0</v>
      </c>
      <c r="F5489" s="3">
        <v>0</v>
      </c>
      <c r="G5489" s="3">
        <v>461</v>
      </c>
      <c r="H5489" s="2">
        <f t="shared" si="170"/>
        <v>461</v>
      </c>
      <c r="I5489" t="str">
        <f t="shared" si="171"/>
        <v>Phospho2_461</v>
      </c>
      <c r="J5489" s="3">
        <v>0</v>
      </c>
      <c r="K5489" s="3">
        <v>0</v>
      </c>
      <c r="L5489" s="3">
        <v>0</v>
      </c>
      <c r="M5489" s="3">
        <v>0</v>
      </c>
      <c r="N5489" s="3">
        <v>461</v>
      </c>
    </row>
    <row r="5490" spans="1:14" x14ac:dyDescent="0.2">
      <c r="A5490" s="5" t="str">
        <f>HYPERLINK("http://www.ncbi.nlm.nih.gov/protein/58037409","Phpt1")</f>
        <v>Phpt1</v>
      </c>
      <c r="B5490" s="4"/>
      <c r="C5490" s="3">
        <v>897</v>
      </c>
      <c r="D5490" s="3">
        <v>635</v>
      </c>
      <c r="E5490" s="3">
        <v>2049</v>
      </c>
      <c r="F5490" s="3">
        <v>0</v>
      </c>
      <c r="G5490" s="3">
        <v>14715</v>
      </c>
      <c r="H5490" s="2">
        <f t="shared" si="170"/>
        <v>18296</v>
      </c>
      <c r="I5490" t="str">
        <f t="shared" si="171"/>
        <v>Phpt1_18296</v>
      </c>
      <c r="J5490" s="3">
        <v>897</v>
      </c>
      <c r="K5490" s="3">
        <v>635</v>
      </c>
      <c r="L5490" s="3">
        <v>2049</v>
      </c>
      <c r="M5490" s="3">
        <v>0</v>
      </c>
      <c r="N5490" s="3">
        <v>14715</v>
      </c>
    </row>
    <row r="5491" spans="1:14" x14ac:dyDescent="0.2">
      <c r="A5491" s="5" t="str">
        <f>HYPERLINK("http://www.ncbi.nlm.nih.gov/protein/26986561","Phyhd1")</f>
        <v>Phyhd1</v>
      </c>
      <c r="B5491" s="4"/>
      <c r="C5491" s="3">
        <v>0</v>
      </c>
      <c r="D5491" s="3">
        <v>0</v>
      </c>
      <c r="E5491" s="3">
        <v>0</v>
      </c>
      <c r="F5491" s="3">
        <v>0</v>
      </c>
      <c r="G5491" s="3">
        <v>375</v>
      </c>
      <c r="H5491" s="2">
        <f t="shared" si="170"/>
        <v>375</v>
      </c>
      <c r="I5491" t="str">
        <f t="shared" si="171"/>
        <v>Phyhd1_375</v>
      </c>
      <c r="J5491" s="3">
        <v>0</v>
      </c>
      <c r="K5491" s="3">
        <v>0</v>
      </c>
      <c r="L5491" s="3">
        <v>0</v>
      </c>
      <c r="M5491" s="3">
        <v>0</v>
      </c>
      <c r="N5491" s="3">
        <v>375</v>
      </c>
    </row>
    <row r="5492" spans="1:14" x14ac:dyDescent="0.2">
      <c r="A5492" s="5" t="str">
        <f>HYPERLINK("http://www.ncbi.nlm.nih.gov/protein/357540869","Phyhd1")</f>
        <v>Phyhd1</v>
      </c>
      <c r="B5492" s="4"/>
      <c r="C5492" s="3">
        <v>0</v>
      </c>
      <c r="D5492" s="3">
        <v>0</v>
      </c>
      <c r="E5492" s="3">
        <v>0</v>
      </c>
      <c r="F5492" s="3">
        <v>0</v>
      </c>
      <c r="G5492" s="3">
        <v>375</v>
      </c>
      <c r="H5492" s="2">
        <f t="shared" si="170"/>
        <v>375</v>
      </c>
      <c r="I5492" t="str">
        <f t="shared" si="171"/>
        <v>Phyhd1_375</v>
      </c>
      <c r="J5492" s="3">
        <v>0</v>
      </c>
      <c r="K5492" s="3">
        <v>0</v>
      </c>
      <c r="L5492" s="3">
        <v>0</v>
      </c>
      <c r="M5492" s="3">
        <v>0</v>
      </c>
      <c r="N5492" s="3">
        <v>375</v>
      </c>
    </row>
    <row r="5493" spans="1:14" x14ac:dyDescent="0.2">
      <c r="A5493" s="5" t="str">
        <f>HYPERLINK("http://www.ncbi.nlm.nih.gov/protein/357588425","Phyhd1")</f>
        <v>Phyhd1</v>
      </c>
      <c r="B5493" s="4"/>
      <c r="C5493" s="3">
        <v>0</v>
      </c>
      <c r="D5493" s="3">
        <v>0</v>
      </c>
      <c r="E5493" s="3">
        <v>0</v>
      </c>
      <c r="F5493" s="3">
        <v>0</v>
      </c>
      <c r="G5493" s="3">
        <v>375</v>
      </c>
      <c r="H5493" s="2">
        <f t="shared" si="170"/>
        <v>375</v>
      </c>
      <c r="I5493" t="str">
        <f t="shared" si="171"/>
        <v>Phyhd1_375</v>
      </c>
      <c r="J5493" s="3">
        <v>0</v>
      </c>
      <c r="K5493" s="3">
        <v>0</v>
      </c>
      <c r="L5493" s="3">
        <v>0</v>
      </c>
      <c r="M5493" s="3">
        <v>0</v>
      </c>
      <c r="N5493" s="3">
        <v>375</v>
      </c>
    </row>
    <row r="5494" spans="1:14" x14ac:dyDescent="0.2">
      <c r="A5494" s="5" t="str">
        <f>HYPERLINK("http://www.ncbi.nlm.nih.gov/protein/357588429","Phyhd1")</f>
        <v>Phyhd1</v>
      </c>
      <c r="B5494" s="4"/>
      <c r="C5494" s="3">
        <v>0</v>
      </c>
      <c r="D5494" s="3">
        <v>0</v>
      </c>
      <c r="E5494" s="3">
        <v>0</v>
      </c>
      <c r="F5494" s="3">
        <v>0</v>
      </c>
      <c r="G5494" s="3">
        <v>375</v>
      </c>
      <c r="H5494" s="2">
        <f t="shared" si="170"/>
        <v>375</v>
      </c>
      <c r="I5494" t="str">
        <f t="shared" si="171"/>
        <v>Phyhd1_375</v>
      </c>
      <c r="J5494" s="3">
        <v>0</v>
      </c>
      <c r="K5494" s="3">
        <v>0</v>
      </c>
      <c r="L5494" s="3">
        <v>0</v>
      </c>
      <c r="M5494" s="3">
        <v>0</v>
      </c>
      <c r="N5494" s="3">
        <v>375</v>
      </c>
    </row>
    <row r="5495" spans="1:14" x14ac:dyDescent="0.2">
      <c r="A5495" s="5" t="str">
        <f>HYPERLINK("http://www.ncbi.nlm.nih.gov/protein/28077015","Phykpl")</f>
        <v>Phykpl</v>
      </c>
      <c r="B5495" s="4"/>
      <c r="C5495" s="3">
        <v>0</v>
      </c>
      <c r="D5495" s="3">
        <v>0</v>
      </c>
      <c r="E5495" s="3">
        <v>0</v>
      </c>
      <c r="F5495" s="3">
        <v>0</v>
      </c>
      <c r="G5495" s="3">
        <v>1060</v>
      </c>
      <c r="H5495" s="2">
        <f t="shared" si="170"/>
        <v>1060</v>
      </c>
      <c r="I5495" t="str">
        <f t="shared" si="171"/>
        <v>Phykpl_1060</v>
      </c>
      <c r="J5495" s="3">
        <v>0</v>
      </c>
      <c r="K5495" s="3">
        <v>0</v>
      </c>
      <c r="L5495" s="3">
        <v>0</v>
      </c>
      <c r="M5495" s="3">
        <v>0</v>
      </c>
      <c r="N5495" s="3">
        <v>1060</v>
      </c>
    </row>
    <row r="5496" spans="1:14" x14ac:dyDescent="0.2">
      <c r="A5496" s="5" t="str">
        <f>HYPERLINK("http://www.ncbi.nlm.nih.gov/protein/21703986","Pi4k2a")</f>
        <v>Pi4k2a</v>
      </c>
      <c r="B5496" s="4"/>
      <c r="C5496" s="3">
        <v>0</v>
      </c>
      <c r="D5496" s="3">
        <v>7722</v>
      </c>
      <c r="E5496" s="3">
        <v>6248</v>
      </c>
      <c r="F5496" s="3">
        <v>123</v>
      </c>
      <c r="G5496" s="3">
        <v>0</v>
      </c>
      <c r="H5496" s="2">
        <f t="shared" si="170"/>
        <v>14093</v>
      </c>
      <c r="I5496" t="str">
        <f t="shared" si="171"/>
        <v>Pi4k2a_14093</v>
      </c>
      <c r="J5496" s="3">
        <v>0</v>
      </c>
      <c r="K5496" s="3">
        <v>7722</v>
      </c>
      <c r="L5496" s="3">
        <v>6248</v>
      </c>
      <c r="M5496" s="3">
        <v>123</v>
      </c>
      <c r="N5496" s="3">
        <v>0</v>
      </c>
    </row>
    <row r="5497" spans="1:14" x14ac:dyDescent="0.2">
      <c r="A5497" s="5" t="str">
        <f>HYPERLINK("http://www.ncbi.nlm.nih.gov/protein/145966816","Pi4k2b")</f>
        <v>Pi4k2b</v>
      </c>
      <c r="B5497" s="4"/>
      <c r="C5497" s="3">
        <v>0</v>
      </c>
      <c r="D5497" s="3">
        <v>0</v>
      </c>
      <c r="E5497" s="3">
        <v>15</v>
      </c>
      <c r="F5497" s="3">
        <v>0</v>
      </c>
      <c r="G5497" s="3">
        <v>0</v>
      </c>
      <c r="H5497" s="2">
        <f t="shared" si="170"/>
        <v>15</v>
      </c>
      <c r="I5497" t="str">
        <f t="shared" si="171"/>
        <v>Pi4k2b_15</v>
      </c>
      <c r="J5497" s="3">
        <v>0</v>
      </c>
      <c r="K5497" s="3">
        <v>0</v>
      </c>
      <c r="L5497" s="3">
        <v>15</v>
      </c>
      <c r="M5497" s="3">
        <v>0</v>
      </c>
      <c r="N5497" s="3">
        <v>0</v>
      </c>
    </row>
    <row r="5498" spans="1:14" x14ac:dyDescent="0.2">
      <c r="A5498" s="5" t="str">
        <f>HYPERLINK("http://www.ncbi.nlm.nih.gov/protein/145966899","Pi4k2b")</f>
        <v>Pi4k2b</v>
      </c>
      <c r="B5498" s="4"/>
      <c r="C5498" s="3">
        <v>0</v>
      </c>
      <c r="D5498" s="3">
        <v>0</v>
      </c>
      <c r="E5498" s="3">
        <v>15</v>
      </c>
      <c r="F5498" s="3">
        <v>0</v>
      </c>
      <c r="G5498" s="3">
        <v>0</v>
      </c>
      <c r="H5498" s="2">
        <f t="shared" si="170"/>
        <v>15</v>
      </c>
      <c r="I5498" t="str">
        <f t="shared" si="171"/>
        <v>Pi4k2b_15</v>
      </c>
      <c r="J5498" s="3">
        <v>0</v>
      </c>
      <c r="K5498" s="3">
        <v>0</v>
      </c>
      <c r="L5498" s="3">
        <v>15</v>
      </c>
      <c r="M5498" s="3">
        <v>0</v>
      </c>
      <c r="N5498" s="3">
        <v>0</v>
      </c>
    </row>
    <row r="5499" spans="1:14" x14ac:dyDescent="0.2">
      <c r="A5499" s="5" t="str">
        <f>HYPERLINK("http://www.ncbi.nlm.nih.gov/protein/241982771","Pi4ka")</f>
        <v>Pi4ka</v>
      </c>
      <c r="B5499" s="4"/>
      <c r="C5499" s="3">
        <v>37</v>
      </c>
      <c r="D5499" s="3">
        <v>1111</v>
      </c>
      <c r="E5499" s="3">
        <v>702</v>
      </c>
      <c r="F5499" s="3">
        <v>704</v>
      </c>
      <c r="G5499" s="3">
        <v>0</v>
      </c>
      <c r="H5499" s="2">
        <f t="shared" si="170"/>
        <v>2554</v>
      </c>
      <c r="I5499" t="str">
        <f t="shared" si="171"/>
        <v>Pi4ka_2554</v>
      </c>
      <c r="J5499" s="3">
        <v>37</v>
      </c>
      <c r="K5499" s="3">
        <v>1111</v>
      </c>
      <c r="L5499" s="3">
        <v>702</v>
      </c>
      <c r="M5499" s="3">
        <v>704</v>
      </c>
      <c r="N5499" s="3">
        <v>0</v>
      </c>
    </row>
    <row r="5500" spans="1:14" x14ac:dyDescent="0.2">
      <c r="A5500" s="5" t="str">
        <f>HYPERLINK("http://www.ncbi.nlm.nih.gov/protein/256000773","Pi4kb")</f>
        <v>Pi4kb</v>
      </c>
      <c r="B5500" s="4"/>
      <c r="C5500" s="3">
        <v>0</v>
      </c>
      <c r="D5500" s="3">
        <v>0</v>
      </c>
      <c r="E5500" s="3">
        <v>0</v>
      </c>
      <c r="F5500" s="3">
        <v>0</v>
      </c>
      <c r="G5500" s="3">
        <v>1585</v>
      </c>
      <c r="H5500" s="2">
        <f t="shared" si="170"/>
        <v>1585</v>
      </c>
      <c r="I5500" t="str">
        <f t="shared" si="171"/>
        <v>Pi4kb_1585</v>
      </c>
      <c r="J5500" s="3">
        <v>0</v>
      </c>
      <c r="K5500" s="3">
        <v>0</v>
      </c>
      <c r="L5500" s="3">
        <v>0</v>
      </c>
      <c r="M5500" s="3">
        <v>0</v>
      </c>
      <c r="N5500" s="3">
        <v>1585</v>
      </c>
    </row>
    <row r="5501" spans="1:14" x14ac:dyDescent="0.2">
      <c r="A5501" s="5" t="str">
        <f>HYPERLINK("http://www.ncbi.nlm.nih.gov/protein/32567788","Picalm")</f>
        <v>Picalm</v>
      </c>
      <c r="B5501" s="4"/>
      <c r="C5501" s="3">
        <v>0</v>
      </c>
      <c r="D5501" s="3">
        <v>221</v>
      </c>
      <c r="E5501" s="3">
        <v>1759</v>
      </c>
      <c r="F5501" s="3">
        <v>0</v>
      </c>
      <c r="G5501" s="3">
        <v>2849</v>
      </c>
      <c r="H5501" s="2">
        <f t="shared" si="170"/>
        <v>4829</v>
      </c>
      <c r="I5501" t="str">
        <f t="shared" si="171"/>
        <v>Picalm_4829</v>
      </c>
      <c r="J5501" s="3">
        <v>0</v>
      </c>
      <c r="K5501" s="3">
        <v>221</v>
      </c>
      <c r="L5501" s="3">
        <v>1759</v>
      </c>
      <c r="M5501" s="3">
        <v>0</v>
      </c>
      <c r="N5501" s="3">
        <v>2849</v>
      </c>
    </row>
    <row r="5502" spans="1:14" x14ac:dyDescent="0.2">
      <c r="A5502" s="5" t="str">
        <f>HYPERLINK("http://www.ncbi.nlm.nih.gov/protein/357394959","Picalm")</f>
        <v>Picalm</v>
      </c>
      <c r="B5502" s="4"/>
      <c r="C5502" s="3">
        <v>0</v>
      </c>
      <c r="D5502" s="3">
        <v>476</v>
      </c>
      <c r="E5502" s="3">
        <v>1759</v>
      </c>
      <c r="F5502" s="3">
        <v>0</v>
      </c>
      <c r="G5502" s="3">
        <v>2849</v>
      </c>
      <c r="H5502" s="2">
        <f t="shared" si="170"/>
        <v>5084</v>
      </c>
      <c r="I5502" t="str">
        <f t="shared" si="171"/>
        <v>Picalm_5084</v>
      </c>
      <c r="J5502" s="3">
        <v>0</v>
      </c>
      <c r="K5502" s="3">
        <v>476</v>
      </c>
      <c r="L5502" s="3">
        <v>1759</v>
      </c>
      <c r="M5502" s="3">
        <v>0</v>
      </c>
      <c r="N5502" s="3">
        <v>2849</v>
      </c>
    </row>
    <row r="5503" spans="1:14" x14ac:dyDescent="0.2">
      <c r="A5503" s="5" t="str">
        <f>HYPERLINK("http://www.ncbi.nlm.nih.gov/protein/357394963","Picalm")</f>
        <v>Picalm</v>
      </c>
      <c r="B5503" s="4"/>
      <c r="C5503" s="3">
        <v>0</v>
      </c>
      <c r="D5503" s="3">
        <v>221</v>
      </c>
      <c r="E5503" s="3">
        <v>1759</v>
      </c>
      <c r="F5503" s="3">
        <v>0</v>
      </c>
      <c r="G5503" s="3">
        <v>2849</v>
      </c>
      <c r="H5503" s="2">
        <f t="shared" si="170"/>
        <v>4829</v>
      </c>
      <c r="I5503" t="str">
        <f t="shared" si="171"/>
        <v>Picalm_4829</v>
      </c>
      <c r="J5503" s="3">
        <v>0</v>
      </c>
      <c r="K5503" s="3">
        <v>221</v>
      </c>
      <c r="L5503" s="3">
        <v>1759</v>
      </c>
      <c r="M5503" s="3">
        <v>0</v>
      </c>
      <c r="N5503" s="3">
        <v>2849</v>
      </c>
    </row>
    <row r="5504" spans="1:14" x14ac:dyDescent="0.2">
      <c r="A5504" s="5" t="str">
        <f>HYPERLINK("http://www.ncbi.nlm.nih.gov/protein/357394966","Picalm")</f>
        <v>Picalm</v>
      </c>
      <c r="B5504" s="4"/>
      <c r="C5504" s="3">
        <v>0</v>
      </c>
      <c r="D5504" s="3">
        <v>221</v>
      </c>
      <c r="E5504" s="3">
        <v>1759</v>
      </c>
      <c r="F5504" s="3">
        <v>0</v>
      </c>
      <c r="G5504" s="3">
        <v>2849</v>
      </c>
      <c r="H5504" s="2">
        <f t="shared" si="170"/>
        <v>4829</v>
      </c>
      <c r="I5504" t="str">
        <f t="shared" si="171"/>
        <v>Picalm_4829</v>
      </c>
      <c r="J5504" s="3">
        <v>0</v>
      </c>
      <c r="K5504" s="3">
        <v>221</v>
      </c>
      <c r="L5504" s="3">
        <v>1759</v>
      </c>
      <c r="M5504" s="3">
        <v>0</v>
      </c>
      <c r="N5504" s="3">
        <v>2849</v>
      </c>
    </row>
    <row r="5505" spans="1:14" x14ac:dyDescent="0.2">
      <c r="A5505" s="5" t="str">
        <f>HYPERLINK("http://www.ncbi.nlm.nih.gov/protein/357394968","Picalm")</f>
        <v>Picalm</v>
      </c>
      <c r="B5505" s="4"/>
      <c r="C5505" s="3">
        <v>0</v>
      </c>
      <c r="D5505" s="3">
        <v>476</v>
      </c>
      <c r="E5505" s="3">
        <v>1759</v>
      </c>
      <c r="F5505" s="3">
        <v>0</v>
      </c>
      <c r="G5505" s="3">
        <v>2849</v>
      </c>
      <c r="H5505" s="2">
        <f t="shared" si="170"/>
        <v>5084</v>
      </c>
      <c r="I5505" t="str">
        <f t="shared" si="171"/>
        <v>Picalm_5084</v>
      </c>
      <c r="J5505" s="3">
        <v>0</v>
      </c>
      <c r="K5505" s="3">
        <v>476</v>
      </c>
      <c r="L5505" s="3">
        <v>1759</v>
      </c>
      <c r="M5505" s="3">
        <v>0</v>
      </c>
      <c r="N5505" s="3">
        <v>2849</v>
      </c>
    </row>
    <row r="5506" spans="1:14" x14ac:dyDescent="0.2">
      <c r="A5506" s="5" t="str">
        <f>HYPERLINK("http://www.ncbi.nlm.nih.gov/protein/357394970","Picalm")</f>
        <v>Picalm</v>
      </c>
      <c r="B5506" s="4"/>
      <c r="C5506" s="3">
        <v>0</v>
      </c>
      <c r="D5506" s="3">
        <v>476</v>
      </c>
      <c r="E5506" s="3">
        <v>1759</v>
      </c>
      <c r="F5506" s="3">
        <v>0</v>
      </c>
      <c r="G5506" s="3">
        <v>2849</v>
      </c>
      <c r="H5506" s="2">
        <f t="shared" ref="H5506:H5569" si="172">SUM(C5506:G5506)</f>
        <v>5084</v>
      </c>
      <c r="I5506" t="str">
        <f t="shared" ref="I5506:I5569" si="173">A5506&amp;"_"&amp;H5506</f>
        <v>Picalm_5084</v>
      </c>
      <c r="J5506" s="3">
        <v>0</v>
      </c>
      <c r="K5506" s="3">
        <v>476</v>
      </c>
      <c r="L5506" s="3">
        <v>1759</v>
      </c>
      <c r="M5506" s="3">
        <v>0</v>
      </c>
      <c r="N5506" s="3">
        <v>2849</v>
      </c>
    </row>
    <row r="5507" spans="1:14" x14ac:dyDescent="0.2">
      <c r="A5507" s="5" t="str">
        <f>HYPERLINK("http://www.ncbi.nlm.nih.gov/protein/257153376","Piezo1")</f>
        <v>Piezo1</v>
      </c>
      <c r="B5507" s="4"/>
      <c r="C5507" s="3">
        <v>0</v>
      </c>
      <c r="D5507" s="3">
        <v>2</v>
      </c>
      <c r="E5507" s="3">
        <v>0</v>
      </c>
      <c r="F5507" s="3">
        <v>0</v>
      </c>
      <c r="G5507" s="3">
        <v>0</v>
      </c>
      <c r="H5507" s="2">
        <f t="shared" si="172"/>
        <v>2</v>
      </c>
      <c r="I5507" t="str">
        <f t="shared" si="173"/>
        <v>Piezo1_2</v>
      </c>
      <c r="J5507" s="3">
        <v>0</v>
      </c>
      <c r="K5507" s="3">
        <v>2</v>
      </c>
      <c r="L5507" s="3">
        <v>0</v>
      </c>
      <c r="M5507" s="3">
        <v>0</v>
      </c>
      <c r="N5507" s="3">
        <v>0</v>
      </c>
    </row>
    <row r="5508" spans="1:14" x14ac:dyDescent="0.2">
      <c r="A5508" s="5" t="str">
        <f>HYPERLINK("http://www.ncbi.nlm.nih.gov/protein/124486987","Pigg")</f>
        <v>Pigg</v>
      </c>
      <c r="B5508" s="4"/>
      <c r="C5508" s="3">
        <v>0</v>
      </c>
      <c r="D5508" s="3">
        <v>35</v>
      </c>
      <c r="E5508" s="3">
        <v>0</v>
      </c>
      <c r="F5508" s="3">
        <v>0</v>
      </c>
      <c r="G5508" s="3">
        <v>0</v>
      </c>
      <c r="H5508" s="2">
        <f t="shared" si="172"/>
        <v>35</v>
      </c>
      <c r="I5508" t="str">
        <f t="shared" si="173"/>
        <v>Pigg_35</v>
      </c>
      <c r="J5508" s="3">
        <v>0</v>
      </c>
      <c r="K5508" s="3">
        <v>35</v>
      </c>
      <c r="L5508" s="3">
        <v>0</v>
      </c>
      <c r="M5508" s="3">
        <v>0</v>
      </c>
      <c r="N5508" s="3">
        <v>0</v>
      </c>
    </row>
    <row r="5509" spans="1:14" x14ac:dyDescent="0.2">
      <c r="A5509" s="5" t="str">
        <f>HYPERLINK("http://www.ncbi.nlm.nih.gov/protein/41872422","Pigh")</f>
        <v>Pigh</v>
      </c>
      <c r="B5509" s="4"/>
      <c r="C5509" s="3">
        <v>0</v>
      </c>
      <c r="D5509" s="3">
        <v>447</v>
      </c>
      <c r="E5509" s="3">
        <v>22</v>
      </c>
      <c r="F5509" s="3">
        <v>0</v>
      </c>
      <c r="G5509" s="3">
        <v>0</v>
      </c>
      <c r="H5509" s="2">
        <f t="shared" si="172"/>
        <v>469</v>
      </c>
      <c r="I5509" t="str">
        <f t="shared" si="173"/>
        <v>Pigh_469</v>
      </c>
      <c r="J5509" s="3">
        <v>0</v>
      </c>
      <c r="K5509" s="3">
        <v>447</v>
      </c>
      <c r="L5509" s="3">
        <v>22</v>
      </c>
      <c r="M5509" s="3">
        <v>0</v>
      </c>
      <c r="N5509" s="3">
        <v>0</v>
      </c>
    </row>
    <row r="5510" spans="1:14" x14ac:dyDescent="0.2">
      <c r="A5510" s="5" t="str">
        <f>HYPERLINK("http://www.ncbi.nlm.nih.gov/protein/29788753","Pigk")</f>
        <v>Pigk</v>
      </c>
      <c r="B5510" s="4"/>
      <c r="C5510" s="3">
        <v>3204</v>
      </c>
      <c r="D5510" s="3">
        <v>280</v>
      </c>
      <c r="E5510" s="3">
        <v>587</v>
      </c>
      <c r="F5510" s="3">
        <v>0</v>
      </c>
      <c r="G5510" s="3">
        <v>0</v>
      </c>
      <c r="H5510" s="2">
        <f t="shared" si="172"/>
        <v>4071</v>
      </c>
      <c r="I5510" t="str">
        <f t="shared" si="173"/>
        <v>Pigk_4071</v>
      </c>
      <c r="J5510" s="3">
        <v>3204</v>
      </c>
      <c r="K5510" s="3">
        <v>280</v>
      </c>
      <c r="L5510" s="3">
        <v>587</v>
      </c>
      <c r="M5510" s="3">
        <v>0</v>
      </c>
      <c r="N5510" s="3">
        <v>0</v>
      </c>
    </row>
    <row r="5511" spans="1:14" x14ac:dyDescent="0.2">
      <c r="A5511" s="5" t="str">
        <f>HYPERLINK("http://www.ncbi.nlm.nih.gov/protein/29789447","Pigk")</f>
        <v>Pigk</v>
      </c>
      <c r="B5511" s="4"/>
      <c r="C5511" s="3">
        <v>3204</v>
      </c>
      <c r="D5511" s="3">
        <v>280</v>
      </c>
      <c r="E5511" s="3">
        <v>587</v>
      </c>
      <c r="F5511" s="3">
        <v>0</v>
      </c>
      <c r="G5511" s="3">
        <v>0</v>
      </c>
      <c r="H5511" s="2">
        <f t="shared" si="172"/>
        <v>4071</v>
      </c>
      <c r="I5511" t="str">
        <f t="shared" si="173"/>
        <v>Pigk_4071</v>
      </c>
      <c r="J5511" s="3">
        <v>3204</v>
      </c>
      <c r="K5511" s="3">
        <v>280</v>
      </c>
      <c r="L5511" s="3">
        <v>587</v>
      </c>
      <c r="M5511" s="3">
        <v>0</v>
      </c>
      <c r="N5511" s="3">
        <v>0</v>
      </c>
    </row>
    <row r="5512" spans="1:14" x14ac:dyDescent="0.2">
      <c r="A5512" s="5" t="str">
        <f>HYPERLINK("http://www.ncbi.nlm.nih.gov/protein/19920329","Pigm")</f>
        <v>Pigm</v>
      </c>
      <c r="B5512" s="4"/>
      <c r="C5512" s="3">
        <v>0</v>
      </c>
      <c r="D5512" s="3">
        <v>0</v>
      </c>
      <c r="E5512" s="3">
        <v>31</v>
      </c>
      <c r="F5512" s="3">
        <v>0</v>
      </c>
      <c r="G5512" s="3">
        <v>0</v>
      </c>
      <c r="H5512" s="2">
        <f t="shared" si="172"/>
        <v>31</v>
      </c>
      <c r="I5512" t="str">
        <f t="shared" si="173"/>
        <v>Pigm_31</v>
      </c>
      <c r="J5512" s="3">
        <v>0</v>
      </c>
      <c r="K5512" s="3">
        <v>0</v>
      </c>
      <c r="L5512" s="3">
        <v>31</v>
      </c>
      <c r="M5512" s="3">
        <v>0</v>
      </c>
      <c r="N5512" s="3">
        <v>0</v>
      </c>
    </row>
    <row r="5513" spans="1:14" x14ac:dyDescent="0.2">
      <c r="A5513" s="5" t="str">
        <f>HYPERLINK("http://www.ncbi.nlm.nih.gov/protein/41351529","Pigs")</f>
        <v>Pigs</v>
      </c>
      <c r="B5513" s="4"/>
      <c r="C5513" s="3">
        <v>12448</v>
      </c>
      <c r="D5513" s="3">
        <v>3726</v>
      </c>
      <c r="E5513" s="3">
        <v>3983</v>
      </c>
      <c r="F5513" s="3">
        <v>0</v>
      </c>
      <c r="G5513" s="3">
        <v>0</v>
      </c>
      <c r="H5513" s="2">
        <f t="shared" si="172"/>
        <v>20157</v>
      </c>
      <c r="I5513" t="str">
        <f t="shared" si="173"/>
        <v>Pigs_20157</v>
      </c>
      <c r="J5513" s="3">
        <v>12448</v>
      </c>
      <c r="K5513" s="3">
        <v>3726</v>
      </c>
      <c r="L5513" s="3">
        <v>3983</v>
      </c>
      <c r="M5513" s="3">
        <v>0</v>
      </c>
      <c r="N5513" s="3">
        <v>0</v>
      </c>
    </row>
    <row r="5514" spans="1:14" x14ac:dyDescent="0.2">
      <c r="A5514" s="5" t="str">
        <f>HYPERLINK("http://www.ncbi.nlm.nih.gov/protein/120587021","Pigt")</f>
        <v>Pigt</v>
      </c>
      <c r="B5514" s="4"/>
      <c r="C5514" s="3">
        <v>275</v>
      </c>
      <c r="D5514" s="3">
        <v>1046</v>
      </c>
      <c r="E5514" s="3">
        <v>2769</v>
      </c>
      <c r="F5514" s="3">
        <v>0</v>
      </c>
      <c r="G5514" s="3">
        <v>0</v>
      </c>
      <c r="H5514" s="2">
        <f t="shared" si="172"/>
        <v>4090</v>
      </c>
      <c r="I5514" t="str">
        <f t="shared" si="173"/>
        <v>Pigt_4090</v>
      </c>
      <c r="J5514" s="3">
        <v>275</v>
      </c>
      <c r="K5514" s="3">
        <v>1046</v>
      </c>
      <c r="L5514" s="3">
        <v>2769</v>
      </c>
      <c r="M5514" s="3">
        <v>0</v>
      </c>
      <c r="N5514" s="3">
        <v>0</v>
      </c>
    </row>
    <row r="5515" spans="1:14" x14ac:dyDescent="0.2">
      <c r="A5515" s="5" t="str">
        <f>HYPERLINK("http://www.ncbi.nlm.nih.gov/protein/52630436","Pigu")</f>
        <v>Pigu</v>
      </c>
      <c r="B5515" s="4"/>
      <c r="C5515" s="3">
        <v>0</v>
      </c>
      <c r="D5515" s="3">
        <v>211</v>
      </c>
      <c r="E5515" s="3">
        <v>67</v>
      </c>
      <c r="F5515" s="3">
        <v>0</v>
      </c>
      <c r="G5515" s="3">
        <v>0</v>
      </c>
      <c r="H5515" s="2">
        <f t="shared" si="172"/>
        <v>278</v>
      </c>
      <c r="I5515" t="str">
        <f t="shared" si="173"/>
        <v>Pigu_278</v>
      </c>
      <c r="J5515" s="3">
        <v>0</v>
      </c>
      <c r="K5515" s="3">
        <v>211</v>
      </c>
      <c r="L5515" s="3">
        <v>67</v>
      </c>
      <c r="M5515" s="3">
        <v>0</v>
      </c>
      <c r="N5515" s="3">
        <v>0</v>
      </c>
    </row>
    <row r="5516" spans="1:14" x14ac:dyDescent="0.2">
      <c r="A5516" s="5" t="str">
        <f>HYPERLINK("http://www.ncbi.nlm.nih.gov/protein/21313052","Pih1d1")</f>
        <v>Pih1d1</v>
      </c>
      <c r="B5516" s="4"/>
      <c r="C5516" s="3">
        <v>0</v>
      </c>
      <c r="D5516" s="3">
        <v>0</v>
      </c>
      <c r="E5516" s="3">
        <v>831</v>
      </c>
      <c r="F5516" s="3">
        <v>13490</v>
      </c>
      <c r="G5516" s="3">
        <v>0</v>
      </c>
      <c r="H5516" s="2">
        <f t="shared" si="172"/>
        <v>14321</v>
      </c>
      <c r="I5516" t="str">
        <f t="shared" si="173"/>
        <v>Pih1d1_14321</v>
      </c>
      <c r="J5516" s="3">
        <v>0</v>
      </c>
      <c r="K5516" s="3">
        <v>0</v>
      </c>
      <c r="L5516" s="3">
        <v>831</v>
      </c>
      <c r="M5516" s="3">
        <v>13490</v>
      </c>
      <c r="N5516" s="3">
        <v>0</v>
      </c>
    </row>
    <row r="5517" spans="1:14" x14ac:dyDescent="0.2">
      <c r="A5517" s="5" t="str">
        <f>HYPERLINK("http://www.ncbi.nlm.nih.gov/protein/145279206","Pik3c2a")</f>
        <v>Pik3c2a</v>
      </c>
      <c r="B5517" s="4"/>
      <c r="C5517" s="3">
        <v>0</v>
      </c>
      <c r="D5517" s="3">
        <v>0</v>
      </c>
      <c r="E5517" s="3">
        <v>4743</v>
      </c>
      <c r="F5517" s="3">
        <v>0</v>
      </c>
      <c r="G5517" s="3">
        <v>0</v>
      </c>
      <c r="H5517" s="2">
        <f t="shared" si="172"/>
        <v>4743</v>
      </c>
      <c r="I5517" t="str">
        <f t="shared" si="173"/>
        <v>Pik3c2a_4743</v>
      </c>
      <c r="J5517" s="3">
        <v>0</v>
      </c>
      <c r="K5517" s="3">
        <v>0</v>
      </c>
      <c r="L5517" s="3">
        <v>4743</v>
      </c>
      <c r="M5517" s="3">
        <v>0</v>
      </c>
      <c r="N5517" s="3">
        <v>0</v>
      </c>
    </row>
    <row r="5518" spans="1:14" x14ac:dyDescent="0.2">
      <c r="A5518" s="5" t="str">
        <f>HYPERLINK("http://www.ncbi.nlm.nih.gov/protein/42475974","Pik3c3")</f>
        <v>Pik3c3</v>
      </c>
      <c r="B5518" s="4"/>
      <c r="C5518" s="3">
        <v>0</v>
      </c>
      <c r="D5518" s="3">
        <v>0</v>
      </c>
      <c r="E5518" s="3">
        <v>61</v>
      </c>
      <c r="F5518" s="3">
        <v>655</v>
      </c>
      <c r="G5518" s="3">
        <v>0</v>
      </c>
      <c r="H5518" s="2">
        <f t="shared" si="172"/>
        <v>716</v>
      </c>
      <c r="I5518" t="str">
        <f t="shared" si="173"/>
        <v>Pik3c3_716</v>
      </c>
      <c r="J5518" s="3">
        <v>0</v>
      </c>
      <c r="K5518" s="3">
        <v>0</v>
      </c>
      <c r="L5518" s="3">
        <v>61</v>
      </c>
      <c r="M5518" s="3">
        <v>655</v>
      </c>
      <c r="N5518" s="3">
        <v>0</v>
      </c>
    </row>
    <row r="5519" spans="1:14" x14ac:dyDescent="0.2">
      <c r="A5519" s="5" t="str">
        <f>HYPERLINK("http://www.ncbi.nlm.nih.gov/protein/269914109","Pik3cb")</f>
        <v>Pik3cb</v>
      </c>
      <c r="B5519" s="4"/>
      <c r="C5519" s="3">
        <v>0</v>
      </c>
      <c r="D5519" s="3">
        <v>0</v>
      </c>
      <c r="E5519" s="3">
        <v>51</v>
      </c>
      <c r="F5519" s="3">
        <v>0</v>
      </c>
      <c r="G5519" s="3">
        <v>685</v>
      </c>
      <c r="H5519" s="2">
        <f t="shared" si="172"/>
        <v>736</v>
      </c>
      <c r="I5519" t="str">
        <f t="shared" si="173"/>
        <v>Pik3cb_736</v>
      </c>
      <c r="J5519" s="3">
        <v>0</v>
      </c>
      <c r="K5519" s="3">
        <v>0</v>
      </c>
      <c r="L5519" s="3">
        <v>51</v>
      </c>
      <c r="M5519" s="3">
        <v>0</v>
      </c>
      <c r="N5519" s="3">
        <v>685</v>
      </c>
    </row>
    <row r="5520" spans="1:14" x14ac:dyDescent="0.2">
      <c r="A5520" s="5" t="str">
        <f>HYPERLINK("http://www.ncbi.nlm.nih.gov/protein/255708439","Pik3cd")</f>
        <v>Pik3cd</v>
      </c>
      <c r="B5520" s="4"/>
      <c r="C5520" s="3">
        <v>0</v>
      </c>
      <c r="D5520" s="3">
        <v>779</v>
      </c>
      <c r="E5520" s="3">
        <v>2840</v>
      </c>
      <c r="F5520" s="3">
        <v>1735</v>
      </c>
      <c r="G5520" s="3">
        <v>0</v>
      </c>
      <c r="H5520" s="2">
        <f t="shared" si="172"/>
        <v>5354</v>
      </c>
      <c r="I5520" t="str">
        <f t="shared" si="173"/>
        <v>Pik3cd_5354</v>
      </c>
      <c r="J5520" s="3">
        <v>0</v>
      </c>
      <c r="K5520" s="3">
        <v>779</v>
      </c>
      <c r="L5520" s="3">
        <v>2840</v>
      </c>
      <c r="M5520" s="3">
        <v>1735</v>
      </c>
      <c r="N5520" s="3">
        <v>0</v>
      </c>
    </row>
    <row r="5521" spans="1:14" x14ac:dyDescent="0.2">
      <c r="A5521" s="5" t="str">
        <f>HYPERLINK("http://www.ncbi.nlm.nih.gov/protein/255708441","Pik3cd")</f>
        <v>Pik3cd</v>
      </c>
      <c r="B5521" s="4"/>
      <c r="C5521" s="3">
        <v>0</v>
      </c>
      <c r="D5521" s="3">
        <v>779</v>
      </c>
      <c r="E5521" s="3">
        <v>2840</v>
      </c>
      <c r="F5521" s="3">
        <v>1735</v>
      </c>
      <c r="G5521" s="3">
        <v>0</v>
      </c>
      <c r="H5521" s="2">
        <f t="shared" si="172"/>
        <v>5354</v>
      </c>
      <c r="I5521" t="str">
        <f t="shared" si="173"/>
        <v>Pik3cd_5354</v>
      </c>
      <c r="J5521" s="3">
        <v>0</v>
      </c>
      <c r="K5521" s="3">
        <v>779</v>
      </c>
      <c r="L5521" s="3">
        <v>2840</v>
      </c>
      <c r="M5521" s="3">
        <v>1735</v>
      </c>
      <c r="N5521" s="3">
        <v>0</v>
      </c>
    </row>
    <row r="5522" spans="1:14" x14ac:dyDescent="0.2">
      <c r="A5522" s="5" t="str">
        <f>HYPERLINK("http://www.ncbi.nlm.nih.gov/protein/255708443","Pik3cd")</f>
        <v>Pik3cd</v>
      </c>
      <c r="B5522" s="4"/>
      <c r="C5522" s="3">
        <v>0</v>
      </c>
      <c r="D5522" s="3">
        <v>779</v>
      </c>
      <c r="E5522" s="3">
        <v>2840</v>
      </c>
      <c r="F5522" s="3">
        <v>1735</v>
      </c>
      <c r="G5522" s="3">
        <v>0</v>
      </c>
      <c r="H5522" s="2">
        <f t="shared" si="172"/>
        <v>5354</v>
      </c>
      <c r="I5522" t="str">
        <f t="shared" si="173"/>
        <v>Pik3cd_5354</v>
      </c>
      <c r="J5522" s="3">
        <v>0</v>
      </c>
      <c r="K5522" s="3">
        <v>779</v>
      </c>
      <c r="L5522" s="3">
        <v>2840</v>
      </c>
      <c r="M5522" s="3">
        <v>1735</v>
      </c>
      <c r="N5522" s="3">
        <v>0</v>
      </c>
    </row>
    <row r="5523" spans="1:14" x14ac:dyDescent="0.2">
      <c r="A5523" s="5" t="str">
        <f>HYPERLINK("http://www.ncbi.nlm.nih.gov/protein/255708445","Pik3cd")</f>
        <v>Pik3cd</v>
      </c>
      <c r="B5523" s="4"/>
      <c r="C5523" s="3">
        <v>0</v>
      </c>
      <c r="D5523" s="3">
        <v>779</v>
      </c>
      <c r="E5523" s="3">
        <v>2840</v>
      </c>
      <c r="F5523" s="3">
        <v>1735</v>
      </c>
      <c r="G5523" s="3">
        <v>0</v>
      </c>
      <c r="H5523" s="2">
        <f t="shared" si="172"/>
        <v>5354</v>
      </c>
      <c r="I5523" t="str">
        <f t="shared" si="173"/>
        <v>Pik3cd_5354</v>
      </c>
      <c r="J5523" s="3">
        <v>0</v>
      </c>
      <c r="K5523" s="3">
        <v>779</v>
      </c>
      <c r="L5523" s="3">
        <v>2840</v>
      </c>
      <c r="M5523" s="3">
        <v>1735</v>
      </c>
      <c r="N5523" s="3">
        <v>0</v>
      </c>
    </row>
    <row r="5524" spans="1:14" x14ac:dyDescent="0.2">
      <c r="A5524" s="5" t="str">
        <f>HYPERLINK("http://www.ncbi.nlm.nih.gov/protein/71067114","Pik3cd")</f>
        <v>Pik3cd</v>
      </c>
      <c r="B5524" s="4"/>
      <c r="C5524" s="3">
        <v>0</v>
      </c>
      <c r="D5524" s="3">
        <v>779</v>
      </c>
      <c r="E5524" s="3">
        <v>2840</v>
      </c>
      <c r="F5524" s="3">
        <v>1735</v>
      </c>
      <c r="G5524" s="3">
        <v>0</v>
      </c>
      <c r="H5524" s="2">
        <f t="shared" si="172"/>
        <v>5354</v>
      </c>
      <c r="I5524" t="str">
        <f t="shared" si="173"/>
        <v>Pik3cd_5354</v>
      </c>
      <c r="J5524" s="3">
        <v>0</v>
      </c>
      <c r="K5524" s="3">
        <v>779</v>
      </c>
      <c r="L5524" s="3">
        <v>2840</v>
      </c>
      <c r="M5524" s="3">
        <v>1735</v>
      </c>
      <c r="N5524" s="3">
        <v>0</v>
      </c>
    </row>
    <row r="5525" spans="1:14" x14ac:dyDescent="0.2">
      <c r="A5525" s="5" t="str">
        <f>HYPERLINK("http://www.ncbi.nlm.nih.gov/protein/244792921","Pik3r2")</f>
        <v>Pik3r2</v>
      </c>
      <c r="B5525" s="4"/>
      <c r="C5525" s="3">
        <v>0</v>
      </c>
      <c r="D5525" s="3">
        <v>0</v>
      </c>
      <c r="E5525" s="3">
        <v>0</v>
      </c>
      <c r="F5525" s="3">
        <v>0</v>
      </c>
      <c r="G5525" s="3">
        <v>535</v>
      </c>
      <c r="H5525" s="2">
        <f t="shared" si="172"/>
        <v>535</v>
      </c>
      <c r="I5525" t="str">
        <f t="shared" si="173"/>
        <v>Pik3r2_535</v>
      </c>
      <c r="J5525" s="3">
        <v>0</v>
      </c>
      <c r="K5525" s="3">
        <v>0</v>
      </c>
      <c r="L5525" s="3">
        <v>0</v>
      </c>
      <c r="M5525" s="3">
        <v>0</v>
      </c>
      <c r="N5525" s="3">
        <v>535</v>
      </c>
    </row>
    <row r="5526" spans="1:14" x14ac:dyDescent="0.2">
      <c r="A5526" s="5" t="str">
        <f>HYPERLINK("http://www.ncbi.nlm.nih.gov/protein/124486789","Pik3r4")</f>
        <v>Pik3r4</v>
      </c>
      <c r="B5526" s="4"/>
      <c r="C5526" s="3">
        <v>0</v>
      </c>
      <c r="D5526" s="3">
        <v>503</v>
      </c>
      <c r="E5526" s="3">
        <v>2701</v>
      </c>
      <c r="F5526" s="3">
        <v>0</v>
      </c>
      <c r="G5526" s="3">
        <v>568</v>
      </c>
      <c r="H5526" s="2">
        <f t="shared" si="172"/>
        <v>3772</v>
      </c>
      <c r="I5526" t="str">
        <f t="shared" si="173"/>
        <v>Pik3r4_3772</v>
      </c>
      <c r="J5526" s="3">
        <v>0</v>
      </c>
      <c r="K5526" s="3">
        <v>503</v>
      </c>
      <c r="L5526" s="3">
        <v>2701</v>
      </c>
      <c r="M5526" s="3">
        <v>0</v>
      </c>
      <c r="N5526" s="3">
        <v>568</v>
      </c>
    </row>
    <row r="5527" spans="1:14" x14ac:dyDescent="0.2">
      <c r="A5527" s="5" t="str">
        <f>HYPERLINK("http://www.ncbi.nlm.nih.gov/protein/126362959","Pik3r6")</f>
        <v>Pik3r6</v>
      </c>
      <c r="B5527" s="4"/>
      <c r="C5527" s="3">
        <v>0</v>
      </c>
      <c r="D5527" s="3">
        <v>549</v>
      </c>
      <c r="E5527" s="3">
        <v>888</v>
      </c>
      <c r="F5527" s="3">
        <v>0</v>
      </c>
      <c r="G5527" s="3">
        <v>203</v>
      </c>
      <c r="H5527" s="2">
        <f t="shared" si="172"/>
        <v>1640</v>
      </c>
      <c r="I5527" t="str">
        <f t="shared" si="173"/>
        <v>Pik3r6_1640</v>
      </c>
      <c r="J5527" s="3">
        <v>0</v>
      </c>
      <c r="K5527" s="3">
        <v>549</v>
      </c>
      <c r="L5527" s="3">
        <v>888</v>
      </c>
      <c r="M5527" s="3">
        <v>0</v>
      </c>
      <c r="N5527" s="3">
        <v>203</v>
      </c>
    </row>
    <row r="5528" spans="1:14" x14ac:dyDescent="0.2">
      <c r="A5528" s="5" t="str">
        <f>HYPERLINK("http://www.ncbi.nlm.nih.gov/protein/52138727","Pik3r6")</f>
        <v>Pik3r6</v>
      </c>
      <c r="B5528" s="4"/>
      <c r="C5528" s="3">
        <v>0</v>
      </c>
      <c r="D5528" s="3">
        <v>549</v>
      </c>
      <c r="E5528" s="3">
        <v>888</v>
      </c>
      <c r="F5528" s="3">
        <v>0</v>
      </c>
      <c r="G5528" s="3">
        <v>203</v>
      </c>
      <c r="H5528" s="2">
        <f t="shared" si="172"/>
        <v>1640</v>
      </c>
      <c r="I5528" t="str">
        <f t="shared" si="173"/>
        <v>Pik3r6_1640</v>
      </c>
      <c r="J5528" s="3">
        <v>0</v>
      </c>
      <c r="K5528" s="3">
        <v>549</v>
      </c>
      <c r="L5528" s="3">
        <v>888</v>
      </c>
      <c r="M5528" s="3">
        <v>0</v>
      </c>
      <c r="N5528" s="3">
        <v>203</v>
      </c>
    </row>
    <row r="5529" spans="1:14" x14ac:dyDescent="0.2">
      <c r="A5529" s="5" t="str">
        <f>HYPERLINK("http://www.ncbi.nlm.nih.gov/protein/115529473","Pikfyve")</f>
        <v>Pikfyve</v>
      </c>
      <c r="B5529" s="4"/>
      <c r="C5529" s="3">
        <v>0</v>
      </c>
      <c r="D5529" s="3">
        <v>0</v>
      </c>
      <c r="E5529" s="3">
        <v>47</v>
      </c>
      <c r="F5529" s="3">
        <v>0</v>
      </c>
      <c r="G5529" s="3">
        <v>0</v>
      </c>
      <c r="H5529" s="2">
        <f t="shared" si="172"/>
        <v>47</v>
      </c>
      <c r="I5529" t="str">
        <f t="shared" si="173"/>
        <v>Pikfyve_47</v>
      </c>
      <c r="J5529" s="3">
        <v>0</v>
      </c>
      <c r="K5529" s="3">
        <v>0</v>
      </c>
      <c r="L5529" s="3">
        <v>47</v>
      </c>
      <c r="M5529" s="3">
        <v>0</v>
      </c>
      <c r="N5529" s="3">
        <v>0</v>
      </c>
    </row>
    <row r="5530" spans="1:14" x14ac:dyDescent="0.2">
      <c r="A5530" s="5" t="str">
        <f>HYPERLINK("http://www.ncbi.nlm.nih.gov/protein/12963653","Pin1")</f>
        <v>Pin1</v>
      </c>
      <c r="B5530" s="4"/>
      <c r="C5530" s="3">
        <v>0</v>
      </c>
      <c r="D5530" s="3">
        <v>148</v>
      </c>
      <c r="E5530" s="3">
        <v>16</v>
      </c>
      <c r="F5530" s="3">
        <v>385</v>
      </c>
      <c r="G5530" s="3">
        <v>4348</v>
      </c>
      <c r="H5530" s="2">
        <f t="shared" si="172"/>
        <v>4897</v>
      </c>
      <c r="I5530" t="str">
        <f t="shared" si="173"/>
        <v>Pin1_4897</v>
      </c>
      <c r="J5530" s="3">
        <v>0</v>
      </c>
      <c r="K5530" s="3">
        <v>148</v>
      </c>
      <c r="L5530" s="3">
        <v>16</v>
      </c>
      <c r="M5530" s="3">
        <v>385</v>
      </c>
      <c r="N5530" s="3">
        <v>4348</v>
      </c>
    </row>
    <row r="5531" spans="1:14" x14ac:dyDescent="0.2">
      <c r="A5531" s="5" t="str">
        <f>HYPERLINK("http://www.ncbi.nlm.nih.gov/protein/85702071","Pin1rt1")</f>
        <v>Pin1rt1</v>
      </c>
      <c r="B5531" s="4"/>
      <c r="C5531" s="3">
        <v>0</v>
      </c>
      <c r="D5531" s="3">
        <v>0</v>
      </c>
      <c r="E5531" s="3">
        <v>16</v>
      </c>
      <c r="F5531" s="3">
        <v>49</v>
      </c>
      <c r="G5531" s="3">
        <v>268</v>
      </c>
      <c r="H5531" s="2">
        <f t="shared" si="172"/>
        <v>333</v>
      </c>
      <c r="I5531" t="str">
        <f t="shared" si="173"/>
        <v>Pin1rt1_333</v>
      </c>
      <c r="J5531" s="3">
        <v>0</v>
      </c>
      <c r="K5531" s="3">
        <v>0</v>
      </c>
      <c r="L5531" s="3">
        <v>16</v>
      </c>
      <c r="M5531" s="3">
        <v>49</v>
      </c>
      <c r="N5531" s="3">
        <v>268</v>
      </c>
    </row>
    <row r="5532" spans="1:14" x14ac:dyDescent="0.2">
      <c r="A5532" s="5" t="str">
        <f>HYPERLINK("http://www.ncbi.nlm.nih.gov/protein/125490368","Pip4k2a")</f>
        <v>Pip4k2a</v>
      </c>
      <c r="B5532" s="4"/>
      <c r="C5532" s="3">
        <v>0</v>
      </c>
      <c r="D5532" s="3">
        <v>0</v>
      </c>
      <c r="E5532" s="3">
        <v>0</v>
      </c>
      <c r="F5532" s="3">
        <v>0</v>
      </c>
      <c r="G5532" s="3">
        <v>1392</v>
      </c>
      <c r="H5532" s="2">
        <f t="shared" si="172"/>
        <v>1392</v>
      </c>
      <c r="I5532" t="str">
        <f t="shared" si="173"/>
        <v>Pip4k2a_1392</v>
      </c>
      <c r="J5532" s="3">
        <v>0</v>
      </c>
      <c r="K5532" s="3">
        <v>0</v>
      </c>
      <c r="L5532" s="3">
        <v>0</v>
      </c>
      <c r="M5532" s="3">
        <v>0</v>
      </c>
      <c r="N5532" s="3">
        <v>1392</v>
      </c>
    </row>
    <row r="5533" spans="1:14" x14ac:dyDescent="0.2">
      <c r="A5533" s="5" t="str">
        <f>HYPERLINK("http://www.ncbi.nlm.nih.gov/protein/33563294","Pip4k2b")</f>
        <v>Pip4k2b</v>
      </c>
      <c r="B5533" s="4"/>
      <c r="C5533" s="3">
        <v>0</v>
      </c>
      <c r="D5533" s="3">
        <v>0</v>
      </c>
      <c r="E5533" s="3">
        <v>0</v>
      </c>
      <c r="F5533" s="3">
        <v>0</v>
      </c>
      <c r="G5533" s="3">
        <v>2913</v>
      </c>
      <c r="H5533" s="2">
        <f t="shared" si="172"/>
        <v>2913</v>
      </c>
      <c r="I5533" t="str">
        <f t="shared" si="173"/>
        <v>Pip4k2b_2913</v>
      </c>
      <c r="J5533" s="3">
        <v>0</v>
      </c>
      <c r="K5533" s="3">
        <v>0</v>
      </c>
      <c r="L5533" s="3">
        <v>0</v>
      </c>
      <c r="M5533" s="3">
        <v>0</v>
      </c>
      <c r="N5533" s="3">
        <v>2913</v>
      </c>
    </row>
    <row r="5534" spans="1:14" x14ac:dyDescent="0.2">
      <c r="A5534" s="5" t="str">
        <f>HYPERLINK("http://www.ncbi.nlm.nih.gov/protein/17298686","Pip4k2c")</f>
        <v>Pip4k2c</v>
      </c>
      <c r="B5534" s="4"/>
      <c r="C5534" s="3">
        <v>348</v>
      </c>
      <c r="D5534" s="3">
        <v>3319</v>
      </c>
      <c r="E5534" s="3">
        <v>4166</v>
      </c>
      <c r="F5534" s="3">
        <v>16682</v>
      </c>
      <c r="G5534" s="3">
        <v>25553</v>
      </c>
      <c r="H5534" s="2">
        <f t="shared" si="172"/>
        <v>50068</v>
      </c>
      <c r="I5534" t="str">
        <f t="shared" si="173"/>
        <v>Pip4k2c_50068</v>
      </c>
      <c r="J5534" s="3">
        <v>348</v>
      </c>
      <c r="K5534" s="3">
        <v>3319</v>
      </c>
      <c r="L5534" s="3">
        <v>4166</v>
      </c>
      <c r="M5534" s="3">
        <v>16682</v>
      </c>
      <c r="N5534" s="3">
        <v>25553</v>
      </c>
    </row>
    <row r="5535" spans="1:14" x14ac:dyDescent="0.2">
      <c r="A5535" s="5" t="str">
        <f>HYPERLINK("http://www.ncbi.nlm.nih.gov/protein/31982833","Pip5k1a")</f>
        <v>Pip5k1a</v>
      </c>
      <c r="B5535" s="4"/>
      <c r="C5535" s="3">
        <v>0</v>
      </c>
      <c r="D5535" s="3">
        <v>265</v>
      </c>
      <c r="E5535" s="3">
        <v>61</v>
      </c>
      <c r="F5535" s="3">
        <v>0</v>
      </c>
      <c r="G5535" s="3">
        <v>0</v>
      </c>
      <c r="H5535" s="2">
        <f t="shared" si="172"/>
        <v>326</v>
      </c>
      <c r="I5535" t="str">
        <f t="shared" si="173"/>
        <v>Pip5k1a_326</v>
      </c>
      <c r="J5535" s="3">
        <v>0</v>
      </c>
      <c r="K5535" s="3">
        <v>265</v>
      </c>
      <c r="L5535" s="3">
        <v>61</v>
      </c>
      <c r="M5535" s="3">
        <v>0</v>
      </c>
      <c r="N5535" s="3">
        <v>0</v>
      </c>
    </row>
    <row r="5536" spans="1:14" x14ac:dyDescent="0.2">
      <c r="A5536" s="5" t="str">
        <f>HYPERLINK("http://www.ncbi.nlm.nih.gov/protein/226442755","Pip5k1c")</f>
        <v>Pip5k1c</v>
      </c>
      <c r="B5536" s="4"/>
      <c r="C5536" s="3">
        <v>0</v>
      </c>
      <c r="D5536" s="3">
        <v>0</v>
      </c>
      <c r="E5536" s="3">
        <v>1</v>
      </c>
      <c r="F5536" s="3">
        <v>0</v>
      </c>
      <c r="G5536" s="3">
        <v>0</v>
      </c>
      <c r="H5536" s="2">
        <f t="shared" si="172"/>
        <v>1</v>
      </c>
      <c r="I5536" t="str">
        <f t="shared" si="173"/>
        <v>Pip5k1c_1</v>
      </c>
      <c r="J5536" s="3">
        <v>0</v>
      </c>
      <c r="K5536" s="3">
        <v>0</v>
      </c>
      <c r="L5536" s="3">
        <v>1</v>
      </c>
      <c r="M5536" s="3">
        <v>0</v>
      </c>
      <c r="N5536" s="3">
        <v>0</v>
      </c>
    </row>
    <row r="5537" spans="1:14" x14ac:dyDescent="0.2">
      <c r="A5537" s="5" t="str">
        <f>HYPERLINK("http://www.ncbi.nlm.nih.gov/protein/226442759","Pip5k1c")</f>
        <v>Pip5k1c</v>
      </c>
      <c r="B5537" s="4"/>
      <c r="C5537" s="3">
        <v>0</v>
      </c>
      <c r="D5537" s="3">
        <v>0</v>
      </c>
      <c r="E5537" s="3">
        <v>1</v>
      </c>
      <c r="F5537" s="3">
        <v>0</v>
      </c>
      <c r="G5537" s="3">
        <v>0</v>
      </c>
      <c r="H5537" s="2">
        <f t="shared" si="172"/>
        <v>1</v>
      </c>
      <c r="I5537" t="str">
        <f t="shared" si="173"/>
        <v>Pip5k1c_1</v>
      </c>
      <c r="J5537" s="3">
        <v>0</v>
      </c>
      <c r="K5537" s="3">
        <v>0</v>
      </c>
      <c r="L5537" s="3">
        <v>1</v>
      </c>
      <c r="M5537" s="3">
        <v>0</v>
      </c>
      <c r="N5537" s="3">
        <v>0</v>
      </c>
    </row>
    <row r="5538" spans="1:14" x14ac:dyDescent="0.2">
      <c r="A5538" s="5" t="str">
        <f>HYPERLINK("http://www.ncbi.nlm.nih.gov/protein/126722757","Pisd")</f>
        <v>Pisd</v>
      </c>
      <c r="B5538" s="4"/>
      <c r="C5538" s="3">
        <v>146</v>
      </c>
      <c r="D5538" s="3">
        <v>737</v>
      </c>
      <c r="E5538" s="3">
        <v>0</v>
      </c>
      <c r="F5538" s="3">
        <v>0</v>
      </c>
      <c r="G5538" s="3">
        <v>0</v>
      </c>
      <c r="H5538" s="2">
        <f t="shared" si="172"/>
        <v>883</v>
      </c>
      <c r="I5538" t="str">
        <f t="shared" si="173"/>
        <v>Pisd_883</v>
      </c>
      <c r="J5538" s="3">
        <v>146</v>
      </c>
      <c r="K5538" s="3">
        <v>737</v>
      </c>
      <c r="L5538" s="3">
        <v>0</v>
      </c>
      <c r="M5538" s="3">
        <v>0</v>
      </c>
      <c r="N5538" s="3">
        <v>0</v>
      </c>
    </row>
    <row r="5539" spans="1:14" x14ac:dyDescent="0.2">
      <c r="A5539" s="5" t="str">
        <f>HYPERLINK("http://www.ncbi.nlm.nih.gov/protein/6679337","Pitpna")</f>
        <v>Pitpna</v>
      </c>
      <c r="B5539" s="4"/>
      <c r="C5539" s="3">
        <v>0</v>
      </c>
      <c r="D5539" s="3">
        <v>2223</v>
      </c>
      <c r="E5539" s="3">
        <v>506</v>
      </c>
      <c r="F5539" s="3">
        <v>6098</v>
      </c>
      <c r="G5539" s="3">
        <v>68905</v>
      </c>
      <c r="H5539" s="2">
        <f t="shared" si="172"/>
        <v>77732</v>
      </c>
      <c r="I5539" t="str">
        <f t="shared" si="173"/>
        <v>Pitpna_77732</v>
      </c>
      <c r="J5539" s="3">
        <v>0</v>
      </c>
      <c r="K5539" s="3">
        <v>2223</v>
      </c>
      <c r="L5539" s="3">
        <v>506</v>
      </c>
      <c r="M5539" s="3">
        <v>6098</v>
      </c>
      <c r="N5539" s="3">
        <v>68905</v>
      </c>
    </row>
    <row r="5540" spans="1:14" x14ac:dyDescent="0.2">
      <c r="A5540" s="5" t="str">
        <f>HYPERLINK("http://www.ncbi.nlm.nih.gov/protein/9790159","Pitpnb")</f>
        <v>Pitpnb</v>
      </c>
      <c r="B5540" s="4"/>
      <c r="C5540" s="3">
        <v>0</v>
      </c>
      <c r="D5540" s="3">
        <v>3561</v>
      </c>
      <c r="E5540" s="3">
        <v>2988</v>
      </c>
      <c r="F5540" s="3">
        <v>12491</v>
      </c>
      <c r="G5540" s="3">
        <v>46511</v>
      </c>
      <c r="H5540" s="2">
        <f t="shared" si="172"/>
        <v>65551</v>
      </c>
      <c r="I5540" t="str">
        <f t="shared" si="173"/>
        <v>Pitpnb_65551</v>
      </c>
      <c r="J5540" s="3">
        <v>0</v>
      </c>
      <c r="K5540" s="3">
        <v>3561</v>
      </c>
      <c r="L5540" s="3">
        <v>2988</v>
      </c>
      <c r="M5540" s="3">
        <v>12491</v>
      </c>
      <c r="N5540" s="3">
        <v>46511</v>
      </c>
    </row>
    <row r="5541" spans="1:14" x14ac:dyDescent="0.2">
      <c r="A5541" s="5" t="str">
        <f>HYPERLINK("http://www.ncbi.nlm.nih.gov/protein/21699068","Pitrm1")</f>
        <v>Pitrm1</v>
      </c>
      <c r="B5541" s="4"/>
      <c r="C5541" s="3">
        <v>12961</v>
      </c>
      <c r="D5541" s="3">
        <v>3753</v>
      </c>
      <c r="E5541" s="3">
        <v>0</v>
      </c>
      <c r="F5541" s="3">
        <v>0</v>
      </c>
      <c r="G5541" s="3">
        <v>5526</v>
      </c>
      <c r="H5541" s="2">
        <f t="shared" si="172"/>
        <v>22240</v>
      </c>
      <c r="I5541" t="str">
        <f t="shared" si="173"/>
        <v>Pitrm1_22240</v>
      </c>
      <c r="J5541" s="3">
        <v>12961</v>
      </c>
      <c r="K5541" s="3">
        <v>3753</v>
      </c>
      <c r="L5541" s="3">
        <v>0</v>
      </c>
      <c r="M5541" s="3">
        <v>0</v>
      </c>
      <c r="N5541" s="3">
        <v>5526</v>
      </c>
    </row>
    <row r="5542" spans="1:14" x14ac:dyDescent="0.2">
      <c r="A5542" s="5" t="str">
        <f>HYPERLINK("http://www.ncbi.nlm.nih.gov/protein/10946610","Piwil2")</f>
        <v>Piwil2</v>
      </c>
      <c r="B5542" s="4"/>
      <c r="C5542" s="3">
        <v>0</v>
      </c>
      <c r="D5542" s="3">
        <v>0</v>
      </c>
      <c r="E5542" s="3">
        <v>0</v>
      </c>
      <c r="F5542" s="3">
        <v>0</v>
      </c>
      <c r="G5542" s="3">
        <v>2046</v>
      </c>
      <c r="H5542" s="2">
        <f t="shared" si="172"/>
        <v>2046</v>
      </c>
      <c r="I5542" t="str">
        <f t="shared" si="173"/>
        <v>Piwil2_2046</v>
      </c>
      <c r="J5542" s="3">
        <v>0</v>
      </c>
      <c r="K5542" s="3">
        <v>0</v>
      </c>
      <c r="L5542" s="3">
        <v>0</v>
      </c>
      <c r="M5542" s="3">
        <v>0</v>
      </c>
      <c r="N5542" s="3">
        <v>2046</v>
      </c>
    </row>
    <row r="5543" spans="1:14" x14ac:dyDescent="0.2">
      <c r="A5543" s="5" t="str">
        <f>HYPERLINK("http://www.ncbi.nlm.nih.gov/protein/21450079","Pja2")</f>
        <v>Pja2</v>
      </c>
      <c r="B5543" s="4"/>
      <c r="C5543" s="3">
        <v>0</v>
      </c>
      <c r="D5543" s="3">
        <v>0</v>
      </c>
      <c r="E5543" s="3">
        <v>0</v>
      </c>
      <c r="F5543" s="3">
        <v>0</v>
      </c>
      <c r="G5543" s="3">
        <v>396</v>
      </c>
      <c r="H5543" s="2">
        <f t="shared" si="172"/>
        <v>396</v>
      </c>
      <c r="I5543" t="str">
        <f t="shared" si="173"/>
        <v>Pja2_396</v>
      </c>
      <c r="J5543" s="3">
        <v>0</v>
      </c>
      <c r="K5543" s="3">
        <v>0</v>
      </c>
      <c r="L5543" s="3">
        <v>0</v>
      </c>
      <c r="M5543" s="3">
        <v>0</v>
      </c>
      <c r="N5543" s="3">
        <v>396</v>
      </c>
    </row>
    <row r="5544" spans="1:14" x14ac:dyDescent="0.2">
      <c r="A5544" s="5" t="str">
        <f>HYPERLINK("http://www.ncbi.nlm.nih.gov/protein/70794801","Pja2")</f>
        <v>Pja2</v>
      </c>
      <c r="B5544" s="4"/>
      <c r="C5544" s="3">
        <v>0</v>
      </c>
      <c r="D5544" s="3">
        <v>0</v>
      </c>
      <c r="E5544" s="3">
        <v>0</v>
      </c>
      <c r="F5544" s="3">
        <v>0</v>
      </c>
      <c r="G5544" s="3">
        <v>396</v>
      </c>
      <c r="H5544" s="2">
        <f t="shared" si="172"/>
        <v>396</v>
      </c>
      <c r="I5544" t="str">
        <f t="shared" si="173"/>
        <v>Pja2_396</v>
      </c>
      <c r="J5544" s="3">
        <v>0</v>
      </c>
      <c r="K5544" s="3">
        <v>0</v>
      </c>
      <c r="L5544" s="3">
        <v>0</v>
      </c>
      <c r="M5544" s="3">
        <v>0</v>
      </c>
      <c r="N5544" s="3">
        <v>396</v>
      </c>
    </row>
    <row r="5545" spans="1:14" x14ac:dyDescent="0.2">
      <c r="A5545" s="5" t="str">
        <f>HYPERLINK("http://www.ncbi.nlm.nih.gov/protein/164519057","Pkd2")</f>
        <v>Pkd2</v>
      </c>
      <c r="B5545" s="4"/>
      <c r="C5545" s="3">
        <v>0</v>
      </c>
      <c r="D5545" s="3">
        <v>0</v>
      </c>
      <c r="E5545" s="3">
        <v>304</v>
      </c>
      <c r="F5545" s="3">
        <v>0</v>
      </c>
      <c r="G5545" s="3">
        <v>0</v>
      </c>
      <c r="H5545" s="2">
        <f t="shared" si="172"/>
        <v>304</v>
      </c>
      <c r="I5545" t="str">
        <f t="shared" si="173"/>
        <v>Pkd2_304</v>
      </c>
      <c r="J5545" s="3">
        <v>0</v>
      </c>
      <c r="K5545" s="3">
        <v>0</v>
      </c>
      <c r="L5545" s="3">
        <v>304</v>
      </c>
      <c r="M5545" s="3">
        <v>0</v>
      </c>
      <c r="N5545" s="3">
        <v>0</v>
      </c>
    </row>
    <row r="5546" spans="1:14" x14ac:dyDescent="0.2">
      <c r="A5546" s="5" t="str">
        <f>HYPERLINK("http://www.ncbi.nlm.nih.gov/protein/126157466","Pkhd1")</f>
        <v>Pkhd1</v>
      </c>
      <c r="B5546" s="4"/>
      <c r="C5546" s="3">
        <v>0</v>
      </c>
      <c r="D5546" s="3">
        <v>161</v>
      </c>
      <c r="E5546" s="3">
        <v>0</v>
      </c>
      <c r="F5546" s="3">
        <v>0</v>
      </c>
      <c r="G5546" s="3">
        <v>0</v>
      </c>
      <c r="H5546" s="2">
        <f t="shared" si="172"/>
        <v>161</v>
      </c>
      <c r="I5546" t="str">
        <f t="shared" si="173"/>
        <v>Pkhd1_161</v>
      </c>
      <c r="J5546" s="3">
        <v>0</v>
      </c>
      <c r="K5546" s="3">
        <v>161</v>
      </c>
      <c r="L5546" s="3">
        <v>0</v>
      </c>
      <c r="M5546" s="3">
        <v>0</v>
      </c>
      <c r="N5546" s="3">
        <v>0</v>
      </c>
    </row>
    <row r="5547" spans="1:14" x14ac:dyDescent="0.2">
      <c r="A5547" s="5" t="str">
        <f>HYPERLINK("http://www.ncbi.nlm.nih.gov/protein/6755088","Pkig")</f>
        <v>Pkig</v>
      </c>
      <c r="B5547" s="4"/>
      <c r="C5547" s="3">
        <v>0</v>
      </c>
      <c r="D5547" s="3">
        <v>0</v>
      </c>
      <c r="E5547" s="3">
        <v>0</v>
      </c>
      <c r="F5547" s="3">
        <v>0</v>
      </c>
      <c r="G5547" s="3">
        <v>653</v>
      </c>
      <c r="H5547" s="2">
        <f t="shared" si="172"/>
        <v>653</v>
      </c>
      <c r="I5547" t="str">
        <f t="shared" si="173"/>
        <v>Pkig_653</v>
      </c>
      <c r="J5547" s="3">
        <v>0</v>
      </c>
      <c r="K5547" s="3">
        <v>0</v>
      </c>
      <c r="L5547" s="3">
        <v>0</v>
      </c>
      <c r="M5547" s="3">
        <v>0</v>
      </c>
      <c r="N5547" s="3">
        <v>653</v>
      </c>
    </row>
    <row r="5548" spans="1:14" x14ac:dyDescent="0.2">
      <c r="A5548" s="5" t="str">
        <f>HYPERLINK("http://www.ncbi.nlm.nih.gov/protein/153792131","Pklr")</f>
        <v>Pklr</v>
      </c>
      <c r="B5548" s="4"/>
      <c r="C5548" s="3">
        <v>0</v>
      </c>
      <c r="D5548" s="3">
        <v>5987</v>
      </c>
      <c r="E5548" s="3">
        <v>20565</v>
      </c>
      <c r="F5548" s="3">
        <v>292143</v>
      </c>
      <c r="G5548" s="3">
        <v>160568</v>
      </c>
      <c r="H5548" s="2">
        <f t="shared" si="172"/>
        <v>479263</v>
      </c>
      <c r="I5548" t="str">
        <f t="shared" si="173"/>
        <v>Pklr_479263</v>
      </c>
      <c r="J5548" s="3">
        <v>0</v>
      </c>
      <c r="K5548" s="3">
        <v>5987</v>
      </c>
      <c r="L5548" s="3">
        <v>20565</v>
      </c>
      <c r="M5548" s="3">
        <v>292143</v>
      </c>
      <c r="N5548" s="3">
        <v>160568</v>
      </c>
    </row>
    <row r="5549" spans="1:14" x14ac:dyDescent="0.2">
      <c r="A5549" s="5" t="str">
        <f>HYPERLINK("http://www.ncbi.nlm.nih.gov/protein/153792772","Pklr")</f>
        <v>Pklr</v>
      </c>
      <c r="B5549" s="4"/>
      <c r="C5549" s="3">
        <v>0</v>
      </c>
      <c r="D5549" s="3">
        <v>5987</v>
      </c>
      <c r="E5549" s="3">
        <v>20565</v>
      </c>
      <c r="F5549" s="3">
        <v>292143</v>
      </c>
      <c r="G5549" s="3">
        <v>160568</v>
      </c>
      <c r="H5549" s="2">
        <f t="shared" si="172"/>
        <v>479263</v>
      </c>
      <c r="I5549" t="str">
        <f t="shared" si="173"/>
        <v>Pklr_479263</v>
      </c>
      <c r="J5549" s="3">
        <v>0</v>
      </c>
      <c r="K5549" s="3">
        <v>5987</v>
      </c>
      <c r="L5549" s="3">
        <v>20565</v>
      </c>
      <c r="M5549" s="3">
        <v>292143</v>
      </c>
      <c r="N5549" s="3">
        <v>160568</v>
      </c>
    </row>
    <row r="5550" spans="1:14" x14ac:dyDescent="0.2">
      <c r="A5550" s="5" t="str">
        <f>HYPERLINK("http://www.ncbi.nlm.nih.gov/protein/31981562","Pkm")</f>
        <v>Pkm</v>
      </c>
      <c r="B5550" s="4"/>
      <c r="C5550" s="3">
        <v>1254054</v>
      </c>
      <c r="D5550" s="3">
        <v>128848</v>
      </c>
      <c r="E5550" s="3">
        <v>446646</v>
      </c>
      <c r="F5550" s="3">
        <v>2723550</v>
      </c>
      <c r="G5550" s="3">
        <v>1987095</v>
      </c>
      <c r="H5550" s="2">
        <f t="shared" si="172"/>
        <v>6540193</v>
      </c>
      <c r="I5550" t="str">
        <f t="shared" si="173"/>
        <v>Pkm_6540193</v>
      </c>
      <c r="J5550" s="3">
        <v>1254054</v>
      </c>
      <c r="K5550" s="3">
        <v>128848</v>
      </c>
      <c r="L5550" s="3">
        <v>446646</v>
      </c>
      <c r="M5550" s="3">
        <v>2723550</v>
      </c>
      <c r="N5550" s="3">
        <v>1987095</v>
      </c>
    </row>
    <row r="5551" spans="1:14" x14ac:dyDescent="0.2">
      <c r="A5551" s="5" t="str">
        <f>HYPERLINK("http://www.ncbi.nlm.nih.gov/protein/359807367","Pkm")</f>
        <v>Pkm</v>
      </c>
      <c r="B5551" s="4"/>
      <c r="C5551" s="3">
        <v>1076540</v>
      </c>
      <c r="D5551" s="3">
        <v>97151</v>
      </c>
      <c r="E5551" s="3">
        <v>419967</v>
      </c>
      <c r="F5551" s="3">
        <v>2520335</v>
      </c>
      <c r="G5551" s="3">
        <v>2097392</v>
      </c>
      <c r="H5551" s="2">
        <f t="shared" si="172"/>
        <v>6211385</v>
      </c>
      <c r="I5551" t="str">
        <f t="shared" si="173"/>
        <v>Pkm_6211385</v>
      </c>
      <c r="J5551" s="3">
        <v>1076540</v>
      </c>
      <c r="K5551" s="3">
        <v>97151</v>
      </c>
      <c r="L5551" s="3">
        <v>419967</v>
      </c>
      <c r="M5551" s="3">
        <v>2520335</v>
      </c>
      <c r="N5551" s="3">
        <v>2097392</v>
      </c>
    </row>
    <row r="5552" spans="1:14" x14ac:dyDescent="0.2">
      <c r="A5552" s="5" t="str">
        <f>HYPERLINK("http://www.ncbi.nlm.nih.gov/protein/313760674","Pkn1")</f>
        <v>Pkn1</v>
      </c>
      <c r="B5552" s="4"/>
      <c r="C5552" s="3">
        <v>0</v>
      </c>
      <c r="D5552" s="3">
        <v>0</v>
      </c>
      <c r="E5552" s="3">
        <v>477</v>
      </c>
      <c r="F5552" s="3">
        <v>5779</v>
      </c>
      <c r="G5552" s="3">
        <v>1692</v>
      </c>
      <c r="H5552" s="2">
        <f t="shared" si="172"/>
        <v>7948</v>
      </c>
      <c r="I5552" t="str">
        <f t="shared" si="173"/>
        <v>Pkn1_7948</v>
      </c>
      <c r="J5552" s="3">
        <v>0</v>
      </c>
      <c r="K5552" s="3">
        <v>0</v>
      </c>
      <c r="L5552" s="3">
        <v>477</v>
      </c>
      <c r="M5552" s="3">
        <v>5779</v>
      </c>
      <c r="N5552" s="3">
        <v>1692</v>
      </c>
    </row>
    <row r="5553" spans="1:14" x14ac:dyDescent="0.2">
      <c r="A5553" s="5" t="str">
        <f>HYPERLINK("http://www.ncbi.nlm.nih.gov/protein/32813439","Pkn1")</f>
        <v>Pkn1</v>
      </c>
      <c r="B5553" s="4"/>
      <c r="C5553" s="3">
        <v>0</v>
      </c>
      <c r="D5553" s="3">
        <v>0</v>
      </c>
      <c r="E5553" s="3">
        <v>477</v>
      </c>
      <c r="F5553" s="3">
        <v>5779</v>
      </c>
      <c r="G5553" s="3">
        <v>1692</v>
      </c>
      <c r="H5553" s="2">
        <f t="shared" si="172"/>
        <v>7948</v>
      </c>
      <c r="I5553" t="str">
        <f t="shared" si="173"/>
        <v>Pkn1_7948</v>
      </c>
      <c r="J5553" s="3">
        <v>0</v>
      </c>
      <c r="K5553" s="3">
        <v>0</v>
      </c>
      <c r="L5553" s="3">
        <v>477</v>
      </c>
      <c r="M5553" s="3">
        <v>5779</v>
      </c>
      <c r="N5553" s="3">
        <v>1692</v>
      </c>
    </row>
    <row r="5554" spans="1:14" x14ac:dyDescent="0.2">
      <c r="A5554" s="5" t="str">
        <f>HYPERLINK("http://www.ncbi.nlm.nih.gov/protein/260099670","Pkn2")</f>
        <v>Pkn2</v>
      </c>
      <c r="B5554" s="4"/>
      <c r="C5554" s="3">
        <v>0</v>
      </c>
      <c r="D5554" s="3">
        <v>2040</v>
      </c>
      <c r="E5554" s="3">
        <v>5665</v>
      </c>
      <c r="F5554" s="3">
        <v>10576</v>
      </c>
      <c r="G5554" s="3">
        <v>867</v>
      </c>
      <c r="H5554" s="2">
        <f t="shared" si="172"/>
        <v>19148</v>
      </c>
      <c r="I5554" t="str">
        <f t="shared" si="173"/>
        <v>Pkn2_19148</v>
      </c>
      <c r="J5554" s="3">
        <v>0</v>
      </c>
      <c r="K5554" s="3">
        <v>2040</v>
      </c>
      <c r="L5554" s="3">
        <v>5665</v>
      </c>
      <c r="M5554" s="3">
        <v>10576</v>
      </c>
      <c r="N5554" s="3">
        <v>867</v>
      </c>
    </row>
    <row r="5555" spans="1:14" x14ac:dyDescent="0.2">
      <c r="A5555" s="5" t="str">
        <f>HYPERLINK("http://www.ncbi.nlm.nih.gov/protein/24418929","Pkn3")</f>
        <v>Pkn3</v>
      </c>
      <c r="B5555" s="4"/>
      <c r="C5555" s="3">
        <v>0</v>
      </c>
      <c r="D5555" s="3">
        <v>0</v>
      </c>
      <c r="E5555" s="3">
        <v>421</v>
      </c>
      <c r="F5555" s="3">
        <v>0</v>
      </c>
      <c r="G5555" s="3">
        <v>0</v>
      </c>
      <c r="H5555" s="2">
        <f t="shared" si="172"/>
        <v>421</v>
      </c>
      <c r="I5555" t="str">
        <f t="shared" si="173"/>
        <v>Pkn3_421</v>
      </c>
      <c r="J5555" s="3">
        <v>0</v>
      </c>
      <c r="K5555" s="3">
        <v>0</v>
      </c>
      <c r="L5555" s="3">
        <v>421</v>
      </c>
      <c r="M5555" s="3">
        <v>0</v>
      </c>
      <c r="N5555" s="3">
        <v>0</v>
      </c>
    </row>
    <row r="5556" spans="1:14" x14ac:dyDescent="0.2">
      <c r="A5556" s="5" t="str">
        <f>HYPERLINK("http://www.ncbi.nlm.nih.gov/protein/21312960","Pkp2")</f>
        <v>Pkp2</v>
      </c>
      <c r="B5556" s="4"/>
      <c r="C5556" s="3">
        <v>7780</v>
      </c>
      <c r="D5556" s="3">
        <v>213</v>
      </c>
      <c r="E5556" s="3">
        <v>3263</v>
      </c>
      <c r="F5556" s="3">
        <v>5615</v>
      </c>
      <c r="G5556" s="3">
        <v>0</v>
      </c>
      <c r="H5556" s="2">
        <f t="shared" si="172"/>
        <v>16871</v>
      </c>
      <c r="I5556" t="str">
        <f t="shared" si="173"/>
        <v>Pkp2_16871</v>
      </c>
      <c r="J5556" s="3">
        <v>7780</v>
      </c>
      <c r="K5556" s="3">
        <v>213</v>
      </c>
      <c r="L5556" s="3">
        <v>3263</v>
      </c>
      <c r="M5556" s="3">
        <v>5615</v>
      </c>
      <c r="N5556" s="3">
        <v>0</v>
      </c>
    </row>
    <row r="5557" spans="1:14" x14ac:dyDescent="0.2">
      <c r="A5557" s="5" t="str">
        <f>HYPERLINK("http://www.ncbi.nlm.nih.gov/protein/242332585","Pkp3")</f>
        <v>Pkp3</v>
      </c>
      <c r="B5557" s="4"/>
      <c r="C5557" s="3">
        <v>0</v>
      </c>
      <c r="D5557" s="3">
        <v>530</v>
      </c>
      <c r="E5557" s="3">
        <v>1092</v>
      </c>
      <c r="F5557" s="3">
        <v>0</v>
      </c>
      <c r="G5557" s="3">
        <v>0</v>
      </c>
      <c r="H5557" s="2">
        <f t="shared" si="172"/>
        <v>1622</v>
      </c>
      <c r="I5557" t="str">
        <f t="shared" si="173"/>
        <v>Pkp3_1622</v>
      </c>
      <c r="J5557" s="3">
        <v>0</v>
      </c>
      <c r="K5557" s="3">
        <v>530</v>
      </c>
      <c r="L5557" s="3">
        <v>1092</v>
      </c>
      <c r="M5557" s="3">
        <v>0</v>
      </c>
      <c r="N5557" s="3">
        <v>0</v>
      </c>
    </row>
    <row r="5558" spans="1:14" x14ac:dyDescent="0.2">
      <c r="A5558" s="5" t="str">
        <f>HYPERLINK("http://www.ncbi.nlm.nih.gov/protein/242332587","Pkp3")</f>
        <v>Pkp3</v>
      </c>
      <c r="B5558" s="4"/>
      <c r="C5558" s="3">
        <v>0</v>
      </c>
      <c r="D5558" s="3">
        <v>530</v>
      </c>
      <c r="E5558" s="3">
        <v>1092</v>
      </c>
      <c r="F5558" s="3">
        <v>0</v>
      </c>
      <c r="G5558" s="3">
        <v>0</v>
      </c>
      <c r="H5558" s="2">
        <f t="shared" si="172"/>
        <v>1622</v>
      </c>
      <c r="I5558" t="str">
        <f t="shared" si="173"/>
        <v>Pkp3_1622</v>
      </c>
      <c r="J5558" s="3">
        <v>0</v>
      </c>
      <c r="K5558" s="3">
        <v>530</v>
      </c>
      <c r="L5558" s="3">
        <v>1092</v>
      </c>
      <c r="M5558" s="3">
        <v>0</v>
      </c>
      <c r="N5558" s="3">
        <v>0</v>
      </c>
    </row>
    <row r="5559" spans="1:14" x14ac:dyDescent="0.2">
      <c r="A5559" s="5" t="str">
        <f>HYPERLINK("http://www.ncbi.nlm.nih.gov/protein/19527008","Pla2g15")</f>
        <v>Pla2g15</v>
      </c>
      <c r="B5559" s="4"/>
      <c r="C5559" s="3">
        <v>0</v>
      </c>
      <c r="D5559" s="3">
        <v>1240</v>
      </c>
      <c r="E5559" s="3">
        <v>0</v>
      </c>
      <c r="F5559" s="3">
        <v>0</v>
      </c>
      <c r="G5559" s="3">
        <v>910</v>
      </c>
      <c r="H5559" s="2">
        <f t="shared" si="172"/>
        <v>2150</v>
      </c>
      <c r="I5559" t="str">
        <f t="shared" si="173"/>
        <v>Pla2g15_2150</v>
      </c>
      <c r="J5559" s="3">
        <v>0</v>
      </c>
      <c r="K5559" s="3">
        <v>1240</v>
      </c>
      <c r="L5559" s="3">
        <v>0</v>
      </c>
      <c r="M5559" s="3">
        <v>0</v>
      </c>
      <c r="N5559" s="3">
        <v>910</v>
      </c>
    </row>
    <row r="5560" spans="1:14" x14ac:dyDescent="0.2">
      <c r="A5560" s="5" t="str">
        <f>HYPERLINK("http://www.ncbi.nlm.nih.gov/protein/84781797","Pla2g16")</f>
        <v>Pla2g16</v>
      </c>
      <c r="B5560" s="4"/>
      <c r="C5560" s="3">
        <v>0</v>
      </c>
      <c r="D5560" s="3">
        <v>0</v>
      </c>
      <c r="E5560" s="3">
        <v>0</v>
      </c>
      <c r="F5560" s="3">
        <v>0</v>
      </c>
      <c r="G5560" s="3">
        <v>193</v>
      </c>
      <c r="H5560" s="2">
        <f t="shared" si="172"/>
        <v>193</v>
      </c>
      <c r="I5560" t="str">
        <f t="shared" si="173"/>
        <v>Pla2g16_193</v>
      </c>
      <c r="J5560" s="3">
        <v>0</v>
      </c>
      <c r="K5560" s="3">
        <v>0</v>
      </c>
      <c r="L5560" s="3">
        <v>0</v>
      </c>
      <c r="M5560" s="3">
        <v>0</v>
      </c>
      <c r="N5560" s="3">
        <v>193</v>
      </c>
    </row>
    <row r="5561" spans="1:14" x14ac:dyDescent="0.2">
      <c r="A5561" s="5" t="str">
        <f>HYPERLINK("http://www.ncbi.nlm.nih.gov/protein/6679369","Pla2g4a")</f>
        <v>Pla2g4a</v>
      </c>
      <c r="B5561" s="4"/>
      <c r="C5561" s="3">
        <v>0</v>
      </c>
      <c r="D5561" s="3">
        <v>714</v>
      </c>
      <c r="E5561" s="3">
        <v>5249</v>
      </c>
      <c r="F5561" s="3">
        <v>26955</v>
      </c>
      <c r="G5561" s="3">
        <v>1628</v>
      </c>
      <c r="H5561" s="2">
        <f t="shared" si="172"/>
        <v>34546</v>
      </c>
      <c r="I5561" t="str">
        <f t="shared" si="173"/>
        <v>Pla2g4a_34546</v>
      </c>
      <c r="J5561" s="3">
        <v>0</v>
      </c>
      <c r="K5561" s="3">
        <v>714</v>
      </c>
      <c r="L5561" s="3">
        <v>5249</v>
      </c>
      <c r="M5561" s="3">
        <v>26955</v>
      </c>
      <c r="N5561" s="3">
        <v>1628</v>
      </c>
    </row>
    <row r="5562" spans="1:14" x14ac:dyDescent="0.2">
      <c r="A5562" s="5" t="str">
        <f>HYPERLINK("http://www.ncbi.nlm.nih.gov/protein/167900427","Pla2g4b")</f>
        <v>Pla2g4b</v>
      </c>
      <c r="B5562" s="4"/>
      <c r="C5562" s="3">
        <v>0</v>
      </c>
      <c r="D5562" s="3">
        <v>0</v>
      </c>
      <c r="E5562" s="3">
        <v>7</v>
      </c>
      <c r="F5562" s="3">
        <v>0</v>
      </c>
      <c r="G5562" s="3">
        <v>0</v>
      </c>
      <c r="H5562" s="2">
        <f t="shared" si="172"/>
        <v>7</v>
      </c>
      <c r="I5562" t="str">
        <f t="shared" si="173"/>
        <v>Pla2g4b_7</v>
      </c>
      <c r="J5562" s="3">
        <v>0</v>
      </c>
      <c r="K5562" s="3">
        <v>0</v>
      </c>
      <c r="L5562" s="3">
        <v>7</v>
      </c>
      <c r="M5562" s="3">
        <v>0</v>
      </c>
      <c r="N5562" s="3">
        <v>0</v>
      </c>
    </row>
    <row r="5563" spans="1:14" x14ac:dyDescent="0.2">
      <c r="A5563" s="5" t="str">
        <f>HYPERLINK("http://www.ncbi.nlm.nih.gov/protein/312222739","Pla2g6")</f>
        <v>Pla2g6</v>
      </c>
      <c r="B5563" s="4"/>
      <c r="C5563" s="3">
        <v>0</v>
      </c>
      <c r="D5563" s="3">
        <v>0</v>
      </c>
      <c r="E5563" s="3">
        <v>0</v>
      </c>
      <c r="F5563" s="3">
        <v>2284</v>
      </c>
      <c r="G5563" s="3">
        <v>0</v>
      </c>
      <c r="H5563" s="2">
        <f t="shared" si="172"/>
        <v>2284</v>
      </c>
      <c r="I5563" t="str">
        <f t="shared" si="173"/>
        <v>Pla2g6_2284</v>
      </c>
      <c r="J5563" s="3">
        <v>0</v>
      </c>
      <c r="K5563" s="3">
        <v>0</v>
      </c>
      <c r="L5563" s="3">
        <v>0</v>
      </c>
      <c r="M5563" s="3">
        <v>2284</v>
      </c>
      <c r="N5563" s="3">
        <v>0</v>
      </c>
    </row>
    <row r="5564" spans="1:14" x14ac:dyDescent="0.2">
      <c r="A5564" s="5" t="str">
        <f>HYPERLINK("http://www.ncbi.nlm.nih.gov/protein/8393978;312222745","Pla2g6")</f>
        <v>Pla2g6</v>
      </c>
      <c r="B5564" s="4"/>
      <c r="C5564" s="3">
        <v>0</v>
      </c>
      <c r="D5564" s="3">
        <v>0</v>
      </c>
      <c r="E5564" s="3">
        <v>0</v>
      </c>
      <c r="F5564" s="3">
        <v>2284</v>
      </c>
      <c r="G5564" s="3">
        <v>0</v>
      </c>
      <c r="H5564" s="2">
        <f t="shared" si="172"/>
        <v>2284</v>
      </c>
      <c r="I5564" t="str">
        <f t="shared" si="173"/>
        <v>Pla2g6_2284</v>
      </c>
      <c r="J5564" s="3">
        <v>0</v>
      </c>
      <c r="K5564" s="3">
        <v>0</v>
      </c>
      <c r="L5564" s="3">
        <v>0</v>
      </c>
      <c r="M5564" s="3">
        <v>2284</v>
      </c>
      <c r="N5564" s="3">
        <v>0</v>
      </c>
    </row>
    <row r="5565" spans="1:14" x14ac:dyDescent="0.2">
      <c r="A5565" s="5" t="str">
        <f>HYPERLINK("http://www.ncbi.nlm.nih.gov/protein/31980752","Pla2g7")</f>
        <v>Pla2g7</v>
      </c>
      <c r="B5565" s="4"/>
      <c r="C5565" s="3">
        <v>0</v>
      </c>
      <c r="D5565" s="3">
        <v>1879</v>
      </c>
      <c r="E5565" s="3">
        <v>325</v>
      </c>
      <c r="F5565" s="3">
        <v>0</v>
      </c>
      <c r="G5565" s="3">
        <v>0</v>
      </c>
      <c r="H5565" s="2">
        <f t="shared" si="172"/>
        <v>2204</v>
      </c>
      <c r="I5565" t="str">
        <f t="shared" si="173"/>
        <v>Pla2g7_2204</v>
      </c>
      <c r="J5565" s="3">
        <v>0</v>
      </c>
      <c r="K5565" s="3">
        <v>1879</v>
      </c>
      <c r="L5565" s="3">
        <v>325</v>
      </c>
      <c r="M5565" s="3">
        <v>0</v>
      </c>
      <c r="N5565" s="3">
        <v>0</v>
      </c>
    </row>
    <row r="5566" spans="1:14" x14ac:dyDescent="0.2">
      <c r="A5566" s="5" t="str">
        <f>HYPERLINK("http://www.ncbi.nlm.nih.gov/protein/114431250","Plaa")</f>
        <v>Plaa</v>
      </c>
      <c r="B5566" s="4"/>
      <c r="C5566" s="3">
        <v>0</v>
      </c>
      <c r="D5566" s="3">
        <v>390</v>
      </c>
      <c r="E5566" s="3">
        <v>1223</v>
      </c>
      <c r="F5566" s="3">
        <v>1171</v>
      </c>
      <c r="G5566" s="3">
        <v>26474</v>
      </c>
      <c r="H5566" s="2">
        <f t="shared" si="172"/>
        <v>29258</v>
      </c>
      <c r="I5566" t="str">
        <f t="shared" si="173"/>
        <v>Plaa_29258</v>
      </c>
      <c r="J5566" s="3">
        <v>0</v>
      </c>
      <c r="K5566" s="3">
        <v>390</v>
      </c>
      <c r="L5566" s="3">
        <v>1223</v>
      </c>
      <c r="M5566" s="3">
        <v>1171</v>
      </c>
      <c r="N5566" s="3">
        <v>26474</v>
      </c>
    </row>
    <row r="5567" spans="1:14" x14ac:dyDescent="0.2">
      <c r="A5567" s="5" t="str">
        <f>HYPERLINK("http://www.ncbi.nlm.nih.gov/protein/21105853","Plac8")</f>
        <v>Plac8</v>
      </c>
      <c r="B5567" s="4"/>
      <c r="C5567" s="3">
        <v>0</v>
      </c>
      <c r="D5567" s="3">
        <v>0</v>
      </c>
      <c r="E5567" s="3">
        <v>31</v>
      </c>
      <c r="F5567" s="3">
        <v>0</v>
      </c>
      <c r="G5567" s="3">
        <v>0</v>
      </c>
      <c r="H5567" s="2">
        <f t="shared" si="172"/>
        <v>31</v>
      </c>
      <c r="I5567" t="str">
        <f t="shared" si="173"/>
        <v>Plac8_31</v>
      </c>
      <c r="J5567" s="3">
        <v>0</v>
      </c>
      <c r="K5567" s="3">
        <v>0</v>
      </c>
      <c r="L5567" s="3">
        <v>31</v>
      </c>
      <c r="M5567" s="3">
        <v>0</v>
      </c>
      <c r="N5567" s="3">
        <v>0</v>
      </c>
    </row>
    <row r="5568" spans="1:14" x14ac:dyDescent="0.2">
      <c r="A5568" s="5" t="str">
        <f>HYPERLINK("http://www.ncbi.nlm.nih.gov/protein/6679377","Plau")</f>
        <v>Plau</v>
      </c>
      <c r="B5568" s="4"/>
      <c r="C5568" s="3">
        <v>0</v>
      </c>
      <c r="D5568" s="3">
        <v>987</v>
      </c>
      <c r="E5568" s="3">
        <v>167</v>
      </c>
      <c r="F5568" s="3">
        <v>0</v>
      </c>
      <c r="G5568" s="3">
        <v>0</v>
      </c>
      <c r="H5568" s="2">
        <f t="shared" si="172"/>
        <v>1154</v>
      </c>
      <c r="I5568" t="str">
        <f t="shared" si="173"/>
        <v>Plau_1154</v>
      </c>
      <c r="J5568" s="3">
        <v>0</v>
      </c>
      <c r="K5568" s="3">
        <v>987</v>
      </c>
      <c r="L5568" s="3">
        <v>167</v>
      </c>
      <c r="M5568" s="3">
        <v>0</v>
      </c>
      <c r="N5568" s="3">
        <v>0</v>
      </c>
    </row>
    <row r="5569" spans="1:14" x14ac:dyDescent="0.2">
      <c r="A5569" s="5" t="str">
        <f>HYPERLINK("http://www.ncbi.nlm.nih.gov/protein/31560090","Plbd2")</f>
        <v>Plbd2</v>
      </c>
      <c r="B5569" s="4"/>
      <c r="C5569" s="3">
        <v>8238</v>
      </c>
      <c r="D5569" s="3">
        <v>3747</v>
      </c>
      <c r="E5569" s="3">
        <v>1436</v>
      </c>
      <c r="F5569" s="3">
        <v>508</v>
      </c>
      <c r="G5569" s="3">
        <v>11513</v>
      </c>
      <c r="H5569" s="2">
        <f t="shared" si="172"/>
        <v>25442</v>
      </c>
      <c r="I5569" t="str">
        <f t="shared" si="173"/>
        <v>Plbd2_25442</v>
      </c>
      <c r="J5569" s="3">
        <v>8238</v>
      </c>
      <c r="K5569" s="3">
        <v>3747</v>
      </c>
      <c r="L5569" s="3">
        <v>1436</v>
      </c>
      <c r="M5569" s="3">
        <v>508</v>
      </c>
      <c r="N5569" s="3">
        <v>11513</v>
      </c>
    </row>
    <row r="5570" spans="1:14" x14ac:dyDescent="0.2">
      <c r="A5570" s="5" t="str">
        <f>HYPERLINK("http://www.ncbi.nlm.nih.gov/protein/31982122","Plcb3")</f>
        <v>Plcb3</v>
      </c>
      <c r="B5570" s="4"/>
      <c r="C5570" s="3">
        <v>7359</v>
      </c>
      <c r="D5570" s="3">
        <v>1927</v>
      </c>
      <c r="E5570" s="3">
        <v>32900</v>
      </c>
      <c r="F5570" s="3">
        <v>36393</v>
      </c>
      <c r="G5570" s="3">
        <v>40535</v>
      </c>
      <c r="H5570" s="2">
        <f t="shared" ref="H5570:H5633" si="174">SUM(C5570:G5570)</f>
        <v>119114</v>
      </c>
      <c r="I5570" t="str">
        <f t="shared" ref="I5570:I5633" si="175">A5570&amp;"_"&amp;H5570</f>
        <v>Plcb3_119114</v>
      </c>
      <c r="J5570" s="3">
        <v>7359</v>
      </c>
      <c r="K5570" s="3">
        <v>1927</v>
      </c>
      <c r="L5570" s="3">
        <v>32900</v>
      </c>
      <c r="M5570" s="3">
        <v>36393</v>
      </c>
      <c r="N5570" s="3">
        <v>40535</v>
      </c>
    </row>
    <row r="5571" spans="1:14" x14ac:dyDescent="0.2">
      <c r="A5571" s="5" t="str">
        <f>HYPERLINK("http://www.ncbi.nlm.nih.gov/protein/9790167","Plcd1")</f>
        <v>Plcd1</v>
      </c>
      <c r="B5571" s="4"/>
      <c r="C5571" s="3">
        <v>0</v>
      </c>
      <c r="D5571" s="3">
        <v>0</v>
      </c>
      <c r="E5571" s="3">
        <v>0</v>
      </c>
      <c r="F5571" s="3">
        <v>0</v>
      </c>
      <c r="G5571" s="3">
        <v>1456</v>
      </c>
      <c r="H5571" s="2">
        <f t="shared" si="174"/>
        <v>1456</v>
      </c>
      <c r="I5571" t="str">
        <f t="shared" si="175"/>
        <v>Plcd1_1456</v>
      </c>
      <c r="J5571" s="3">
        <v>0</v>
      </c>
      <c r="K5571" s="3">
        <v>0</v>
      </c>
      <c r="L5571" s="3">
        <v>0</v>
      </c>
      <c r="M5571" s="3">
        <v>0</v>
      </c>
      <c r="N5571" s="3">
        <v>1456</v>
      </c>
    </row>
    <row r="5572" spans="1:14" x14ac:dyDescent="0.2">
      <c r="A5572" s="5" t="str">
        <f>HYPERLINK("http://www.ncbi.nlm.nih.gov/protein/258645148","Plcd3")</f>
        <v>Plcd3</v>
      </c>
      <c r="B5572" s="4"/>
      <c r="C5572" s="3">
        <v>0</v>
      </c>
      <c r="D5572" s="3">
        <v>0</v>
      </c>
      <c r="E5572" s="3">
        <v>568</v>
      </c>
      <c r="F5572" s="3">
        <v>0</v>
      </c>
      <c r="G5572" s="3">
        <v>236</v>
      </c>
      <c r="H5572" s="2">
        <f t="shared" si="174"/>
        <v>804</v>
      </c>
      <c r="I5572" t="str">
        <f t="shared" si="175"/>
        <v>Plcd3_804</v>
      </c>
      <c r="J5572" s="3">
        <v>0</v>
      </c>
      <c r="K5572" s="3">
        <v>0</v>
      </c>
      <c r="L5572" s="3">
        <v>568</v>
      </c>
      <c r="M5572" s="3">
        <v>0</v>
      </c>
      <c r="N5572" s="3">
        <v>236</v>
      </c>
    </row>
    <row r="5573" spans="1:14" x14ac:dyDescent="0.2">
      <c r="A5573" s="5" t="str">
        <f>HYPERLINK("http://www.ncbi.nlm.nih.gov/protein/41393059","Plcg1")</f>
        <v>Plcg1</v>
      </c>
      <c r="B5573" s="4"/>
      <c r="C5573" s="3">
        <v>0</v>
      </c>
      <c r="D5573" s="3">
        <v>0</v>
      </c>
      <c r="E5573" s="3">
        <v>0</v>
      </c>
      <c r="F5573" s="3">
        <v>0</v>
      </c>
      <c r="G5573" s="3">
        <v>8225</v>
      </c>
      <c r="H5573" s="2">
        <f t="shared" si="174"/>
        <v>8225</v>
      </c>
      <c r="I5573" t="str">
        <f t="shared" si="175"/>
        <v>Plcg1_8225</v>
      </c>
      <c r="J5573" s="3">
        <v>0</v>
      </c>
      <c r="K5573" s="3">
        <v>0</v>
      </c>
      <c r="L5573" s="3">
        <v>0</v>
      </c>
      <c r="M5573" s="3">
        <v>0</v>
      </c>
      <c r="N5573" s="3">
        <v>8225</v>
      </c>
    </row>
    <row r="5574" spans="1:14" x14ac:dyDescent="0.2">
      <c r="A5574" s="5" t="str">
        <f>HYPERLINK("http://www.ncbi.nlm.nih.gov/protein/26986603","Plcg2")</f>
        <v>Plcg2</v>
      </c>
      <c r="B5574" s="4"/>
      <c r="C5574" s="3">
        <v>0</v>
      </c>
      <c r="D5574" s="3">
        <v>301</v>
      </c>
      <c r="E5574" s="3">
        <v>849</v>
      </c>
      <c r="F5574" s="3">
        <v>5533</v>
      </c>
      <c r="G5574" s="3">
        <v>83266</v>
      </c>
      <c r="H5574" s="2">
        <f t="shared" si="174"/>
        <v>89949</v>
      </c>
      <c r="I5574" t="str">
        <f t="shared" si="175"/>
        <v>Plcg2_89949</v>
      </c>
      <c r="J5574" s="3">
        <v>0</v>
      </c>
      <c r="K5574" s="3">
        <v>301</v>
      </c>
      <c r="L5574" s="3">
        <v>849</v>
      </c>
      <c r="M5574" s="3">
        <v>5533</v>
      </c>
      <c r="N5574" s="3">
        <v>83266</v>
      </c>
    </row>
    <row r="5575" spans="1:14" x14ac:dyDescent="0.2">
      <c r="A5575" s="5" t="str">
        <f>HYPERLINK("http://www.ncbi.nlm.nih.gov/protein/295148200","Plch1")</f>
        <v>Plch1</v>
      </c>
      <c r="B5575" s="4"/>
      <c r="C5575" s="3">
        <v>0</v>
      </c>
      <c r="D5575" s="3">
        <v>0</v>
      </c>
      <c r="E5575" s="3">
        <v>1349</v>
      </c>
      <c r="F5575" s="3">
        <v>0</v>
      </c>
      <c r="G5575" s="3">
        <v>0</v>
      </c>
      <c r="H5575" s="2">
        <f t="shared" si="174"/>
        <v>1349</v>
      </c>
      <c r="I5575" t="str">
        <f t="shared" si="175"/>
        <v>Plch1_1349</v>
      </c>
      <c r="J5575" s="3">
        <v>0</v>
      </c>
      <c r="K5575" s="3">
        <v>0</v>
      </c>
      <c r="L5575" s="3">
        <v>1349</v>
      </c>
      <c r="M5575" s="3">
        <v>0</v>
      </c>
      <c r="N5575" s="3">
        <v>0</v>
      </c>
    </row>
    <row r="5576" spans="1:14" x14ac:dyDescent="0.2">
      <c r="A5576" s="5" t="str">
        <f>HYPERLINK("http://www.ncbi.nlm.nih.gov/protein/295148202","Plch1")</f>
        <v>Plch1</v>
      </c>
      <c r="B5576" s="4"/>
      <c r="C5576" s="3">
        <v>0</v>
      </c>
      <c r="D5576" s="3">
        <v>0</v>
      </c>
      <c r="E5576" s="3">
        <v>1349</v>
      </c>
      <c r="F5576" s="3">
        <v>0</v>
      </c>
      <c r="G5576" s="3">
        <v>0</v>
      </c>
      <c r="H5576" s="2">
        <f t="shared" si="174"/>
        <v>1349</v>
      </c>
      <c r="I5576" t="str">
        <f t="shared" si="175"/>
        <v>Plch1_1349</v>
      </c>
      <c r="J5576" s="3">
        <v>0</v>
      </c>
      <c r="K5576" s="3">
        <v>0</v>
      </c>
      <c r="L5576" s="3">
        <v>1349</v>
      </c>
      <c r="M5576" s="3">
        <v>0</v>
      </c>
      <c r="N5576" s="3">
        <v>0</v>
      </c>
    </row>
    <row r="5577" spans="1:14" x14ac:dyDescent="0.2">
      <c r="A5577" s="5" t="str">
        <f>HYPERLINK("http://www.ncbi.nlm.nih.gov/protein/295148204","Plch1")</f>
        <v>Plch1</v>
      </c>
      <c r="B5577" s="4"/>
      <c r="C5577" s="3">
        <v>0</v>
      </c>
      <c r="D5577" s="3">
        <v>0</v>
      </c>
      <c r="E5577" s="3">
        <v>1349</v>
      </c>
      <c r="F5577" s="3">
        <v>0</v>
      </c>
      <c r="G5577" s="3">
        <v>0</v>
      </c>
      <c r="H5577" s="2">
        <f t="shared" si="174"/>
        <v>1349</v>
      </c>
      <c r="I5577" t="str">
        <f t="shared" si="175"/>
        <v>Plch1_1349</v>
      </c>
      <c r="J5577" s="3">
        <v>0</v>
      </c>
      <c r="K5577" s="3">
        <v>0</v>
      </c>
      <c r="L5577" s="3">
        <v>1349</v>
      </c>
      <c r="M5577" s="3">
        <v>0</v>
      </c>
      <c r="N5577" s="3">
        <v>0</v>
      </c>
    </row>
    <row r="5578" spans="1:14" x14ac:dyDescent="0.2">
      <c r="A5578" s="5" t="str">
        <f>HYPERLINK("http://www.ncbi.nlm.nih.gov/protein/197333710","Plcxd2")</f>
        <v>Plcxd2</v>
      </c>
      <c r="B5578" s="4"/>
      <c r="C5578" s="3">
        <v>0</v>
      </c>
      <c r="D5578" s="3">
        <v>8972</v>
      </c>
      <c r="E5578" s="3">
        <v>3249</v>
      </c>
      <c r="F5578" s="3">
        <v>1842</v>
      </c>
      <c r="G5578" s="3">
        <v>0</v>
      </c>
      <c r="H5578" s="2">
        <f t="shared" si="174"/>
        <v>14063</v>
      </c>
      <c r="I5578" t="str">
        <f t="shared" si="175"/>
        <v>Plcxd2_14063</v>
      </c>
      <c r="J5578" s="3">
        <v>0</v>
      </c>
      <c r="K5578" s="3">
        <v>8972</v>
      </c>
      <c r="L5578" s="3">
        <v>3249</v>
      </c>
      <c r="M5578" s="3">
        <v>1842</v>
      </c>
      <c r="N5578" s="3">
        <v>0</v>
      </c>
    </row>
    <row r="5579" spans="1:14" x14ac:dyDescent="0.2">
      <c r="A5579" s="5" t="str">
        <f>HYPERLINK("http://www.ncbi.nlm.nih.gov/protein/6679379","Pld2")</f>
        <v>Pld2</v>
      </c>
      <c r="B5579" s="4"/>
      <c r="C5579" s="3">
        <v>0</v>
      </c>
      <c r="D5579" s="3">
        <v>100</v>
      </c>
      <c r="E5579" s="3">
        <v>1500</v>
      </c>
      <c r="F5579" s="3">
        <v>0</v>
      </c>
      <c r="G5579" s="3">
        <v>0</v>
      </c>
      <c r="H5579" s="2">
        <f t="shared" si="174"/>
        <v>1600</v>
      </c>
      <c r="I5579" t="str">
        <f t="shared" si="175"/>
        <v>Pld2_1600</v>
      </c>
      <c r="J5579" s="3">
        <v>0</v>
      </c>
      <c r="K5579" s="3">
        <v>100</v>
      </c>
      <c r="L5579" s="3">
        <v>1500</v>
      </c>
      <c r="M5579" s="3">
        <v>0</v>
      </c>
      <c r="N5579" s="3">
        <v>0</v>
      </c>
    </row>
    <row r="5580" spans="1:14" x14ac:dyDescent="0.2">
      <c r="A5580" s="5" t="str">
        <f>HYPERLINK("http://www.ncbi.nlm.nih.gov/protein/7242181","Pld3")</f>
        <v>Pld3</v>
      </c>
      <c r="B5580" s="4"/>
      <c r="C5580" s="3">
        <v>0</v>
      </c>
      <c r="D5580" s="3">
        <v>58</v>
      </c>
      <c r="E5580" s="3">
        <v>0</v>
      </c>
      <c r="F5580" s="3">
        <v>0</v>
      </c>
      <c r="G5580" s="3">
        <v>0</v>
      </c>
      <c r="H5580" s="2">
        <f t="shared" si="174"/>
        <v>58</v>
      </c>
      <c r="I5580" t="str">
        <f t="shared" si="175"/>
        <v>Pld3_58</v>
      </c>
      <c r="J5580" s="3">
        <v>0</v>
      </c>
      <c r="K5580" s="3">
        <v>58</v>
      </c>
      <c r="L5580" s="3">
        <v>0</v>
      </c>
      <c r="M5580" s="3">
        <v>0</v>
      </c>
      <c r="N5580" s="3">
        <v>0</v>
      </c>
    </row>
    <row r="5581" spans="1:14" x14ac:dyDescent="0.2">
      <c r="A5581" s="5" t="str">
        <f>HYPERLINK("http://www.ncbi.nlm.nih.gov/protein/256000745;256367522","Plec")</f>
        <v>Plec</v>
      </c>
      <c r="B5581" s="4"/>
      <c r="C5581" s="3">
        <v>0</v>
      </c>
      <c r="D5581" s="3">
        <v>0</v>
      </c>
      <c r="E5581" s="3">
        <v>9086</v>
      </c>
      <c r="F5581" s="3">
        <v>0</v>
      </c>
      <c r="G5581" s="3">
        <v>0</v>
      </c>
      <c r="H5581" s="2">
        <f t="shared" si="174"/>
        <v>9086</v>
      </c>
      <c r="I5581" t="str">
        <f t="shared" si="175"/>
        <v>Plec_9086</v>
      </c>
      <c r="J5581" s="3">
        <v>0</v>
      </c>
      <c r="K5581" s="3">
        <v>0</v>
      </c>
      <c r="L5581" s="3">
        <v>9086</v>
      </c>
      <c r="M5581" s="3">
        <v>0</v>
      </c>
      <c r="N5581" s="3">
        <v>0</v>
      </c>
    </row>
    <row r="5582" spans="1:14" x14ac:dyDescent="0.2">
      <c r="A5582" s="5" t="str">
        <f>HYPERLINK("http://www.ncbi.nlm.nih.gov/protein/256367522","Plec")</f>
        <v>Plec</v>
      </c>
      <c r="B5582" s="4"/>
      <c r="C5582" s="3">
        <v>258627</v>
      </c>
      <c r="D5582" s="3">
        <v>12552</v>
      </c>
      <c r="E5582" s="3">
        <v>0</v>
      </c>
      <c r="F5582" s="3">
        <v>7973</v>
      </c>
      <c r="G5582" s="3">
        <v>115202</v>
      </c>
      <c r="H5582" s="2">
        <f t="shared" si="174"/>
        <v>394354</v>
      </c>
      <c r="I5582" t="str">
        <f t="shared" si="175"/>
        <v>Plec_394354</v>
      </c>
      <c r="J5582" s="3">
        <v>258627</v>
      </c>
      <c r="K5582" s="3">
        <v>12552</v>
      </c>
      <c r="L5582" s="3">
        <v>0</v>
      </c>
      <c r="M5582" s="3">
        <v>7973</v>
      </c>
      <c r="N5582" s="3">
        <v>115202</v>
      </c>
    </row>
    <row r="5583" spans="1:14" x14ac:dyDescent="0.2">
      <c r="A5583" s="5" t="str">
        <f>HYPERLINK("http://www.ncbi.nlm.nih.gov/protein/254675115","Plec")</f>
        <v>Plec</v>
      </c>
      <c r="B5583" s="4"/>
      <c r="C5583" s="3">
        <v>264028</v>
      </c>
      <c r="D5583" s="3">
        <v>12552</v>
      </c>
      <c r="E5583" s="3">
        <v>9260</v>
      </c>
      <c r="F5583" s="3">
        <v>7973</v>
      </c>
      <c r="G5583" s="3">
        <v>115202</v>
      </c>
      <c r="H5583" s="2">
        <f t="shared" si="174"/>
        <v>409015</v>
      </c>
      <c r="I5583" t="str">
        <f t="shared" si="175"/>
        <v>Plec_409015</v>
      </c>
      <c r="J5583" s="3">
        <v>264028</v>
      </c>
      <c r="K5583" s="3">
        <v>12552</v>
      </c>
      <c r="L5583" s="3">
        <v>9260</v>
      </c>
      <c r="M5583" s="3">
        <v>7973</v>
      </c>
      <c r="N5583" s="3">
        <v>115202</v>
      </c>
    </row>
    <row r="5584" spans="1:14" x14ac:dyDescent="0.2">
      <c r="A5584" s="5" t="str">
        <f>HYPERLINK("http://www.ncbi.nlm.nih.gov/protein/254675117","Plec")</f>
        <v>Plec</v>
      </c>
      <c r="B5584" s="4"/>
      <c r="C5584" s="3">
        <v>264028</v>
      </c>
      <c r="D5584" s="3">
        <v>12552</v>
      </c>
      <c r="E5584" s="3">
        <v>9260</v>
      </c>
      <c r="F5584" s="3">
        <v>7973</v>
      </c>
      <c r="G5584" s="3">
        <v>115202</v>
      </c>
      <c r="H5584" s="2">
        <f t="shared" si="174"/>
        <v>409015</v>
      </c>
      <c r="I5584" t="str">
        <f t="shared" si="175"/>
        <v>Plec_409015</v>
      </c>
      <c r="J5584" s="3">
        <v>264028</v>
      </c>
      <c r="K5584" s="3">
        <v>12552</v>
      </c>
      <c r="L5584" s="3">
        <v>9260</v>
      </c>
      <c r="M5584" s="3">
        <v>7973</v>
      </c>
      <c r="N5584" s="3">
        <v>115202</v>
      </c>
    </row>
    <row r="5585" spans="1:14" x14ac:dyDescent="0.2">
      <c r="A5585" s="5" t="str">
        <f>HYPERLINK("http://www.ncbi.nlm.nih.gov/protein/254675119","Plec")</f>
        <v>Plec</v>
      </c>
      <c r="B5585" s="4"/>
      <c r="C5585" s="3">
        <v>264028</v>
      </c>
      <c r="D5585" s="3">
        <v>12552</v>
      </c>
      <c r="E5585" s="3">
        <v>9260</v>
      </c>
      <c r="F5585" s="3">
        <v>7973</v>
      </c>
      <c r="G5585" s="3">
        <v>115202</v>
      </c>
      <c r="H5585" s="2">
        <f t="shared" si="174"/>
        <v>409015</v>
      </c>
      <c r="I5585" t="str">
        <f t="shared" si="175"/>
        <v>Plec_409015</v>
      </c>
      <c r="J5585" s="3">
        <v>264028</v>
      </c>
      <c r="K5585" s="3">
        <v>12552</v>
      </c>
      <c r="L5585" s="3">
        <v>9260</v>
      </c>
      <c r="M5585" s="3">
        <v>7973</v>
      </c>
      <c r="N5585" s="3">
        <v>115202</v>
      </c>
    </row>
    <row r="5586" spans="1:14" x14ac:dyDescent="0.2">
      <c r="A5586" s="5" t="str">
        <f>HYPERLINK("http://www.ncbi.nlm.nih.gov/protein/254675195","Plec")</f>
        <v>Plec</v>
      </c>
      <c r="B5586" s="4"/>
      <c r="C5586" s="3">
        <v>264028</v>
      </c>
      <c r="D5586" s="3">
        <v>12552</v>
      </c>
      <c r="E5586" s="3">
        <v>9260</v>
      </c>
      <c r="F5586" s="3">
        <v>7973</v>
      </c>
      <c r="G5586" s="3">
        <v>115202</v>
      </c>
      <c r="H5586" s="2">
        <f t="shared" si="174"/>
        <v>409015</v>
      </c>
      <c r="I5586" t="str">
        <f t="shared" si="175"/>
        <v>Plec_409015</v>
      </c>
      <c r="J5586" s="3">
        <v>264028</v>
      </c>
      <c r="K5586" s="3">
        <v>12552</v>
      </c>
      <c r="L5586" s="3">
        <v>9260</v>
      </c>
      <c r="M5586" s="3">
        <v>7973</v>
      </c>
      <c r="N5586" s="3">
        <v>115202</v>
      </c>
    </row>
    <row r="5587" spans="1:14" x14ac:dyDescent="0.2">
      <c r="A5587" s="5" t="str">
        <f>HYPERLINK("http://www.ncbi.nlm.nih.gov/protein/254675201","Plec")</f>
        <v>Plec</v>
      </c>
      <c r="B5587" s="4"/>
      <c r="C5587" s="3">
        <v>264028</v>
      </c>
      <c r="D5587" s="3">
        <v>12552</v>
      </c>
      <c r="E5587" s="3">
        <v>9260</v>
      </c>
      <c r="F5587" s="3">
        <v>7973</v>
      </c>
      <c r="G5587" s="3">
        <v>115202</v>
      </c>
      <c r="H5587" s="2">
        <f t="shared" si="174"/>
        <v>409015</v>
      </c>
      <c r="I5587" t="str">
        <f t="shared" si="175"/>
        <v>Plec_409015</v>
      </c>
      <c r="J5587" s="3">
        <v>264028</v>
      </c>
      <c r="K5587" s="3">
        <v>12552</v>
      </c>
      <c r="L5587" s="3">
        <v>9260</v>
      </c>
      <c r="M5587" s="3">
        <v>7973</v>
      </c>
      <c r="N5587" s="3">
        <v>115202</v>
      </c>
    </row>
    <row r="5588" spans="1:14" x14ac:dyDescent="0.2">
      <c r="A5588" s="5" t="str">
        <f>HYPERLINK("http://www.ncbi.nlm.nih.gov/protein/254675244","Plec")</f>
        <v>Plec</v>
      </c>
      <c r="B5588" s="4"/>
      <c r="C5588" s="3">
        <v>264028</v>
      </c>
      <c r="D5588" s="3">
        <v>12552</v>
      </c>
      <c r="E5588" s="3">
        <v>9260</v>
      </c>
      <c r="F5588" s="3">
        <v>7973</v>
      </c>
      <c r="G5588" s="3">
        <v>115202</v>
      </c>
      <c r="H5588" s="2">
        <f t="shared" si="174"/>
        <v>409015</v>
      </c>
      <c r="I5588" t="str">
        <f t="shared" si="175"/>
        <v>Plec_409015</v>
      </c>
      <c r="J5588" s="3">
        <v>264028</v>
      </c>
      <c r="K5588" s="3">
        <v>12552</v>
      </c>
      <c r="L5588" s="3">
        <v>9260</v>
      </c>
      <c r="M5588" s="3">
        <v>7973</v>
      </c>
      <c r="N5588" s="3">
        <v>115202</v>
      </c>
    </row>
    <row r="5589" spans="1:14" x14ac:dyDescent="0.2">
      <c r="A5589" s="5" t="str">
        <f>HYPERLINK("http://www.ncbi.nlm.nih.gov/protein/254675251","Plec")</f>
        <v>Plec</v>
      </c>
      <c r="B5589" s="4"/>
      <c r="C5589" s="3">
        <v>264028</v>
      </c>
      <c r="D5589" s="3">
        <v>12552</v>
      </c>
      <c r="E5589" s="3">
        <v>9260</v>
      </c>
      <c r="F5589" s="3">
        <v>7973</v>
      </c>
      <c r="G5589" s="3">
        <v>115202</v>
      </c>
      <c r="H5589" s="2">
        <f t="shared" si="174"/>
        <v>409015</v>
      </c>
      <c r="I5589" t="str">
        <f t="shared" si="175"/>
        <v>Plec_409015</v>
      </c>
      <c r="J5589" s="3">
        <v>264028</v>
      </c>
      <c r="K5589" s="3">
        <v>12552</v>
      </c>
      <c r="L5589" s="3">
        <v>9260</v>
      </c>
      <c r="M5589" s="3">
        <v>7973</v>
      </c>
      <c r="N5589" s="3">
        <v>115202</v>
      </c>
    </row>
    <row r="5590" spans="1:14" x14ac:dyDescent="0.2">
      <c r="A5590" s="5" t="str">
        <f>HYPERLINK("http://www.ncbi.nlm.nih.gov/protein/254675253","Plec")</f>
        <v>Plec</v>
      </c>
      <c r="B5590" s="4"/>
      <c r="C5590" s="3">
        <v>264028</v>
      </c>
      <c r="D5590" s="3">
        <v>12552</v>
      </c>
      <c r="E5590" s="3">
        <v>9260</v>
      </c>
      <c r="F5590" s="3">
        <v>7973</v>
      </c>
      <c r="G5590" s="3">
        <v>115202</v>
      </c>
      <c r="H5590" s="2">
        <f t="shared" si="174"/>
        <v>409015</v>
      </c>
      <c r="I5590" t="str">
        <f t="shared" si="175"/>
        <v>Plec_409015</v>
      </c>
      <c r="J5590" s="3">
        <v>264028</v>
      </c>
      <c r="K5590" s="3">
        <v>12552</v>
      </c>
      <c r="L5590" s="3">
        <v>9260</v>
      </c>
      <c r="M5590" s="3">
        <v>7973</v>
      </c>
      <c r="N5590" s="3">
        <v>115202</v>
      </c>
    </row>
    <row r="5591" spans="1:14" x14ac:dyDescent="0.2">
      <c r="A5591" s="5" t="str">
        <f>HYPERLINK("http://www.ncbi.nlm.nih.gov/protein/254675259","Plec")</f>
        <v>Plec</v>
      </c>
      <c r="B5591" s="4"/>
      <c r="C5591" s="3">
        <v>264028</v>
      </c>
      <c r="D5591" s="3">
        <v>12552</v>
      </c>
      <c r="E5591" s="3">
        <v>9260</v>
      </c>
      <c r="F5591" s="3">
        <v>7973</v>
      </c>
      <c r="G5591" s="3">
        <v>115202</v>
      </c>
      <c r="H5591" s="2">
        <f t="shared" si="174"/>
        <v>409015</v>
      </c>
      <c r="I5591" t="str">
        <f t="shared" si="175"/>
        <v>Plec_409015</v>
      </c>
      <c r="J5591" s="3">
        <v>264028</v>
      </c>
      <c r="K5591" s="3">
        <v>12552</v>
      </c>
      <c r="L5591" s="3">
        <v>9260</v>
      </c>
      <c r="M5591" s="3">
        <v>7973</v>
      </c>
      <c r="N5591" s="3">
        <v>115202</v>
      </c>
    </row>
    <row r="5592" spans="1:14" x14ac:dyDescent="0.2">
      <c r="A5592" s="5" t="str">
        <f>HYPERLINK("http://www.ncbi.nlm.nih.gov/protein/254675265","Plec")</f>
        <v>Plec</v>
      </c>
      <c r="B5592" s="4"/>
      <c r="C5592" s="3">
        <v>264028</v>
      </c>
      <c r="D5592" s="3">
        <v>12552</v>
      </c>
      <c r="E5592" s="3">
        <v>9260</v>
      </c>
      <c r="F5592" s="3">
        <v>7973</v>
      </c>
      <c r="G5592" s="3">
        <v>115202</v>
      </c>
      <c r="H5592" s="2">
        <f t="shared" si="174"/>
        <v>409015</v>
      </c>
      <c r="I5592" t="str">
        <f t="shared" si="175"/>
        <v>Plec_409015</v>
      </c>
      <c r="J5592" s="3">
        <v>264028</v>
      </c>
      <c r="K5592" s="3">
        <v>12552</v>
      </c>
      <c r="L5592" s="3">
        <v>9260</v>
      </c>
      <c r="M5592" s="3">
        <v>7973</v>
      </c>
      <c r="N5592" s="3">
        <v>115202</v>
      </c>
    </row>
    <row r="5593" spans="1:14" x14ac:dyDescent="0.2">
      <c r="A5593" s="5" t="str">
        <f>HYPERLINK("http://www.ncbi.nlm.nih.gov/protein/256418964","Plec")</f>
        <v>Plec</v>
      </c>
      <c r="B5593" s="4"/>
      <c r="C5593" s="3">
        <v>264028</v>
      </c>
      <c r="D5593" s="3">
        <v>12552</v>
      </c>
      <c r="E5593" s="3">
        <v>9260</v>
      </c>
      <c r="F5593" s="3">
        <v>7973</v>
      </c>
      <c r="G5593" s="3">
        <v>115202</v>
      </c>
      <c r="H5593" s="2">
        <f t="shared" si="174"/>
        <v>409015</v>
      </c>
      <c r="I5593" t="str">
        <f t="shared" si="175"/>
        <v>Plec_409015</v>
      </c>
      <c r="J5593" s="3">
        <v>264028</v>
      </c>
      <c r="K5593" s="3">
        <v>12552</v>
      </c>
      <c r="L5593" s="3">
        <v>9260</v>
      </c>
      <c r="M5593" s="3">
        <v>7973</v>
      </c>
      <c r="N5593" s="3">
        <v>115202</v>
      </c>
    </row>
    <row r="5594" spans="1:14" x14ac:dyDescent="0.2">
      <c r="A5594" s="5" t="str">
        <f>HYPERLINK("http://www.ncbi.nlm.nih.gov/protein/19527162","Plekha1")</f>
        <v>Plekha1</v>
      </c>
      <c r="B5594" s="4"/>
      <c r="C5594" s="3">
        <v>0</v>
      </c>
      <c r="D5594" s="3">
        <v>0</v>
      </c>
      <c r="E5594" s="3">
        <v>10</v>
      </c>
      <c r="F5594" s="3">
        <v>0</v>
      </c>
      <c r="G5594" s="3">
        <v>0</v>
      </c>
      <c r="H5594" s="2">
        <f t="shared" si="174"/>
        <v>10</v>
      </c>
      <c r="I5594" t="str">
        <f t="shared" si="175"/>
        <v>Plekha1_10</v>
      </c>
      <c r="J5594" s="3">
        <v>0</v>
      </c>
      <c r="K5594" s="3">
        <v>0</v>
      </c>
      <c r="L5594" s="3">
        <v>10</v>
      </c>
      <c r="M5594" s="3">
        <v>0</v>
      </c>
      <c r="N5594" s="3">
        <v>0</v>
      </c>
    </row>
    <row r="5595" spans="1:14" x14ac:dyDescent="0.2">
      <c r="A5595" s="5" t="str">
        <f>HYPERLINK("http://www.ncbi.nlm.nih.gov/protein/13752587","Plekha2")</f>
        <v>Plekha2</v>
      </c>
      <c r="B5595" s="4"/>
      <c r="C5595" s="3">
        <v>0</v>
      </c>
      <c r="D5595" s="3">
        <v>33</v>
      </c>
      <c r="E5595" s="3">
        <v>16</v>
      </c>
      <c r="F5595" s="3">
        <v>0</v>
      </c>
      <c r="G5595" s="3">
        <v>707</v>
      </c>
      <c r="H5595" s="2">
        <f t="shared" si="174"/>
        <v>756</v>
      </c>
      <c r="I5595" t="str">
        <f t="shared" si="175"/>
        <v>Plekha2_756</v>
      </c>
      <c r="J5595" s="3">
        <v>0</v>
      </c>
      <c r="K5595" s="3">
        <v>33</v>
      </c>
      <c r="L5595" s="3">
        <v>16</v>
      </c>
      <c r="M5595" s="3">
        <v>0</v>
      </c>
      <c r="N5595" s="3">
        <v>707</v>
      </c>
    </row>
    <row r="5596" spans="1:14" x14ac:dyDescent="0.2">
      <c r="A5596" s="5" t="str">
        <f>HYPERLINK("http://www.ncbi.nlm.nih.gov/protein/237681204","Plekha6")</f>
        <v>Plekha6</v>
      </c>
      <c r="B5596" s="4"/>
      <c r="C5596" s="3">
        <v>311</v>
      </c>
      <c r="D5596" s="3">
        <v>23</v>
      </c>
      <c r="E5596" s="3">
        <v>0</v>
      </c>
      <c r="F5596" s="3">
        <v>0</v>
      </c>
      <c r="G5596" s="3">
        <v>0</v>
      </c>
      <c r="H5596" s="2">
        <f t="shared" si="174"/>
        <v>334</v>
      </c>
      <c r="I5596" t="str">
        <f t="shared" si="175"/>
        <v>Plekha6_334</v>
      </c>
      <c r="J5596" s="3">
        <v>311</v>
      </c>
      <c r="K5596" s="3">
        <v>23</v>
      </c>
      <c r="L5596" s="3">
        <v>0</v>
      </c>
      <c r="M5596" s="3">
        <v>0</v>
      </c>
      <c r="N5596" s="3">
        <v>0</v>
      </c>
    </row>
    <row r="5597" spans="1:14" x14ac:dyDescent="0.2">
      <c r="A5597" s="5" t="str">
        <f>HYPERLINK("http://www.ncbi.nlm.nih.gov/protein/33636693","Plekha6")</f>
        <v>Plekha6</v>
      </c>
      <c r="B5597" s="4"/>
      <c r="C5597" s="3">
        <v>311</v>
      </c>
      <c r="D5597" s="3">
        <v>23</v>
      </c>
      <c r="E5597" s="3">
        <v>0</v>
      </c>
      <c r="F5597" s="3">
        <v>0</v>
      </c>
      <c r="G5597" s="3">
        <v>0</v>
      </c>
      <c r="H5597" s="2">
        <f t="shared" si="174"/>
        <v>334</v>
      </c>
      <c r="I5597" t="str">
        <f t="shared" si="175"/>
        <v>Plekha6_334</v>
      </c>
      <c r="J5597" s="3">
        <v>311</v>
      </c>
      <c r="K5597" s="3">
        <v>23</v>
      </c>
      <c r="L5597" s="3">
        <v>0</v>
      </c>
      <c r="M5597" s="3">
        <v>0</v>
      </c>
      <c r="N5597" s="3">
        <v>0</v>
      </c>
    </row>
    <row r="5598" spans="1:14" x14ac:dyDescent="0.2">
      <c r="A5598" s="5" t="str">
        <f>HYPERLINK("http://www.ncbi.nlm.nih.gov/protein/170650667","Plekhf1")</f>
        <v>Plekhf1</v>
      </c>
      <c r="B5598" s="4"/>
      <c r="C5598" s="3">
        <v>0</v>
      </c>
      <c r="D5598" s="3">
        <v>0</v>
      </c>
      <c r="E5598" s="3">
        <v>79</v>
      </c>
      <c r="F5598" s="3">
        <v>0</v>
      </c>
      <c r="G5598" s="3">
        <v>557</v>
      </c>
      <c r="H5598" s="2">
        <f t="shared" si="174"/>
        <v>636</v>
      </c>
      <c r="I5598" t="str">
        <f t="shared" si="175"/>
        <v>Plekhf1_636</v>
      </c>
      <c r="J5598" s="3">
        <v>0</v>
      </c>
      <c r="K5598" s="3">
        <v>0</v>
      </c>
      <c r="L5598" s="3">
        <v>79</v>
      </c>
      <c r="M5598" s="3">
        <v>0</v>
      </c>
      <c r="N5598" s="3">
        <v>557</v>
      </c>
    </row>
    <row r="5599" spans="1:14" x14ac:dyDescent="0.2">
      <c r="A5599" s="5" t="str">
        <f>HYPERLINK("http://www.ncbi.nlm.nih.gov/protein/29611667","Plekhf2")</f>
        <v>Plekhf2</v>
      </c>
      <c r="B5599" s="4"/>
      <c r="C5599" s="3">
        <v>0</v>
      </c>
      <c r="D5599" s="3">
        <v>0</v>
      </c>
      <c r="E5599" s="3">
        <v>79</v>
      </c>
      <c r="F5599" s="3">
        <v>0</v>
      </c>
      <c r="G5599" s="3">
        <v>557</v>
      </c>
      <c r="H5599" s="2">
        <f t="shared" si="174"/>
        <v>636</v>
      </c>
      <c r="I5599" t="str">
        <f t="shared" si="175"/>
        <v>Plekhf2_636</v>
      </c>
      <c r="J5599" s="3">
        <v>0</v>
      </c>
      <c r="K5599" s="3">
        <v>0</v>
      </c>
      <c r="L5599" s="3">
        <v>79</v>
      </c>
      <c r="M5599" s="3">
        <v>0</v>
      </c>
      <c r="N5599" s="3">
        <v>557</v>
      </c>
    </row>
    <row r="5600" spans="1:14" x14ac:dyDescent="0.2">
      <c r="A5600" s="5" t="str">
        <f>HYPERLINK("http://www.ncbi.nlm.nih.gov/protein/84794546","Plekhg1")</f>
        <v>Plekhg1</v>
      </c>
      <c r="B5600" s="4"/>
      <c r="C5600" s="3">
        <v>0</v>
      </c>
      <c r="D5600" s="3">
        <v>0</v>
      </c>
      <c r="E5600" s="3">
        <v>1317</v>
      </c>
      <c r="F5600" s="3">
        <v>0</v>
      </c>
      <c r="G5600" s="3">
        <v>0</v>
      </c>
      <c r="H5600" s="2">
        <f t="shared" si="174"/>
        <v>1317</v>
      </c>
      <c r="I5600" t="str">
        <f t="shared" si="175"/>
        <v>Plekhg1_1317</v>
      </c>
      <c r="J5600" s="3">
        <v>0</v>
      </c>
      <c r="K5600" s="3">
        <v>0</v>
      </c>
      <c r="L5600" s="3">
        <v>1317</v>
      </c>
      <c r="M5600" s="3">
        <v>0</v>
      </c>
      <c r="N5600" s="3">
        <v>0</v>
      </c>
    </row>
    <row r="5601" spans="1:14" x14ac:dyDescent="0.2">
      <c r="A5601" s="5" t="str">
        <f>HYPERLINK("http://www.ncbi.nlm.nih.gov/protein/167621502","Plekhg3")</f>
        <v>Plekhg3</v>
      </c>
      <c r="B5601" s="4"/>
      <c r="C5601" s="3">
        <v>0</v>
      </c>
      <c r="D5601" s="3">
        <v>342</v>
      </c>
      <c r="E5601" s="3">
        <v>1678</v>
      </c>
      <c r="F5601" s="3">
        <v>0</v>
      </c>
      <c r="G5601" s="3">
        <v>1124</v>
      </c>
      <c r="H5601" s="2">
        <f t="shared" si="174"/>
        <v>3144</v>
      </c>
      <c r="I5601" t="str">
        <f t="shared" si="175"/>
        <v>Plekhg3_3144</v>
      </c>
      <c r="J5601" s="3">
        <v>0</v>
      </c>
      <c r="K5601" s="3">
        <v>342</v>
      </c>
      <c r="L5601" s="3">
        <v>1678</v>
      </c>
      <c r="M5601" s="3">
        <v>0</v>
      </c>
      <c r="N5601" s="3">
        <v>1124</v>
      </c>
    </row>
    <row r="5602" spans="1:14" x14ac:dyDescent="0.2">
      <c r="A5602" s="5" t="str">
        <f>HYPERLINK("http://www.ncbi.nlm.nih.gov/protein/188497685","Plekhh2")</f>
        <v>Plekhh2</v>
      </c>
      <c r="B5602" s="4"/>
      <c r="C5602" s="3">
        <v>0</v>
      </c>
      <c r="D5602" s="3">
        <v>0</v>
      </c>
      <c r="E5602" s="3">
        <v>1160</v>
      </c>
      <c r="F5602" s="3">
        <v>0</v>
      </c>
      <c r="G5602" s="3">
        <v>0</v>
      </c>
      <c r="H5602" s="2">
        <f t="shared" si="174"/>
        <v>1160</v>
      </c>
      <c r="I5602" t="str">
        <f t="shared" si="175"/>
        <v>Plekhh2_1160</v>
      </c>
      <c r="J5602" s="3">
        <v>0</v>
      </c>
      <c r="K5602" s="3">
        <v>0</v>
      </c>
      <c r="L5602" s="3">
        <v>1160</v>
      </c>
      <c r="M5602" s="3">
        <v>0</v>
      </c>
      <c r="N5602" s="3">
        <v>0</v>
      </c>
    </row>
    <row r="5603" spans="1:14" x14ac:dyDescent="0.2">
      <c r="A5603" s="5" t="str">
        <f>HYPERLINK("http://www.ncbi.nlm.nih.gov/protein/124286797","Plet1")</f>
        <v>Plet1</v>
      </c>
      <c r="B5603" s="4"/>
      <c r="C5603" s="3">
        <v>5089</v>
      </c>
      <c r="D5603" s="3">
        <v>3181</v>
      </c>
      <c r="E5603" s="3">
        <v>21111</v>
      </c>
      <c r="F5603" s="3">
        <v>1007</v>
      </c>
      <c r="G5603" s="3">
        <v>11802</v>
      </c>
      <c r="H5603" s="2">
        <f t="shared" si="174"/>
        <v>42190</v>
      </c>
      <c r="I5603" t="str">
        <f t="shared" si="175"/>
        <v>Plet1_42190</v>
      </c>
      <c r="J5603" s="3">
        <v>5089</v>
      </c>
      <c r="K5603" s="3">
        <v>3181</v>
      </c>
      <c r="L5603" s="3">
        <v>21111</v>
      </c>
      <c r="M5603" s="3">
        <v>1007</v>
      </c>
      <c r="N5603" s="3">
        <v>11802</v>
      </c>
    </row>
    <row r="5604" spans="1:14" x14ac:dyDescent="0.2">
      <c r="A5604" s="5" t="str">
        <f>HYPERLINK("http://www.ncbi.nlm.nih.gov/protein/257471003","Plg")</f>
        <v>Plg</v>
      </c>
      <c r="B5604" s="4"/>
      <c r="C5604" s="3">
        <v>0</v>
      </c>
      <c r="D5604" s="3">
        <v>0</v>
      </c>
      <c r="E5604" s="3">
        <v>0</v>
      </c>
      <c r="F5604" s="3">
        <v>974</v>
      </c>
      <c r="G5604" s="3">
        <v>0</v>
      </c>
      <c r="H5604" s="2">
        <f t="shared" si="174"/>
        <v>974</v>
      </c>
      <c r="I5604" t="str">
        <f t="shared" si="175"/>
        <v>Plg_974</v>
      </c>
      <c r="J5604" s="3">
        <v>0</v>
      </c>
      <c r="K5604" s="3">
        <v>0</v>
      </c>
      <c r="L5604" s="3">
        <v>0</v>
      </c>
      <c r="M5604" s="3">
        <v>974</v>
      </c>
      <c r="N5604" s="3">
        <v>0</v>
      </c>
    </row>
    <row r="5605" spans="1:14" x14ac:dyDescent="0.2">
      <c r="A5605" s="5" t="str">
        <f>HYPERLINK("http://www.ncbi.nlm.nih.gov/protein/21312800","Plgrkt")</f>
        <v>Plgrkt</v>
      </c>
      <c r="B5605" s="4"/>
      <c r="C5605" s="3">
        <v>3661</v>
      </c>
      <c r="D5605" s="3">
        <v>16873</v>
      </c>
      <c r="E5605" s="3">
        <v>176</v>
      </c>
      <c r="F5605" s="3">
        <v>0</v>
      </c>
      <c r="G5605" s="3">
        <v>0</v>
      </c>
      <c r="H5605" s="2">
        <f t="shared" si="174"/>
        <v>20710</v>
      </c>
      <c r="I5605" t="str">
        <f t="shared" si="175"/>
        <v>Plgrkt_20710</v>
      </c>
      <c r="J5605" s="3">
        <v>3661</v>
      </c>
      <c r="K5605" s="3">
        <v>16873</v>
      </c>
      <c r="L5605" s="3">
        <v>176</v>
      </c>
      <c r="M5605" s="3">
        <v>0</v>
      </c>
      <c r="N5605" s="3">
        <v>0</v>
      </c>
    </row>
    <row r="5606" spans="1:14" x14ac:dyDescent="0.2">
      <c r="A5606" s="5" t="str">
        <f>HYPERLINK("http://www.ncbi.nlm.nih.gov/protein/116235489","Plin2")</f>
        <v>Plin2</v>
      </c>
      <c r="B5606" s="4"/>
      <c r="C5606" s="3">
        <v>14572</v>
      </c>
      <c r="D5606" s="3">
        <v>19036</v>
      </c>
      <c r="E5606" s="3">
        <v>52732</v>
      </c>
      <c r="F5606" s="3">
        <v>4797</v>
      </c>
      <c r="G5606" s="3">
        <v>0</v>
      </c>
      <c r="H5606" s="2">
        <f t="shared" si="174"/>
        <v>91137</v>
      </c>
      <c r="I5606" t="str">
        <f t="shared" si="175"/>
        <v>Plin2_91137</v>
      </c>
      <c r="J5606" s="3">
        <v>14572</v>
      </c>
      <c r="K5606" s="3">
        <v>19036</v>
      </c>
      <c r="L5606" s="3">
        <v>52732</v>
      </c>
      <c r="M5606" s="3">
        <v>4797</v>
      </c>
      <c r="N5606" s="3">
        <v>0</v>
      </c>
    </row>
    <row r="5607" spans="1:14" x14ac:dyDescent="0.2">
      <c r="A5607" s="5" t="str">
        <f>HYPERLINK("http://www.ncbi.nlm.nih.gov/protein/13385312","Plin3")</f>
        <v>Plin3</v>
      </c>
      <c r="B5607" s="4"/>
      <c r="C5607" s="3">
        <v>29143</v>
      </c>
      <c r="D5607" s="3">
        <v>37437</v>
      </c>
      <c r="E5607" s="3">
        <v>97081</v>
      </c>
      <c r="F5607" s="3">
        <v>135856</v>
      </c>
      <c r="G5607" s="3">
        <v>119647</v>
      </c>
      <c r="H5607" s="2">
        <f t="shared" si="174"/>
        <v>419164</v>
      </c>
      <c r="I5607" t="str">
        <f t="shared" si="175"/>
        <v>Plin3_419164</v>
      </c>
      <c r="J5607" s="3">
        <v>29143</v>
      </c>
      <c r="K5607" s="3">
        <v>37437</v>
      </c>
      <c r="L5607" s="3">
        <v>97081</v>
      </c>
      <c r="M5607" s="3">
        <v>135856</v>
      </c>
      <c r="N5607" s="3">
        <v>119647</v>
      </c>
    </row>
    <row r="5608" spans="1:14" x14ac:dyDescent="0.2">
      <c r="A5608" s="5" t="str">
        <f>HYPERLINK("http://www.ncbi.nlm.nih.gov/protein/128485538","Plk1")</f>
        <v>Plk1</v>
      </c>
      <c r="B5608" s="4"/>
      <c r="C5608" s="3">
        <v>0</v>
      </c>
      <c r="D5608" s="3">
        <v>0</v>
      </c>
      <c r="E5608" s="3">
        <v>60</v>
      </c>
      <c r="F5608" s="3">
        <v>0</v>
      </c>
      <c r="G5608" s="3">
        <v>0</v>
      </c>
      <c r="H5608" s="2">
        <f t="shared" si="174"/>
        <v>60</v>
      </c>
      <c r="I5608" t="str">
        <f t="shared" si="175"/>
        <v>Plk1_60</v>
      </c>
      <c r="J5608" s="3">
        <v>0</v>
      </c>
      <c r="K5608" s="3">
        <v>0</v>
      </c>
      <c r="L5608" s="3">
        <v>60</v>
      </c>
      <c r="M5608" s="3">
        <v>0</v>
      </c>
      <c r="N5608" s="3">
        <v>0</v>
      </c>
    </row>
    <row r="5609" spans="1:14" x14ac:dyDescent="0.2">
      <c r="A5609" s="5" t="str">
        <f>HYPERLINK("http://www.ncbi.nlm.nih.gov/protein/165932300","Plk2")</f>
        <v>Plk2</v>
      </c>
      <c r="B5609" s="4"/>
      <c r="C5609" s="3">
        <v>0</v>
      </c>
      <c r="D5609" s="3">
        <v>2175</v>
      </c>
      <c r="E5609" s="3">
        <v>0</v>
      </c>
      <c r="F5609" s="3">
        <v>0</v>
      </c>
      <c r="G5609" s="3">
        <v>0</v>
      </c>
      <c r="H5609" s="2">
        <f t="shared" si="174"/>
        <v>2175</v>
      </c>
      <c r="I5609" t="str">
        <f t="shared" si="175"/>
        <v>Plk2_2175</v>
      </c>
      <c r="J5609" s="3">
        <v>0</v>
      </c>
      <c r="K5609" s="3">
        <v>2175</v>
      </c>
      <c r="L5609" s="3">
        <v>0</v>
      </c>
      <c r="M5609" s="3">
        <v>0</v>
      </c>
      <c r="N5609" s="3">
        <v>0</v>
      </c>
    </row>
    <row r="5610" spans="1:14" x14ac:dyDescent="0.2">
      <c r="A5610" s="5" t="str">
        <f>HYPERLINK("http://www.ncbi.nlm.nih.gov/protein/6755110","Plod3")</f>
        <v>Plod3</v>
      </c>
      <c r="B5610" s="4"/>
      <c r="C5610" s="3">
        <v>0</v>
      </c>
      <c r="D5610" s="3">
        <v>63</v>
      </c>
      <c r="E5610" s="3">
        <v>376</v>
      </c>
      <c r="F5610" s="3">
        <v>0</v>
      </c>
      <c r="G5610" s="3">
        <v>0</v>
      </c>
      <c r="H5610" s="2">
        <f t="shared" si="174"/>
        <v>439</v>
      </c>
      <c r="I5610" t="str">
        <f t="shared" si="175"/>
        <v>Plod3_439</v>
      </c>
      <c r="J5610" s="3">
        <v>0</v>
      </c>
      <c r="K5610" s="3">
        <v>63</v>
      </c>
      <c r="L5610" s="3">
        <v>376</v>
      </c>
      <c r="M5610" s="3">
        <v>0</v>
      </c>
      <c r="N5610" s="3">
        <v>0</v>
      </c>
    </row>
    <row r="5611" spans="1:14" x14ac:dyDescent="0.2">
      <c r="A5611" s="5" t="str">
        <f>HYPERLINK("http://www.ncbi.nlm.nih.gov/protein/9790169","Plp2")</f>
        <v>Plp2</v>
      </c>
      <c r="B5611" s="4"/>
      <c r="C5611" s="3">
        <v>2874</v>
      </c>
      <c r="D5611" s="3">
        <v>347</v>
      </c>
      <c r="E5611" s="3">
        <v>288</v>
      </c>
      <c r="F5611" s="3">
        <v>516</v>
      </c>
      <c r="G5611" s="3">
        <v>0</v>
      </c>
      <c r="H5611" s="2">
        <f t="shared" si="174"/>
        <v>4025</v>
      </c>
      <c r="I5611" t="str">
        <f t="shared" si="175"/>
        <v>Plp2_4025</v>
      </c>
      <c r="J5611" s="3">
        <v>2874</v>
      </c>
      <c r="K5611" s="3">
        <v>347</v>
      </c>
      <c r="L5611" s="3">
        <v>288</v>
      </c>
      <c r="M5611" s="3">
        <v>516</v>
      </c>
      <c r="N5611" s="3">
        <v>0</v>
      </c>
    </row>
    <row r="5612" spans="1:14" x14ac:dyDescent="0.2">
      <c r="A5612" s="5" t="str">
        <f>HYPERLINK("http://www.ncbi.nlm.nih.gov/protein/31980791","Plrg1")</f>
        <v>Plrg1</v>
      </c>
      <c r="B5612" s="4"/>
      <c r="C5612" s="3">
        <v>2233</v>
      </c>
      <c r="D5612" s="3">
        <v>61</v>
      </c>
      <c r="E5612" s="3">
        <v>2246</v>
      </c>
      <c r="F5612" s="3">
        <v>1563</v>
      </c>
      <c r="G5612" s="3">
        <v>0</v>
      </c>
      <c r="H5612" s="2">
        <f t="shared" si="174"/>
        <v>6103</v>
      </c>
      <c r="I5612" t="str">
        <f t="shared" si="175"/>
        <v>Plrg1_6103</v>
      </c>
      <c r="J5612" s="3">
        <v>2233</v>
      </c>
      <c r="K5612" s="3">
        <v>61</v>
      </c>
      <c r="L5612" s="3">
        <v>2246</v>
      </c>
      <c r="M5612" s="3">
        <v>1563</v>
      </c>
      <c r="N5612" s="3">
        <v>0</v>
      </c>
    </row>
    <row r="5613" spans="1:14" x14ac:dyDescent="0.2">
      <c r="A5613" s="5" t="str">
        <f>HYPERLINK("http://www.ncbi.nlm.nih.gov/protein/85986577","Pls1")</f>
        <v>Pls1</v>
      </c>
      <c r="B5613" s="4"/>
      <c r="C5613" s="3">
        <v>0</v>
      </c>
      <c r="D5613" s="3">
        <v>33089</v>
      </c>
      <c r="E5613" s="3">
        <v>34411</v>
      </c>
      <c r="F5613" s="3">
        <v>30917</v>
      </c>
      <c r="G5613" s="3">
        <v>48568</v>
      </c>
      <c r="H5613" s="2">
        <f t="shared" si="174"/>
        <v>146985</v>
      </c>
      <c r="I5613" t="str">
        <f t="shared" si="175"/>
        <v>Pls1_146985</v>
      </c>
      <c r="J5613" s="3">
        <v>0</v>
      </c>
      <c r="K5613" s="3">
        <v>33089</v>
      </c>
      <c r="L5613" s="3">
        <v>34411</v>
      </c>
      <c r="M5613" s="3">
        <v>30917</v>
      </c>
      <c r="N5613" s="3">
        <v>48568</v>
      </c>
    </row>
    <row r="5614" spans="1:14" x14ac:dyDescent="0.2">
      <c r="A5614" s="5" t="str">
        <f>HYPERLINK("http://www.ncbi.nlm.nih.gov/protein/262050551","Pls3")</f>
        <v>Pls3</v>
      </c>
      <c r="B5614" s="4"/>
      <c r="C5614" s="3">
        <v>16512</v>
      </c>
      <c r="D5614" s="3">
        <v>0</v>
      </c>
      <c r="E5614" s="3">
        <v>0</v>
      </c>
      <c r="F5614" s="3">
        <v>0</v>
      </c>
      <c r="G5614" s="3">
        <v>0</v>
      </c>
      <c r="H5614" s="2">
        <f t="shared" si="174"/>
        <v>16512</v>
      </c>
      <c r="I5614" t="str">
        <f t="shared" si="175"/>
        <v>Pls3_16512</v>
      </c>
      <c r="J5614" s="3">
        <v>16512</v>
      </c>
      <c r="K5614" s="3">
        <v>0</v>
      </c>
      <c r="L5614" s="3">
        <v>0</v>
      </c>
      <c r="M5614" s="3">
        <v>0</v>
      </c>
      <c r="N5614" s="3">
        <v>0</v>
      </c>
    </row>
    <row r="5615" spans="1:14" x14ac:dyDescent="0.2">
      <c r="A5615" s="5" t="str">
        <f>HYPERLINK("http://www.ncbi.nlm.nih.gov/protein/262050551;262050553","Pls3")</f>
        <v>Pls3</v>
      </c>
      <c r="B5615" s="4"/>
      <c r="C5615" s="3">
        <v>0</v>
      </c>
      <c r="D5615" s="3">
        <v>0</v>
      </c>
      <c r="E5615" s="3">
        <v>82233</v>
      </c>
      <c r="F5615" s="3">
        <v>0</v>
      </c>
      <c r="G5615" s="3">
        <v>0</v>
      </c>
      <c r="H5615" s="2">
        <f t="shared" si="174"/>
        <v>82233</v>
      </c>
      <c r="I5615" t="str">
        <f t="shared" si="175"/>
        <v>Pls3_82233</v>
      </c>
      <c r="J5615" s="3">
        <v>0</v>
      </c>
      <c r="K5615" s="3">
        <v>0</v>
      </c>
      <c r="L5615" s="3">
        <v>82233</v>
      </c>
      <c r="M5615" s="3">
        <v>0</v>
      </c>
      <c r="N5615" s="3">
        <v>0</v>
      </c>
    </row>
    <row r="5616" spans="1:14" x14ac:dyDescent="0.2">
      <c r="A5616" s="5" t="str">
        <f>HYPERLINK("http://www.ncbi.nlm.nih.gov/protein/262050553;262050551","Pls3")</f>
        <v>Pls3</v>
      </c>
      <c r="B5616" s="4"/>
      <c r="C5616" s="3">
        <v>0</v>
      </c>
      <c r="D5616" s="3">
        <v>59534</v>
      </c>
      <c r="E5616" s="3">
        <v>0</v>
      </c>
      <c r="F5616" s="3">
        <v>60148</v>
      </c>
      <c r="G5616" s="3">
        <v>120000</v>
      </c>
      <c r="H5616" s="2">
        <f t="shared" si="174"/>
        <v>239682</v>
      </c>
      <c r="I5616" t="str">
        <f t="shared" si="175"/>
        <v>Pls3_239682</v>
      </c>
      <c r="J5616" s="3">
        <v>0</v>
      </c>
      <c r="K5616" s="3">
        <v>59534</v>
      </c>
      <c r="L5616" s="3">
        <v>0</v>
      </c>
      <c r="M5616" s="3">
        <v>60148</v>
      </c>
      <c r="N5616" s="3">
        <v>120000</v>
      </c>
    </row>
    <row r="5617" spans="1:14" x14ac:dyDescent="0.2">
      <c r="A5617" s="5" t="str">
        <f>HYPERLINK("http://www.ncbi.nlm.nih.gov/protein/194328695","Plscr1")</f>
        <v>Plscr1</v>
      </c>
      <c r="B5617" s="4"/>
      <c r="C5617" s="3">
        <v>0</v>
      </c>
      <c r="D5617" s="3">
        <v>1647</v>
      </c>
      <c r="E5617" s="3">
        <v>7599</v>
      </c>
      <c r="F5617" s="3">
        <v>0</v>
      </c>
      <c r="G5617" s="3">
        <v>0</v>
      </c>
      <c r="H5617" s="2">
        <f t="shared" si="174"/>
        <v>9246</v>
      </c>
      <c r="I5617" t="str">
        <f t="shared" si="175"/>
        <v>Plscr1_9246</v>
      </c>
      <c r="J5617" s="3">
        <v>0</v>
      </c>
      <c r="K5617" s="3">
        <v>1647</v>
      </c>
      <c r="L5617" s="3">
        <v>7599</v>
      </c>
      <c r="M5617" s="3">
        <v>0</v>
      </c>
      <c r="N5617" s="3">
        <v>0</v>
      </c>
    </row>
    <row r="5618" spans="1:14" x14ac:dyDescent="0.2">
      <c r="A5618" s="5" t="str">
        <f>HYPERLINK("http://www.ncbi.nlm.nih.gov/protein/12963735","Plscr3")</f>
        <v>Plscr3</v>
      </c>
      <c r="B5618" s="4"/>
      <c r="C5618" s="3">
        <v>1245</v>
      </c>
      <c r="D5618" s="3">
        <v>8423</v>
      </c>
      <c r="E5618" s="3">
        <v>3515</v>
      </c>
      <c r="F5618" s="3">
        <v>2824</v>
      </c>
      <c r="G5618" s="3">
        <v>0</v>
      </c>
      <c r="H5618" s="2">
        <f t="shared" si="174"/>
        <v>16007</v>
      </c>
      <c r="I5618" t="str">
        <f t="shared" si="175"/>
        <v>Plscr3_16007</v>
      </c>
      <c r="J5618" s="3">
        <v>1245</v>
      </c>
      <c r="K5618" s="3">
        <v>8423</v>
      </c>
      <c r="L5618" s="3">
        <v>3515</v>
      </c>
      <c r="M5618" s="3">
        <v>2824</v>
      </c>
      <c r="N5618" s="3">
        <v>0</v>
      </c>
    </row>
    <row r="5619" spans="1:14" x14ac:dyDescent="0.2">
      <c r="A5619" s="5" t="str">
        <f>HYPERLINK("http://www.ncbi.nlm.nih.gov/protein/255522953","Plvap")</f>
        <v>Plvap</v>
      </c>
      <c r="B5619" s="4"/>
      <c r="C5619" s="3">
        <v>0</v>
      </c>
      <c r="D5619" s="3">
        <v>0</v>
      </c>
      <c r="E5619" s="3">
        <v>1313</v>
      </c>
      <c r="F5619" s="3">
        <v>0</v>
      </c>
      <c r="G5619" s="3">
        <v>0</v>
      </c>
      <c r="H5619" s="2">
        <f t="shared" si="174"/>
        <v>1313</v>
      </c>
      <c r="I5619" t="str">
        <f t="shared" si="175"/>
        <v>Plvap_1313</v>
      </c>
      <c r="J5619" s="3">
        <v>0</v>
      </c>
      <c r="K5619" s="3">
        <v>0</v>
      </c>
      <c r="L5619" s="3">
        <v>1313</v>
      </c>
      <c r="M5619" s="3">
        <v>0</v>
      </c>
      <c r="N5619" s="3">
        <v>0</v>
      </c>
    </row>
    <row r="5620" spans="1:14" x14ac:dyDescent="0.2">
      <c r="A5620" s="5" t="str">
        <f>HYPERLINK("http://www.ncbi.nlm.nih.gov/protein/6679389","Plxna1")</f>
        <v>Plxna1</v>
      </c>
      <c r="B5620" s="4"/>
      <c r="C5620" s="3">
        <v>0</v>
      </c>
      <c r="D5620" s="3">
        <v>528</v>
      </c>
      <c r="E5620" s="3">
        <v>1901</v>
      </c>
      <c r="F5620" s="3">
        <v>0</v>
      </c>
      <c r="G5620" s="3">
        <v>0</v>
      </c>
      <c r="H5620" s="2">
        <f t="shared" si="174"/>
        <v>2429</v>
      </c>
      <c r="I5620" t="str">
        <f t="shared" si="175"/>
        <v>Plxna1_2429</v>
      </c>
      <c r="J5620" s="3">
        <v>0</v>
      </c>
      <c r="K5620" s="3">
        <v>528</v>
      </c>
      <c r="L5620" s="3">
        <v>1901</v>
      </c>
      <c r="M5620" s="3">
        <v>0</v>
      </c>
      <c r="N5620" s="3">
        <v>0</v>
      </c>
    </row>
    <row r="5621" spans="1:14" x14ac:dyDescent="0.2">
      <c r="A5621" s="5" t="str">
        <f>HYPERLINK("http://www.ncbi.nlm.nih.gov/protein/113722113","Plxna2")</f>
        <v>Plxna2</v>
      </c>
      <c r="B5621" s="4"/>
      <c r="C5621" s="3">
        <v>0</v>
      </c>
      <c r="D5621" s="3">
        <v>4918</v>
      </c>
      <c r="E5621" s="3">
        <v>6674</v>
      </c>
      <c r="F5621" s="3">
        <v>11902</v>
      </c>
      <c r="G5621" s="3">
        <v>94651</v>
      </c>
      <c r="H5621" s="2">
        <f t="shared" si="174"/>
        <v>118145</v>
      </c>
      <c r="I5621" t="str">
        <f t="shared" si="175"/>
        <v>Plxna2_118145</v>
      </c>
      <c r="J5621" s="3">
        <v>0</v>
      </c>
      <c r="K5621" s="3">
        <v>4918</v>
      </c>
      <c r="L5621" s="3">
        <v>6674</v>
      </c>
      <c r="M5621" s="3">
        <v>11902</v>
      </c>
      <c r="N5621" s="3">
        <v>94651</v>
      </c>
    </row>
    <row r="5622" spans="1:14" x14ac:dyDescent="0.2">
      <c r="A5622" s="5" t="str">
        <f>HYPERLINK("http://www.ncbi.nlm.nih.gov/protein/124286839","Plxna3")</f>
        <v>Plxna3</v>
      </c>
      <c r="B5622" s="4"/>
      <c r="C5622" s="3">
        <v>0</v>
      </c>
      <c r="D5622" s="3">
        <v>0</v>
      </c>
      <c r="E5622" s="3">
        <v>79</v>
      </c>
      <c r="F5622" s="3">
        <v>0</v>
      </c>
      <c r="G5622" s="3">
        <v>0</v>
      </c>
      <c r="H5622" s="2">
        <f t="shared" si="174"/>
        <v>79</v>
      </c>
      <c r="I5622" t="str">
        <f t="shared" si="175"/>
        <v>Plxna3_79</v>
      </c>
      <c r="J5622" s="3">
        <v>0</v>
      </c>
      <c r="K5622" s="3">
        <v>0</v>
      </c>
      <c r="L5622" s="3">
        <v>79</v>
      </c>
      <c r="M5622" s="3">
        <v>0</v>
      </c>
      <c r="N5622" s="3">
        <v>0</v>
      </c>
    </row>
    <row r="5623" spans="1:14" x14ac:dyDescent="0.2">
      <c r="A5623" s="5" t="str">
        <f>HYPERLINK("http://www.ncbi.nlm.nih.gov/protein/171543899","Plxna4")</f>
        <v>Plxna4</v>
      </c>
      <c r="B5623" s="4"/>
      <c r="C5623" s="3">
        <v>0</v>
      </c>
      <c r="D5623" s="3">
        <v>0</v>
      </c>
      <c r="E5623" s="3">
        <v>79</v>
      </c>
      <c r="F5623" s="3">
        <v>0</v>
      </c>
      <c r="G5623" s="3">
        <v>0</v>
      </c>
      <c r="H5623" s="2">
        <f t="shared" si="174"/>
        <v>79</v>
      </c>
      <c r="I5623" t="str">
        <f t="shared" si="175"/>
        <v>Plxna4_79</v>
      </c>
      <c r="J5623" s="3">
        <v>0</v>
      </c>
      <c r="K5623" s="3">
        <v>0</v>
      </c>
      <c r="L5623" s="3">
        <v>79</v>
      </c>
      <c r="M5623" s="3">
        <v>0</v>
      </c>
      <c r="N5623" s="3">
        <v>0</v>
      </c>
    </row>
    <row r="5624" spans="1:14" x14ac:dyDescent="0.2">
      <c r="A5624" s="5" t="str">
        <f>HYPERLINK("http://www.ncbi.nlm.nih.gov/protein/225690610","Plxnb1")</f>
        <v>Plxnb1</v>
      </c>
      <c r="B5624" s="4"/>
      <c r="C5624" s="3">
        <v>0</v>
      </c>
      <c r="D5624" s="3">
        <v>175</v>
      </c>
      <c r="E5624" s="3">
        <v>1403</v>
      </c>
      <c r="F5624" s="3">
        <v>0</v>
      </c>
      <c r="G5624" s="3">
        <v>0</v>
      </c>
      <c r="H5624" s="2">
        <f t="shared" si="174"/>
        <v>1578</v>
      </c>
      <c r="I5624" t="str">
        <f t="shared" si="175"/>
        <v>Plxnb1_1578</v>
      </c>
      <c r="J5624" s="3">
        <v>0</v>
      </c>
      <c r="K5624" s="3">
        <v>175</v>
      </c>
      <c r="L5624" s="3">
        <v>1403</v>
      </c>
      <c r="M5624" s="3">
        <v>0</v>
      </c>
      <c r="N5624" s="3">
        <v>0</v>
      </c>
    </row>
    <row r="5625" spans="1:14" x14ac:dyDescent="0.2">
      <c r="A5625" s="5" t="str">
        <f>HYPERLINK("http://www.ncbi.nlm.nih.gov/protein/226958474","Plxnb2")</f>
        <v>Plxnb2</v>
      </c>
      <c r="B5625" s="4"/>
      <c r="C5625" s="3">
        <v>4229</v>
      </c>
      <c r="D5625" s="3">
        <v>7876</v>
      </c>
      <c r="E5625" s="3">
        <v>71748</v>
      </c>
      <c r="F5625" s="3">
        <v>65</v>
      </c>
      <c r="G5625" s="3">
        <v>0</v>
      </c>
      <c r="H5625" s="2">
        <f t="shared" si="174"/>
        <v>83918</v>
      </c>
      <c r="I5625" t="str">
        <f t="shared" si="175"/>
        <v>Plxnb2_83918</v>
      </c>
      <c r="J5625" s="3">
        <v>4229</v>
      </c>
      <c r="K5625" s="3">
        <v>7876</v>
      </c>
      <c r="L5625" s="3">
        <v>71748</v>
      </c>
      <c r="M5625" s="3">
        <v>65</v>
      </c>
      <c r="N5625" s="3">
        <v>0</v>
      </c>
    </row>
    <row r="5626" spans="1:14" x14ac:dyDescent="0.2">
      <c r="A5626" s="5" t="str">
        <f>HYPERLINK("http://www.ncbi.nlm.nih.gov/protein/13385420","Pmf1")</f>
        <v>Pmf1</v>
      </c>
      <c r="B5626" s="4"/>
      <c r="C5626" s="3">
        <v>0</v>
      </c>
      <c r="D5626" s="3">
        <v>0</v>
      </c>
      <c r="E5626" s="3">
        <v>0</v>
      </c>
      <c r="F5626" s="3">
        <v>0</v>
      </c>
      <c r="G5626" s="3">
        <v>5794</v>
      </c>
      <c r="H5626" s="2">
        <f t="shared" si="174"/>
        <v>5794</v>
      </c>
      <c r="I5626" t="str">
        <f t="shared" si="175"/>
        <v>Pmf1_5794</v>
      </c>
      <c r="J5626" s="3">
        <v>0</v>
      </c>
      <c r="K5626" s="3">
        <v>0</v>
      </c>
      <c r="L5626" s="3">
        <v>0</v>
      </c>
      <c r="M5626" s="3">
        <v>0</v>
      </c>
      <c r="N5626" s="3">
        <v>5794</v>
      </c>
    </row>
    <row r="5627" spans="1:14" x14ac:dyDescent="0.2">
      <c r="A5627" s="5" t="str">
        <f>HYPERLINK("http://www.ncbi.nlm.nih.gov/protein/9910570","Pmfbp1")</f>
        <v>Pmfbp1</v>
      </c>
      <c r="B5627" s="4"/>
      <c r="C5627" s="3">
        <v>0</v>
      </c>
      <c r="D5627" s="3">
        <v>0</v>
      </c>
      <c r="E5627" s="3">
        <v>0</v>
      </c>
      <c r="F5627" s="3">
        <v>0</v>
      </c>
      <c r="G5627" s="3">
        <v>7186</v>
      </c>
      <c r="H5627" s="2">
        <f t="shared" si="174"/>
        <v>7186</v>
      </c>
      <c r="I5627" t="str">
        <f t="shared" si="175"/>
        <v>Pmfbp1_7186</v>
      </c>
      <c r="J5627" s="3">
        <v>0</v>
      </c>
      <c r="K5627" s="3">
        <v>0</v>
      </c>
      <c r="L5627" s="3">
        <v>0</v>
      </c>
      <c r="M5627" s="3">
        <v>0</v>
      </c>
      <c r="N5627" s="3">
        <v>7186</v>
      </c>
    </row>
    <row r="5628" spans="1:14" x14ac:dyDescent="0.2">
      <c r="A5628" s="5" t="str">
        <f>HYPERLINK("http://www.ncbi.nlm.nih.gov/protein/160333282","Pml")</f>
        <v>Pml</v>
      </c>
      <c r="B5628" s="4"/>
      <c r="C5628" s="3">
        <v>4705</v>
      </c>
      <c r="D5628" s="3">
        <v>0</v>
      </c>
      <c r="E5628" s="3">
        <v>0</v>
      </c>
      <c r="F5628" s="3">
        <v>0</v>
      </c>
      <c r="G5628" s="3">
        <v>15850</v>
      </c>
      <c r="H5628" s="2">
        <f t="shared" si="174"/>
        <v>20555</v>
      </c>
      <c r="I5628" t="str">
        <f t="shared" si="175"/>
        <v>Pml_20555</v>
      </c>
      <c r="J5628" s="3">
        <v>4705</v>
      </c>
      <c r="K5628" s="3">
        <v>0</v>
      </c>
      <c r="L5628" s="3">
        <v>0</v>
      </c>
      <c r="M5628" s="3">
        <v>0</v>
      </c>
      <c r="N5628" s="3">
        <v>15850</v>
      </c>
    </row>
    <row r="5629" spans="1:14" x14ac:dyDescent="0.2">
      <c r="A5629" s="5" t="str">
        <f>HYPERLINK("http://www.ncbi.nlm.nih.gov/protein/160333286","Pml")</f>
        <v>Pml</v>
      </c>
      <c r="B5629" s="4"/>
      <c r="C5629" s="3">
        <v>4705</v>
      </c>
      <c r="D5629" s="3">
        <v>0</v>
      </c>
      <c r="E5629" s="3">
        <v>0</v>
      </c>
      <c r="F5629" s="3">
        <v>0</v>
      </c>
      <c r="G5629" s="3">
        <v>13269</v>
      </c>
      <c r="H5629" s="2">
        <f t="shared" si="174"/>
        <v>17974</v>
      </c>
      <c r="I5629" t="str">
        <f t="shared" si="175"/>
        <v>Pml_17974</v>
      </c>
      <c r="J5629" s="3">
        <v>4705</v>
      </c>
      <c r="K5629" s="3">
        <v>0</v>
      </c>
      <c r="L5629" s="3">
        <v>0</v>
      </c>
      <c r="M5629" s="3">
        <v>0</v>
      </c>
      <c r="N5629" s="3">
        <v>13269</v>
      </c>
    </row>
    <row r="5630" spans="1:14" x14ac:dyDescent="0.2">
      <c r="A5630" s="5" t="str">
        <f>HYPERLINK("http://www.ncbi.nlm.nih.gov/protein/33468959","Pmm1")</f>
        <v>Pmm1</v>
      </c>
      <c r="B5630" s="4"/>
      <c r="C5630" s="3">
        <v>0</v>
      </c>
      <c r="D5630" s="3">
        <v>0</v>
      </c>
      <c r="E5630" s="3">
        <v>0</v>
      </c>
      <c r="F5630" s="3">
        <v>0</v>
      </c>
      <c r="G5630" s="3">
        <v>34827</v>
      </c>
      <c r="H5630" s="2">
        <f t="shared" si="174"/>
        <v>34827</v>
      </c>
      <c r="I5630" t="str">
        <f t="shared" si="175"/>
        <v>Pmm1_34827</v>
      </c>
      <c r="J5630" s="3">
        <v>0</v>
      </c>
      <c r="K5630" s="3">
        <v>0</v>
      </c>
      <c r="L5630" s="3">
        <v>0</v>
      </c>
      <c r="M5630" s="3">
        <v>0</v>
      </c>
      <c r="N5630" s="3">
        <v>34827</v>
      </c>
    </row>
    <row r="5631" spans="1:14" x14ac:dyDescent="0.2">
      <c r="A5631" s="5" t="str">
        <f>HYPERLINK("http://www.ncbi.nlm.nih.gov/protein/8393988","Pmm2")</f>
        <v>Pmm2</v>
      </c>
      <c r="B5631" s="4"/>
      <c r="C5631" s="3">
        <v>0</v>
      </c>
      <c r="D5631" s="3">
        <v>2720</v>
      </c>
      <c r="E5631" s="3">
        <v>3509</v>
      </c>
      <c r="F5631" s="3">
        <v>4944</v>
      </c>
      <c r="G5631" s="3">
        <v>106763</v>
      </c>
      <c r="H5631" s="2">
        <f t="shared" si="174"/>
        <v>117936</v>
      </c>
      <c r="I5631" t="str">
        <f t="shared" si="175"/>
        <v>Pmm2_117936</v>
      </c>
      <c r="J5631" s="3">
        <v>0</v>
      </c>
      <c r="K5631" s="3">
        <v>2720</v>
      </c>
      <c r="L5631" s="3">
        <v>3509</v>
      </c>
      <c r="M5631" s="3">
        <v>4944</v>
      </c>
      <c r="N5631" s="3">
        <v>106763</v>
      </c>
    </row>
    <row r="5632" spans="1:14" x14ac:dyDescent="0.2">
      <c r="A5632" s="5" t="str">
        <f>HYPERLINK("http://www.ncbi.nlm.nih.gov/protein/27502349","Pmpca")</f>
        <v>Pmpca</v>
      </c>
      <c r="B5632" s="4"/>
      <c r="C5632" s="3">
        <v>0</v>
      </c>
      <c r="D5632" s="3">
        <v>8661</v>
      </c>
      <c r="E5632" s="3">
        <v>0</v>
      </c>
      <c r="F5632" s="3">
        <v>0</v>
      </c>
      <c r="G5632" s="3">
        <v>0</v>
      </c>
      <c r="H5632" s="2">
        <f t="shared" si="174"/>
        <v>8661</v>
      </c>
      <c r="I5632" t="str">
        <f t="shared" si="175"/>
        <v>Pmpca_8661</v>
      </c>
      <c r="J5632" s="3">
        <v>0</v>
      </c>
      <c r="K5632" s="3">
        <v>8661</v>
      </c>
      <c r="L5632" s="3">
        <v>0</v>
      </c>
      <c r="M5632" s="3">
        <v>0</v>
      </c>
      <c r="N5632" s="3">
        <v>0</v>
      </c>
    </row>
    <row r="5633" spans="1:14" x14ac:dyDescent="0.2">
      <c r="A5633" s="5" t="str">
        <f>HYPERLINK("http://www.ncbi.nlm.nih.gov/protein/95113671","Pmpcb")</f>
        <v>Pmpcb</v>
      </c>
      <c r="B5633" s="4"/>
      <c r="C5633" s="3">
        <v>16860</v>
      </c>
      <c r="D5633" s="3">
        <v>8260</v>
      </c>
      <c r="E5633" s="3">
        <v>44</v>
      </c>
      <c r="F5633" s="3">
        <v>0</v>
      </c>
      <c r="G5633" s="3">
        <v>0</v>
      </c>
      <c r="H5633" s="2">
        <f t="shared" si="174"/>
        <v>25164</v>
      </c>
      <c r="I5633" t="str">
        <f t="shared" si="175"/>
        <v>Pmpcb_25164</v>
      </c>
      <c r="J5633" s="3">
        <v>16860</v>
      </c>
      <c r="K5633" s="3">
        <v>8260</v>
      </c>
      <c r="L5633" s="3">
        <v>44</v>
      </c>
      <c r="M5633" s="3">
        <v>0</v>
      </c>
      <c r="N5633" s="3">
        <v>0</v>
      </c>
    </row>
    <row r="5634" spans="1:14" x14ac:dyDescent="0.2">
      <c r="A5634" s="5" t="str">
        <f>HYPERLINK("http://www.ncbi.nlm.nih.gov/protein/121583910","Pms2")</f>
        <v>Pms2</v>
      </c>
      <c r="B5634" s="4"/>
      <c r="C5634" s="3">
        <v>0</v>
      </c>
      <c r="D5634" s="3">
        <v>0</v>
      </c>
      <c r="E5634" s="3">
        <v>0</v>
      </c>
      <c r="F5634" s="3">
        <v>0</v>
      </c>
      <c r="G5634" s="3">
        <v>161</v>
      </c>
      <c r="H5634" s="2">
        <f t="shared" ref="H5634:H5697" si="176">SUM(C5634:G5634)</f>
        <v>161</v>
      </c>
      <c r="I5634" t="str">
        <f t="shared" ref="I5634:I5697" si="177">A5634&amp;"_"&amp;H5634</f>
        <v>Pms2_161</v>
      </c>
      <c r="J5634" s="3">
        <v>0</v>
      </c>
      <c r="K5634" s="3">
        <v>0</v>
      </c>
      <c r="L5634" s="3">
        <v>0</v>
      </c>
      <c r="M5634" s="3">
        <v>0</v>
      </c>
      <c r="N5634" s="3">
        <v>161</v>
      </c>
    </row>
    <row r="5635" spans="1:14" x14ac:dyDescent="0.2">
      <c r="A5635" s="5" t="str">
        <f>HYPERLINK("http://www.ncbi.nlm.nih.gov/protein/254588056","Pmvk")</f>
        <v>Pmvk</v>
      </c>
      <c r="B5635" s="4"/>
      <c r="C5635" s="3">
        <v>0</v>
      </c>
      <c r="D5635" s="3">
        <v>150</v>
      </c>
      <c r="E5635" s="3">
        <v>31</v>
      </c>
      <c r="F5635" s="3">
        <v>0</v>
      </c>
      <c r="G5635" s="3">
        <v>4873</v>
      </c>
      <c r="H5635" s="2">
        <f t="shared" si="176"/>
        <v>5054</v>
      </c>
      <c r="I5635" t="str">
        <f t="shared" si="177"/>
        <v>Pmvk_5054</v>
      </c>
      <c r="J5635" s="3">
        <v>0</v>
      </c>
      <c r="K5635" s="3">
        <v>150</v>
      </c>
      <c r="L5635" s="3">
        <v>31</v>
      </c>
      <c r="M5635" s="3">
        <v>0</v>
      </c>
      <c r="N5635" s="3">
        <v>4873</v>
      </c>
    </row>
    <row r="5636" spans="1:14" x14ac:dyDescent="0.2">
      <c r="A5636" s="5" t="str">
        <f>HYPERLINK("http://www.ncbi.nlm.nih.gov/protein/254588058","Pmvk")</f>
        <v>Pmvk</v>
      </c>
      <c r="B5636" s="4"/>
      <c r="C5636" s="3">
        <v>0</v>
      </c>
      <c r="D5636" s="3">
        <v>150</v>
      </c>
      <c r="E5636" s="3">
        <v>31</v>
      </c>
      <c r="F5636" s="3">
        <v>0</v>
      </c>
      <c r="G5636" s="3">
        <v>4873</v>
      </c>
      <c r="H5636" s="2">
        <f t="shared" si="176"/>
        <v>5054</v>
      </c>
      <c r="I5636" t="str">
        <f t="shared" si="177"/>
        <v>Pmvk_5054</v>
      </c>
      <c r="J5636" s="3">
        <v>0</v>
      </c>
      <c r="K5636" s="3">
        <v>150</v>
      </c>
      <c r="L5636" s="3">
        <v>31</v>
      </c>
      <c r="M5636" s="3">
        <v>0</v>
      </c>
      <c r="N5636" s="3">
        <v>4873</v>
      </c>
    </row>
    <row r="5637" spans="1:14" x14ac:dyDescent="0.2">
      <c r="A5637" s="5" t="str">
        <f>HYPERLINK("http://www.ncbi.nlm.nih.gov/protein/87239984","Pnkd")</f>
        <v>Pnkd</v>
      </c>
      <c r="B5637" s="4"/>
      <c r="C5637" s="3">
        <v>0</v>
      </c>
      <c r="D5637" s="3">
        <v>33</v>
      </c>
      <c r="E5637" s="3">
        <v>0</v>
      </c>
      <c r="F5637" s="3">
        <v>0</v>
      </c>
      <c r="G5637" s="3">
        <v>0</v>
      </c>
      <c r="H5637" s="2">
        <f t="shared" si="176"/>
        <v>33</v>
      </c>
      <c r="I5637" t="str">
        <f t="shared" si="177"/>
        <v>Pnkd_33</v>
      </c>
      <c r="J5637" s="3">
        <v>0</v>
      </c>
      <c r="K5637" s="3">
        <v>33</v>
      </c>
      <c r="L5637" s="3">
        <v>0</v>
      </c>
      <c r="M5637" s="3">
        <v>0</v>
      </c>
      <c r="N5637" s="3">
        <v>0</v>
      </c>
    </row>
    <row r="5638" spans="1:14" x14ac:dyDescent="0.2">
      <c r="A5638" s="5" t="str">
        <f>HYPERLINK("http://www.ncbi.nlm.nih.gov/protein/87239988","Pnkd")</f>
        <v>Pnkd</v>
      </c>
      <c r="B5638" s="4"/>
      <c r="C5638" s="3">
        <v>0</v>
      </c>
      <c r="D5638" s="3">
        <v>33</v>
      </c>
      <c r="E5638" s="3">
        <v>0</v>
      </c>
      <c r="F5638" s="3">
        <v>0</v>
      </c>
      <c r="G5638" s="3">
        <v>0</v>
      </c>
      <c r="H5638" s="2">
        <f t="shared" si="176"/>
        <v>33</v>
      </c>
      <c r="I5638" t="str">
        <f t="shared" si="177"/>
        <v>Pnkd_33</v>
      </c>
      <c r="J5638" s="3">
        <v>0</v>
      </c>
      <c r="K5638" s="3">
        <v>33</v>
      </c>
      <c r="L5638" s="3">
        <v>0</v>
      </c>
      <c r="M5638" s="3">
        <v>0</v>
      </c>
      <c r="N5638" s="3">
        <v>0</v>
      </c>
    </row>
    <row r="5639" spans="1:14" x14ac:dyDescent="0.2">
      <c r="A5639" s="5" t="str">
        <f>HYPERLINK("http://www.ncbi.nlm.nih.gov/protein/118601009","Pnkp")</f>
        <v>Pnkp</v>
      </c>
      <c r="B5639" s="4"/>
      <c r="C5639" s="3">
        <v>0</v>
      </c>
      <c r="D5639" s="3">
        <v>0</v>
      </c>
      <c r="E5639" s="3">
        <v>291</v>
      </c>
      <c r="F5639" s="3">
        <v>25989</v>
      </c>
      <c r="G5639" s="3">
        <v>5440</v>
      </c>
      <c r="H5639" s="2">
        <f t="shared" si="176"/>
        <v>31720</v>
      </c>
      <c r="I5639" t="str">
        <f t="shared" si="177"/>
        <v>Pnkp_31720</v>
      </c>
      <c r="J5639" s="3">
        <v>0</v>
      </c>
      <c r="K5639" s="3">
        <v>0</v>
      </c>
      <c r="L5639" s="3">
        <v>291</v>
      </c>
      <c r="M5639" s="3">
        <v>25989</v>
      </c>
      <c r="N5639" s="3">
        <v>5440</v>
      </c>
    </row>
    <row r="5640" spans="1:14" x14ac:dyDescent="0.2">
      <c r="A5640" s="5" t="str">
        <f>HYPERLINK("http://www.ncbi.nlm.nih.gov/protein/112420990","Pnn")</f>
        <v>Pnn</v>
      </c>
      <c r="B5640" s="4"/>
      <c r="C5640" s="3">
        <v>10965</v>
      </c>
      <c r="D5640" s="3">
        <v>555</v>
      </c>
      <c r="E5640" s="3">
        <v>806</v>
      </c>
      <c r="F5640" s="3">
        <v>7375</v>
      </c>
      <c r="G5640" s="3">
        <v>0</v>
      </c>
      <c r="H5640" s="2">
        <f t="shared" si="176"/>
        <v>19701</v>
      </c>
      <c r="I5640" t="str">
        <f t="shared" si="177"/>
        <v>Pnn_19701</v>
      </c>
      <c r="J5640" s="3">
        <v>10965</v>
      </c>
      <c r="K5640" s="3">
        <v>555</v>
      </c>
      <c r="L5640" s="3">
        <v>806</v>
      </c>
      <c r="M5640" s="3">
        <v>7375</v>
      </c>
      <c r="N5640" s="3">
        <v>0</v>
      </c>
    </row>
    <row r="5641" spans="1:14" x14ac:dyDescent="0.2">
      <c r="A5641" s="5" t="str">
        <f>HYPERLINK("http://www.ncbi.nlm.nih.gov/protein/13384846","Pno1")</f>
        <v>Pno1</v>
      </c>
      <c r="B5641" s="4"/>
      <c r="C5641" s="3">
        <v>92</v>
      </c>
      <c r="D5641" s="3">
        <v>0</v>
      </c>
      <c r="E5641" s="3">
        <v>275</v>
      </c>
      <c r="F5641" s="3">
        <v>7506</v>
      </c>
      <c r="G5641" s="3">
        <v>0</v>
      </c>
      <c r="H5641" s="2">
        <f t="shared" si="176"/>
        <v>7873</v>
      </c>
      <c r="I5641" t="str">
        <f t="shared" si="177"/>
        <v>Pno1_7873</v>
      </c>
      <c r="J5641" s="3">
        <v>92</v>
      </c>
      <c r="K5641" s="3">
        <v>0</v>
      </c>
      <c r="L5641" s="3">
        <v>275</v>
      </c>
      <c r="M5641" s="3">
        <v>7506</v>
      </c>
      <c r="N5641" s="3">
        <v>0</v>
      </c>
    </row>
    <row r="5642" spans="1:14" x14ac:dyDescent="0.2">
      <c r="A5642" s="5" t="str">
        <f>HYPERLINK("http://www.ncbi.nlm.nih.gov/protein/7305395","Pnp")</f>
        <v>Pnp</v>
      </c>
      <c r="B5642" s="4"/>
      <c r="C5642" s="3">
        <v>22114</v>
      </c>
      <c r="D5642" s="3">
        <v>10761</v>
      </c>
      <c r="E5642" s="3">
        <v>20658</v>
      </c>
      <c r="F5642" s="3">
        <v>41779</v>
      </c>
      <c r="G5642" s="3">
        <v>153756</v>
      </c>
      <c r="H5642" s="2">
        <f t="shared" si="176"/>
        <v>249068</v>
      </c>
      <c r="I5642" t="str">
        <f t="shared" si="177"/>
        <v>Pnp_249068</v>
      </c>
      <c r="J5642" s="3">
        <v>22114</v>
      </c>
      <c r="K5642" s="3">
        <v>10761</v>
      </c>
      <c r="L5642" s="3">
        <v>20658</v>
      </c>
      <c r="M5642" s="3">
        <v>41779</v>
      </c>
      <c r="N5642" s="3">
        <v>153756</v>
      </c>
    </row>
    <row r="5643" spans="1:14" x14ac:dyDescent="0.2">
      <c r="A5643" s="5" t="str">
        <f>HYPERLINK("http://www.ncbi.nlm.nih.gov/protein/183074535","Pnp2")</f>
        <v>Pnp2</v>
      </c>
      <c r="B5643" s="4"/>
      <c r="C5643" s="3">
        <v>7945</v>
      </c>
      <c r="D5643" s="3">
        <v>7924</v>
      </c>
      <c r="E5643" s="3">
        <v>9187</v>
      </c>
      <c r="F5643" s="3">
        <v>24197</v>
      </c>
      <c r="G5643" s="3">
        <v>42527</v>
      </c>
      <c r="H5643" s="2">
        <f t="shared" si="176"/>
        <v>91780</v>
      </c>
      <c r="I5643" t="str">
        <f t="shared" si="177"/>
        <v>Pnp2_91780</v>
      </c>
      <c r="J5643" s="3">
        <v>7945</v>
      </c>
      <c r="K5643" s="3">
        <v>7924</v>
      </c>
      <c r="L5643" s="3">
        <v>9187</v>
      </c>
      <c r="M5643" s="3">
        <v>24197</v>
      </c>
      <c r="N5643" s="3">
        <v>42527</v>
      </c>
    </row>
    <row r="5644" spans="1:14" x14ac:dyDescent="0.2">
      <c r="A5644" s="5" t="str">
        <f>HYPERLINK("http://www.ncbi.nlm.nih.gov/protein/170763470","Pnpla6")</f>
        <v>Pnpla6</v>
      </c>
      <c r="B5644" s="4"/>
      <c r="C5644" s="3">
        <v>3222</v>
      </c>
      <c r="D5644" s="3">
        <v>0</v>
      </c>
      <c r="E5644" s="3">
        <v>282</v>
      </c>
      <c r="F5644" s="3">
        <v>0</v>
      </c>
      <c r="G5644" s="3">
        <v>0</v>
      </c>
      <c r="H5644" s="2">
        <f t="shared" si="176"/>
        <v>3504</v>
      </c>
      <c r="I5644" t="str">
        <f t="shared" si="177"/>
        <v>Pnpla6_3504</v>
      </c>
      <c r="J5644" s="3">
        <v>3222</v>
      </c>
      <c r="K5644" s="3">
        <v>0</v>
      </c>
      <c r="L5644" s="3">
        <v>282</v>
      </c>
      <c r="M5644" s="3">
        <v>0</v>
      </c>
      <c r="N5644" s="3">
        <v>0</v>
      </c>
    </row>
    <row r="5645" spans="1:14" x14ac:dyDescent="0.2">
      <c r="A5645" s="5" t="str">
        <f>HYPERLINK("http://www.ncbi.nlm.nih.gov/protein/390608665","Pnpla6")</f>
        <v>Pnpla6</v>
      </c>
      <c r="B5645" s="4"/>
      <c r="C5645" s="3">
        <v>3222</v>
      </c>
      <c r="D5645" s="3">
        <v>0</v>
      </c>
      <c r="E5645" s="3">
        <v>282</v>
      </c>
      <c r="F5645" s="3">
        <v>0</v>
      </c>
      <c r="G5645" s="3">
        <v>0</v>
      </c>
      <c r="H5645" s="2">
        <f t="shared" si="176"/>
        <v>3504</v>
      </c>
      <c r="I5645" t="str">
        <f t="shared" si="177"/>
        <v>Pnpla6_3504</v>
      </c>
      <c r="J5645" s="3">
        <v>3222</v>
      </c>
      <c r="K5645" s="3">
        <v>0</v>
      </c>
      <c r="L5645" s="3">
        <v>282</v>
      </c>
      <c r="M5645" s="3">
        <v>0</v>
      </c>
      <c r="N5645" s="3">
        <v>0</v>
      </c>
    </row>
    <row r="5646" spans="1:14" x14ac:dyDescent="0.2">
      <c r="A5646" s="5" t="str">
        <f>HYPERLINK("http://www.ncbi.nlm.nih.gov/protein/118130807","Pnpla8")</f>
        <v>Pnpla8</v>
      </c>
      <c r="B5646" s="4"/>
      <c r="C5646" s="3">
        <v>0</v>
      </c>
      <c r="D5646" s="3">
        <v>115</v>
      </c>
      <c r="E5646" s="3">
        <v>0</v>
      </c>
      <c r="F5646" s="3">
        <v>0</v>
      </c>
      <c r="G5646" s="3">
        <v>0</v>
      </c>
      <c r="H5646" s="2">
        <f t="shared" si="176"/>
        <v>115</v>
      </c>
      <c r="I5646" t="str">
        <f t="shared" si="177"/>
        <v>Pnpla8_115</v>
      </c>
      <c r="J5646" s="3">
        <v>0</v>
      </c>
      <c r="K5646" s="3">
        <v>115</v>
      </c>
      <c r="L5646" s="3">
        <v>0</v>
      </c>
      <c r="M5646" s="3">
        <v>0</v>
      </c>
      <c r="N5646" s="3">
        <v>0</v>
      </c>
    </row>
    <row r="5647" spans="1:14" x14ac:dyDescent="0.2">
      <c r="A5647" s="5" t="str">
        <f>HYPERLINK("http://www.ncbi.nlm.nih.gov/protein/19527238","Pnpo")</f>
        <v>Pnpo</v>
      </c>
      <c r="B5647" s="4"/>
      <c r="C5647" s="3">
        <v>0</v>
      </c>
      <c r="D5647" s="3">
        <v>0</v>
      </c>
      <c r="E5647" s="3">
        <v>0</v>
      </c>
      <c r="F5647" s="3">
        <v>0</v>
      </c>
      <c r="G5647" s="3">
        <v>11888</v>
      </c>
      <c r="H5647" s="2">
        <f t="shared" si="176"/>
        <v>11888</v>
      </c>
      <c r="I5647" t="str">
        <f t="shared" si="177"/>
        <v>Pnpo_11888</v>
      </c>
      <c r="J5647" s="3">
        <v>0</v>
      </c>
      <c r="K5647" s="3">
        <v>0</v>
      </c>
      <c r="L5647" s="3">
        <v>0</v>
      </c>
      <c r="M5647" s="3">
        <v>0</v>
      </c>
      <c r="N5647" s="3">
        <v>11888</v>
      </c>
    </row>
    <row r="5648" spans="1:14" x14ac:dyDescent="0.2">
      <c r="A5648" s="5" t="str">
        <f>HYPERLINK("http://www.ncbi.nlm.nih.gov/protein/377833162","Pnpt1")</f>
        <v>Pnpt1</v>
      </c>
      <c r="B5648" s="4"/>
      <c r="C5648" s="3">
        <v>0</v>
      </c>
      <c r="D5648" s="3">
        <v>3135</v>
      </c>
      <c r="E5648" s="3">
        <v>50</v>
      </c>
      <c r="F5648" s="3">
        <v>0</v>
      </c>
      <c r="G5648" s="3">
        <v>0</v>
      </c>
      <c r="H5648" s="2">
        <f t="shared" si="176"/>
        <v>3185</v>
      </c>
      <c r="I5648" t="str">
        <f t="shared" si="177"/>
        <v>Pnpt1_3185</v>
      </c>
      <c r="J5648" s="3">
        <v>0</v>
      </c>
      <c r="K5648" s="3">
        <v>3135</v>
      </c>
      <c r="L5648" s="3">
        <v>50</v>
      </c>
      <c r="M5648" s="3">
        <v>0</v>
      </c>
      <c r="N5648" s="3">
        <v>0</v>
      </c>
    </row>
    <row r="5649" spans="1:14" x14ac:dyDescent="0.2">
      <c r="A5649" s="5" t="str">
        <f>HYPERLINK("http://www.ncbi.nlm.nih.gov/protein/407261876","Pnpt1")</f>
        <v>Pnpt1</v>
      </c>
      <c r="B5649" s="4"/>
      <c r="C5649" s="3">
        <v>0</v>
      </c>
      <c r="D5649" s="3">
        <v>3135</v>
      </c>
      <c r="E5649" s="3">
        <v>50</v>
      </c>
      <c r="F5649" s="3">
        <v>0</v>
      </c>
      <c r="G5649" s="3">
        <v>0</v>
      </c>
      <c r="H5649" s="2">
        <f t="shared" si="176"/>
        <v>3185</v>
      </c>
      <c r="I5649" t="str">
        <f t="shared" si="177"/>
        <v>Pnpt1_3185</v>
      </c>
      <c r="J5649" s="3">
        <v>0</v>
      </c>
      <c r="K5649" s="3">
        <v>3135</v>
      </c>
      <c r="L5649" s="3">
        <v>50</v>
      </c>
      <c r="M5649" s="3">
        <v>0</v>
      </c>
      <c r="N5649" s="3">
        <v>0</v>
      </c>
    </row>
    <row r="5650" spans="1:14" x14ac:dyDescent="0.2">
      <c r="A5650" s="5" t="str">
        <f>HYPERLINK("http://www.ncbi.nlm.nih.gov/protein/407261878","Pnpt1")</f>
        <v>Pnpt1</v>
      </c>
      <c r="B5650" s="4"/>
      <c r="C5650" s="3">
        <v>0</v>
      </c>
      <c r="D5650" s="3">
        <v>2993</v>
      </c>
      <c r="E5650" s="3">
        <v>50</v>
      </c>
      <c r="F5650" s="3">
        <v>0</v>
      </c>
      <c r="G5650" s="3">
        <v>0</v>
      </c>
      <c r="H5650" s="2">
        <f t="shared" si="176"/>
        <v>3043</v>
      </c>
      <c r="I5650" t="str">
        <f t="shared" si="177"/>
        <v>Pnpt1_3043</v>
      </c>
      <c r="J5650" s="3">
        <v>0</v>
      </c>
      <c r="K5650" s="3">
        <v>2993</v>
      </c>
      <c r="L5650" s="3">
        <v>50</v>
      </c>
      <c r="M5650" s="3">
        <v>0</v>
      </c>
      <c r="N5650" s="3">
        <v>0</v>
      </c>
    </row>
    <row r="5651" spans="1:14" x14ac:dyDescent="0.2">
      <c r="A5651" s="5" t="str">
        <f>HYPERLINK("http://www.ncbi.nlm.nih.gov/protein/407261880","Pnpt1")</f>
        <v>Pnpt1</v>
      </c>
      <c r="B5651" s="4"/>
      <c r="C5651" s="3">
        <v>0</v>
      </c>
      <c r="D5651" s="3">
        <v>3135</v>
      </c>
      <c r="E5651" s="3">
        <v>50</v>
      </c>
      <c r="F5651" s="3">
        <v>0</v>
      </c>
      <c r="G5651" s="3">
        <v>0</v>
      </c>
      <c r="H5651" s="2">
        <f t="shared" si="176"/>
        <v>3185</v>
      </c>
      <c r="I5651" t="str">
        <f t="shared" si="177"/>
        <v>Pnpt1_3185</v>
      </c>
      <c r="J5651" s="3">
        <v>0</v>
      </c>
      <c r="K5651" s="3">
        <v>3135</v>
      </c>
      <c r="L5651" s="3">
        <v>50</v>
      </c>
      <c r="M5651" s="3">
        <v>0</v>
      </c>
      <c r="N5651" s="3">
        <v>0</v>
      </c>
    </row>
    <row r="5652" spans="1:14" x14ac:dyDescent="0.2">
      <c r="A5652" s="5" t="str">
        <f>HYPERLINK("http://www.ncbi.nlm.nih.gov/protein/31657132","Pof1b")</f>
        <v>Pof1b</v>
      </c>
      <c r="B5652" s="4"/>
      <c r="C5652" s="3">
        <v>0</v>
      </c>
      <c r="D5652" s="3">
        <v>0</v>
      </c>
      <c r="E5652" s="3">
        <v>0</v>
      </c>
      <c r="F5652" s="3">
        <v>1604</v>
      </c>
      <c r="G5652" s="3">
        <v>0</v>
      </c>
      <c r="H5652" s="2">
        <f t="shared" si="176"/>
        <v>1604</v>
      </c>
      <c r="I5652" t="str">
        <f t="shared" si="177"/>
        <v>Pof1b_1604</v>
      </c>
      <c r="J5652" s="3">
        <v>0</v>
      </c>
      <c r="K5652" s="3">
        <v>0</v>
      </c>
      <c r="L5652" s="3">
        <v>0</v>
      </c>
      <c r="M5652" s="3">
        <v>1604</v>
      </c>
      <c r="N5652" s="3">
        <v>0</v>
      </c>
    </row>
    <row r="5653" spans="1:14" x14ac:dyDescent="0.2">
      <c r="A5653" s="5" t="str">
        <f>HYPERLINK("http://www.ncbi.nlm.nih.gov/protein/19525731","Pofut2")</f>
        <v>Pofut2</v>
      </c>
      <c r="B5653" s="4"/>
      <c r="C5653" s="3">
        <v>970</v>
      </c>
      <c r="D5653" s="3">
        <v>568</v>
      </c>
      <c r="E5653" s="3">
        <v>9</v>
      </c>
      <c r="F5653" s="3">
        <v>0</v>
      </c>
      <c r="G5653" s="3">
        <v>0</v>
      </c>
      <c r="H5653" s="2">
        <f t="shared" si="176"/>
        <v>1547</v>
      </c>
      <c r="I5653" t="str">
        <f t="shared" si="177"/>
        <v>Pofut2_1547</v>
      </c>
      <c r="J5653" s="3">
        <v>970</v>
      </c>
      <c r="K5653" s="3">
        <v>568</v>
      </c>
      <c r="L5653" s="3">
        <v>9</v>
      </c>
      <c r="M5653" s="3">
        <v>0</v>
      </c>
      <c r="N5653" s="3">
        <v>0</v>
      </c>
    </row>
    <row r="5654" spans="1:14" x14ac:dyDescent="0.2">
      <c r="A5654" s="5" t="str">
        <f>HYPERLINK("http://www.ncbi.nlm.nih.gov/protein/27369505","Poglut1")</f>
        <v>Poglut1</v>
      </c>
      <c r="B5654" s="4"/>
      <c r="C5654" s="3">
        <v>1867</v>
      </c>
      <c r="D5654" s="3">
        <v>150</v>
      </c>
      <c r="E5654" s="3">
        <v>0</v>
      </c>
      <c r="F5654" s="3">
        <v>0</v>
      </c>
      <c r="G5654" s="3">
        <v>0</v>
      </c>
      <c r="H5654" s="2">
        <f t="shared" si="176"/>
        <v>2017</v>
      </c>
      <c r="I5654" t="str">
        <f t="shared" si="177"/>
        <v>Poglut1_2017</v>
      </c>
      <c r="J5654" s="3">
        <v>1867</v>
      </c>
      <c r="K5654" s="3">
        <v>150</v>
      </c>
      <c r="L5654" s="3">
        <v>0</v>
      </c>
      <c r="M5654" s="3">
        <v>0</v>
      </c>
      <c r="N5654" s="3">
        <v>0</v>
      </c>
    </row>
    <row r="5655" spans="1:14" x14ac:dyDescent="0.2">
      <c r="A5655" s="5" t="str">
        <f>HYPERLINK("http://www.ncbi.nlm.nih.gov/protein/6679409","Pola1")</f>
        <v>Pola1</v>
      </c>
      <c r="B5655" s="4"/>
      <c r="C5655" s="3">
        <v>0</v>
      </c>
      <c r="D5655" s="3">
        <v>511</v>
      </c>
      <c r="E5655" s="3">
        <v>656</v>
      </c>
      <c r="F5655" s="3">
        <v>19834</v>
      </c>
      <c r="G5655" s="3">
        <v>38854</v>
      </c>
      <c r="H5655" s="2">
        <f t="shared" si="176"/>
        <v>59855</v>
      </c>
      <c r="I5655" t="str">
        <f t="shared" si="177"/>
        <v>Pola1_59855</v>
      </c>
      <c r="J5655" s="3">
        <v>0</v>
      </c>
      <c r="K5655" s="3">
        <v>511</v>
      </c>
      <c r="L5655" s="3">
        <v>656</v>
      </c>
      <c r="M5655" s="3">
        <v>19834</v>
      </c>
      <c r="N5655" s="3">
        <v>38854</v>
      </c>
    </row>
    <row r="5656" spans="1:14" x14ac:dyDescent="0.2">
      <c r="A5656" s="5" t="str">
        <f>HYPERLINK("http://www.ncbi.nlm.nih.gov/protein/255708463","Pola2")</f>
        <v>Pola2</v>
      </c>
      <c r="B5656" s="4"/>
      <c r="C5656" s="3">
        <v>0</v>
      </c>
      <c r="D5656" s="3">
        <v>1516</v>
      </c>
      <c r="E5656" s="3">
        <v>1017</v>
      </c>
      <c r="F5656" s="3">
        <v>28191</v>
      </c>
      <c r="G5656" s="3">
        <v>6736</v>
      </c>
      <c r="H5656" s="2">
        <f t="shared" si="176"/>
        <v>37460</v>
      </c>
      <c r="I5656" t="str">
        <f t="shared" si="177"/>
        <v>Pola2_37460</v>
      </c>
      <c r="J5656" s="3">
        <v>0</v>
      </c>
      <c r="K5656" s="3">
        <v>1516</v>
      </c>
      <c r="L5656" s="3">
        <v>1017</v>
      </c>
      <c r="M5656" s="3">
        <v>28191</v>
      </c>
      <c r="N5656" s="3">
        <v>6736</v>
      </c>
    </row>
    <row r="5657" spans="1:14" x14ac:dyDescent="0.2">
      <c r="A5657" s="5" t="str">
        <f>HYPERLINK("http://www.ncbi.nlm.nih.gov/protein/31982107","Pola2")</f>
        <v>Pola2</v>
      </c>
      <c r="B5657" s="4"/>
      <c r="C5657" s="3">
        <v>0</v>
      </c>
      <c r="D5657" s="3">
        <v>1516</v>
      </c>
      <c r="E5657" s="3">
        <v>1017</v>
      </c>
      <c r="F5657" s="3">
        <v>33765</v>
      </c>
      <c r="G5657" s="3">
        <v>7518</v>
      </c>
      <c r="H5657" s="2">
        <f t="shared" si="176"/>
        <v>43816</v>
      </c>
      <c r="I5657" t="str">
        <f t="shared" si="177"/>
        <v>Pola2_43816</v>
      </c>
      <c r="J5657" s="3">
        <v>0</v>
      </c>
      <c r="K5657" s="3">
        <v>1516</v>
      </c>
      <c r="L5657" s="3">
        <v>1017</v>
      </c>
      <c r="M5657" s="3">
        <v>33765</v>
      </c>
      <c r="N5657" s="3">
        <v>7518</v>
      </c>
    </row>
    <row r="5658" spans="1:14" x14ac:dyDescent="0.2">
      <c r="A5658" s="5" t="str">
        <f>HYPERLINK("http://www.ncbi.nlm.nih.gov/protein/21729749","Polb")</f>
        <v>Polb</v>
      </c>
      <c r="B5658" s="4"/>
      <c r="C5658" s="3">
        <v>0</v>
      </c>
      <c r="D5658" s="3">
        <v>0</v>
      </c>
      <c r="E5658" s="3">
        <v>101</v>
      </c>
      <c r="F5658" s="3">
        <v>2611</v>
      </c>
      <c r="G5658" s="3">
        <v>0</v>
      </c>
      <c r="H5658" s="2">
        <f t="shared" si="176"/>
        <v>2712</v>
      </c>
      <c r="I5658" t="str">
        <f t="shared" si="177"/>
        <v>Polb_2712</v>
      </c>
      <c r="J5658" s="3">
        <v>0</v>
      </c>
      <c r="K5658" s="3">
        <v>0</v>
      </c>
      <c r="L5658" s="3">
        <v>101</v>
      </c>
      <c r="M5658" s="3">
        <v>2611</v>
      </c>
      <c r="N5658" s="3">
        <v>0</v>
      </c>
    </row>
    <row r="5659" spans="1:14" x14ac:dyDescent="0.2">
      <c r="A5659" s="5" t="str">
        <f>HYPERLINK("http://www.ncbi.nlm.nih.gov/protein/254587977","Pold1")</f>
        <v>Pold1</v>
      </c>
      <c r="B5659" s="4"/>
      <c r="C5659" s="3">
        <v>0</v>
      </c>
      <c r="D5659" s="3">
        <v>2014</v>
      </c>
      <c r="E5659" s="3">
        <v>3657</v>
      </c>
      <c r="F5659" s="3">
        <v>43924</v>
      </c>
      <c r="G5659" s="3">
        <v>55357</v>
      </c>
      <c r="H5659" s="2">
        <f t="shared" si="176"/>
        <v>104952</v>
      </c>
      <c r="I5659" t="str">
        <f t="shared" si="177"/>
        <v>Pold1_104952</v>
      </c>
      <c r="J5659" s="3">
        <v>0</v>
      </c>
      <c r="K5659" s="3">
        <v>2014</v>
      </c>
      <c r="L5659" s="3">
        <v>3657</v>
      </c>
      <c r="M5659" s="3">
        <v>43924</v>
      </c>
      <c r="N5659" s="3">
        <v>55357</v>
      </c>
    </row>
    <row r="5660" spans="1:14" x14ac:dyDescent="0.2">
      <c r="A5660" s="5" t="str">
        <f>HYPERLINK("http://www.ncbi.nlm.nih.gov/protein/226423863","Pold2")</f>
        <v>Pold2</v>
      </c>
      <c r="B5660" s="4"/>
      <c r="C5660" s="3">
        <v>677</v>
      </c>
      <c r="D5660" s="3">
        <v>1286</v>
      </c>
      <c r="E5660" s="3">
        <v>998</v>
      </c>
      <c r="F5660" s="3">
        <v>26063</v>
      </c>
      <c r="G5660" s="3">
        <v>18174</v>
      </c>
      <c r="H5660" s="2">
        <f t="shared" si="176"/>
        <v>47198</v>
      </c>
      <c r="I5660" t="str">
        <f t="shared" si="177"/>
        <v>Pold2_47198</v>
      </c>
      <c r="J5660" s="3">
        <v>677</v>
      </c>
      <c r="K5660" s="3">
        <v>1286</v>
      </c>
      <c r="L5660" s="3">
        <v>998</v>
      </c>
      <c r="M5660" s="3">
        <v>26063</v>
      </c>
      <c r="N5660" s="3">
        <v>18174</v>
      </c>
    </row>
    <row r="5661" spans="1:14" x14ac:dyDescent="0.2">
      <c r="A5661" s="5" t="str">
        <f>HYPERLINK("http://www.ncbi.nlm.nih.gov/protein/29789321","Pold3")</f>
        <v>Pold3</v>
      </c>
      <c r="B5661" s="4"/>
      <c r="C5661" s="3">
        <v>0</v>
      </c>
      <c r="D5661" s="3">
        <v>0</v>
      </c>
      <c r="E5661" s="3">
        <v>718</v>
      </c>
      <c r="F5661" s="3">
        <v>36663</v>
      </c>
      <c r="G5661" s="3">
        <v>2024</v>
      </c>
      <c r="H5661" s="2">
        <f t="shared" si="176"/>
        <v>39405</v>
      </c>
      <c r="I5661" t="str">
        <f t="shared" si="177"/>
        <v>Pold3_39405</v>
      </c>
      <c r="J5661" s="3">
        <v>0</v>
      </c>
      <c r="K5661" s="3">
        <v>0</v>
      </c>
      <c r="L5661" s="3">
        <v>718</v>
      </c>
      <c r="M5661" s="3">
        <v>36663</v>
      </c>
      <c r="N5661" s="3">
        <v>2024</v>
      </c>
    </row>
    <row r="5662" spans="1:14" x14ac:dyDescent="0.2">
      <c r="A5662" s="5" t="str">
        <f>HYPERLINK("http://www.ncbi.nlm.nih.gov/protein/21312396","Pold4")</f>
        <v>Pold4</v>
      </c>
      <c r="B5662" s="4"/>
      <c r="C5662" s="3">
        <v>0</v>
      </c>
      <c r="D5662" s="3">
        <v>0</v>
      </c>
      <c r="E5662" s="3">
        <v>0</v>
      </c>
      <c r="F5662" s="3">
        <v>65</v>
      </c>
      <c r="G5662" s="3">
        <v>0</v>
      </c>
      <c r="H5662" s="2">
        <f t="shared" si="176"/>
        <v>65</v>
      </c>
      <c r="I5662" t="str">
        <f t="shared" si="177"/>
        <v>Pold4_65</v>
      </c>
      <c r="J5662" s="3">
        <v>0</v>
      </c>
      <c r="K5662" s="3">
        <v>0</v>
      </c>
      <c r="L5662" s="3">
        <v>0</v>
      </c>
      <c r="M5662" s="3">
        <v>65</v>
      </c>
      <c r="N5662" s="3">
        <v>0</v>
      </c>
    </row>
    <row r="5663" spans="1:14" x14ac:dyDescent="0.2">
      <c r="A5663" s="5" t="str">
        <f>HYPERLINK("http://www.ncbi.nlm.nih.gov/protein/14780884","Poldip2")</f>
        <v>Poldip2</v>
      </c>
      <c r="B5663" s="4"/>
      <c r="C5663" s="3">
        <v>0</v>
      </c>
      <c r="D5663" s="3">
        <v>4605</v>
      </c>
      <c r="E5663" s="3">
        <v>0</v>
      </c>
      <c r="F5663" s="3">
        <v>0</v>
      </c>
      <c r="G5663" s="3">
        <v>0</v>
      </c>
      <c r="H5663" s="2">
        <f t="shared" si="176"/>
        <v>4605</v>
      </c>
      <c r="I5663" t="str">
        <f t="shared" si="177"/>
        <v>Poldip2_4605</v>
      </c>
      <c r="J5663" s="3">
        <v>0</v>
      </c>
      <c r="K5663" s="3">
        <v>4605</v>
      </c>
      <c r="L5663" s="3">
        <v>0</v>
      </c>
      <c r="M5663" s="3">
        <v>0</v>
      </c>
      <c r="N5663" s="3">
        <v>0</v>
      </c>
    </row>
    <row r="5664" spans="1:14" x14ac:dyDescent="0.2">
      <c r="A5664" s="5" t="str">
        <f>HYPERLINK("http://www.ncbi.nlm.nih.gov/protein/30519969","Poldip3")</f>
        <v>Poldip3</v>
      </c>
      <c r="B5664" s="4"/>
      <c r="C5664" s="3">
        <v>0</v>
      </c>
      <c r="D5664" s="3">
        <v>614</v>
      </c>
      <c r="E5664" s="3">
        <v>1304</v>
      </c>
      <c r="F5664" s="3">
        <v>8538</v>
      </c>
      <c r="G5664" s="3">
        <v>0</v>
      </c>
      <c r="H5664" s="2">
        <f t="shared" si="176"/>
        <v>10456</v>
      </c>
      <c r="I5664" t="str">
        <f t="shared" si="177"/>
        <v>Poldip3_10456</v>
      </c>
      <c r="J5664" s="3">
        <v>0</v>
      </c>
      <c r="K5664" s="3">
        <v>614</v>
      </c>
      <c r="L5664" s="3">
        <v>1304</v>
      </c>
      <c r="M5664" s="3">
        <v>8538</v>
      </c>
      <c r="N5664" s="3">
        <v>0</v>
      </c>
    </row>
    <row r="5665" spans="1:14" x14ac:dyDescent="0.2">
      <c r="A5665" s="5" t="str">
        <f>HYPERLINK("http://www.ncbi.nlm.nih.gov/protein/195947387","Pole")</f>
        <v>Pole</v>
      </c>
      <c r="B5665" s="4"/>
      <c r="C5665" s="3">
        <v>0</v>
      </c>
      <c r="D5665" s="3">
        <v>177</v>
      </c>
      <c r="E5665" s="3">
        <v>364</v>
      </c>
      <c r="F5665" s="3">
        <v>6016</v>
      </c>
      <c r="G5665" s="3">
        <v>343</v>
      </c>
      <c r="H5665" s="2">
        <f t="shared" si="176"/>
        <v>6900</v>
      </c>
      <c r="I5665" t="str">
        <f t="shared" si="177"/>
        <v>Pole_6900</v>
      </c>
      <c r="J5665" s="3">
        <v>0</v>
      </c>
      <c r="K5665" s="3">
        <v>177</v>
      </c>
      <c r="L5665" s="3">
        <v>364</v>
      </c>
      <c r="M5665" s="3">
        <v>6016</v>
      </c>
      <c r="N5665" s="3">
        <v>343</v>
      </c>
    </row>
    <row r="5666" spans="1:14" x14ac:dyDescent="0.2">
      <c r="A5666" s="5" t="str">
        <f>HYPERLINK("http://www.ncbi.nlm.nih.gov/protein/33468927","Pole2")</f>
        <v>Pole2</v>
      </c>
      <c r="B5666" s="4"/>
      <c r="C5666" s="3">
        <v>0</v>
      </c>
      <c r="D5666" s="3">
        <v>0</v>
      </c>
      <c r="E5666" s="3">
        <v>0</v>
      </c>
      <c r="F5666" s="3">
        <v>2382</v>
      </c>
      <c r="G5666" s="3">
        <v>0</v>
      </c>
      <c r="H5666" s="2">
        <f t="shared" si="176"/>
        <v>2382</v>
      </c>
      <c r="I5666" t="str">
        <f t="shared" si="177"/>
        <v>Pole2_2382</v>
      </c>
      <c r="J5666" s="3">
        <v>0</v>
      </c>
      <c r="K5666" s="3">
        <v>0</v>
      </c>
      <c r="L5666" s="3">
        <v>0</v>
      </c>
      <c r="M5666" s="3">
        <v>2382</v>
      </c>
      <c r="N5666" s="3">
        <v>0</v>
      </c>
    </row>
    <row r="5667" spans="1:14" x14ac:dyDescent="0.2">
      <c r="A5667" s="5" t="str">
        <f>HYPERLINK("http://www.ncbi.nlm.nih.gov/protein/31981174","Pole3")</f>
        <v>Pole3</v>
      </c>
      <c r="B5667" s="4"/>
      <c r="C5667" s="3">
        <v>0</v>
      </c>
      <c r="D5667" s="3">
        <v>0</v>
      </c>
      <c r="E5667" s="3">
        <v>0</v>
      </c>
      <c r="F5667" s="3">
        <v>205</v>
      </c>
      <c r="G5667" s="3">
        <v>2774</v>
      </c>
      <c r="H5667" s="2">
        <f t="shared" si="176"/>
        <v>2979</v>
      </c>
      <c r="I5667" t="str">
        <f t="shared" si="177"/>
        <v>Pole3_2979</v>
      </c>
      <c r="J5667" s="3">
        <v>0</v>
      </c>
      <c r="K5667" s="3">
        <v>0</v>
      </c>
      <c r="L5667" s="3">
        <v>0</v>
      </c>
      <c r="M5667" s="3">
        <v>205</v>
      </c>
      <c r="N5667" s="3">
        <v>2774</v>
      </c>
    </row>
    <row r="5668" spans="1:14" x14ac:dyDescent="0.2">
      <c r="A5668" s="5" t="str">
        <f>HYPERLINK("http://www.ncbi.nlm.nih.gov/protein/13385366","Pole4")</f>
        <v>Pole4</v>
      </c>
      <c r="B5668" s="4"/>
      <c r="C5668" s="3">
        <v>0</v>
      </c>
      <c r="D5668" s="3">
        <v>0</v>
      </c>
      <c r="E5668" s="3">
        <v>9</v>
      </c>
      <c r="F5668" s="3">
        <v>778</v>
      </c>
      <c r="G5668" s="3">
        <v>3930</v>
      </c>
      <c r="H5668" s="2">
        <f t="shared" si="176"/>
        <v>4717</v>
      </c>
      <c r="I5668" t="str">
        <f t="shared" si="177"/>
        <v>Pole4_4717</v>
      </c>
      <c r="J5668" s="3">
        <v>0</v>
      </c>
      <c r="K5668" s="3">
        <v>0</v>
      </c>
      <c r="L5668" s="3">
        <v>9</v>
      </c>
      <c r="M5668" s="3">
        <v>778</v>
      </c>
      <c r="N5668" s="3">
        <v>3930</v>
      </c>
    </row>
    <row r="5669" spans="1:14" x14ac:dyDescent="0.2">
      <c r="A5669" s="5" t="str">
        <f>HYPERLINK("http://www.ncbi.nlm.nih.gov/protein/256985188","Polr1a")</f>
        <v>Polr1a</v>
      </c>
      <c r="B5669" s="4"/>
      <c r="C5669" s="3">
        <v>0</v>
      </c>
      <c r="D5669" s="3">
        <v>0</v>
      </c>
      <c r="E5669" s="3">
        <v>423</v>
      </c>
      <c r="F5669" s="3">
        <v>0</v>
      </c>
      <c r="G5669" s="3">
        <v>0</v>
      </c>
      <c r="H5669" s="2">
        <f t="shared" si="176"/>
        <v>423</v>
      </c>
      <c r="I5669" t="str">
        <f t="shared" si="177"/>
        <v>Polr1a_423</v>
      </c>
      <c r="J5669" s="3">
        <v>0</v>
      </c>
      <c r="K5669" s="3">
        <v>0</v>
      </c>
      <c r="L5669" s="3">
        <v>423</v>
      </c>
      <c r="M5669" s="3">
        <v>0</v>
      </c>
      <c r="N5669" s="3">
        <v>0</v>
      </c>
    </row>
    <row r="5670" spans="1:14" x14ac:dyDescent="0.2">
      <c r="A5670" s="5" t="str">
        <f>HYPERLINK("http://www.ncbi.nlm.nih.gov/protein/224967092","Polr1b")</f>
        <v>Polr1b</v>
      </c>
      <c r="B5670" s="4"/>
      <c r="C5670" s="3">
        <v>0</v>
      </c>
      <c r="D5670" s="3">
        <v>0</v>
      </c>
      <c r="E5670" s="3">
        <v>41</v>
      </c>
      <c r="F5670" s="3">
        <v>0</v>
      </c>
      <c r="G5670" s="3">
        <v>0</v>
      </c>
      <c r="H5670" s="2">
        <f t="shared" si="176"/>
        <v>41</v>
      </c>
      <c r="I5670" t="str">
        <f t="shared" si="177"/>
        <v>Polr1b_41</v>
      </c>
      <c r="J5670" s="3">
        <v>0</v>
      </c>
      <c r="K5670" s="3">
        <v>0</v>
      </c>
      <c r="L5670" s="3">
        <v>41</v>
      </c>
      <c r="M5670" s="3">
        <v>0</v>
      </c>
      <c r="N5670" s="3">
        <v>0</v>
      </c>
    </row>
    <row r="5671" spans="1:14" x14ac:dyDescent="0.2">
      <c r="A5671" s="5" t="str">
        <f>HYPERLINK("http://www.ncbi.nlm.nih.gov/protein/119226251","Polr1c")</f>
        <v>Polr1c</v>
      </c>
      <c r="B5671" s="4"/>
      <c r="C5671" s="3">
        <v>0</v>
      </c>
      <c r="D5671" s="3">
        <v>1192</v>
      </c>
      <c r="E5671" s="3">
        <v>1580</v>
      </c>
      <c r="F5671" s="3">
        <v>8881</v>
      </c>
      <c r="G5671" s="3">
        <v>2624</v>
      </c>
      <c r="H5671" s="2">
        <f t="shared" si="176"/>
        <v>14277</v>
      </c>
      <c r="I5671" t="str">
        <f t="shared" si="177"/>
        <v>Polr1c_14277</v>
      </c>
      <c r="J5671" s="3">
        <v>0</v>
      </c>
      <c r="K5671" s="3">
        <v>1192</v>
      </c>
      <c r="L5671" s="3">
        <v>1580</v>
      </c>
      <c r="M5671" s="3">
        <v>8881</v>
      </c>
      <c r="N5671" s="3">
        <v>2624</v>
      </c>
    </row>
    <row r="5672" spans="1:14" x14ac:dyDescent="0.2">
      <c r="A5672" s="5" t="str">
        <f>HYPERLINK("http://www.ncbi.nlm.nih.gov/protein/6677791","Polr1d")</f>
        <v>Polr1d</v>
      </c>
      <c r="B5672" s="4"/>
      <c r="C5672" s="3">
        <v>0</v>
      </c>
      <c r="D5672" s="3">
        <v>315</v>
      </c>
      <c r="E5672" s="3">
        <v>102</v>
      </c>
      <c r="F5672" s="3">
        <v>3078</v>
      </c>
      <c r="G5672" s="3">
        <v>814</v>
      </c>
      <c r="H5672" s="2">
        <f t="shared" si="176"/>
        <v>4309</v>
      </c>
      <c r="I5672" t="str">
        <f t="shared" si="177"/>
        <v>Polr1d_4309</v>
      </c>
      <c r="J5672" s="3">
        <v>0</v>
      </c>
      <c r="K5672" s="3">
        <v>315</v>
      </c>
      <c r="L5672" s="3">
        <v>102</v>
      </c>
      <c r="M5672" s="3">
        <v>3078</v>
      </c>
      <c r="N5672" s="3">
        <v>814</v>
      </c>
    </row>
    <row r="5673" spans="1:14" x14ac:dyDescent="0.2">
      <c r="A5673" s="5" t="str">
        <f>HYPERLINK("http://www.ncbi.nlm.nih.gov/protein/6677795","Polr2a")</f>
        <v>Polr2a</v>
      </c>
      <c r="B5673" s="4"/>
      <c r="C5673" s="3">
        <v>0</v>
      </c>
      <c r="D5673" s="3">
        <v>173</v>
      </c>
      <c r="E5673" s="3">
        <v>0</v>
      </c>
      <c r="F5673" s="3">
        <v>819</v>
      </c>
      <c r="G5673" s="3">
        <v>2710</v>
      </c>
      <c r="H5673" s="2">
        <f t="shared" si="176"/>
        <v>3702</v>
      </c>
      <c r="I5673" t="str">
        <f t="shared" si="177"/>
        <v>Polr2a_3702</v>
      </c>
      <c r="J5673" s="3">
        <v>0</v>
      </c>
      <c r="K5673" s="3">
        <v>173</v>
      </c>
      <c r="L5673" s="3">
        <v>0</v>
      </c>
      <c r="M5673" s="3">
        <v>819</v>
      </c>
      <c r="N5673" s="3">
        <v>2710</v>
      </c>
    </row>
    <row r="5674" spans="1:14" x14ac:dyDescent="0.2">
      <c r="A5674" s="5" t="str">
        <f>HYPERLINK("http://www.ncbi.nlm.nih.gov/protein/226958589","Polr2b")</f>
        <v>Polr2b</v>
      </c>
      <c r="B5674" s="4"/>
      <c r="C5674" s="3">
        <v>0</v>
      </c>
      <c r="D5674" s="3">
        <v>1278</v>
      </c>
      <c r="E5674" s="3">
        <v>383</v>
      </c>
      <c r="F5674" s="3">
        <v>28003</v>
      </c>
      <c r="G5674" s="3">
        <v>11470</v>
      </c>
      <c r="H5674" s="2">
        <f t="shared" si="176"/>
        <v>41134</v>
      </c>
      <c r="I5674" t="str">
        <f t="shared" si="177"/>
        <v>Polr2b_41134</v>
      </c>
      <c r="J5674" s="3">
        <v>0</v>
      </c>
      <c r="K5674" s="3">
        <v>1278</v>
      </c>
      <c r="L5674" s="3">
        <v>383</v>
      </c>
      <c r="M5674" s="3">
        <v>28003</v>
      </c>
      <c r="N5674" s="3">
        <v>11470</v>
      </c>
    </row>
    <row r="5675" spans="1:14" x14ac:dyDescent="0.2">
      <c r="A5675" s="5" t="str">
        <f>HYPERLINK("http://www.ncbi.nlm.nih.gov/protein/29336059","Polr2c")</f>
        <v>Polr2c</v>
      </c>
      <c r="B5675" s="4"/>
      <c r="C5675" s="3">
        <v>0</v>
      </c>
      <c r="D5675" s="3">
        <v>950</v>
      </c>
      <c r="E5675" s="3">
        <v>198</v>
      </c>
      <c r="F5675" s="3">
        <v>12393</v>
      </c>
      <c r="G5675" s="3">
        <v>5055</v>
      </c>
      <c r="H5675" s="2">
        <f t="shared" si="176"/>
        <v>18596</v>
      </c>
      <c r="I5675" t="str">
        <f t="shared" si="177"/>
        <v>Polr2c_18596</v>
      </c>
      <c r="J5675" s="3">
        <v>0</v>
      </c>
      <c r="K5675" s="3">
        <v>950</v>
      </c>
      <c r="L5675" s="3">
        <v>198</v>
      </c>
      <c r="M5675" s="3">
        <v>12393</v>
      </c>
      <c r="N5675" s="3">
        <v>5055</v>
      </c>
    </row>
    <row r="5676" spans="1:14" x14ac:dyDescent="0.2">
      <c r="A5676" s="5" t="str">
        <f>HYPERLINK("http://www.ncbi.nlm.nih.gov/protein/28076931","Polr2d")</f>
        <v>Polr2d</v>
      </c>
      <c r="B5676" s="4"/>
      <c r="C5676" s="3">
        <v>0</v>
      </c>
      <c r="D5676" s="3">
        <v>0</v>
      </c>
      <c r="E5676" s="3">
        <v>0</v>
      </c>
      <c r="F5676" s="3">
        <v>442</v>
      </c>
      <c r="G5676" s="3">
        <v>0</v>
      </c>
      <c r="H5676" s="2">
        <f t="shared" si="176"/>
        <v>442</v>
      </c>
      <c r="I5676" t="str">
        <f t="shared" si="177"/>
        <v>Polr2d_442</v>
      </c>
      <c r="J5676" s="3">
        <v>0</v>
      </c>
      <c r="K5676" s="3">
        <v>0</v>
      </c>
      <c r="L5676" s="3">
        <v>0</v>
      </c>
      <c r="M5676" s="3">
        <v>442</v>
      </c>
      <c r="N5676" s="3">
        <v>0</v>
      </c>
    </row>
    <row r="5677" spans="1:14" x14ac:dyDescent="0.2">
      <c r="A5677" s="5" t="str">
        <f>HYPERLINK("http://www.ncbi.nlm.nih.gov/protein/21312246","Polr2d")</f>
        <v>Polr2d</v>
      </c>
      <c r="B5677" s="4"/>
      <c r="C5677" s="3">
        <v>403</v>
      </c>
      <c r="D5677" s="3">
        <v>0</v>
      </c>
      <c r="E5677" s="3">
        <v>0</v>
      </c>
      <c r="F5677" s="3">
        <v>2005</v>
      </c>
      <c r="G5677" s="3">
        <v>0</v>
      </c>
      <c r="H5677" s="2">
        <f t="shared" si="176"/>
        <v>2408</v>
      </c>
      <c r="I5677" t="str">
        <f t="shared" si="177"/>
        <v>Polr2d_2408</v>
      </c>
      <c r="J5677" s="3">
        <v>403</v>
      </c>
      <c r="K5677" s="3">
        <v>0</v>
      </c>
      <c r="L5677" s="3">
        <v>0</v>
      </c>
      <c r="M5677" s="3">
        <v>2005</v>
      </c>
      <c r="N5677" s="3">
        <v>0</v>
      </c>
    </row>
    <row r="5678" spans="1:14" x14ac:dyDescent="0.2">
      <c r="A5678" s="5" t="str">
        <f>HYPERLINK("http://www.ncbi.nlm.nih.gov/protein/124249077","Polr2e")</f>
        <v>Polr2e</v>
      </c>
      <c r="B5678" s="4"/>
      <c r="C5678" s="3">
        <v>1849</v>
      </c>
      <c r="D5678" s="3">
        <v>1468</v>
      </c>
      <c r="E5678" s="3">
        <v>1661</v>
      </c>
      <c r="F5678" s="3">
        <v>13883</v>
      </c>
      <c r="G5678" s="3">
        <v>910</v>
      </c>
      <c r="H5678" s="2">
        <f t="shared" si="176"/>
        <v>19771</v>
      </c>
      <c r="I5678" t="str">
        <f t="shared" si="177"/>
        <v>Polr2e_19771</v>
      </c>
      <c r="J5678" s="3">
        <v>1849</v>
      </c>
      <c r="K5678" s="3">
        <v>1468</v>
      </c>
      <c r="L5678" s="3">
        <v>1661</v>
      </c>
      <c r="M5678" s="3">
        <v>13883</v>
      </c>
      <c r="N5678" s="3">
        <v>910</v>
      </c>
    </row>
    <row r="5679" spans="1:14" x14ac:dyDescent="0.2">
      <c r="A5679" s="5" t="str">
        <f>HYPERLINK("http://www.ncbi.nlm.nih.gov/protein/13385826","Polr2g")</f>
        <v>Polr2g</v>
      </c>
      <c r="B5679" s="4"/>
      <c r="C5679" s="3">
        <v>0</v>
      </c>
      <c r="D5679" s="3">
        <v>353</v>
      </c>
      <c r="E5679" s="3">
        <v>0</v>
      </c>
      <c r="F5679" s="3">
        <v>9872</v>
      </c>
      <c r="G5679" s="3">
        <v>2431</v>
      </c>
      <c r="H5679" s="2">
        <f t="shared" si="176"/>
        <v>12656</v>
      </c>
      <c r="I5679" t="str">
        <f t="shared" si="177"/>
        <v>Polr2g_12656</v>
      </c>
      <c r="J5679" s="3">
        <v>0</v>
      </c>
      <c r="K5679" s="3">
        <v>353</v>
      </c>
      <c r="L5679" s="3">
        <v>0</v>
      </c>
      <c r="M5679" s="3">
        <v>9872</v>
      </c>
      <c r="N5679" s="3">
        <v>2431</v>
      </c>
    </row>
    <row r="5680" spans="1:14" x14ac:dyDescent="0.2">
      <c r="A5680" s="5" t="str">
        <f>HYPERLINK("http://www.ncbi.nlm.nih.gov/protein/21704118","Polr2h")</f>
        <v>Polr2h</v>
      </c>
      <c r="B5680" s="4"/>
      <c r="C5680" s="3">
        <v>15450</v>
      </c>
      <c r="D5680" s="3">
        <v>42</v>
      </c>
      <c r="E5680" s="3">
        <v>1096</v>
      </c>
      <c r="F5680" s="3">
        <v>6729</v>
      </c>
      <c r="G5680" s="3">
        <v>3481</v>
      </c>
      <c r="H5680" s="2">
        <f t="shared" si="176"/>
        <v>26798</v>
      </c>
      <c r="I5680" t="str">
        <f t="shared" si="177"/>
        <v>Polr2h_26798</v>
      </c>
      <c r="J5680" s="3">
        <v>15450</v>
      </c>
      <c r="K5680" s="3">
        <v>42</v>
      </c>
      <c r="L5680" s="3">
        <v>1096</v>
      </c>
      <c r="M5680" s="3">
        <v>6729</v>
      </c>
      <c r="N5680" s="3">
        <v>3481</v>
      </c>
    </row>
    <row r="5681" spans="1:14" x14ac:dyDescent="0.2">
      <c r="A5681" s="5" t="str">
        <f>HYPERLINK("http://www.ncbi.nlm.nih.gov/protein/110625757","Polr2i")</f>
        <v>Polr2i</v>
      </c>
      <c r="B5681" s="4"/>
      <c r="C5681" s="3">
        <v>0</v>
      </c>
      <c r="D5681" s="3">
        <v>0</v>
      </c>
      <c r="E5681" s="3">
        <v>0</v>
      </c>
      <c r="F5681" s="3">
        <v>884</v>
      </c>
      <c r="G5681" s="3">
        <v>3459</v>
      </c>
      <c r="H5681" s="2">
        <f t="shared" si="176"/>
        <v>4343</v>
      </c>
      <c r="I5681" t="str">
        <f t="shared" si="177"/>
        <v>Polr2i_4343</v>
      </c>
      <c r="J5681" s="3">
        <v>0</v>
      </c>
      <c r="K5681" s="3">
        <v>0</v>
      </c>
      <c r="L5681" s="3">
        <v>0</v>
      </c>
      <c r="M5681" s="3">
        <v>884</v>
      </c>
      <c r="N5681" s="3">
        <v>3459</v>
      </c>
    </row>
    <row r="5682" spans="1:14" x14ac:dyDescent="0.2">
      <c r="A5682" s="5" t="str">
        <f>HYPERLINK("http://www.ncbi.nlm.nih.gov/protein/188219604","Polr2j")</f>
        <v>Polr2j</v>
      </c>
      <c r="B5682" s="4"/>
      <c r="C5682" s="3">
        <v>787</v>
      </c>
      <c r="D5682" s="3">
        <v>232</v>
      </c>
      <c r="E5682" s="3">
        <v>60</v>
      </c>
      <c r="F5682" s="3">
        <v>2145</v>
      </c>
      <c r="G5682" s="3">
        <v>2635</v>
      </c>
      <c r="H5682" s="2">
        <f t="shared" si="176"/>
        <v>5859</v>
      </c>
      <c r="I5682" t="str">
        <f t="shared" si="177"/>
        <v>Polr2j_5859</v>
      </c>
      <c r="J5682" s="3">
        <v>787</v>
      </c>
      <c r="K5682" s="3">
        <v>232</v>
      </c>
      <c r="L5682" s="3">
        <v>60</v>
      </c>
      <c r="M5682" s="3">
        <v>2145</v>
      </c>
      <c r="N5682" s="3">
        <v>2635</v>
      </c>
    </row>
    <row r="5683" spans="1:14" x14ac:dyDescent="0.2">
      <c r="A5683" s="5" t="str">
        <f>HYPERLINK("http://www.ncbi.nlm.nih.gov/protein/219881031","Polr2l")</f>
        <v>Polr2l</v>
      </c>
      <c r="B5683" s="4"/>
      <c r="C5683" s="3">
        <v>0</v>
      </c>
      <c r="D5683" s="3">
        <v>0</v>
      </c>
      <c r="E5683" s="3">
        <v>63</v>
      </c>
      <c r="F5683" s="3">
        <v>0</v>
      </c>
      <c r="G5683" s="3">
        <v>0</v>
      </c>
      <c r="H5683" s="2">
        <f t="shared" si="176"/>
        <v>63</v>
      </c>
      <c r="I5683" t="str">
        <f t="shared" si="177"/>
        <v>Polr2l_63</v>
      </c>
      <c r="J5683" s="3">
        <v>0</v>
      </c>
      <c r="K5683" s="3">
        <v>0</v>
      </c>
      <c r="L5683" s="3">
        <v>63</v>
      </c>
      <c r="M5683" s="3">
        <v>0</v>
      </c>
      <c r="N5683" s="3">
        <v>0</v>
      </c>
    </row>
    <row r="5684" spans="1:14" x14ac:dyDescent="0.2">
      <c r="A5684" s="5" t="str">
        <f>HYPERLINK("http://www.ncbi.nlm.nih.gov/protein/258645114","Polr2m")</f>
        <v>Polr2m</v>
      </c>
      <c r="B5684" s="4"/>
      <c r="C5684" s="3">
        <v>0</v>
      </c>
      <c r="D5684" s="3">
        <v>0</v>
      </c>
      <c r="E5684" s="3">
        <v>0</v>
      </c>
      <c r="F5684" s="3">
        <v>0</v>
      </c>
      <c r="G5684" s="3">
        <v>353</v>
      </c>
      <c r="H5684" s="2">
        <f t="shared" si="176"/>
        <v>353</v>
      </c>
      <c r="I5684" t="str">
        <f t="shared" si="177"/>
        <v>Polr2m_353</v>
      </c>
      <c r="J5684" s="3">
        <v>0</v>
      </c>
      <c r="K5684" s="3">
        <v>0</v>
      </c>
      <c r="L5684" s="3">
        <v>0</v>
      </c>
      <c r="M5684" s="3">
        <v>0</v>
      </c>
      <c r="N5684" s="3">
        <v>353</v>
      </c>
    </row>
    <row r="5685" spans="1:14" x14ac:dyDescent="0.2">
      <c r="A5685" s="5" t="str">
        <f>HYPERLINK("http://www.ncbi.nlm.nih.gov/protein/30519919","Polr2m")</f>
        <v>Polr2m</v>
      </c>
      <c r="B5685" s="4"/>
      <c r="C5685" s="3">
        <v>0</v>
      </c>
      <c r="D5685" s="3">
        <v>0</v>
      </c>
      <c r="E5685" s="3">
        <v>0</v>
      </c>
      <c r="F5685" s="3">
        <v>0</v>
      </c>
      <c r="G5685" s="3">
        <v>353</v>
      </c>
      <c r="H5685" s="2">
        <f t="shared" si="176"/>
        <v>353</v>
      </c>
      <c r="I5685" t="str">
        <f t="shared" si="177"/>
        <v>Polr2m_353</v>
      </c>
      <c r="J5685" s="3">
        <v>0</v>
      </c>
      <c r="K5685" s="3">
        <v>0</v>
      </c>
      <c r="L5685" s="3">
        <v>0</v>
      </c>
      <c r="M5685" s="3">
        <v>0</v>
      </c>
      <c r="N5685" s="3">
        <v>353</v>
      </c>
    </row>
    <row r="5686" spans="1:14" x14ac:dyDescent="0.2">
      <c r="A5686" s="5" t="str">
        <f>HYPERLINK("http://www.ncbi.nlm.nih.gov/protein/46195739","Polr3b")</f>
        <v>Polr3b</v>
      </c>
      <c r="B5686" s="4"/>
      <c r="C5686" s="3">
        <v>0</v>
      </c>
      <c r="D5686" s="3">
        <v>0</v>
      </c>
      <c r="E5686" s="3">
        <v>0</v>
      </c>
      <c r="F5686" s="3">
        <v>90</v>
      </c>
      <c r="G5686" s="3">
        <v>0</v>
      </c>
      <c r="H5686" s="2">
        <f t="shared" si="176"/>
        <v>90</v>
      </c>
      <c r="I5686" t="str">
        <f t="shared" si="177"/>
        <v>Polr3b_90</v>
      </c>
      <c r="J5686" s="3">
        <v>0</v>
      </c>
      <c r="K5686" s="3">
        <v>0</v>
      </c>
      <c r="L5686" s="3">
        <v>0</v>
      </c>
      <c r="M5686" s="3">
        <v>90</v>
      </c>
      <c r="N5686" s="3">
        <v>0</v>
      </c>
    </row>
    <row r="5687" spans="1:14" x14ac:dyDescent="0.2">
      <c r="A5687" s="5" t="str">
        <f>HYPERLINK("http://www.ncbi.nlm.nih.gov/protein/198278473","Polr3c")</f>
        <v>Polr3c</v>
      </c>
      <c r="B5687" s="4"/>
      <c r="C5687" s="3">
        <v>0</v>
      </c>
      <c r="D5687" s="3">
        <v>0</v>
      </c>
      <c r="E5687" s="3">
        <v>0</v>
      </c>
      <c r="F5687" s="3">
        <v>3888</v>
      </c>
      <c r="G5687" s="3">
        <v>2228</v>
      </c>
      <c r="H5687" s="2">
        <f t="shared" si="176"/>
        <v>6116</v>
      </c>
      <c r="I5687" t="str">
        <f t="shared" si="177"/>
        <v>Polr3c_6116</v>
      </c>
      <c r="J5687" s="3">
        <v>0</v>
      </c>
      <c r="K5687" s="3">
        <v>0</v>
      </c>
      <c r="L5687" s="3">
        <v>0</v>
      </c>
      <c r="M5687" s="3">
        <v>3888</v>
      </c>
      <c r="N5687" s="3">
        <v>2228</v>
      </c>
    </row>
    <row r="5688" spans="1:14" x14ac:dyDescent="0.2">
      <c r="A5688" s="5" t="str">
        <f>HYPERLINK("http://www.ncbi.nlm.nih.gov/protein/27754160","Polr3f")</f>
        <v>Polr3f</v>
      </c>
      <c r="B5688" s="4"/>
      <c r="C5688" s="3">
        <v>0</v>
      </c>
      <c r="D5688" s="3">
        <v>0</v>
      </c>
      <c r="E5688" s="3">
        <v>54</v>
      </c>
      <c r="F5688" s="3">
        <v>475</v>
      </c>
      <c r="G5688" s="3">
        <v>0</v>
      </c>
      <c r="H5688" s="2">
        <f t="shared" si="176"/>
        <v>529</v>
      </c>
      <c r="I5688" t="str">
        <f t="shared" si="177"/>
        <v>Polr3f_529</v>
      </c>
      <c r="J5688" s="3">
        <v>0</v>
      </c>
      <c r="K5688" s="3">
        <v>0</v>
      </c>
      <c r="L5688" s="3">
        <v>54</v>
      </c>
      <c r="M5688" s="3">
        <v>475</v>
      </c>
      <c r="N5688" s="3">
        <v>0</v>
      </c>
    </row>
    <row r="5689" spans="1:14" x14ac:dyDescent="0.2">
      <c r="A5689" s="5" t="str">
        <f>HYPERLINK("http://www.ncbi.nlm.nih.gov/protein/281332113","Polrmt")</f>
        <v>Polrmt</v>
      </c>
      <c r="B5689" s="4"/>
      <c r="C5689" s="3">
        <v>0</v>
      </c>
      <c r="D5689" s="3">
        <v>73</v>
      </c>
      <c r="E5689" s="3">
        <v>0</v>
      </c>
      <c r="F5689" s="3">
        <v>0</v>
      </c>
      <c r="G5689" s="3">
        <v>0</v>
      </c>
      <c r="H5689" s="2">
        <f t="shared" si="176"/>
        <v>73</v>
      </c>
      <c r="I5689" t="str">
        <f t="shared" si="177"/>
        <v>Polrmt_73</v>
      </c>
      <c r="J5689" s="3">
        <v>0</v>
      </c>
      <c r="K5689" s="3">
        <v>73</v>
      </c>
      <c r="L5689" s="3">
        <v>0</v>
      </c>
      <c r="M5689" s="3">
        <v>0</v>
      </c>
      <c r="N5689" s="3">
        <v>0</v>
      </c>
    </row>
    <row r="5690" spans="1:14" x14ac:dyDescent="0.2">
      <c r="A5690" s="5" t="str">
        <f>HYPERLINK("http://www.ncbi.nlm.nih.gov/protein/13385086","Pomp")</f>
        <v>Pomp</v>
      </c>
      <c r="B5690" s="4"/>
      <c r="C5690" s="3">
        <v>0</v>
      </c>
      <c r="D5690" s="3">
        <v>0</v>
      </c>
      <c r="E5690" s="3">
        <v>0</v>
      </c>
      <c r="F5690" s="3">
        <v>25</v>
      </c>
      <c r="G5690" s="3">
        <v>0</v>
      </c>
      <c r="H5690" s="2">
        <f t="shared" si="176"/>
        <v>25</v>
      </c>
      <c r="I5690" t="str">
        <f t="shared" si="177"/>
        <v>Pomp_25</v>
      </c>
      <c r="J5690" s="3">
        <v>0</v>
      </c>
      <c r="K5690" s="3">
        <v>0</v>
      </c>
      <c r="L5690" s="3">
        <v>0</v>
      </c>
      <c r="M5690" s="3">
        <v>25</v>
      </c>
      <c r="N5690" s="3">
        <v>0</v>
      </c>
    </row>
    <row r="5691" spans="1:14" x14ac:dyDescent="0.2">
      <c r="A5691" s="5" t="str">
        <f>HYPERLINK("http://www.ncbi.nlm.nih.gov/protein/27370510","Pon3")</f>
        <v>Pon3</v>
      </c>
      <c r="B5691" s="4"/>
      <c r="C5691" s="3">
        <v>989</v>
      </c>
      <c r="D5691" s="3">
        <v>0</v>
      </c>
      <c r="E5691" s="3">
        <v>135</v>
      </c>
      <c r="F5691" s="3">
        <v>0</v>
      </c>
      <c r="G5691" s="3">
        <v>0</v>
      </c>
      <c r="H5691" s="2">
        <f t="shared" si="176"/>
        <v>1124</v>
      </c>
      <c r="I5691" t="str">
        <f t="shared" si="177"/>
        <v>Pon3_1124</v>
      </c>
      <c r="J5691" s="3">
        <v>989</v>
      </c>
      <c r="K5691" s="3">
        <v>0</v>
      </c>
      <c r="L5691" s="3">
        <v>135</v>
      </c>
      <c r="M5691" s="3">
        <v>0</v>
      </c>
      <c r="N5691" s="3">
        <v>0</v>
      </c>
    </row>
    <row r="5692" spans="1:14" x14ac:dyDescent="0.2">
      <c r="A5692" s="5" t="str">
        <f>HYPERLINK("http://www.ncbi.nlm.nih.gov/protein/21312814","Pop1")</f>
        <v>Pop1</v>
      </c>
      <c r="B5692" s="4"/>
      <c r="C5692" s="3">
        <v>0</v>
      </c>
      <c r="D5692" s="3">
        <v>0</v>
      </c>
      <c r="E5692" s="3">
        <v>604</v>
      </c>
      <c r="F5692" s="3">
        <v>5844</v>
      </c>
      <c r="G5692" s="3">
        <v>0</v>
      </c>
      <c r="H5692" s="2">
        <f t="shared" si="176"/>
        <v>6448</v>
      </c>
      <c r="I5692" t="str">
        <f t="shared" si="177"/>
        <v>Pop1_6448</v>
      </c>
      <c r="J5692" s="3">
        <v>0</v>
      </c>
      <c r="K5692" s="3">
        <v>0</v>
      </c>
      <c r="L5692" s="3">
        <v>604</v>
      </c>
      <c r="M5692" s="3">
        <v>5844</v>
      </c>
      <c r="N5692" s="3">
        <v>0</v>
      </c>
    </row>
    <row r="5693" spans="1:14" x14ac:dyDescent="0.2">
      <c r="A5693" s="5" t="str">
        <f>HYPERLINK("http://www.ncbi.nlm.nih.gov/protein/23097256","Pop1")</f>
        <v>Pop1</v>
      </c>
      <c r="B5693" s="4"/>
      <c r="C5693" s="3">
        <v>0</v>
      </c>
      <c r="D5693" s="3">
        <v>0</v>
      </c>
      <c r="E5693" s="3">
        <v>604</v>
      </c>
      <c r="F5693" s="3">
        <v>5844</v>
      </c>
      <c r="G5693" s="3">
        <v>0</v>
      </c>
      <c r="H5693" s="2">
        <f t="shared" si="176"/>
        <v>6448</v>
      </c>
      <c r="I5693" t="str">
        <f t="shared" si="177"/>
        <v>Pop1_6448</v>
      </c>
      <c r="J5693" s="3">
        <v>0</v>
      </c>
      <c r="K5693" s="3">
        <v>0</v>
      </c>
      <c r="L5693" s="3">
        <v>604</v>
      </c>
      <c r="M5693" s="3">
        <v>5844</v>
      </c>
      <c r="N5693" s="3">
        <v>0</v>
      </c>
    </row>
    <row r="5694" spans="1:14" x14ac:dyDescent="0.2">
      <c r="A5694" s="5" t="str">
        <f>HYPERLINK("http://www.ncbi.nlm.nih.gov/protein/13384772","Pop4")</f>
        <v>Pop4</v>
      </c>
      <c r="B5694" s="4"/>
      <c r="C5694" s="3">
        <v>0</v>
      </c>
      <c r="D5694" s="3">
        <v>0</v>
      </c>
      <c r="E5694" s="3">
        <v>28</v>
      </c>
      <c r="F5694" s="3">
        <v>2447</v>
      </c>
      <c r="G5694" s="3">
        <v>0</v>
      </c>
      <c r="H5694" s="2">
        <f t="shared" si="176"/>
        <v>2475</v>
      </c>
      <c r="I5694" t="str">
        <f t="shared" si="177"/>
        <v>Pop4_2475</v>
      </c>
      <c r="J5694" s="3">
        <v>0</v>
      </c>
      <c r="K5694" s="3">
        <v>0</v>
      </c>
      <c r="L5694" s="3">
        <v>28</v>
      </c>
      <c r="M5694" s="3">
        <v>2447</v>
      </c>
      <c r="N5694" s="3">
        <v>0</v>
      </c>
    </row>
    <row r="5695" spans="1:14" x14ac:dyDescent="0.2">
      <c r="A5695" s="5" t="str">
        <f>HYPERLINK("http://www.ncbi.nlm.nih.gov/protein/20270200","Pop5")</f>
        <v>Pop5</v>
      </c>
      <c r="B5695" s="4"/>
      <c r="C5695" s="3">
        <v>0</v>
      </c>
      <c r="D5695" s="3">
        <v>0</v>
      </c>
      <c r="E5695" s="3">
        <v>25</v>
      </c>
      <c r="F5695" s="3">
        <v>1203</v>
      </c>
      <c r="G5695" s="3">
        <v>0</v>
      </c>
      <c r="H5695" s="2">
        <f t="shared" si="176"/>
        <v>1228</v>
      </c>
      <c r="I5695" t="str">
        <f t="shared" si="177"/>
        <v>Pop5_1228</v>
      </c>
      <c r="J5695" s="3">
        <v>0</v>
      </c>
      <c r="K5695" s="3">
        <v>0</v>
      </c>
      <c r="L5695" s="3">
        <v>25</v>
      </c>
      <c r="M5695" s="3">
        <v>1203</v>
      </c>
      <c r="N5695" s="3">
        <v>0</v>
      </c>
    </row>
    <row r="5696" spans="1:14" x14ac:dyDescent="0.2">
      <c r="A5696" s="5" t="str">
        <f>HYPERLINK("http://www.ncbi.nlm.nih.gov/protein/13899215","Pop7")</f>
        <v>Pop7</v>
      </c>
      <c r="B5696" s="4"/>
      <c r="C5696" s="3">
        <v>0</v>
      </c>
      <c r="D5696" s="3">
        <v>0</v>
      </c>
      <c r="E5696" s="3">
        <v>0</v>
      </c>
      <c r="F5696" s="3">
        <v>1351</v>
      </c>
      <c r="G5696" s="3">
        <v>0</v>
      </c>
      <c r="H5696" s="2">
        <f t="shared" si="176"/>
        <v>1351</v>
      </c>
      <c r="I5696" t="str">
        <f t="shared" si="177"/>
        <v>Pop7_1351</v>
      </c>
      <c r="J5696" s="3">
        <v>0</v>
      </c>
      <c r="K5696" s="3">
        <v>0</v>
      </c>
      <c r="L5696" s="3">
        <v>0</v>
      </c>
      <c r="M5696" s="3">
        <v>1351</v>
      </c>
      <c r="N5696" s="3">
        <v>0</v>
      </c>
    </row>
    <row r="5697" spans="1:14" x14ac:dyDescent="0.2">
      <c r="A5697" s="5" t="str">
        <f>HYPERLINK("http://www.ncbi.nlm.nih.gov/protein/6679421","Por")</f>
        <v>Por</v>
      </c>
      <c r="B5697" s="4"/>
      <c r="C5697" s="3">
        <v>149871</v>
      </c>
      <c r="D5697" s="3">
        <v>11548</v>
      </c>
      <c r="E5697" s="3">
        <v>43531</v>
      </c>
      <c r="F5697" s="3">
        <v>10772</v>
      </c>
      <c r="G5697" s="3">
        <v>0</v>
      </c>
      <c r="H5697" s="2">
        <f t="shared" si="176"/>
        <v>215722</v>
      </c>
      <c r="I5697" t="str">
        <f t="shared" si="177"/>
        <v>Por_215722</v>
      </c>
      <c r="J5697" s="3">
        <v>149871</v>
      </c>
      <c r="K5697" s="3">
        <v>11548</v>
      </c>
      <c r="L5697" s="3">
        <v>43531</v>
      </c>
      <c r="M5697" s="3">
        <v>10772</v>
      </c>
      <c r="N5697" s="3">
        <v>0</v>
      </c>
    </row>
    <row r="5698" spans="1:14" x14ac:dyDescent="0.2">
      <c r="A5698" s="5" t="str">
        <f>HYPERLINK("http://www.ncbi.nlm.nih.gov/protein/27754065","Ppa1")</f>
        <v>Ppa1</v>
      </c>
      <c r="B5698" s="4"/>
      <c r="C5698" s="3">
        <v>0</v>
      </c>
      <c r="D5698" s="3">
        <v>2814</v>
      </c>
      <c r="E5698" s="3">
        <v>1324</v>
      </c>
      <c r="F5698" s="3">
        <v>688</v>
      </c>
      <c r="G5698" s="3">
        <v>101548</v>
      </c>
      <c r="H5698" s="2">
        <f t="shared" ref="H5698:H5761" si="178">SUM(C5698:G5698)</f>
        <v>106374</v>
      </c>
      <c r="I5698" t="str">
        <f t="shared" ref="I5698:I5761" si="179">A5698&amp;"_"&amp;H5698</f>
        <v>Ppa1_106374</v>
      </c>
      <c r="J5698" s="3">
        <v>0</v>
      </c>
      <c r="K5698" s="3">
        <v>2814</v>
      </c>
      <c r="L5698" s="3">
        <v>1324</v>
      </c>
      <c r="M5698" s="3">
        <v>688</v>
      </c>
      <c r="N5698" s="3">
        <v>101548</v>
      </c>
    </row>
    <row r="5699" spans="1:14" x14ac:dyDescent="0.2">
      <c r="A5699" s="5" t="str">
        <f>HYPERLINK("http://www.ncbi.nlm.nih.gov/protein/22203753","Ppa2")</f>
        <v>Ppa2</v>
      </c>
      <c r="B5699" s="4"/>
      <c r="C5699" s="3">
        <v>16750</v>
      </c>
      <c r="D5699" s="3">
        <v>13824</v>
      </c>
      <c r="E5699" s="3">
        <v>0</v>
      </c>
      <c r="F5699" s="3">
        <v>0</v>
      </c>
      <c r="G5699" s="3">
        <v>20348</v>
      </c>
      <c r="H5699" s="2">
        <f t="shared" si="178"/>
        <v>50922</v>
      </c>
      <c r="I5699" t="str">
        <f t="shared" si="179"/>
        <v>Ppa2_50922</v>
      </c>
      <c r="J5699" s="3">
        <v>16750</v>
      </c>
      <c r="K5699" s="3">
        <v>13824</v>
      </c>
      <c r="L5699" s="3">
        <v>0</v>
      </c>
      <c r="M5699" s="3">
        <v>0</v>
      </c>
      <c r="N5699" s="3">
        <v>20348</v>
      </c>
    </row>
    <row r="5700" spans="1:14" x14ac:dyDescent="0.2">
      <c r="A5700" s="5" t="str">
        <f>HYPERLINK("http://www.ncbi.nlm.nih.gov/protein/110431341","Ppap2c")</f>
        <v>Ppap2c</v>
      </c>
      <c r="B5700" s="4"/>
      <c r="C5700" s="3">
        <v>10196</v>
      </c>
      <c r="D5700" s="3">
        <v>2950</v>
      </c>
      <c r="E5700" s="3">
        <v>8925</v>
      </c>
      <c r="F5700" s="3">
        <v>2423</v>
      </c>
      <c r="G5700" s="3">
        <v>0</v>
      </c>
      <c r="H5700" s="2">
        <f t="shared" si="178"/>
        <v>24494</v>
      </c>
      <c r="I5700" t="str">
        <f t="shared" si="179"/>
        <v>Ppap2c_24494</v>
      </c>
      <c r="J5700" s="3">
        <v>10196</v>
      </c>
      <c r="K5700" s="3">
        <v>2950</v>
      </c>
      <c r="L5700" s="3">
        <v>8925</v>
      </c>
      <c r="M5700" s="3">
        <v>2423</v>
      </c>
      <c r="N5700" s="3">
        <v>0</v>
      </c>
    </row>
    <row r="5701" spans="1:14" x14ac:dyDescent="0.2">
      <c r="A5701" s="5" t="str">
        <f>HYPERLINK("http://www.ncbi.nlm.nih.gov/protein/77861908","Ppapdc2")</f>
        <v>Ppapdc2</v>
      </c>
      <c r="B5701" s="4"/>
      <c r="C5701" s="3">
        <v>989</v>
      </c>
      <c r="D5701" s="3">
        <v>0</v>
      </c>
      <c r="E5701" s="3">
        <v>0</v>
      </c>
      <c r="F5701" s="3">
        <v>0</v>
      </c>
      <c r="G5701" s="3">
        <v>0</v>
      </c>
      <c r="H5701" s="2">
        <f t="shared" si="178"/>
        <v>989</v>
      </c>
      <c r="I5701" t="str">
        <f t="shared" si="179"/>
        <v>Ppapdc2_989</v>
      </c>
      <c r="J5701" s="3">
        <v>989</v>
      </c>
      <c r="K5701" s="3">
        <v>0</v>
      </c>
      <c r="L5701" s="3">
        <v>0</v>
      </c>
      <c r="M5701" s="3">
        <v>0</v>
      </c>
      <c r="N5701" s="3">
        <v>0</v>
      </c>
    </row>
    <row r="5702" spans="1:14" x14ac:dyDescent="0.2">
      <c r="A5702" s="5" t="str">
        <f>HYPERLINK("http://www.ncbi.nlm.nih.gov/protein/26024309","Ppat")</f>
        <v>Ppat</v>
      </c>
      <c r="B5702" s="4"/>
      <c r="C5702" s="3">
        <v>0</v>
      </c>
      <c r="D5702" s="3">
        <v>1516</v>
      </c>
      <c r="E5702" s="3">
        <v>3206</v>
      </c>
      <c r="F5702" s="3">
        <v>71321</v>
      </c>
      <c r="G5702" s="3">
        <v>28230</v>
      </c>
      <c r="H5702" s="2">
        <f t="shared" si="178"/>
        <v>104273</v>
      </c>
      <c r="I5702" t="str">
        <f t="shared" si="179"/>
        <v>Ppat_104273</v>
      </c>
      <c r="J5702" s="3">
        <v>0</v>
      </c>
      <c r="K5702" s="3">
        <v>1516</v>
      </c>
      <c r="L5702" s="3">
        <v>3206</v>
      </c>
      <c r="M5702" s="3">
        <v>71321</v>
      </c>
      <c r="N5702" s="3">
        <v>28230</v>
      </c>
    </row>
    <row r="5703" spans="1:14" x14ac:dyDescent="0.2">
      <c r="A5703" s="5" t="str">
        <f>HYPERLINK("http://www.ncbi.nlm.nih.gov/protein/28849879","Ppcdc")</f>
        <v>Ppcdc</v>
      </c>
      <c r="B5703" s="4"/>
      <c r="C5703" s="3">
        <v>0</v>
      </c>
      <c r="D5703" s="3">
        <v>198</v>
      </c>
      <c r="E5703" s="3">
        <v>157</v>
      </c>
      <c r="F5703" s="3">
        <v>65</v>
      </c>
      <c r="G5703" s="3">
        <v>10485</v>
      </c>
      <c r="H5703" s="2">
        <f t="shared" si="178"/>
        <v>10905</v>
      </c>
      <c r="I5703" t="str">
        <f t="shared" si="179"/>
        <v>Ppcdc_10905</v>
      </c>
      <c r="J5703" s="3">
        <v>0</v>
      </c>
      <c r="K5703" s="3">
        <v>198</v>
      </c>
      <c r="L5703" s="3">
        <v>157</v>
      </c>
      <c r="M5703" s="3">
        <v>65</v>
      </c>
      <c r="N5703" s="3">
        <v>10485</v>
      </c>
    </row>
    <row r="5704" spans="1:14" x14ac:dyDescent="0.2">
      <c r="A5704" s="5" t="str">
        <f>HYPERLINK("http://www.ncbi.nlm.nih.gov/protein/76096364","Ppcs")</f>
        <v>Ppcs</v>
      </c>
      <c r="B5704" s="4"/>
      <c r="C5704" s="3">
        <v>0</v>
      </c>
      <c r="D5704" s="3">
        <v>0</v>
      </c>
      <c r="E5704" s="3">
        <v>0</v>
      </c>
      <c r="F5704" s="3">
        <v>0</v>
      </c>
      <c r="G5704" s="3">
        <v>2667</v>
      </c>
      <c r="H5704" s="2">
        <f t="shared" si="178"/>
        <v>2667</v>
      </c>
      <c r="I5704" t="str">
        <f t="shared" si="179"/>
        <v>Ppcs_2667</v>
      </c>
      <c r="J5704" s="3">
        <v>0</v>
      </c>
      <c r="K5704" s="3">
        <v>0</v>
      </c>
      <c r="L5704" s="3">
        <v>0</v>
      </c>
      <c r="M5704" s="3">
        <v>0</v>
      </c>
      <c r="N5704" s="3">
        <v>2667</v>
      </c>
    </row>
    <row r="5705" spans="1:14" x14ac:dyDescent="0.2">
      <c r="A5705" s="5" t="str">
        <f>HYPERLINK("http://www.ncbi.nlm.nih.gov/protein/189491857","Ppfia1")</f>
        <v>Ppfia1</v>
      </c>
      <c r="B5705" s="4"/>
      <c r="C5705" s="3">
        <v>0</v>
      </c>
      <c r="D5705" s="3">
        <v>0</v>
      </c>
      <c r="E5705" s="3">
        <v>976</v>
      </c>
      <c r="F5705" s="3">
        <v>0</v>
      </c>
      <c r="G5705" s="3">
        <v>0</v>
      </c>
      <c r="H5705" s="2">
        <f t="shared" si="178"/>
        <v>976</v>
      </c>
      <c r="I5705" t="str">
        <f t="shared" si="179"/>
        <v>Ppfia1_976</v>
      </c>
      <c r="J5705" s="3">
        <v>0</v>
      </c>
      <c r="K5705" s="3">
        <v>0</v>
      </c>
      <c r="L5705" s="3">
        <v>976</v>
      </c>
      <c r="M5705" s="3">
        <v>0</v>
      </c>
      <c r="N5705" s="3">
        <v>0</v>
      </c>
    </row>
    <row r="5706" spans="1:14" x14ac:dyDescent="0.2">
      <c r="A5706" s="5" t="str">
        <f>HYPERLINK("http://www.ncbi.nlm.nih.gov/protein/304361734","Ppfia1")</f>
        <v>Ppfia1</v>
      </c>
      <c r="B5706" s="4"/>
      <c r="C5706" s="3">
        <v>0</v>
      </c>
      <c r="D5706" s="3">
        <v>0</v>
      </c>
      <c r="E5706" s="3">
        <v>976</v>
      </c>
      <c r="F5706" s="3">
        <v>0</v>
      </c>
      <c r="G5706" s="3">
        <v>0</v>
      </c>
      <c r="H5706" s="2">
        <f t="shared" si="178"/>
        <v>976</v>
      </c>
      <c r="I5706" t="str">
        <f t="shared" si="179"/>
        <v>Ppfia1_976</v>
      </c>
      <c r="J5706" s="3">
        <v>0</v>
      </c>
      <c r="K5706" s="3">
        <v>0</v>
      </c>
      <c r="L5706" s="3">
        <v>976</v>
      </c>
      <c r="M5706" s="3">
        <v>0</v>
      </c>
      <c r="N5706" s="3">
        <v>0</v>
      </c>
    </row>
    <row r="5707" spans="1:14" x14ac:dyDescent="0.2">
      <c r="A5707" s="5" t="str">
        <f>HYPERLINK("http://www.ncbi.nlm.nih.gov/protein/281371356","Ppfibp1")</f>
        <v>Ppfibp1</v>
      </c>
      <c r="B5707" s="4"/>
      <c r="C5707" s="3">
        <v>0</v>
      </c>
      <c r="D5707" s="3">
        <v>163</v>
      </c>
      <c r="E5707" s="3">
        <v>2221</v>
      </c>
      <c r="F5707" s="3">
        <v>941</v>
      </c>
      <c r="G5707" s="3">
        <v>0</v>
      </c>
      <c r="H5707" s="2">
        <f t="shared" si="178"/>
        <v>3325</v>
      </c>
      <c r="I5707" t="str">
        <f t="shared" si="179"/>
        <v>Ppfibp1_3325</v>
      </c>
      <c r="J5707" s="3">
        <v>0</v>
      </c>
      <c r="K5707" s="3">
        <v>163</v>
      </c>
      <c r="L5707" s="3">
        <v>2221</v>
      </c>
      <c r="M5707" s="3">
        <v>941</v>
      </c>
      <c r="N5707" s="3">
        <v>0</v>
      </c>
    </row>
    <row r="5708" spans="1:14" x14ac:dyDescent="0.2">
      <c r="A5708" s="5" t="str">
        <f>HYPERLINK("http://www.ncbi.nlm.nih.gov/protein/49274606","Ppfibp1")</f>
        <v>Ppfibp1</v>
      </c>
      <c r="B5708" s="4"/>
      <c r="C5708" s="3">
        <v>0</v>
      </c>
      <c r="D5708" s="3">
        <v>163</v>
      </c>
      <c r="E5708" s="3">
        <v>2221</v>
      </c>
      <c r="F5708" s="3">
        <v>941</v>
      </c>
      <c r="G5708" s="3">
        <v>0</v>
      </c>
      <c r="H5708" s="2">
        <f t="shared" si="178"/>
        <v>3325</v>
      </c>
      <c r="I5708" t="str">
        <f t="shared" si="179"/>
        <v>Ppfibp1_3325</v>
      </c>
      <c r="J5708" s="3">
        <v>0</v>
      </c>
      <c r="K5708" s="3">
        <v>163</v>
      </c>
      <c r="L5708" s="3">
        <v>2221</v>
      </c>
      <c r="M5708" s="3">
        <v>941</v>
      </c>
      <c r="N5708" s="3">
        <v>0</v>
      </c>
    </row>
    <row r="5709" spans="1:14" x14ac:dyDescent="0.2">
      <c r="A5709" s="5" t="str">
        <f>HYPERLINK("http://www.ncbi.nlm.nih.gov/protein/6679439","Ppia")</f>
        <v>Ppia</v>
      </c>
      <c r="B5709" s="4"/>
      <c r="C5709" s="3">
        <v>1020029</v>
      </c>
      <c r="D5709" s="3">
        <v>202372</v>
      </c>
      <c r="E5709" s="3">
        <v>237696</v>
      </c>
      <c r="F5709" s="3">
        <v>518220</v>
      </c>
      <c r="G5709" s="3">
        <v>952696</v>
      </c>
      <c r="H5709" s="2">
        <f t="shared" si="178"/>
        <v>2931013</v>
      </c>
      <c r="I5709" t="str">
        <f t="shared" si="179"/>
        <v>Ppia_2931013</v>
      </c>
      <c r="J5709" s="3">
        <v>1020029</v>
      </c>
      <c r="K5709" s="3">
        <v>202372</v>
      </c>
      <c r="L5709" s="3">
        <v>237696</v>
      </c>
      <c r="M5709" s="3">
        <v>518220</v>
      </c>
      <c r="N5709" s="3">
        <v>952696</v>
      </c>
    </row>
    <row r="5710" spans="1:14" x14ac:dyDescent="0.2">
      <c r="A5710" s="5" t="str">
        <f>HYPERLINK("http://www.ncbi.nlm.nih.gov/protein/71774133","Ppib")</f>
        <v>Ppib</v>
      </c>
      <c r="B5710" s="4"/>
      <c r="C5710" s="3">
        <v>372216</v>
      </c>
      <c r="D5710" s="3">
        <v>60442</v>
      </c>
      <c r="E5710" s="3">
        <v>31261</v>
      </c>
      <c r="F5710" s="3">
        <v>17263</v>
      </c>
      <c r="G5710" s="3">
        <v>5708</v>
      </c>
      <c r="H5710" s="2">
        <f t="shared" si="178"/>
        <v>486890</v>
      </c>
      <c r="I5710" t="str">
        <f t="shared" si="179"/>
        <v>Ppib_486890</v>
      </c>
      <c r="J5710" s="3">
        <v>372216</v>
      </c>
      <c r="K5710" s="3">
        <v>60442</v>
      </c>
      <c r="L5710" s="3">
        <v>31261</v>
      </c>
      <c r="M5710" s="3">
        <v>17263</v>
      </c>
      <c r="N5710" s="3">
        <v>5708</v>
      </c>
    </row>
    <row r="5711" spans="1:14" x14ac:dyDescent="0.2">
      <c r="A5711" s="5" t="str">
        <f>HYPERLINK("http://www.ncbi.nlm.nih.gov/protein/6679441","Ppic")</f>
        <v>Ppic</v>
      </c>
      <c r="B5711" s="4"/>
      <c r="C5711" s="3">
        <v>1172</v>
      </c>
      <c r="D5711" s="3">
        <v>919</v>
      </c>
      <c r="E5711" s="3">
        <v>350</v>
      </c>
      <c r="F5711" s="3">
        <v>213</v>
      </c>
      <c r="G5711" s="3">
        <v>1746</v>
      </c>
      <c r="H5711" s="2">
        <f t="shared" si="178"/>
        <v>4400</v>
      </c>
      <c r="I5711" t="str">
        <f t="shared" si="179"/>
        <v>Ppic_4400</v>
      </c>
      <c r="J5711" s="3">
        <v>1172</v>
      </c>
      <c r="K5711" s="3">
        <v>919</v>
      </c>
      <c r="L5711" s="3">
        <v>350</v>
      </c>
      <c r="M5711" s="3">
        <v>213</v>
      </c>
      <c r="N5711" s="3">
        <v>1746</v>
      </c>
    </row>
    <row r="5712" spans="1:14" x14ac:dyDescent="0.2">
      <c r="A5712" s="5" t="str">
        <f>HYPERLINK("http://www.ncbi.nlm.nih.gov/protein/13385854","Ppid")</f>
        <v>Ppid</v>
      </c>
      <c r="B5712" s="4"/>
      <c r="C5712" s="3">
        <v>659</v>
      </c>
      <c r="D5712" s="3">
        <v>2409</v>
      </c>
      <c r="E5712" s="3">
        <v>11023</v>
      </c>
      <c r="F5712" s="3">
        <v>51127</v>
      </c>
      <c r="G5712" s="3">
        <v>223186</v>
      </c>
      <c r="H5712" s="2">
        <f t="shared" si="178"/>
        <v>288404</v>
      </c>
      <c r="I5712" t="str">
        <f t="shared" si="179"/>
        <v>Ppid_288404</v>
      </c>
      <c r="J5712" s="3">
        <v>659</v>
      </c>
      <c r="K5712" s="3">
        <v>2409</v>
      </c>
      <c r="L5712" s="3">
        <v>11023</v>
      </c>
      <c r="M5712" s="3">
        <v>51127</v>
      </c>
      <c r="N5712" s="3">
        <v>223186</v>
      </c>
    </row>
    <row r="5713" spans="1:14" x14ac:dyDescent="0.2">
      <c r="A5713" s="5" t="str">
        <f>HYPERLINK("http://www.ncbi.nlm.nih.gov/protein/14196340","Ppie")</f>
        <v>Ppie</v>
      </c>
      <c r="B5713" s="4"/>
      <c r="C5713" s="3">
        <v>0</v>
      </c>
      <c r="D5713" s="3">
        <v>0</v>
      </c>
      <c r="E5713" s="3">
        <v>0</v>
      </c>
      <c r="F5713" s="3">
        <v>25</v>
      </c>
      <c r="G5713" s="3">
        <v>1917</v>
      </c>
      <c r="H5713" s="2">
        <f t="shared" si="178"/>
        <v>1942</v>
      </c>
      <c r="I5713" t="str">
        <f t="shared" si="179"/>
        <v>Ppie_1942</v>
      </c>
      <c r="J5713" s="3">
        <v>0</v>
      </c>
      <c r="K5713" s="3">
        <v>0</v>
      </c>
      <c r="L5713" s="3">
        <v>0</v>
      </c>
      <c r="M5713" s="3">
        <v>25</v>
      </c>
      <c r="N5713" s="3">
        <v>1917</v>
      </c>
    </row>
    <row r="5714" spans="1:14" x14ac:dyDescent="0.2">
      <c r="A5714" s="5" t="str">
        <f>HYPERLINK("http://www.ncbi.nlm.nih.gov/protein/19527310","Ppif")</f>
        <v>Ppif</v>
      </c>
      <c r="B5714" s="4"/>
      <c r="C5714" s="3">
        <v>0</v>
      </c>
      <c r="D5714" s="3">
        <v>3970</v>
      </c>
      <c r="E5714" s="3">
        <v>0</v>
      </c>
      <c r="F5714" s="3">
        <v>0</v>
      </c>
      <c r="G5714" s="3">
        <v>0</v>
      </c>
      <c r="H5714" s="2">
        <f t="shared" si="178"/>
        <v>3970</v>
      </c>
      <c r="I5714" t="str">
        <f t="shared" si="179"/>
        <v>Ppif_3970</v>
      </c>
      <c r="J5714" s="3">
        <v>0</v>
      </c>
      <c r="K5714" s="3">
        <v>3970</v>
      </c>
      <c r="L5714" s="3">
        <v>0</v>
      </c>
      <c r="M5714" s="3">
        <v>0</v>
      </c>
      <c r="N5714" s="3">
        <v>0</v>
      </c>
    </row>
    <row r="5715" spans="1:14" x14ac:dyDescent="0.2">
      <c r="A5715" s="5" t="str">
        <f>HYPERLINK("http://www.ncbi.nlm.nih.gov/protein/124487333","Ppig")</f>
        <v>Ppig</v>
      </c>
      <c r="B5715" s="4"/>
      <c r="C5715" s="3">
        <v>0</v>
      </c>
      <c r="D5715" s="3">
        <v>2104</v>
      </c>
      <c r="E5715" s="3">
        <v>149</v>
      </c>
      <c r="F5715" s="3">
        <v>884</v>
      </c>
      <c r="G5715" s="3">
        <v>0</v>
      </c>
      <c r="H5715" s="2">
        <f t="shared" si="178"/>
        <v>3137</v>
      </c>
      <c r="I5715" t="str">
        <f t="shared" si="179"/>
        <v>Ppig_3137</v>
      </c>
      <c r="J5715" s="3">
        <v>0</v>
      </c>
      <c r="K5715" s="3">
        <v>2104</v>
      </c>
      <c r="L5715" s="3">
        <v>149</v>
      </c>
      <c r="M5715" s="3">
        <v>884</v>
      </c>
      <c r="N5715" s="3">
        <v>0</v>
      </c>
    </row>
    <row r="5716" spans="1:14" x14ac:dyDescent="0.2">
      <c r="A5716" s="5" t="str">
        <f>HYPERLINK("http://www.ncbi.nlm.nih.gov/protein/158631196","Ppih")</f>
        <v>Ppih</v>
      </c>
      <c r="B5716" s="4"/>
      <c r="C5716" s="3">
        <v>769</v>
      </c>
      <c r="D5716" s="3">
        <v>854</v>
      </c>
      <c r="E5716" s="3">
        <v>754</v>
      </c>
      <c r="F5716" s="3">
        <v>10265</v>
      </c>
      <c r="G5716" s="3">
        <v>3641</v>
      </c>
      <c r="H5716" s="2">
        <f t="shared" si="178"/>
        <v>16283</v>
      </c>
      <c r="I5716" t="str">
        <f t="shared" si="179"/>
        <v>Ppih_16283</v>
      </c>
      <c r="J5716" s="3">
        <v>769</v>
      </c>
      <c r="K5716" s="3">
        <v>854</v>
      </c>
      <c r="L5716" s="3">
        <v>754</v>
      </c>
      <c r="M5716" s="3">
        <v>10265</v>
      </c>
      <c r="N5716" s="3">
        <v>3641</v>
      </c>
    </row>
    <row r="5717" spans="1:14" x14ac:dyDescent="0.2">
      <c r="A5717" s="5" t="str">
        <f>HYPERLINK("http://www.ncbi.nlm.nih.gov/protein/21312022","Ppih")</f>
        <v>Ppih</v>
      </c>
      <c r="B5717" s="4"/>
      <c r="C5717" s="3">
        <v>1849</v>
      </c>
      <c r="D5717" s="3">
        <v>946</v>
      </c>
      <c r="E5717" s="3">
        <v>822</v>
      </c>
      <c r="F5717" s="3">
        <v>9151</v>
      </c>
      <c r="G5717" s="3">
        <v>4059</v>
      </c>
      <c r="H5717" s="2">
        <f t="shared" si="178"/>
        <v>16827</v>
      </c>
      <c r="I5717" t="str">
        <f t="shared" si="179"/>
        <v>Ppih_16827</v>
      </c>
      <c r="J5717" s="3">
        <v>1849</v>
      </c>
      <c r="K5717" s="3">
        <v>946</v>
      </c>
      <c r="L5717" s="3">
        <v>822</v>
      </c>
      <c r="M5717" s="3">
        <v>9151</v>
      </c>
      <c r="N5717" s="3">
        <v>4059</v>
      </c>
    </row>
    <row r="5718" spans="1:14" x14ac:dyDescent="0.2">
      <c r="A5718" s="5" t="str">
        <f>HYPERLINK("http://www.ncbi.nlm.nih.gov/protein/21312784","Ppil1")</f>
        <v>Ppil1</v>
      </c>
      <c r="B5718" s="4"/>
      <c r="C5718" s="3">
        <v>1428</v>
      </c>
      <c r="D5718" s="3">
        <v>4121</v>
      </c>
      <c r="E5718" s="3">
        <v>27401</v>
      </c>
      <c r="F5718" s="3">
        <v>11533</v>
      </c>
      <c r="G5718" s="3">
        <v>26056</v>
      </c>
      <c r="H5718" s="2">
        <f t="shared" si="178"/>
        <v>70539</v>
      </c>
      <c r="I5718" t="str">
        <f t="shared" si="179"/>
        <v>Ppil1_70539</v>
      </c>
      <c r="J5718" s="3">
        <v>1428</v>
      </c>
      <c r="K5718" s="3">
        <v>4121</v>
      </c>
      <c r="L5718" s="3">
        <v>27401</v>
      </c>
      <c r="M5718" s="3">
        <v>11533</v>
      </c>
      <c r="N5718" s="3">
        <v>26056</v>
      </c>
    </row>
    <row r="5719" spans="1:14" x14ac:dyDescent="0.2">
      <c r="A5719" s="5" t="str">
        <f>HYPERLINK("http://www.ncbi.nlm.nih.gov/protein/356995944;30025020","Ppil2")</f>
        <v>Ppil2</v>
      </c>
      <c r="B5719" s="4"/>
      <c r="C5719" s="3">
        <v>0</v>
      </c>
      <c r="D5719" s="3">
        <v>0</v>
      </c>
      <c r="E5719" s="3">
        <v>2008</v>
      </c>
      <c r="F5719" s="3">
        <v>0</v>
      </c>
      <c r="G5719" s="3">
        <v>0</v>
      </c>
      <c r="H5719" s="2">
        <f t="shared" si="178"/>
        <v>2008</v>
      </c>
      <c r="I5719" t="str">
        <f t="shared" si="179"/>
        <v>Ppil2_2008</v>
      </c>
      <c r="J5719" s="3">
        <v>0</v>
      </c>
      <c r="K5719" s="3">
        <v>0</v>
      </c>
      <c r="L5719" s="3">
        <v>2008</v>
      </c>
      <c r="M5719" s="3">
        <v>0</v>
      </c>
      <c r="N5719" s="3">
        <v>0</v>
      </c>
    </row>
    <row r="5720" spans="1:14" x14ac:dyDescent="0.2">
      <c r="A5720" s="5" t="str">
        <f>HYPERLINK("http://www.ncbi.nlm.nih.gov/protein/30025020","Ppil2")</f>
        <v>Ppil2</v>
      </c>
      <c r="B5720" s="4"/>
      <c r="C5720" s="3">
        <v>0</v>
      </c>
      <c r="D5720" s="3">
        <v>334</v>
      </c>
      <c r="E5720" s="3">
        <v>0</v>
      </c>
      <c r="F5720" s="3">
        <v>393</v>
      </c>
      <c r="G5720" s="3">
        <v>118</v>
      </c>
      <c r="H5720" s="2">
        <f t="shared" si="178"/>
        <v>845</v>
      </c>
      <c r="I5720" t="str">
        <f t="shared" si="179"/>
        <v>Ppil2_845</v>
      </c>
      <c r="J5720" s="3">
        <v>0</v>
      </c>
      <c r="K5720" s="3">
        <v>334</v>
      </c>
      <c r="L5720" s="3">
        <v>0</v>
      </c>
      <c r="M5720" s="3">
        <v>393</v>
      </c>
      <c r="N5720" s="3">
        <v>118</v>
      </c>
    </row>
    <row r="5721" spans="1:14" x14ac:dyDescent="0.2">
      <c r="A5721" s="5" t="str">
        <f>HYPERLINK("http://www.ncbi.nlm.nih.gov/protein/169790966","Ppil3")</f>
        <v>Ppil3</v>
      </c>
      <c r="B5721" s="4"/>
      <c r="C5721" s="3">
        <v>0</v>
      </c>
      <c r="D5721" s="3">
        <v>44</v>
      </c>
      <c r="E5721" s="3">
        <v>0</v>
      </c>
      <c r="F5721" s="3">
        <v>0</v>
      </c>
      <c r="G5721" s="3">
        <v>546</v>
      </c>
      <c r="H5721" s="2">
        <f t="shared" si="178"/>
        <v>590</v>
      </c>
      <c r="I5721" t="str">
        <f t="shared" si="179"/>
        <v>Ppil3_590</v>
      </c>
      <c r="J5721" s="3">
        <v>0</v>
      </c>
      <c r="K5721" s="3">
        <v>44</v>
      </c>
      <c r="L5721" s="3">
        <v>0</v>
      </c>
      <c r="M5721" s="3">
        <v>0</v>
      </c>
      <c r="N5721" s="3">
        <v>546</v>
      </c>
    </row>
    <row r="5722" spans="1:14" x14ac:dyDescent="0.2">
      <c r="A5722" s="5" t="str">
        <f>HYPERLINK("http://www.ncbi.nlm.nih.gov/protein/21746159","Ppil3")</f>
        <v>Ppil3</v>
      </c>
      <c r="B5722" s="4"/>
      <c r="C5722" s="3">
        <v>0</v>
      </c>
      <c r="D5722" s="3">
        <v>44</v>
      </c>
      <c r="E5722" s="3">
        <v>0</v>
      </c>
      <c r="F5722" s="3">
        <v>0</v>
      </c>
      <c r="G5722" s="3">
        <v>546</v>
      </c>
      <c r="H5722" s="2">
        <f t="shared" si="178"/>
        <v>590</v>
      </c>
      <c r="I5722" t="str">
        <f t="shared" si="179"/>
        <v>Ppil3_590</v>
      </c>
      <c r="J5722" s="3">
        <v>0</v>
      </c>
      <c r="K5722" s="3">
        <v>44</v>
      </c>
      <c r="L5722" s="3">
        <v>0</v>
      </c>
      <c r="M5722" s="3">
        <v>0</v>
      </c>
      <c r="N5722" s="3">
        <v>546</v>
      </c>
    </row>
    <row r="5723" spans="1:14" x14ac:dyDescent="0.2">
      <c r="A5723" s="5" t="str">
        <f>HYPERLINK("http://www.ncbi.nlm.nih.gov/protein/165972339","Ppil4")</f>
        <v>Ppil4</v>
      </c>
      <c r="B5723" s="4"/>
      <c r="C5723" s="3">
        <v>0</v>
      </c>
      <c r="D5723" s="3">
        <v>0</v>
      </c>
      <c r="E5723" s="3">
        <v>615</v>
      </c>
      <c r="F5723" s="3">
        <v>1154</v>
      </c>
      <c r="G5723" s="3">
        <v>0</v>
      </c>
      <c r="H5723" s="2">
        <f t="shared" si="178"/>
        <v>1769</v>
      </c>
      <c r="I5723" t="str">
        <f t="shared" si="179"/>
        <v>Ppil4_1769</v>
      </c>
      <c r="J5723" s="3">
        <v>0</v>
      </c>
      <c r="K5723" s="3">
        <v>0</v>
      </c>
      <c r="L5723" s="3">
        <v>615</v>
      </c>
      <c r="M5723" s="3">
        <v>1154</v>
      </c>
      <c r="N5723" s="3">
        <v>0</v>
      </c>
    </row>
    <row r="5724" spans="1:14" x14ac:dyDescent="0.2">
      <c r="A5724" s="5" t="str">
        <f>HYPERLINK("http://www.ncbi.nlm.nih.gov/protein/145207986","Ppip5k1")</f>
        <v>Ppip5k1</v>
      </c>
      <c r="B5724" s="4"/>
      <c r="C5724" s="3">
        <v>0</v>
      </c>
      <c r="D5724" s="3">
        <v>65</v>
      </c>
      <c r="E5724" s="3">
        <v>67</v>
      </c>
      <c r="F5724" s="3">
        <v>0</v>
      </c>
      <c r="G5724" s="3">
        <v>0</v>
      </c>
      <c r="H5724" s="2">
        <f t="shared" si="178"/>
        <v>132</v>
      </c>
      <c r="I5724" t="str">
        <f t="shared" si="179"/>
        <v>Ppip5k1_132</v>
      </c>
      <c r="J5724" s="3">
        <v>0</v>
      </c>
      <c r="K5724" s="3">
        <v>65</v>
      </c>
      <c r="L5724" s="3">
        <v>67</v>
      </c>
      <c r="M5724" s="3">
        <v>0</v>
      </c>
      <c r="N5724" s="3">
        <v>0</v>
      </c>
    </row>
    <row r="5725" spans="1:14" x14ac:dyDescent="0.2">
      <c r="A5725" s="5" t="str">
        <f>HYPERLINK("http://www.ncbi.nlm.nih.gov/protein/166706913","Ppip5k2")</f>
        <v>Ppip5k2</v>
      </c>
      <c r="B5725" s="4"/>
      <c r="C5725" s="3">
        <v>0</v>
      </c>
      <c r="D5725" s="3">
        <v>65</v>
      </c>
      <c r="E5725" s="3">
        <v>92</v>
      </c>
      <c r="F5725" s="3">
        <v>0</v>
      </c>
      <c r="G5725" s="3">
        <v>0</v>
      </c>
      <c r="H5725" s="2">
        <f t="shared" si="178"/>
        <v>157</v>
      </c>
      <c r="I5725" t="str">
        <f t="shared" si="179"/>
        <v>Ppip5k2_157</v>
      </c>
      <c r="J5725" s="3">
        <v>0</v>
      </c>
      <c r="K5725" s="3">
        <v>65</v>
      </c>
      <c r="L5725" s="3">
        <v>92</v>
      </c>
      <c r="M5725" s="3">
        <v>0</v>
      </c>
      <c r="N5725" s="3">
        <v>0</v>
      </c>
    </row>
    <row r="5726" spans="1:14" x14ac:dyDescent="0.2">
      <c r="A5726" s="5" t="str">
        <f>HYPERLINK("http://www.ncbi.nlm.nih.gov/protein/112421039","Ppl")</f>
        <v>Ppl</v>
      </c>
      <c r="B5726" s="4"/>
      <c r="C5726" s="3">
        <v>500230</v>
      </c>
      <c r="D5726" s="3">
        <v>19105</v>
      </c>
      <c r="E5726" s="3">
        <v>56702</v>
      </c>
      <c r="F5726" s="3">
        <v>1834</v>
      </c>
      <c r="G5726" s="3">
        <v>47486</v>
      </c>
      <c r="H5726" s="2">
        <f t="shared" si="178"/>
        <v>625357</v>
      </c>
      <c r="I5726" t="str">
        <f t="shared" si="179"/>
        <v>Ppl_625357</v>
      </c>
      <c r="J5726" s="3">
        <v>500230</v>
      </c>
      <c r="K5726" s="3">
        <v>19105</v>
      </c>
      <c r="L5726" s="3">
        <v>56702</v>
      </c>
      <c r="M5726" s="3">
        <v>1834</v>
      </c>
      <c r="N5726" s="3">
        <v>47486</v>
      </c>
    </row>
    <row r="5727" spans="1:14" x14ac:dyDescent="0.2">
      <c r="A5727" s="5" t="str">
        <f>HYPERLINK("http://www.ncbi.nlm.nih.gov/protein/6679443","Ppm1a")</f>
        <v>Ppm1a</v>
      </c>
      <c r="B5727" s="4"/>
      <c r="C5727" s="3">
        <v>0</v>
      </c>
      <c r="D5727" s="3">
        <v>864</v>
      </c>
      <c r="E5727" s="3">
        <v>1136</v>
      </c>
      <c r="F5727" s="3">
        <v>0</v>
      </c>
      <c r="G5727" s="3">
        <v>27106</v>
      </c>
      <c r="H5727" s="2">
        <f t="shared" si="178"/>
        <v>29106</v>
      </c>
      <c r="I5727" t="str">
        <f t="shared" si="179"/>
        <v>Ppm1a_29106</v>
      </c>
      <c r="J5727" s="3">
        <v>0</v>
      </c>
      <c r="K5727" s="3">
        <v>864</v>
      </c>
      <c r="L5727" s="3">
        <v>1136</v>
      </c>
      <c r="M5727" s="3">
        <v>0</v>
      </c>
      <c r="N5727" s="3">
        <v>27106</v>
      </c>
    </row>
    <row r="5728" spans="1:14" x14ac:dyDescent="0.2">
      <c r="A5728" s="5" t="str">
        <f>HYPERLINK("http://www.ncbi.nlm.nih.gov/protein/226958356","Ppm1b")</f>
        <v>Ppm1b</v>
      </c>
      <c r="B5728" s="4"/>
      <c r="C5728" s="3">
        <v>0</v>
      </c>
      <c r="D5728" s="3">
        <v>0</v>
      </c>
      <c r="E5728" s="3">
        <v>686</v>
      </c>
      <c r="F5728" s="3">
        <v>0</v>
      </c>
      <c r="G5728" s="3">
        <v>18902</v>
      </c>
      <c r="H5728" s="2">
        <f t="shared" si="178"/>
        <v>19588</v>
      </c>
      <c r="I5728" t="str">
        <f t="shared" si="179"/>
        <v>Ppm1b_19588</v>
      </c>
      <c r="J5728" s="3">
        <v>0</v>
      </c>
      <c r="K5728" s="3">
        <v>0</v>
      </c>
      <c r="L5728" s="3">
        <v>686</v>
      </c>
      <c r="M5728" s="3">
        <v>0</v>
      </c>
      <c r="N5728" s="3">
        <v>18902</v>
      </c>
    </row>
    <row r="5729" spans="1:14" x14ac:dyDescent="0.2">
      <c r="A5729" s="5" t="str">
        <f>HYPERLINK("http://www.ncbi.nlm.nih.gov/protein/226958358","Ppm1b")</f>
        <v>Ppm1b</v>
      </c>
      <c r="B5729" s="4"/>
      <c r="C5729" s="3">
        <v>0</v>
      </c>
      <c r="D5729" s="3">
        <v>0</v>
      </c>
      <c r="E5729" s="3">
        <v>686</v>
      </c>
      <c r="F5729" s="3">
        <v>0</v>
      </c>
      <c r="G5729" s="3">
        <v>18902</v>
      </c>
      <c r="H5729" s="2">
        <f t="shared" si="178"/>
        <v>19588</v>
      </c>
      <c r="I5729" t="str">
        <f t="shared" si="179"/>
        <v>Ppm1b_19588</v>
      </c>
      <c r="J5729" s="3">
        <v>0</v>
      </c>
      <c r="K5729" s="3">
        <v>0</v>
      </c>
      <c r="L5729" s="3">
        <v>686</v>
      </c>
      <c r="M5729" s="3">
        <v>0</v>
      </c>
      <c r="N5729" s="3">
        <v>18902</v>
      </c>
    </row>
    <row r="5730" spans="1:14" x14ac:dyDescent="0.2">
      <c r="A5730" s="5" t="str">
        <f>HYPERLINK("http://www.ncbi.nlm.nih.gov/protein/33859600","Ppm1b")</f>
        <v>Ppm1b</v>
      </c>
      <c r="B5730" s="4"/>
      <c r="C5730" s="3">
        <v>0</v>
      </c>
      <c r="D5730" s="3">
        <v>0</v>
      </c>
      <c r="E5730" s="3">
        <v>686</v>
      </c>
      <c r="F5730" s="3">
        <v>0</v>
      </c>
      <c r="G5730" s="3">
        <v>18902</v>
      </c>
      <c r="H5730" s="2">
        <f t="shared" si="178"/>
        <v>19588</v>
      </c>
      <c r="I5730" t="str">
        <f t="shared" si="179"/>
        <v>Ppm1b_19588</v>
      </c>
      <c r="J5730" s="3">
        <v>0</v>
      </c>
      <c r="K5730" s="3">
        <v>0</v>
      </c>
      <c r="L5730" s="3">
        <v>686</v>
      </c>
      <c r="M5730" s="3">
        <v>0</v>
      </c>
      <c r="N5730" s="3">
        <v>18902</v>
      </c>
    </row>
    <row r="5731" spans="1:14" x14ac:dyDescent="0.2">
      <c r="A5731" s="5" t="str">
        <f>HYPERLINK("http://www.ncbi.nlm.nih.gov/protein/226958354","Ppm1b")</f>
        <v>Ppm1b</v>
      </c>
      <c r="B5731" s="4"/>
      <c r="C5731" s="3">
        <v>10398</v>
      </c>
      <c r="D5731" s="3">
        <v>0</v>
      </c>
      <c r="E5731" s="3">
        <v>686</v>
      </c>
      <c r="F5731" s="3">
        <v>0</v>
      </c>
      <c r="G5731" s="3">
        <v>18902</v>
      </c>
      <c r="H5731" s="2">
        <f t="shared" si="178"/>
        <v>29986</v>
      </c>
      <c r="I5731" t="str">
        <f t="shared" si="179"/>
        <v>Ppm1b_29986</v>
      </c>
      <c r="J5731" s="3">
        <v>10398</v>
      </c>
      <c r="K5731" s="3">
        <v>0</v>
      </c>
      <c r="L5731" s="3">
        <v>686</v>
      </c>
      <c r="M5731" s="3">
        <v>0</v>
      </c>
      <c r="N5731" s="3">
        <v>18902</v>
      </c>
    </row>
    <row r="5732" spans="1:14" x14ac:dyDescent="0.2">
      <c r="A5732" s="5" t="str">
        <f>HYPERLINK("http://www.ncbi.nlm.nih.gov/protein/28849881","Ppm1f")</f>
        <v>Ppm1f</v>
      </c>
      <c r="B5732" s="4"/>
      <c r="C5732" s="3">
        <v>0</v>
      </c>
      <c r="D5732" s="3">
        <v>0</v>
      </c>
      <c r="E5732" s="3">
        <v>0</v>
      </c>
      <c r="F5732" s="3">
        <v>0</v>
      </c>
      <c r="G5732" s="3">
        <v>13387</v>
      </c>
      <c r="H5732" s="2">
        <f t="shared" si="178"/>
        <v>13387</v>
      </c>
      <c r="I5732" t="str">
        <f t="shared" si="179"/>
        <v>Ppm1f_13387</v>
      </c>
      <c r="J5732" s="3">
        <v>0</v>
      </c>
      <c r="K5732" s="3">
        <v>0</v>
      </c>
      <c r="L5732" s="3">
        <v>0</v>
      </c>
      <c r="M5732" s="3">
        <v>0</v>
      </c>
      <c r="N5732" s="3">
        <v>13387</v>
      </c>
    </row>
    <row r="5733" spans="1:14" x14ac:dyDescent="0.2">
      <c r="A5733" s="5" t="str">
        <f>HYPERLINK("http://www.ncbi.nlm.nih.gov/protein/6679793","Ppm1g")</f>
        <v>Ppm1g</v>
      </c>
      <c r="B5733" s="4"/>
      <c r="C5733" s="3">
        <v>0</v>
      </c>
      <c r="D5733" s="3">
        <v>1733</v>
      </c>
      <c r="E5733" s="3">
        <v>3847</v>
      </c>
      <c r="F5733" s="3">
        <v>1154</v>
      </c>
      <c r="G5733" s="3">
        <v>79497</v>
      </c>
      <c r="H5733" s="2">
        <f t="shared" si="178"/>
        <v>86231</v>
      </c>
      <c r="I5733" t="str">
        <f t="shared" si="179"/>
        <v>Ppm1g_86231</v>
      </c>
      <c r="J5733" s="3">
        <v>0</v>
      </c>
      <c r="K5733" s="3">
        <v>1733</v>
      </c>
      <c r="L5733" s="3">
        <v>3847</v>
      </c>
      <c r="M5733" s="3">
        <v>1154</v>
      </c>
      <c r="N5733" s="3">
        <v>79497</v>
      </c>
    </row>
    <row r="5734" spans="1:14" x14ac:dyDescent="0.2">
      <c r="A5734" s="5" t="str">
        <f>HYPERLINK("http://www.ncbi.nlm.nih.gov/protein/160358864","Ppm1h")</f>
        <v>Ppm1h</v>
      </c>
      <c r="B5734" s="4"/>
      <c r="C5734" s="3">
        <v>0</v>
      </c>
      <c r="D5734" s="3">
        <v>0</v>
      </c>
      <c r="E5734" s="3">
        <v>105</v>
      </c>
      <c r="F5734" s="3">
        <v>565</v>
      </c>
      <c r="G5734" s="3">
        <v>0</v>
      </c>
      <c r="H5734" s="2">
        <f t="shared" si="178"/>
        <v>670</v>
      </c>
      <c r="I5734" t="str">
        <f t="shared" si="179"/>
        <v>Ppm1h_670</v>
      </c>
      <c r="J5734" s="3">
        <v>0</v>
      </c>
      <c r="K5734" s="3">
        <v>0</v>
      </c>
      <c r="L5734" s="3">
        <v>105</v>
      </c>
      <c r="M5734" s="3">
        <v>565</v>
      </c>
      <c r="N5734" s="3">
        <v>0</v>
      </c>
    </row>
    <row r="5735" spans="1:14" x14ac:dyDescent="0.2">
      <c r="A5735" s="5" t="str">
        <f>HYPERLINK("http://www.ncbi.nlm.nih.gov/protein/160358866","Ppm1h")</f>
        <v>Ppm1h</v>
      </c>
      <c r="B5735" s="4"/>
      <c r="C5735" s="3">
        <v>0</v>
      </c>
      <c r="D5735" s="3">
        <v>0</v>
      </c>
      <c r="E5735" s="3">
        <v>105</v>
      </c>
      <c r="F5735" s="3">
        <v>565</v>
      </c>
      <c r="G5735" s="3">
        <v>0</v>
      </c>
      <c r="H5735" s="2">
        <f t="shared" si="178"/>
        <v>670</v>
      </c>
      <c r="I5735" t="str">
        <f t="shared" si="179"/>
        <v>Ppm1h_670</v>
      </c>
      <c r="J5735" s="3">
        <v>0</v>
      </c>
      <c r="K5735" s="3">
        <v>0</v>
      </c>
      <c r="L5735" s="3">
        <v>105</v>
      </c>
      <c r="M5735" s="3">
        <v>565</v>
      </c>
      <c r="N5735" s="3">
        <v>0</v>
      </c>
    </row>
    <row r="5736" spans="1:14" x14ac:dyDescent="0.2">
      <c r="A5736" s="5" t="str">
        <f>HYPERLINK("http://www.ncbi.nlm.nih.gov/protein/66392585","Ppm1l")</f>
        <v>Ppm1l</v>
      </c>
      <c r="B5736" s="4"/>
      <c r="C5736" s="3">
        <v>0</v>
      </c>
      <c r="D5736" s="3">
        <v>29</v>
      </c>
      <c r="E5736" s="3">
        <v>0</v>
      </c>
      <c r="F5736" s="3">
        <v>0</v>
      </c>
      <c r="G5736" s="3">
        <v>0</v>
      </c>
      <c r="H5736" s="2">
        <f t="shared" si="178"/>
        <v>29</v>
      </c>
      <c r="I5736" t="str">
        <f t="shared" si="179"/>
        <v>Ppm1l_29</v>
      </c>
      <c r="J5736" s="3">
        <v>0</v>
      </c>
      <c r="K5736" s="3">
        <v>29</v>
      </c>
      <c r="L5736" s="3">
        <v>0</v>
      </c>
      <c r="M5736" s="3">
        <v>0</v>
      </c>
      <c r="N5736" s="3">
        <v>0</v>
      </c>
    </row>
    <row r="5737" spans="1:14" x14ac:dyDescent="0.2">
      <c r="A5737" s="5" t="str">
        <f>HYPERLINK("http://www.ncbi.nlm.nih.gov/protein/30794138","Ppme1")</f>
        <v>Ppme1</v>
      </c>
      <c r="B5737" s="4"/>
      <c r="C5737" s="3">
        <v>0</v>
      </c>
      <c r="D5737" s="3">
        <v>804</v>
      </c>
      <c r="E5737" s="3">
        <v>465</v>
      </c>
      <c r="F5737" s="3">
        <v>0</v>
      </c>
      <c r="G5737" s="3">
        <v>13826</v>
      </c>
      <c r="H5737" s="2">
        <f t="shared" si="178"/>
        <v>15095</v>
      </c>
      <c r="I5737" t="str">
        <f t="shared" si="179"/>
        <v>Ppme1_15095</v>
      </c>
      <c r="J5737" s="3">
        <v>0</v>
      </c>
      <c r="K5737" s="3">
        <v>804</v>
      </c>
      <c r="L5737" s="3">
        <v>465</v>
      </c>
      <c r="M5737" s="3">
        <v>0</v>
      </c>
      <c r="N5737" s="3">
        <v>13826</v>
      </c>
    </row>
    <row r="5738" spans="1:14" x14ac:dyDescent="0.2">
      <c r="A5738" s="5" t="str">
        <f>HYPERLINK("http://www.ncbi.nlm.nih.gov/protein/6679445","Ppox")</f>
        <v>Ppox</v>
      </c>
      <c r="B5738" s="4"/>
      <c r="C5738" s="3">
        <v>0</v>
      </c>
      <c r="D5738" s="3">
        <v>1998</v>
      </c>
      <c r="E5738" s="3">
        <v>0</v>
      </c>
      <c r="F5738" s="3">
        <v>0</v>
      </c>
      <c r="G5738" s="3">
        <v>0</v>
      </c>
      <c r="H5738" s="2">
        <f t="shared" si="178"/>
        <v>1998</v>
      </c>
      <c r="I5738" t="str">
        <f t="shared" si="179"/>
        <v>Ppox_1998</v>
      </c>
      <c r="J5738" s="3">
        <v>0</v>
      </c>
      <c r="K5738" s="3">
        <v>1998</v>
      </c>
      <c r="L5738" s="3">
        <v>0</v>
      </c>
      <c r="M5738" s="3">
        <v>0</v>
      </c>
      <c r="N5738" s="3">
        <v>0</v>
      </c>
    </row>
    <row r="5739" spans="1:14" x14ac:dyDescent="0.2">
      <c r="A5739" s="5" t="str">
        <f>HYPERLINK("http://www.ncbi.nlm.nih.gov/protein/13994195","Ppp1ca")</f>
        <v>Ppp1ca</v>
      </c>
      <c r="B5739" s="4"/>
      <c r="C5739" s="3">
        <v>258646</v>
      </c>
      <c r="D5739" s="3">
        <v>71568</v>
      </c>
      <c r="E5739" s="3">
        <v>66616</v>
      </c>
      <c r="F5739" s="3">
        <v>86423</v>
      </c>
      <c r="G5739" s="3">
        <v>315705</v>
      </c>
      <c r="H5739" s="2">
        <f t="shared" si="178"/>
        <v>798958</v>
      </c>
      <c r="I5739" t="str">
        <f t="shared" si="179"/>
        <v>Ppp1ca_798958</v>
      </c>
      <c r="J5739" s="3">
        <v>258646</v>
      </c>
      <c r="K5739" s="3">
        <v>71568</v>
      </c>
      <c r="L5739" s="3">
        <v>66616</v>
      </c>
      <c r="M5739" s="3">
        <v>86423</v>
      </c>
      <c r="N5739" s="3">
        <v>315705</v>
      </c>
    </row>
    <row r="5740" spans="1:14" x14ac:dyDescent="0.2">
      <c r="A5740" s="5" t="str">
        <f>HYPERLINK("http://www.ncbi.nlm.nih.gov/protein/161484668","Ppp1cb")</f>
        <v>Ppp1cb</v>
      </c>
      <c r="B5740" s="4"/>
      <c r="C5740" s="3">
        <v>228807</v>
      </c>
      <c r="D5740" s="3">
        <v>77772</v>
      </c>
      <c r="E5740" s="3">
        <v>60590</v>
      </c>
      <c r="F5740" s="3">
        <v>81176</v>
      </c>
      <c r="G5740" s="3">
        <v>335989</v>
      </c>
      <c r="H5740" s="2">
        <f t="shared" si="178"/>
        <v>784334</v>
      </c>
      <c r="I5740" t="str">
        <f t="shared" si="179"/>
        <v>Ppp1cb_784334</v>
      </c>
      <c r="J5740" s="3">
        <v>228807</v>
      </c>
      <c r="K5740" s="3">
        <v>77772</v>
      </c>
      <c r="L5740" s="3">
        <v>60590</v>
      </c>
      <c r="M5740" s="3">
        <v>81176</v>
      </c>
      <c r="N5740" s="3">
        <v>335989</v>
      </c>
    </row>
    <row r="5741" spans="1:14" x14ac:dyDescent="0.2">
      <c r="A5741" s="5" t="str">
        <f>HYPERLINK("http://www.ncbi.nlm.nih.gov/protein/31980772","Ppp1cc")</f>
        <v>Ppp1cc</v>
      </c>
      <c r="B5741" s="4"/>
      <c r="C5741" s="3">
        <v>196735</v>
      </c>
      <c r="D5741" s="3">
        <v>67114</v>
      </c>
      <c r="E5741" s="3">
        <v>51133</v>
      </c>
      <c r="F5741" s="3">
        <v>69602</v>
      </c>
      <c r="G5741" s="3">
        <v>285280</v>
      </c>
      <c r="H5741" s="2">
        <f t="shared" si="178"/>
        <v>669864</v>
      </c>
      <c r="I5741" t="str">
        <f t="shared" si="179"/>
        <v>Ppp1cc_669864</v>
      </c>
      <c r="J5741" s="3">
        <v>196735</v>
      </c>
      <c r="K5741" s="3">
        <v>67114</v>
      </c>
      <c r="L5741" s="3">
        <v>51133</v>
      </c>
      <c r="M5741" s="3">
        <v>69602</v>
      </c>
      <c r="N5741" s="3">
        <v>285280</v>
      </c>
    </row>
    <row r="5742" spans="1:14" x14ac:dyDescent="0.2">
      <c r="A5742" s="5" t="str">
        <f>HYPERLINK("http://www.ncbi.nlm.nih.gov/protein/255308881","Ppp1r10")</f>
        <v>Ppp1r10</v>
      </c>
      <c r="B5742" s="4"/>
      <c r="C5742" s="3">
        <v>0</v>
      </c>
      <c r="D5742" s="3">
        <v>0</v>
      </c>
      <c r="E5742" s="3">
        <v>13</v>
      </c>
      <c r="F5742" s="3">
        <v>0</v>
      </c>
      <c r="G5742" s="3">
        <v>0</v>
      </c>
      <c r="H5742" s="2">
        <f t="shared" si="178"/>
        <v>13</v>
      </c>
      <c r="I5742" t="str">
        <f t="shared" si="179"/>
        <v>Ppp1r10_13</v>
      </c>
      <c r="J5742" s="3">
        <v>0</v>
      </c>
      <c r="K5742" s="3">
        <v>0</v>
      </c>
      <c r="L5742" s="3">
        <v>13</v>
      </c>
      <c r="M5742" s="3">
        <v>0</v>
      </c>
      <c r="N5742" s="3">
        <v>0</v>
      </c>
    </row>
    <row r="5743" spans="1:14" x14ac:dyDescent="0.2">
      <c r="A5743" s="5" t="str">
        <f>HYPERLINK("http://www.ncbi.nlm.nih.gov/protein/18390327","Ppp1r11")</f>
        <v>Ppp1r11</v>
      </c>
      <c r="B5743" s="4"/>
      <c r="C5743" s="3">
        <v>0</v>
      </c>
      <c r="D5743" s="3">
        <v>0</v>
      </c>
      <c r="E5743" s="3">
        <v>0</v>
      </c>
      <c r="F5743" s="3">
        <v>0</v>
      </c>
      <c r="G5743" s="3">
        <v>1799</v>
      </c>
      <c r="H5743" s="2">
        <f t="shared" si="178"/>
        <v>1799</v>
      </c>
      <c r="I5743" t="str">
        <f t="shared" si="179"/>
        <v>Ppp1r11_1799</v>
      </c>
      <c r="J5743" s="3">
        <v>0</v>
      </c>
      <c r="K5743" s="3">
        <v>0</v>
      </c>
      <c r="L5743" s="3">
        <v>0</v>
      </c>
      <c r="M5743" s="3">
        <v>0</v>
      </c>
      <c r="N5743" s="3">
        <v>1799</v>
      </c>
    </row>
    <row r="5744" spans="1:14" x14ac:dyDescent="0.2">
      <c r="A5744" s="5" t="str">
        <f>HYPERLINK("http://www.ncbi.nlm.nih.gov/protein/95772123","Ppp1r12a")</f>
        <v>Ppp1r12a</v>
      </c>
      <c r="B5744" s="4"/>
      <c r="C5744" s="3">
        <v>0</v>
      </c>
      <c r="D5744" s="3">
        <v>1470</v>
      </c>
      <c r="E5744" s="3">
        <v>486</v>
      </c>
      <c r="F5744" s="3">
        <v>2660</v>
      </c>
      <c r="G5744" s="3">
        <v>11116</v>
      </c>
      <c r="H5744" s="2">
        <f t="shared" si="178"/>
        <v>15732</v>
      </c>
      <c r="I5744" t="str">
        <f t="shared" si="179"/>
        <v>Ppp1r12a_15732</v>
      </c>
      <c r="J5744" s="3">
        <v>0</v>
      </c>
      <c r="K5744" s="3">
        <v>1470</v>
      </c>
      <c r="L5744" s="3">
        <v>486</v>
      </c>
      <c r="M5744" s="3">
        <v>2660</v>
      </c>
      <c r="N5744" s="3">
        <v>11116</v>
      </c>
    </row>
    <row r="5745" spans="1:14" x14ac:dyDescent="0.2">
      <c r="A5745" s="5" t="str">
        <f>HYPERLINK("http://www.ncbi.nlm.nih.gov/protein/124486803","Ppp1r12b")</f>
        <v>Ppp1r12b</v>
      </c>
      <c r="B5745" s="4"/>
      <c r="C5745" s="3">
        <v>0</v>
      </c>
      <c r="D5745" s="3">
        <v>202</v>
      </c>
      <c r="E5745" s="3">
        <v>0</v>
      </c>
      <c r="F5745" s="3">
        <v>516</v>
      </c>
      <c r="G5745" s="3">
        <v>2056</v>
      </c>
      <c r="H5745" s="2">
        <f t="shared" si="178"/>
        <v>2774</v>
      </c>
      <c r="I5745" t="str">
        <f t="shared" si="179"/>
        <v>Ppp1r12b_2774</v>
      </c>
      <c r="J5745" s="3">
        <v>0</v>
      </c>
      <c r="K5745" s="3">
        <v>202</v>
      </c>
      <c r="L5745" s="3">
        <v>0</v>
      </c>
      <c r="M5745" s="3">
        <v>516</v>
      </c>
      <c r="N5745" s="3">
        <v>2056</v>
      </c>
    </row>
    <row r="5746" spans="1:14" x14ac:dyDescent="0.2">
      <c r="A5746" s="5" t="str">
        <f>HYPERLINK("http://www.ncbi.nlm.nih.gov/protein/45592936","Ppp1r13b")</f>
        <v>Ppp1r13b</v>
      </c>
      <c r="B5746" s="4"/>
      <c r="C5746" s="3">
        <v>0</v>
      </c>
      <c r="D5746" s="3">
        <v>1081</v>
      </c>
      <c r="E5746" s="3">
        <v>1692</v>
      </c>
      <c r="F5746" s="3">
        <v>79089</v>
      </c>
      <c r="G5746" s="3">
        <v>4819</v>
      </c>
      <c r="H5746" s="2">
        <f t="shared" si="178"/>
        <v>86681</v>
      </c>
      <c r="I5746" t="str">
        <f t="shared" si="179"/>
        <v>Ppp1r13b_86681</v>
      </c>
      <c r="J5746" s="3">
        <v>0</v>
      </c>
      <c r="K5746" s="3">
        <v>1081</v>
      </c>
      <c r="L5746" s="3">
        <v>1692</v>
      </c>
      <c r="M5746" s="3">
        <v>79089</v>
      </c>
      <c r="N5746" s="3">
        <v>4819</v>
      </c>
    </row>
    <row r="5747" spans="1:14" x14ac:dyDescent="0.2">
      <c r="A5747" s="5" t="str">
        <f>HYPERLINK("http://www.ncbi.nlm.nih.gov/protein/58082069","Ppp1r13l")</f>
        <v>Ppp1r13l</v>
      </c>
      <c r="B5747" s="4"/>
      <c r="C5747" s="3">
        <v>0</v>
      </c>
      <c r="D5747" s="3">
        <v>50</v>
      </c>
      <c r="E5747" s="3">
        <v>54</v>
      </c>
      <c r="F5747" s="3">
        <v>0</v>
      </c>
      <c r="G5747" s="3">
        <v>0</v>
      </c>
      <c r="H5747" s="2">
        <f t="shared" si="178"/>
        <v>104</v>
      </c>
      <c r="I5747" t="str">
        <f t="shared" si="179"/>
        <v>Ppp1r13l_104</v>
      </c>
      <c r="J5747" s="3">
        <v>0</v>
      </c>
      <c r="K5747" s="3">
        <v>50</v>
      </c>
      <c r="L5747" s="3">
        <v>54</v>
      </c>
      <c r="M5747" s="3">
        <v>0</v>
      </c>
      <c r="N5747" s="3">
        <v>0</v>
      </c>
    </row>
    <row r="5748" spans="1:14" x14ac:dyDescent="0.2">
      <c r="A5748" s="5" t="str">
        <f>HYPERLINK("http://www.ncbi.nlm.nih.gov/protein/62122946","Ppp1r14b")</f>
        <v>Ppp1r14b</v>
      </c>
      <c r="B5748" s="4"/>
      <c r="C5748" s="3">
        <v>0</v>
      </c>
      <c r="D5748" s="3">
        <v>73</v>
      </c>
      <c r="E5748" s="3">
        <v>0</v>
      </c>
      <c r="F5748" s="3">
        <v>0</v>
      </c>
      <c r="G5748" s="3">
        <v>2442</v>
      </c>
      <c r="H5748" s="2">
        <f t="shared" si="178"/>
        <v>2515</v>
      </c>
      <c r="I5748" t="str">
        <f t="shared" si="179"/>
        <v>Ppp1r14b_2515</v>
      </c>
      <c r="J5748" s="3">
        <v>0</v>
      </c>
      <c r="K5748" s="3">
        <v>73</v>
      </c>
      <c r="L5748" s="3">
        <v>0</v>
      </c>
      <c r="M5748" s="3">
        <v>0</v>
      </c>
      <c r="N5748" s="3">
        <v>2442</v>
      </c>
    </row>
    <row r="5749" spans="1:14" x14ac:dyDescent="0.2">
      <c r="A5749" s="5" t="str">
        <f>HYPERLINK("http://www.ncbi.nlm.nih.gov/protein/226443075;226443079","Ppp1r18")</f>
        <v>Ppp1r18</v>
      </c>
      <c r="B5749" s="4"/>
      <c r="C5749" s="3">
        <v>0</v>
      </c>
      <c r="D5749" s="3">
        <v>0</v>
      </c>
      <c r="E5749" s="3">
        <v>531</v>
      </c>
      <c r="F5749" s="3">
        <v>0</v>
      </c>
      <c r="G5749" s="3">
        <v>0</v>
      </c>
      <c r="H5749" s="2">
        <f t="shared" si="178"/>
        <v>531</v>
      </c>
      <c r="I5749" t="str">
        <f t="shared" si="179"/>
        <v>Ppp1r18_531</v>
      </c>
      <c r="J5749" s="3">
        <v>0</v>
      </c>
      <c r="K5749" s="3">
        <v>0</v>
      </c>
      <c r="L5749" s="3">
        <v>531</v>
      </c>
      <c r="M5749" s="3">
        <v>0</v>
      </c>
      <c r="N5749" s="3">
        <v>0</v>
      </c>
    </row>
    <row r="5750" spans="1:14" x14ac:dyDescent="0.2">
      <c r="A5750" s="5" t="str">
        <f>HYPERLINK("http://www.ncbi.nlm.nih.gov/protein/21536256","Ppp1r1b")</f>
        <v>Ppp1r1b</v>
      </c>
      <c r="B5750" s="4"/>
      <c r="C5750" s="3">
        <v>0</v>
      </c>
      <c r="D5750" s="3">
        <v>0</v>
      </c>
      <c r="E5750" s="3">
        <v>0</v>
      </c>
      <c r="F5750" s="3">
        <v>0</v>
      </c>
      <c r="G5750" s="3">
        <v>11</v>
      </c>
      <c r="H5750" s="2">
        <f t="shared" si="178"/>
        <v>11</v>
      </c>
      <c r="I5750" t="str">
        <f t="shared" si="179"/>
        <v>Ppp1r1b_11</v>
      </c>
      <c r="J5750" s="3">
        <v>0</v>
      </c>
      <c r="K5750" s="3">
        <v>0</v>
      </c>
      <c r="L5750" s="3">
        <v>0</v>
      </c>
      <c r="M5750" s="3">
        <v>0</v>
      </c>
      <c r="N5750" s="3">
        <v>11</v>
      </c>
    </row>
    <row r="5751" spans="1:14" x14ac:dyDescent="0.2">
      <c r="A5751" s="5" t="str">
        <f>HYPERLINK("http://www.ncbi.nlm.nih.gov/protein/18859587","Ppp1r2")</f>
        <v>Ppp1r2</v>
      </c>
      <c r="B5751" s="4"/>
      <c r="C5751" s="3">
        <v>0</v>
      </c>
      <c r="D5751" s="3">
        <v>0</v>
      </c>
      <c r="E5751" s="3">
        <v>15</v>
      </c>
      <c r="F5751" s="3">
        <v>0</v>
      </c>
      <c r="G5751" s="3">
        <v>0</v>
      </c>
      <c r="H5751" s="2">
        <f t="shared" si="178"/>
        <v>15</v>
      </c>
      <c r="I5751" t="str">
        <f t="shared" si="179"/>
        <v>Ppp1r2_15</v>
      </c>
      <c r="J5751" s="3">
        <v>0</v>
      </c>
      <c r="K5751" s="3">
        <v>0</v>
      </c>
      <c r="L5751" s="3">
        <v>15</v>
      </c>
      <c r="M5751" s="3">
        <v>0</v>
      </c>
      <c r="N5751" s="3">
        <v>0</v>
      </c>
    </row>
    <row r="5752" spans="1:14" x14ac:dyDescent="0.2">
      <c r="A5752" s="5" t="str">
        <f>HYPERLINK("http://www.ncbi.nlm.nih.gov/protein/254911014","Ppp1r21")</f>
        <v>Ppp1r21</v>
      </c>
      <c r="B5752" s="4"/>
      <c r="C5752" s="3">
        <v>0</v>
      </c>
      <c r="D5752" s="3">
        <v>180</v>
      </c>
      <c r="E5752" s="3">
        <v>101</v>
      </c>
      <c r="F5752" s="3">
        <v>933</v>
      </c>
      <c r="G5752" s="3">
        <v>2078</v>
      </c>
      <c r="H5752" s="2">
        <f t="shared" si="178"/>
        <v>3292</v>
      </c>
      <c r="I5752" t="str">
        <f t="shared" si="179"/>
        <v>Ppp1r21_3292</v>
      </c>
      <c r="J5752" s="3">
        <v>0</v>
      </c>
      <c r="K5752" s="3">
        <v>180</v>
      </c>
      <c r="L5752" s="3">
        <v>101</v>
      </c>
      <c r="M5752" s="3">
        <v>933</v>
      </c>
      <c r="N5752" s="3">
        <v>2078</v>
      </c>
    </row>
    <row r="5753" spans="1:14" x14ac:dyDescent="0.2">
      <c r="A5753" s="5" t="str">
        <f>HYPERLINK("http://www.ncbi.nlm.nih.gov/protein/12963569","Ppp1r7")</f>
        <v>Ppp1r7</v>
      </c>
      <c r="B5753" s="4"/>
      <c r="C5753" s="3">
        <v>0</v>
      </c>
      <c r="D5753" s="3">
        <v>3305</v>
      </c>
      <c r="E5753" s="3">
        <v>4485</v>
      </c>
      <c r="F5753" s="3">
        <v>0</v>
      </c>
      <c r="G5753" s="3">
        <v>199186</v>
      </c>
      <c r="H5753" s="2">
        <f t="shared" si="178"/>
        <v>206976</v>
      </c>
      <c r="I5753" t="str">
        <f t="shared" si="179"/>
        <v>Ppp1r7_206976</v>
      </c>
      <c r="J5753" s="3">
        <v>0</v>
      </c>
      <c r="K5753" s="3">
        <v>3305</v>
      </c>
      <c r="L5753" s="3">
        <v>4485</v>
      </c>
      <c r="M5753" s="3">
        <v>0</v>
      </c>
      <c r="N5753" s="3">
        <v>199186</v>
      </c>
    </row>
    <row r="5754" spans="1:14" x14ac:dyDescent="0.2">
      <c r="A5754" s="5" t="str">
        <f>HYPERLINK("http://www.ncbi.nlm.nih.gov/protein/22122685","Ppp1r8")</f>
        <v>Ppp1r8</v>
      </c>
      <c r="B5754" s="4"/>
      <c r="C5754" s="3">
        <v>0</v>
      </c>
      <c r="D5754" s="3">
        <v>0</v>
      </c>
      <c r="E5754" s="3">
        <v>0</v>
      </c>
      <c r="F5754" s="3">
        <v>0</v>
      </c>
      <c r="G5754" s="3">
        <v>1906</v>
      </c>
      <c r="H5754" s="2">
        <f t="shared" si="178"/>
        <v>1906</v>
      </c>
      <c r="I5754" t="str">
        <f t="shared" si="179"/>
        <v>Ppp1r8_1906</v>
      </c>
      <c r="J5754" s="3">
        <v>0</v>
      </c>
      <c r="K5754" s="3">
        <v>0</v>
      </c>
      <c r="L5754" s="3">
        <v>0</v>
      </c>
      <c r="M5754" s="3">
        <v>0</v>
      </c>
      <c r="N5754" s="3">
        <v>1906</v>
      </c>
    </row>
    <row r="5755" spans="1:14" x14ac:dyDescent="0.2">
      <c r="A5755" s="5" t="str">
        <f>HYPERLINK("http://www.ncbi.nlm.nih.gov/protein/31711997","Ppp1r9a")</f>
        <v>Ppp1r9a</v>
      </c>
      <c r="B5755" s="4"/>
      <c r="C5755" s="3">
        <v>14297</v>
      </c>
      <c r="D5755" s="3">
        <v>1349</v>
      </c>
      <c r="E5755" s="3">
        <v>262</v>
      </c>
      <c r="F5755" s="3">
        <v>0</v>
      </c>
      <c r="G5755" s="3">
        <v>0</v>
      </c>
      <c r="H5755" s="2">
        <f t="shared" si="178"/>
        <v>15908</v>
      </c>
      <c r="I5755" t="str">
        <f t="shared" si="179"/>
        <v>Ppp1r9a_15908</v>
      </c>
      <c r="J5755" s="3">
        <v>14297</v>
      </c>
      <c r="K5755" s="3">
        <v>1349</v>
      </c>
      <c r="L5755" s="3">
        <v>262</v>
      </c>
      <c r="M5755" s="3">
        <v>0</v>
      </c>
      <c r="N5755" s="3">
        <v>0</v>
      </c>
    </row>
    <row r="5756" spans="1:14" x14ac:dyDescent="0.2">
      <c r="A5756" s="5" t="str">
        <f>HYPERLINK("http://www.ncbi.nlm.nih.gov/protein/50053703","Ppp1r9b")</f>
        <v>Ppp1r9b</v>
      </c>
      <c r="B5756" s="4"/>
      <c r="C5756" s="3">
        <v>14297</v>
      </c>
      <c r="D5756" s="3">
        <v>1349</v>
      </c>
      <c r="E5756" s="3">
        <v>266</v>
      </c>
      <c r="F5756" s="3">
        <v>0</v>
      </c>
      <c r="G5756" s="3">
        <v>0</v>
      </c>
      <c r="H5756" s="2">
        <f t="shared" si="178"/>
        <v>15912</v>
      </c>
      <c r="I5756" t="str">
        <f t="shared" si="179"/>
        <v>Ppp1r9b_15912</v>
      </c>
      <c r="J5756" s="3">
        <v>14297</v>
      </c>
      <c r="K5756" s="3">
        <v>1349</v>
      </c>
      <c r="L5756" s="3">
        <v>266</v>
      </c>
      <c r="M5756" s="3">
        <v>0</v>
      </c>
      <c r="N5756" s="3">
        <v>0</v>
      </c>
    </row>
    <row r="5757" spans="1:14" x14ac:dyDescent="0.2">
      <c r="A5757" s="5" t="str">
        <f>HYPERLINK("http://www.ncbi.nlm.nih.gov/protein/9506983","Ppp2ca")</f>
        <v>Ppp2ca</v>
      </c>
      <c r="B5757" s="4"/>
      <c r="C5757" s="3">
        <v>23816</v>
      </c>
      <c r="D5757" s="3">
        <v>18740</v>
      </c>
      <c r="E5757" s="3">
        <v>8755</v>
      </c>
      <c r="F5757" s="3">
        <v>28371</v>
      </c>
      <c r="G5757" s="3">
        <v>157108</v>
      </c>
      <c r="H5757" s="2">
        <f t="shared" si="178"/>
        <v>236790</v>
      </c>
      <c r="I5757" t="str">
        <f t="shared" si="179"/>
        <v>Ppp2ca_236790</v>
      </c>
      <c r="J5757" s="3">
        <v>23816</v>
      </c>
      <c r="K5757" s="3">
        <v>18740</v>
      </c>
      <c r="L5757" s="3">
        <v>8755</v>
      </c>
      <c r="M5757" s="3">
        <v>28371</v>
      </c>
      <c r="N5757" s="3">
        <v>157108</v>
      </c>
    </row>
    <row r="5758" spans="1:14" x14ac:dyDescent="0.2">
      <c r="A5758" s="5" t="str">
        <f>HYPERLINK("http://www.ncbi.nlm.nih.gov/protein/8394024","Ppp2cb")</f>
        <v>Ppp2cb</v>
      </c>
      <c r="B5758" s="4"/>
      <c r="C5758" s="3">
        <v>22278</v>
      </c>
      <c r="D5758" s="3">
        <v>17410</v>
      </c>
      <c r="E5758" s="3">
        <v>8622</v>
      </c>
      <c r="F5758" s="3">
        <v>27389</v>
      </c>
      <c r="G5758" s="3">
        <v>156305</v>
      </c>
      <c r="H5758" s="2">
        <f t="shared" si="178"/>
        <v>232004</v>
      </c>
      <c r="I5758" t="str">
        <f t="shared" si="179"/>
        <v>Ppp2cb_232004</v>
      </c>
      <c r="J5758" s="3">
        <v>22278</v>
      </c>
      <c r="K5758" s="3">
        <v>17410</v>
      </c>
      <c r="L5758" s="3">
        <v>8622</v>
      </c>
      <c r="M5758" s="3">
        <v>27389</v>
      </c>
      <c r="N5758" s="3">
        <v>156305</v>
      </c>
    </row>
    <row r="5759" spans="1:14" x14ac:dyDescent="0.2">
      <c r="A5759" s="5" t="str">
        <f>HYPERLINK("http://www.ncbi.nlm.nih.gov/protein/8394027","Ppp2r1a")</f>
        <v>Ppp2r1a</v>
      </c>
      <c r="B5759" s="4"/>
      <c r="C5759" s="3">
        <v>36630</v>
      </c>
      <c r="D5759" s="3">
        <v>17180</v>
      </c>
      <c r="E5759" s="3">
        <v>49652</v>
      </c>
      <c r="F5759" s="3">
        <v>218407</v>
      </c>
      <c r="G5759" s="3">
        <v>151025</v>
      </c>
      <c r="H5759" s="2">
        <f t="shared" si="178"/>
        <v>472894</v>
      </c>
      <c r="I5759" t="str">
        <f t="shared" si="179"/>
        <v>Ppp2r1a_472894</v>
      </c>
      <c r="J5759" s="3">
        <v>36630</v>
      </c>
      <c r="K5759" s="3">
        <v>17180</v>
      </c>
      <c r="L5759" s="3">
        <v>49652</v>
      </c>
      <c r="M5759" s="3">
        <v>218407</v>
      </c>
      <c r="N5759" s="3">
        <v>151025</v>
      </c>
    </row>
    <row r="5760" spans="1:14" x14ac:dyDescent="0.2">
      <c r="A5760" s="5" t="str">
        <f>HYPERLINK("http://www.ncbi.nlm.nih.gov/protein/557440787","Ppp2r1b")</f>
        <v>Ppp2r1b</v>
      </c>
      <c r="B5760" s="4"/>
      <c r="C5760" s="3">
        <v>26983</v>
      </c>
      <c r="D5760" s="3">
        <v>0</v>
      </c>
      <c r="E5760" s="3">
        <v>0</v>
      </c>
      <c r="F5760" s="3">
        <v>0</v>
      </c>
      <c r="G5760" s="3">
        <v>0</v>
      </c>
      <c r="H5760" s="2">
        <f t="shared" si="178"/>
        <v>26983</v>
      </c>
      <c r="I5760" t="str">
        <f t="shared" si="179"/>
        <v>Ppp2r1b_26983</v>
      </c>
      <c r="J5760" s="3">
        <v>26983</v>
      </c>
      <c r="K5760" s="3">
        <v>0</v>
      </c>
      <c r="L5760" s="3">
        <v>0</v>
      </c>
      <c r="M5760" s="3">
        <v>0</v>
      </c>
      <c r="N5760" s="3">
        <v>0</v>
      </c>
    </row>
    <row r="5761" spans="1:14" x14ac:dyDescent="0.2">
      <c r="A5761" s="5" t="str">
        <f>HYPERLINK("http://www.ncbi.nlm.nih.gov/protein/77539770","Ppp2r1b")</f>
        <v>Ppp2r1b</v>
      </c>
      <c r="B5761" s="4"/>
      <c r="C5761" s="3">
        <v>28960</v>
      </c>
      <c r="D5761" s="3">
        <v>3891</v>
      </c>
      <c r="E5761" s="3">
        <v>3534</v>
      </c>
      <c r="F5761" s="3">
        <v>24851</v>
      </c>
      <c r="G5761" s="3">
        <v>2142</v>
      </c>
      <c r="H5761" s="2">
        <f t="shared" si="178"/>
        <v>63378</v>
      </c>
      <c r="I5761" t="str">
        <f t="shared" si="179"/>
        <v>Ppp2r1b_63378</v>
      </c>
      <c r="J5761" s="3">
        <v>28960</v>
      </c>
      <c r="K5761" s="3">
        <v>3891</v>
      </c>
      <c r="L5761" s="3">
        <v>3534</v>
      </c>
      <c r="M5761" s="3">
        <v>24851</v>
      </c>
      <c r="N5761" s="3">
        <v>2142</v>
      </c>
    </row>
    <row r="5762" spans="1:14" x14ac:dyDescent="0.2">
      <c r="A5762" s="5" t="str">
        <f>HYPERLINK("http://www.ncbi.nlm.nih.gov/protein/77539776","Ppp2r1b")</f>
        <v>Ppp2r1b</v>
      </c>
      <c r="B5762" s="4"/>
      <c r="C5762" s="3">
        <v>28960</v>
      </c>
      <c r="D5762" s="3">
        <v>3891</v>
      </c>
      <c r="E5762" s="3">
        <v>3534</v>
      </c>
      <c r="F5762" s="3">
        <v>24794</v>
      </c>
      <c r="G5762" s="3">
        <v>2142</v>
      </c>
      <c r="H5762" s="2">
        <f t="shared" ref="H5762:H5825" si="180">SUM(C5762:G5762)</f>
        <v>63321</v>
      </c>
      <c r="I5762" t="str">
        <f t="shared" ref="I5762:I5825" si="181">A5762&amp;"_"&amp;H5762</f>
        <v>Ppp2r1b_63321</v>
      </c>
      <c r="J5762" s="3">
        <v>28960</v>
      </c>
      <c r="K5762" s="3">
        <v>3891</v>
      </c>
      <c r="L5762" s="3">
        <v>3534</v>
      </c>
      <c r="M5762" s="3">
        <v>24794</v>
      </c>
      <c r="N5762" s="3">
        <v>2142</v>
      </c>
    </row>
    <row r="5763" spans="1:14" x14ac:dyDescent="0.2">
      <c r="A5763" s="5" t="str">
        <f>HYPERLINK("http://www.ncbi.nlm.nih.gov/protein/110625886","Ppp2r2a")</f>
        <v>Ppp2r2a</v>
      </c>
      <c r="B5763" s="4"/>
      <c r="C5763" s="3">
        <v>0</v>
      </c>
      <c r="D5763" s="3">
        <v>374</v>
      </c>
      <c r="E5763" s="3">
        <v>4568</v>
      </c>
      <c r="F5763" s="3">
        <v>2505</v>
      </c>
      <c r="G5763" s="3">
        <v>68766</v>
      </c>
      <c r="H5763" s="2">
        <f t="shared" si="180"/>
        <v>76213</v>
      </c>
      <c r="I5763" t="str">
        <f t="shared" si="181"/>
        <v>Ppp2r2a_76213</v>
      </c>
      <c r="J5763" s="3">
        <v>0</v>
      </c>
      <c r="K5763" s="3">
        <v>374</v>
      </c>
      <c r="L5763" s="3">
        <v>4568</v>
      </c>
      <c r="M5763" s="3">
        <v>2505</v>
      </c>
      <c r="N5763" s="3">
        <v>68766</v>
      </c>
    </row>
    <row r="5764" spans="1:14" x14ac:dyDescent="0.2">
      <c r="A5764" s="5" t="str">
        <f>HYPERLINK("http://www.ncbi.nlm.nih.gov/protein/327180707","Ppp2r2a")</f>
        <v>Ppp2r2a</v>
      </c>
      <c r="B5764" s="4"/>
      <c r="C5764" s="3">
        <v>0</v>
      </c>
      <c r="D5764" s="3">
        <v>374</v>
      </c>
      <c r="E5764" s="3">
        <v>4568</v>
      </c>
      <c r="F5764" s="3">
        <v>2505</v>
      </c>
      <c r="G5764" s="3">
        <v>65521</v>
      </c>
      <c r="H5764" s="2">
        <f t="shared" si="180"/>
        <v>72968</v>
      </c>
      <c r="I5764" t="str">
        <f t="shared" si="181"/>
        <v>Ppp2r2a_72968</v>
      </c>
      <c r="J5764" s="3">
        <v>0</v>
      </c>
      <c r="K5764" s="3">
        <v>374</v>
      </c>
      <c r="L5764" s="3">
        <v>4568</v>
      </c>
      <c r="M5764" s="3">
        <v>2505</v>
      </c>
      <c r="N5764" s="3">
        <v>65521</v>
      </c>
    </row>
    <row r="5765" spans="1:14" x14ac:dyDescent="0.2">
      <c r="A5765" s="5" t="str">
        <f>HYPERLINK("http://www.ncbi.nlm.nih.gov/protein/21312161","Ppp2r2b")</f>
        <v>Ppp2r2b</v>
      </c>
      <c r="B5765" s="4"/>
      <c r="C5765" s="3">
        <v>0</v>
      </c>
      <c r="D5765" s="3">
        <v>17</v>
      </c>
      <c r="E5765" s="3">
        <v>0</v>
      </c>
      <c r="F5765" s="3">
        <v>1506</v>
      </c>
      <c r="G5765" s="3">
        <v>6576</v>
      </c>
      <c r="H5765" s="2">
        <f t="shared" si="180"/>
        <v>8099</v>
      </c>
      <c r="I5765" t="str">
        <f t="shared" si="181"/>
        <v>Ppp2r2b_8099</v>
      </c>
      <c r="J5765" s="3">
        <v>0</v>
      </c>
      <c r="K5765" s="3">
        <v>17</v>
      </c>
      <c r="L5765" s="3">
        <v>0</v>
      </c>
      <c r="M5765" s="3">
        <v>1506</v>
      </c>
      <c r="N5765" s="3">
        <v>6576</v>
      </c>
    </row>
    <row r="5766" spans="1:14" x14ac:dyDescent="0.2">
      <c r="A5766" s="5" t="str">
        <f>HYPERLINK("http://www.ncbi.nlm.nih.gov/protein/27370502","Ppp2r2c")</f>
        <v>Ppp2r2c</v>
      </c>
      <c r="B5766" s="4"/>
      <c r="C5766" s="3">
        <v>0</v>
      </c>
      <c r="D5766" s="3">
        <v>211</v>
      </c>
      <c r="E5766" s="3">
        <v>1459</v>
      </c>
      <c r="F5766" s="3">
        <v>999</v>
      </c>
      <c r="G5766" s="3">
        <v>16193</v>
      </c>
      <c r="H5766" s="2">
        <f t="shared" si="180"/>
        <v>18862</v>
      </c>
      <c r="I5766" t="str">
        <f t="shared" si="181"/>
        <v>Ppp2r2c_18862</v>
      </c>
      <c r="J5766" s="3">
        <v>0</v>
      </c>
      <c r="K5766" s="3">
        <v>211</v>
      </c>
      <c r="L5766" s="3">
        <v>1459</v>
      </c>
      <c r="M5766" s="3">
        <v>999</v>
      </c>
      <c r="N5766" s="3">
        <v>16193</v>
      </c>
    </row>
    <row r="5767" spans="1:14" x14ac:dyDescent="0.2">
      <c r="A5767" s="5" t="str">
        <f>HYPERLINK("http://www.ncbi.nlm.nih.gov/protein/22726177","Ppp2r2d")</f>
        <v>Ppp2r2d</v>
      </c>
      <c r="B5767" s="4"/>
      <c r="C5767" s="3">
        <v>0</v>
      </c>
      <c r="D5767" s="3">
        <v>17</v>
      </c>
      <c r="E5767" s="3">
        <v>0</v>
      </c>
      <c r="F5767" s="3">
        <v>1506</v>
      </c>
      <c r="G5767" s="3">
        <v>6576</v>
      </c>
      <c r="H5767" s="2">
        <f t="shared" si="180"/>
        <v>8099</v>
      </c>
      <c r="I5767" t="str">
        <f t="shared" si="181"/>
        <v>Ppp2r2d_8099</v>
      </c>
      <c r="J5767" s="3">
        <v>0</v>
      </c>
      <c r="K5767" s="3">
        <v>17</v>
      </c>
      <c r="L5767" s="3">
        <v>0</v>
      </c>
      <c r="M5767" s="3">
        <v>1506</v>
      </c>
      <c r="N5767" s="3">
        <v>6576</v>
      </c>
    </row>
    <row r="5768" spans="1:14" x14ac:dyDescent="0.2">
      <c r="A5768" s="5" t="str">
        <f>HYPERLINK("http://www.ncbi.nlm.nih.gov/protein/254587947","Ppp2r4")</f>
        <v>Ppp2r4</v>
      </c>
      <c r="B5768" s="4"/>
      <c r="C5768" s="3">
        <v>0</v>
      </c>
      <c r="D5768" s="3">
        <v>115</v>
      </c>
      <c r="E5768" s="3">
        <v>1766</v>
      </c>
      <c r="F5768" s="3">
        <v>3610</v>
      </c>
      <c r="G5768" s="3">
        <v>41199</v>
      </c>
      <c r="H5768" s="2">
        <f t="shared" si="180"/>
        <v>46690</v>
      </c>
      <c r="I5768" t="str">
        <f t="shared" si="181"/>
        <v>Ppp2r4_46690</v>
      </c>
      <c r="J5768" s="3">
        <v>0</v>
      </c>
      <c r="K5768" s="3">
        <v>115</v>
      </c>
      <c r="L5768" s="3">
        <v>1766</v>
      </c>
      <c r="M5768" s="3">
        <v>3610</v>
      </c>
      <c r="N5768" s="3">
        <v>41199</v>
      </c>
    </row>
    <row r="5769" spans="1:14" x14ac:dyDescent="0.2">
      <c r="A5769" s="5" t="str">
        <f>HYPERLINK("http://www.ncbi.nlm.nih.gov/protein/47059051","Ppp2r5a")</f>
        <v>Ppp2r5a</v>
      </c>
      <c r="B5769" s="4"/>
      <c r="C5769" s="3">
        <v>0</v>
      </c>
      <c r="D5769" s="3">
        <v>825</v>
      </c>
      <c r="E5769" s="3">
        <v>1018</v>
      </c>
      <c r="F5769" s="3">
        <v>7220</v>
      </c>
      <c r="G5769" s="3">
        <v>9735</v>
      </c>
      <c r="H5769" s="2">
        <f t="shared" si="180"/>
        <v>18798</v>
      </c>
      <c r="I5769" t="str">
        <f t="shared" si="181"/>
        <v>Ppp2r5a_18798</v>
      </c>
      <c r="J5769" s="3">
        <v>0</v>
      </c>
      <c r="K5769" s="3">
        <v>825</v>
      </c>
      <c r="L5769" s="3">
        <v>1018</v>
      </c>
      <c r="M5769" s="3">
        <v>7220</v>
      </c>
      <c r="N5769" s="3">
        <v>9735</v>
      </c>
    </row>
    <row r="5770" spans="1:14" x14ac:dyDescent="0.2">
      <c r="A5770" s="5" t="str">
        <f>HYPERLINK("http://www.ncbi.nlm.nih.gov/protein/37718993","Ppp2r5b")</f>
        <v>Ppp2r5b</v>
      </c>
      <c r="B5770" s="4"/>
      <c r="C5770" s="3">
        <v>0</v>
      </c>
      <c r="D5770" s="3">
        <v>0</v>
      </c>
      <c r="E5770" s="3">
        <v>792</v>
      </c>
      <c r="F5770" s="3">
        <v>1776</v>
      </c>
      <c r="G5770" s="3">
        <v>6693</v>
      </c>
      <c r="H5770" s="2">
        <f t="shared" si="180"/>
        <v>9261</v>
      </c>
      <c r="I5770" t="str">
        <f t="shared" si="181"/>
        <v>Ppp2r5b_9261</v>
      </c>
      <c r="J5770" s="3">
        <v>0</v>
      </c>
      <c r="K5770" s="3">
        <v>0</v>
      </c>
      <c r="L5770" s="3">
        <v>792</v>
      </c>
      <c r="M5770" s="3">
        <v>1776</v>
      </c>
      <c r="N5770" s="3">
        <v>6693</v>
      </c>
    </row>
    <row r="5771" spans="1:14" x14ac:dyDescent="0.2">
      <c r="A5771" s="5" t="str">
        <f>HYPERLINK("http://www.ncbi.nlm.nih.gov/protein/125346006","Ppp2r5c")</f>
        <v>Ppp2r5c</v>
      </c>
      <c r="B5771" s="4"/>
      <c r="C5771" s="3">
        <v>934</v>
      </c>
      <c r="D5771" s="3">
        <v>536</v>
      </c>
      <c r="E5771" s="3">
        <v>2865</v>
      </c>
      <c r="F5771" s="3">
        <v>3291</v>
      </c>
      <c r="G5771" s="3">
        <v>4070</v>
      </c>
      <c r="H5771" s="2">
        <f t="shared" si="180"/>
        <v>11696</v>
      </c>
      <c r="I5771" t="str">
        <f t="shared" si="181"/>
        <v>Ppp2r5c_11696</v>
      </c>
      <c r="J5771" s="3">
        <v>934</v>
      </c>
      <c r="K5771" s="3">
        <v>536</v>
      </c>
      <c r="L5771" s="3">
        <v>2865</v>
      </c>
      <c r="M5771" s="3">
        <v>3291</v>
      </c>
      <c r="N5771" s="3">
        <v>4070</v>
      </c>
    </row>
    <row r="5772" spans="1:14" x14ac:dyDescent="0.2">
      <c r="A5772" s="5" t="str">
        <f>HYPERLINK("http://www.ncbi.nlm.nih.gov/protein/125346020","Ppp2r5c")</f>
        <v>Ppp2r5c</v>
      </c>
      <c r="B5772" s="4"/>
      <c r="C5772" s="3">
        <v>934</v>
      </c>
      <c r="D5772" s="3">
        <v>536</v>
      </c>
      <c r="E5772" s="3">
        <v>2865</v>
      </c>
      <c r="F5772" s="3">
        <v>3291</v>
      </c>
      <c r="G5772" s="3">
        <v>4070</v>
      </c>
      <c r="H5772" s="2">
        <f t="shared" si="180"/>
        <v>11696</v>
      </c>
      <c r="I5772" t="str">
        <f t="shared" si="181"/>
        <v>Ppp2r5c_11696</v>
      </c>
      <c r="J5772" s="3">
        <v>934</v>
      </c>
      <c r="K5772" s="3">
        <v>536</v>
      </c>
      <c r="L5772" s="3">
        <v>2865</v>
      </c>
      <c r="M5772" s="3">
        <v>3291</v>
      </c>
      <c r="N5772" s="3">
        <v>4070</v>
      </c>
    </row>
    <row r="5773" spans="1:14" x14ac:dyDescent="0.2">
      <c r="A5773" s="5" t="str">
        <f>HYPERLINK("http://www.ncbi.nlm.nih.gov/protein/125346154","Ppp2r5c")</f>
        <v>Ppp2r5c</v>
      </c>
      <c r="B5773" s="4"/>
      <c r="C5773" s="3">
        <v>934</v>
      </c>
      <c r="D5773" s="3">
        <v>536</v>
      </c>
      <c r="E5773" s="3">
        <v>2865</v>
      </c>
      <c r="F5773" s="3">
        <v>3291</v>
      </c>
      <c r="G5773" s="3">
        <v>4070</v>
      </c>
      <c r="H5773" s="2">
        <f t="shared" si="180"/>
        <v>11696</v>
      </c>
      <c r="I5773" t="str">
        <f t="shared" si="181"/>
        <v>Ppp2r5c_11696</v>
      </c>
      <c r="J5773" s="3">
        <v>934</v>
      </c>
      <c r="K5773" s="3">
        <v>536</v>
      </c>
      <c r="L5773" s="3">
        <v>2865</v>
      </c>
      <c r="M5773" s="3">
        <v>3291</v>
      </c>
      <c r="N5773" s="3">
        <v>4070</v>
      </c>
    </row>
    <row r="5774" spans="1:14" x14ac:dyDescent="0.2">
      <c r="A5774" s="5" t="str">
        <f>HYPERLINK("http://www.ncbi.nlm.nih.gov/protein/218751908","Ppp2r5c")</f>
        <v>Ppp2r5c</v>
      </c>
      <c r="B5774" s="4"/>
      <c r="C5774" s="3">
        <v>934</v>
      </c>
      <c r="D5774" s="3">
        <v>536</v>
      </c>
      <c r="E5774" s="3">
        <v>2865</v>
      </c>
      <c r="F5774" s="3">
        <v>3291</v>
      </c>
      <c r="G5774" s="3">
        <v>4070</v>
      </c>
      <c r="H5774" s="2">
        <f t="shared" si="180"/>
        <v>11696</v>
      </c>
      <c r="I5774" t="str">
        <f t="shared" si="181"/>
        <v>Ppp2r5c_11696</v>
      </c>
      <c r="J5774" s="3">
        <v>934</v>
      </c>
      <c r="K5774" s="3">
        <v>536</v>
      </c>
      <c r="L5774" s="3">
        <v>2865</v>
      </c>
      <c r="M5774" s="3">
        <v>3291</v>
      </c>
      <c r="N5774" s="3">
        <v>4070</v>
      </c>
    </row>
    <row r="5775" spans="1:14" x14ac:dyDescent="0.2">
      <c r="A5775" s="5" t="str">
        <f>HYPERLINK("http://www.ncbi.nlm.nih.gov/protein/33942059","Ppp2r5d")</f>
        <v>Ppp2r5d</v>
      </c>
      <c r="B5775" s="4"/>
      <c r="C5775" s="3">
        <v>0</v>
      </c>
      <c r="D5775" s="3">
        <v>2194</v>
      </c>
      <c r="E5775" s="3">
        <v>3317</v>
      </c>
      <c r="F5775" s="3">
        <v>5910</v>
      </c>
      <c r="G5775" s="3">
        <v>15764</v>
      </c>
      <c r="H5775" s="2">
        <f t="shared" si="180"/>
        <v>27185</v>
      </c>
      <c r="I5775" t="str">
        <f t="shared" si="181"/>
        <v>Ppp2r5d_27185</v>
      </c>
      <c r="J5775" s="3">
        <v>0</v>
      </c>
      <c r="K5775" s="3">
        <v>2194</v>
      </c>
      <c r="L5775" s="3">
        <v>3317</v>
      </c>
      <c r="M5775" s="3">
        <v>5910</v>
      </c>
      <c r="N5775" s="3">
        <v>15764</v>
      </c>
    </row>
    <row r="5776" spans="1:14" x14ac:dyDescent="0.2">
      <c r="A5776" s="5" t="str">
        <f>HYPERLINK("http://www.ncbi.nlm.nih.gov/protein/33859660","Ppp2r5e")</f>
        <v>Ppp2r5e</v>
      </c>
      <c r="B5776" s="4"/>
      <c r="C5776" s="3">
        <v>0</v>
      </c>
      <c r="D5776" s="3">
        <v>4421</v>
      </c>
      <c r="E5776" s="3">
        <v>3392</v>
      </c>
      <c r="F5776" s="3">
        <v>9823</v>
      </c>
      <c r="G5776" s="3">
        <v>20616</v>
      </c>
      <c r="H5776" s="2">
        <f t="shared" si="180"/>
        <v>38252</v>
      </c>
      <c r="I5776" t="str">
        <f t="shared" si="181"/>
        <v>Ppp2r5e_38252</v>
      </c>
      <c r="J5776" s="3">
        <v>0</v>
      </c>
      <c r="K5776" s="3">
        <v>4421</v>
      </c>
      <c r="L5776" s="3">
        <v>3392</v>
      </c>
      <c r="M5776" s="3">
        <v>9823</v>
      </c>
      <c r="N5776" s="3">
        <v>20616</v>
      </c>
    </row>
    <row r="5777" spans="1:14" x14ac:dyDescent="0.2">
      <c r="A5777" s="5" t="str">
        <f>HYPERLINK("http://www.ncbi.nlm.nih.gov/protein/42415473","Ppp3ca")</f>
        <v>Ppp3ca</v>
      </c>
      <c r="B5777" s="4"/>
      <c r="C5777" s="3">
        <v>0</v>
      </c>
      <c r="D5777" s="3">
        <v>378</v>
      </c>
      <c r="E5777" s="3">
        <v>3156</v>
      </c>
      <c r="F5777" s="3">
        <v>884</v>
      </c>
      <c r="G5777" s="3">
        <v>36873</v>
      </c>
      <c r="H5777" s="2">
        <f t="shared" si="180"/>
        <v>41291</v>
      </c>
      <c r="I5777" t="str">
        <f t="shared" si="181"/>
        <v>Ppp3ca_41291</v>
      </c>
      <c r="J5777" s="3">
        <v>0</v>
      </c>
      <c r="K5777" s="3">
        <v>378</v>
      </c>
      <c r="L5777" s="3">
        <v>3156</v>
      </c>
      <c r="M5777" s="3">
        <v>884</v>
      </c>
      <c r="N5777" s="3">
        <v>36873</v>
      </c>
    </row>
    <row r="5778" spans="1:14" x14ac:dyDescent="0.2">
      <c r="A5778" s="5" t="str">
        <f>HYPERLINK("http://www.ncbi.nlm.nih.gov/protein/45592930","Ppp3cb")</f>
        <v>Ppp3cb</v>
      </c>
      <c r="B5778" s="4"/>
      <c r="C5778" s="3">
        <v>0</v>
      </c>
      <c r="D5778" s="3">
        <v>0</v>
      </c>
      <c r="E5778" s="3">
        <v>1216</v>
      </c>
      <c r="F5778" s="3">
        <v>884</v>
      </c>
      <c r="G5778" s="3">
        <v>6511</v>
      </c>
      <c r="H5778" s="2">
        <f t="shared" si="180"/>
        <v>8611</v>
      </c>
      <c r="I5778" t="str">
        <f t="shared" si="181"/>
        <v>Ppp3cb_8611</v>
      </c>
      <c r="J5778" s="3">
        <v>0</v>
      </c>
      <c r="K5778" s="3">
        <v>0</v>
      </c>
      <c r="L5778" s="3">
        <v>1216</v>
      </c>
      <c r="M5778" s="3">
        <v>884</v>
      </c>
      <c r="N5778" s="3">
        <v>6511</v>
      </c>
    </row>
    <row r="5779" spans="1:14" x14ac:dyDescent="0.2">
      <c r="A5779" s="5" t="str">
        <f>HYPERLINK("http://www.ncbi.nlm.nih.gov/protein/6679447","Ppp3cc")</f>
        <v>Ppp3cc</v>
      </c>
      <c r="B5779" s="4"/>
      <c r="C5779" s="3">
        <v>0</v>
      </c>
      <c r="D5779" s="3">
        <v>0</v>
      </c>
      <c r="E5779" s="3">
        <v>155</v>
      </c>
      <c r="F5779" s="3">
        <v>0</v>
      </c>
      <c r="G5779" s="3">
        <v>4766</v>
      </c>
      <c r="H5779" s="2">
        <f t="shared" si="180"/>
        <v>4921</v>
      </c>
      <c r="I5779" t="str">
        <f t="shared" si="181"/>
        <v>Ppp3cc_4921</v>
      </c>
      <c r="J5779" s="3">
        <v>0</v>
      </c>
      <c r="K5779" s="3">
        <v>0</v>
      </c>
      <c r="L5779" s="3">
        <v>155</v>
      </c>
      <c r="M5779" s="3">
        <v>0</v>
      </c>
      <c r="N5779" s="3">
        <v>4766</v>
      </c>
    </row>
    <row r="5780" spans="1:14" x14ac:dyDescent="0.2">
      <c r="A5780" s="5" t="str">
        <f>HYPERLINK("http://www.ncbi.nlm.nih.gov/protein/84794597","Ppp3r1")</f>
        <v>Ppp3r1</v>
      </c>
      <c r="B5780" s="4"/>
      <c r="C5780" s="3">
        <v>0</v>
      </c>
      <c r="D5780" s="3">
        <v>0</v>
      </c>
      <c r="E5780" s="3">
        <v>224</v>
      </c>
      <c r="F5780" s="3">
        <v>368</v>
      </c>
      <c r="G5780" s="3">
        <v>0</v>
      </c>
      <c r="H5780" s="2">
        <f t="shared" si="180"/>
        <v>592</v>
      </c>
      <c r="I5780" t="str">
        <f t="shared" si="181"/>
        <v>Ppp3r1_592</v>
      </c>
      <c r="J5780" s="3">
        <v>0</v>
      </c>
      <c r="K5780" s="3">
        <v>0</v>
      </c>
      <c r="L5780" s="3">
        <v>224</v>
      </c>
      <c r="M5780" s="3">
        <v>368</v>
      </c>
      <c r="N5780" s="3">
        <v>0</v>
      </c>
    </row>
    <row r="5781" spans="1:14" x14ac:dyDescent="0.2">
      <c r="A5781" s="5" t="str">
        <f>HYPERLINK("http://www.ncbi.nlm.nih.gov/protein/9790175","Ppp4c")</f>
        <v>Ppp4c</v>
      </c>
      <c r="B5781" s="4"/>
      <c r="C5781" s="3">
        <v>0</v>
      </c>
      <c r="D5781" s="3">
        <v>1534</v>
      </c>
      <c r="E5781" s="3">
        <v>836</v>
      </c>
      <c r="F5781" s="3">
        <v>4191</v>
      </c>
      <c r="G5781" s="3">
        <v>17681</v>
      </c>
      <c r="H5781" s="2">
        <f t="shared" si="180"/>
        <v>24242</v>
      </c>
      <c r="I5781" t="str">
        <f t="shared" si="181"/>
        <v>Ppp4c_24242</v>
      </c>
      <c r="J5781" s="3">
        <v>0</v>
      </c>
      <c r="K5781" s="3">
        <v>1534</v>
      </c>
      <c r="L5781" s="3">
        <v>836</v>
      </c>
      <c r="M5781" s="3">
        <v>4191</v>
      </c>
      <c r="N5781" s="3">
        <v>17681</v>
      </c>
    </row>
    <row r="5782" spans="1:14" x14ac:dyDescent="0.2">
      <c r="A5782" s="5" t="str">
        <f>HYPERLINK("http://www.ncbi.nlm.nih.gov/protein/166706860","Ppp4r1")</f>
        <v>Ppp4r1</v>
      </c>
      <c r="B5782" s="4"/>
      <c r="C5782" s="3">
        <v>0</v>
      </c>
      <c r="D5782" s="3">
        <v>0</v>
      </c>
      <c r="E5782" s="3">
        <v>218</v>
      </c>
      <c r="F5782" s="3">
        <v>1760</v>
      </c>
      <c r="G5782" s="3">
        <v>14319</v>
      </c>
      <c r="H5782" s="2">
        <f t="shared" si="180"/>
        <v>16297</v>
      </c>
      <c r="I5782" t="str">
        <f t="shared" si="181"/>
        <v>Ppp4r1_16297</v>
      </c>
      <c r="J5782" s="3">
        <v>0</v>
      </c>
      <c r="K5782" s="3">
        <v>0</v>
      </c>
      <c r="L5782" s="3">
        <v>218</v>
      </c>
      <c r="M5782" s="3">
        <v>1760</v>
      </c>
      <c r="N5782" s="3">
        <v>14319</v>
      </c>
    </row>
    <row r="5783" spans="1:14" x14ac:dyDescent="0.2">
      <c r="A5783" s="5" t="str">
        <f>HYPERLINK("http://www.ncbi.nlm.nih.gov/protein/166706862","Ppp4r1")</f>
        <v>Ppp4r1</v>
      </c>
      <c r="B5783" s="4"/>
      <c r="C5783" s="3">
        <v>0</v>
      </c>
      <c r="D5783" s="3">
        <v>0</v>
      </c>
      <c r="E5783" s="3">
        <v>218</v>
      </c>
      <c r="F5783" s="3">
        <v>1760</v>
      </c>
      <c r="G5783" s="3">
        <v>14319</v>
      </c>
      <c r="H5783" s="2">
        <f t="shared" si="180"/>
        <v>16297</v>
      </c>
      <c r="I5783" t="str">
        <f t="shared" si="181"/>
        <v>Ppp4r1_16297</v>
      </c>
      <c r="J5783" s="3">
        <v>0</v>
      </c>
      <c r="K5783" s="3">
        <v>0</v>
      </c>
      <c r="L5783" s="3">
        <v>218</v>
      </c>
      <c r="M5783" s="3">
        <v>1760</v>
      </c>
      <c r="N5783" s="3">
        <v>14319</v>
      </c>
    </row>
    <row r="5784" spans="1:14" x14ac:dyDescent="0.2">
      <c r="A5784" s="5" t="str">
        <f>HYPERLINK("http://www.ncbi.nlm.nih.gov/protein/33636709","Ppp4r2")</f>
        <v>Ppp4r2</v>
      </c>
      <c r="B5784" s="4"/>
      <c r="C5784" s="3">
        <v>0</v>
      </c>
      <c r="D5784" s="3">
        <v>100</v>
      </c>
      <c r="E5784" s="3">
        <v>337</v>
      </c>
      <c r="F5784" s="3">
        <v>13056</v>
      </c>
      <c r="G5784" s="3">
        <v>25853</v>
      </c>
      <c r="H5784" s="2">
        <f t="shared" si="180"/>
        <v>39346</v>
      </c>
      <c r="I5784" t="str">
        <f t="shared" si="181"/>
        <v>Ppp4r2_39346</v>
      </c>
      <c r="J5784" s="3">
        <v>0</v>
      </c>
      <c r="K5784" s="3">
        <v>100</v>
      </c>
      <c r="L5784" s="3">
        <v>337</v>
      </c>
      <c r="M5784" s="3">
        <v>13056</v>
      </c>
      <c r="N5784" s="3">
        <v>25853</v>
      </c>
    </row>
    <row r="5785" spans="1:14" x14ac:dyDescent="0.2">
      <c r="A5785" s="5" t="str">
        <f>HYPERLINK("http://www.ncbi.nlm.nih.gov/protein/199559777","Ppp5c")</f>
        <v>Ppp5c</v>
      </c>
      <c r="B5785" s="4"/>
      <c r="C5785" s="3">
        <v>0</v>
      </c>
      <c r="D5785" s="3">
        <v>532</v>
      </c>
      <c r="E5785" s="3">
        <v>221</v>
      </c>
      <c r="F5785" s="3">
        <v>4682</v>
      </c>
      <c r="G5785" s="3">
        <v>39657</v>
      </c>
      <c r="H5785" s="2">
        <f t="shared" si="180"/>
        <v>45092</v>
      </c>
      <c r="I5785" t="str">
        <f t="shared" si="181"/>
        <v>Ppp5c_45092</v>
      </c>
      <c r="J5785" s="3">
        <v>0</v>
      </c>
      <c r="K5785" s="3">
        <v>532</v>
      </c>
      <c r="L5785" s="3">
        <v>221</v>
      </c>
      <c r="M5785" s="3">
        <v>4682</v>
      </c>
      <c r="N5785" s="3">
        <v>39657</v>
      </c>
    </row>
    <row r="5786" spans="1:14" x14ac:dyDescent="0.2">
      <c r="A5786" s="5" t="str">
        <f>HYPERLINK("http://www.ncbi.nlm.nih.gov/protein/21312758","Ppp6c")</f>
        <v>Ppp6c</v>
      </c>
      <c r="B5786" s="4"/>
      <c r="C5786" s="3">
        <v>0</v>
      </c>
      <c r="D5786" s="3">
        <v>2321</v>
      </c>
      <c r="E5786" s="3">
        <v>692</v>
      </c>
      <c r="F5786" s="3">
        <v>8235</v>
      </c>
      <c r="G5786" s="3">
        <v>20230</v>
      </c>
      <c r="H5786" s="2">
        <f t="shared" si="180"/>
        <v>31478</v>
      </c>
      <c r="I5786" t="str">
        <f t="shared" si="181"/>
        <v>Ppp6c_31478</v>
      </c>
      <c r="J5786" s="3">
        <v>0</v>
      </c>
      <c r="K5786" s="3">
        <v>2321</v>
      </c>
      <c r="L5786" s="3">
        <v>692</v>
      </c>
      <c r="M5786" s="3">
        <v>8235</v>
      </c>
      <c r="N5786" s="3">
        <v>20230</v>
      </c>
    </row>
    <row r="5787" spans="1:14" x14ac:dyDescent="0.2">
      <c r="A5787" s="5" t="str">
        <f>HYPERLINK("http://www.ncbi.nlm.nih.gov/protein/34536815","Ppp6r1")</f>
        <v>Ppp6r1</v>
      </c>
      <c r="B5787" s="4"/>
      <c r="C5787" s="3">
        <v>0</v>
      </c>
      <c r="D5787" s="3">
        <v>0</v>
      </c>
      <c r="E5787" s="3">
        <v>0</v>
      </c>
      <c r="F5787" s="3">
        <v>1842</v>
      </c>
      <c r="G5787" s="3">
        <v>2570</v>
      </c>
      <c r="H5787" s="2">
        <f t="shared" si="180"/>
        <v>4412</v>
      </c>
      <c r="I5787" t="str">
        <f t="shared" si="181"/>
        <v>Ppp6r1_4412</v>
      </c>
      <c r="J5787" s="3">
        <v>0</v>
      </c>
      <c r="K5787" s="3">
        <v>0</v>
      </c>
      <c r="L5787" s="3">
        <v>0</v>
      </c>
      <c r="M5787" s="3">
        <v>1842</v>
      </c>
      <c r="N5787" s="3">
        <v>2570</v>
      </c>
    </row>
    <row r="5788" spans="1:14" x14ac:dyDescent="0.2">
      <c r="A5788" s="5" t="str">
        <f>HYPERLINK("http://www.ncbi.nlm.nih.gov/protein/28076987","Ppp6r2")</f>
        <v>Ppp6r2</v>
      </c>
      <c r="B5788" s="4"/>
      <c r="C5788" s="3">
        <v>0</v>
      </c>
      <c r="D5788" s="3">
        <v>0</v>
      </c>
      <c r="E5788" s="3">
        <v>0</v>
      </c>
      <c r="F5788" s="3">
        <v>1842</v>
      </c>
      <c r="G5788" s="3">
        <v>0</v>
      </c>
      <c r="H5788" s="2">
        <f t="shared" si="180"/>
        <v>1842</v>
      </c>
      <c r="I5788" t="str">
        <f t="shared" si="181"/>
        <v>Ppp6r2_1842</v>
      </c>
      <c r="J5788" s="3">
        <v>0</v>
      </c>
      <c r="K5788" s="3">
        <v>0</v>
      </c>
      <c r="L5788" s="3">
        <v>0</v>
      </c>
      <c r="M5788" s="3">
        <v>1842</v>
      </c>
      <c r="N5788" s="3">
        <v>0</v>
      </c>
    </row>
    <row r="5789" spans="1:14" x14ac:dyDescent="0.2">
      <c r="A5789" s="5" t="str">
        <f>HYPERLINK("http://www.ncbi.nlm.nih.gov/protein/54145496","Ppp6r2")</f>
        <v>Ppp6r2</v>
      </c>
      <c r="B5789" s="4"/>
      <c r="C5789" s="3">
        <v>0</v>
      </c>
      <c r="D5789" s="3">
        <v>0</v>
      </c>
      <c r="E5789" s="3">
        <v>0</v>
      </c>
      <c r="F5789" s="3">
        <v>1842</v>
      </c>
      <c r="G5789" s="3">
        <v>0</v>
      </c>
      <c r="H5789" s="2">
        <f t="shared" si="180"/>
        <v>1842</v>
      </c>
      <c r="I5789" t="str">
        <f t="shared" si="181"/>
        <v>Ppp6r2_1842</v>
      </c>
      <c r="J5789" s="3">
        <v>0</v>
      </c>
      <c r="K5789" s="3">
        <v>0</v>
      </c>
      <c r="L5789" s="3">
        <v>0</v>
      </c>
      <c r="M5789" s="3">
        <v>1842</v>
      </c>
      <c r="N5789" s="3">
        <v>0</v>
      </c>
    </row>
    <row r="5790" spans="1:14" x14ac:dyDescent="0.2">
      <c r="A5790" s="5" t="str">
        <f>HYPERLINK("http://www.ncbi.nlm.nih.gov/protein/22726197","Ppp6r3")</f>
        <v>Ppp6r3</v>
      </c>
      <c r="B5790" s="4"/>
      <c r="C5790" s="3">
        <v>0</v>
      </c>
      <c r="D5790" s="3">
        <v>344</v>
      </c>
      <c r="E5790" s="3">
        <v>1302</v>
      </c>
      <c r="F5790" s="3">
        <v>23861</v>
      </c>
      <c r="G5790" s="3">
        <v>82292</v>
      </c>
      <c r="H5790" s="2">
        <f t="shared" si="180"/>
        <v>107799</v>
      </c>
      <c r="I5790" t="str">
        <f t="shared" si="181"/>
        <v>Ppp6r3_107799</v>
      </c>
      <c r="J5790" s="3">
        <v>0</v>
      </c>
      <c r="K5790" s="3">
        <v>344</v>
      </c>
      <c r="L5790" s="3">
        <v>1302</v>
      </c>
      <c r="M5790" s="3">
        <v>23861</v>
      </c>
      <c r="N5790" s="3">
        <v>82292</v>
      </c>
    </row>
    <row r="5791" spans="1:14" x14ac:dyDescent="0.2">
      <c r="A5791" s="5" t="str">
        <f>HYPERLINK("http://www.ncbi.nlm.nih.gov/protein/255918184","Ppp6r3")</f>
        <v>Ppp6r3</v>
      </c>
      <c r="B5791" s="4"/>
      <c r="C5791" s="3">
        <v>0</v>
      </c>
      <c r="D5791" s="3">
        <v>344</v>
      </c>
      <c r="E5791" s="3">
        <v>1302</v>
      </c>
      <c r="F5791" s="3">
        <v>23861</v>
      </c>
      <c r="G5791" s="3">
        <v>86094</v>
      </c>
      <c r="H5791" s="2">
        <f t="shared" si="180"/>
        <v>111601</v>
      </c>
      <c r="I5791" t="str">
        <f t="shared" si="181"/>
        <v>Ppp6r3_111601</v>
      </c>
      <c r="J5791" s="3">
        <v>0</v>
      </c>
      <c r="K5791" s="3">
        <v>344</v>
      </c>
      <c r="L5791" s="3">
        <v>1302</v>
      </c>
      <c r="M5791" s="3">
        <v>23861</v>
      </c>
      <c r="N5791" s="3">
        <v>86094</v>
      </c>
    </row>
    <row r="5792" spans="1:14" x14ac:dyDescent="0.2">
      <c r="A5792" s="5" t="str">
        <f>HYPERLINK("http://www.ncbi.nlm.nih.gov/protein/255918186","Ppp6r3")</f>
        <v>Ppp6r3</v>
      </c>
      <c r="B5792" s="4"/>
      <c r="C5792" s="3">
        <v>0</v>
      </c>
      <c r="D5792" s="3">
        <v>344</v>
      </c>
      <c r="E5792" s="3">
        <v>1302</v>
      </c>
      <c r="F5792" s="3">
        <v>23861</v>
      </c>
      <c r="G5792" s="3">
        <v>86094</v>
      </c>
      <c r="H5792" s="2">
        <f t="shared" si="180"/>
        <v>111601</v>
      </c>
      <c r="I5792" t="str">
        <f t="shared" si="181"/>
        <v>Ppp6r3_111601</v>
      </c>
      <c r="J5792" s="3">
        <v>0</v>
      </c>
      <c r="K5792" s="3">
        <v>344</v>
      </c>
      <c r="L5792" s="3">
        <v>1302</v>
      </c>
      <c r="M5792" s="3">
        <v>23861</v>
      </c>
      <c r="N5792" s="3">
        <v>86094</v>
      </c>
    </row>
    <row r="5793" spans="1:14" x14ac:dyDescent="0.2">
      <c r="A5793" s="5" t="str">
        <f>HYPERLINK("http://www.ncbi.nlm.nih.gov/protein/121674797","Ppt1")</f>
        <v>Ppt1</v>
      </c>
      <c r="B5793" s="4"/>
      <c r="C5793" s="3">
        <v>1464</v>
      </c>
      <c r="D5793" s="3">
        <v>8511</v>
      </c>
      <c r="E5793" s="3">
        <v>0</v>
      </c>
      <c r="F5793" s="3">
        <v>548</v>
      </c>
      <c r="G5793" s="3">
        <v>1499</v>
      </c>
      <c r="H5793" s="2">
        <f t="shared" si="180"/>
        <v>12022</v>
      </c>
      <c r="I5793" t="str">
        <f t="shared" si="181"/>
        <v>Ppt1_12022</v>
      </c>
      <c r="J5793" s="3">
        <v>1464</v>
      </c>
      <c r="K5793" s="3">
        <v>8511</v>
      </c>
      <c r="L5793" s="3">
        <v>0</v>
      </c>
      <c r="M5793" s="3">
        <v>548</v>
      </c>
      <c r="N5793" s="3">
        <v>1499</v>
      </c>
    </row>
    <row r="5794" spans="1:14" x14ac:dyDescent="0.2">
      <c r="A5794" s="5" t="str">
        <f>HYPERLINK("http://www.ncbi.nlm.nih.gov/protein/9506985","Ppt2")</f>
        <v>Ppt2</v>
      </c>
      <c r="B5794" s="4"/>
      <c r="C5794" s="3">
        <v>0</v>
      </c>
      <c r="D5794" s="3">
        <v>685</v>
      </c>
      <c r="E5794" s="3">
        <v>0</v>
      </c>
      <c r="F5794" s="3">
        <v>0</v>
      </c>
      <c r="G5794" s="3">
        <v>150</v>
      </c>
      <c r="H5794" s="2">
        <f t="shared" si="180"/>
        <v>835</v>
      </c>
      <c r="I5794" t="str">
        <f t="shared" si="181"/>
        <v>Ppt2_835</v>
      </c>
      <c r="J5794" s="3">
        <v>0</v>
      </c>
      <c r="K5794" s="3">
        <v>685</v>
      </c>
      <c r="L5794" s="3">
        <v>0</v>
      </c>
      <c r="M5794" s="3">
        <v>0</v>
      </c>
      <c r="N5794" s="3">
        <v>150</v>
      </c>
    </row>
    <row r="5795" spans="1:14" x14ac:dyDescent="0.2">
      <c r="A5795" s="5" t="str">
        <f>HYPERLINK("http://www.ncbi.nlm.nih.gov/protein/46195809","Pptc7")</f>
        <v>Pptc7</v>
      </c>
      <c r="B5795" s="4"/>
      <c r="C5795" s="3">
        <v>0</v>
      </c>
      <c r="D5795" s="3">
        <v>152</v>
      </c>
      <c r="E5795" s="3">
        <v>0</v>
      </c>
      <c r="F5795" s="3">
        <v>0</v>
      </c>
      <c r="G5795" s="3">
        <v>0</v>
      </c>
      <c r="H5795" s="2">
        <f t="shared" si="180"/>
        <v>152</v>
      </c>
      <c r="I5795" t="str">
        <f t="shared" si="181"/>
        <v>Pptc7_152</v>
      </c>
      <c r="J5795" s="3">
        <v>0</v>
      </c>
      <c r="K5795" s="3">
        <v>152</v>
      </c>
      <c r="L5795" s="3">
        <v>0</v>
      </c>
      <c r="M5795" s="3">
        <v>0</v>
      </c>
      <c r="N5795" s="3">
        <v>0</v>
      </c>
    </row>
    <row r="5796" spans="1:14" x14ac:dyDescent="0.2">
      <c r="A5796" s="5" t="str">
        <f>HYPERLINK("http://www.ncbi.nlm.nih.gov/protein/255683299","Ppwd1")</f>
        <v>Ppwd1</v>
      </c>
      <c r="B5796" s="4"/>
      <c r="C5796" s="3">
        <v>0</v>
      </c>
      <c r="D5796" s="3">
        <v>0</v>
      </c>
      <c r="E5796" s="3">
        <v>300</v>
      </c>
      <c r="F5796" s="3">
        <v>82</v>
      </c>
      <c r="G5796" s="3">
        <v>0</v>
      </c>
      <c r="H5796" s="2">
        <f t="shared" si="180"/>
        <v>382</v>
      </c>
      <c r="I5796" t="str">
        <f t="shared" si="181"/>
        <v>Ppwd1_382</v>
      </c>
      <c r="J5796" s="3">
        <v>0</v>
      </c>
      <c r="K5796" s="3">
        <v>0</v>
      </c>
      <c r="L5796" s="3">
        <v>300</v>
      </c>
      <c r="M5796" s="3">
        <v>82</v>
      </c>
      <c r="N5796" s="3">
        <v>0</v>
      </c>
    </row>
    <row r="5797" spans="1:14" x14ac:dyDescent="0.2">
      <c r="A5797" s="5" t="str">
        <f>HYPERLINK("http://www.ncbi.nlm.nih.gov/protein/238550113","Pqlc3")</f>
        <v>Pqlc3</v>
      </c>
      <c r="B5797" s="4"/>
      <c r="C5797" s="3">
        <v>0</v>
      </c>
      <c r="D5797" s="3">
        <v>92</v>
      </c>
      <c r="E5797" s="3">
        <v>19</v>
      </c>
      <c r="F5797" s="3">
        <v>0</v>
      </c>
      <c r="G5797" s="3">
        <v>0</v>
      </c>
      <c r="H5797" s="2">
        <f t="shared" si="180"/>
        <v>111</v>
      </c>
      <c r="I5797" t="str">
        <f t="shared" si="181"/>
        <v>Pqlc3_111</v>
      </c>
      <c r="J5797" s="3">
        <v>0</v>
      </c>
      <c r="K5797" s="3">
        <v>92</v>
      </c>
      <c r="L5797" s="3">
        <v>19</v>
      </c>
      <c r="M5797" s="3">
        <v>0</v>
      </c>
      <c r="N5797" s="3">
        <v>0</v>
      </c>
    </row>
    <row r="5798" spans="1:14" x14ac:dyDescent="0.2">
      <c r="A5798" s="5" t="str">
        <f>HYPERLINK("http://www.ncbi.nlm.nih.gov/protein/238550118","Pqlc3")</f>
        <v>Pqlc3</v>
      </c>
      <c r="B5798" s="4"/>
      <c r="C5798" s="3">
        <v>0</v>
      </c>
      <c r="D5798" s="3">
        <v>92</v>
      </c>
      <c r="E5798" s="3">
        <v>19</v>
      </c>
      <c r="F5798" s="3">
        <v>0</v>
      </c>
      <c r="G5798" s="3">
        <v>0</v>
      </c>
      <c r="H5798" s="2">
        <f t="shared" si="180"/>
        <v>111</v>
      </c>
      <c r="I5798" t="str">
        <f t="shared" si="181"/>
        <v>Pqlc3_111</v>
      </c>
      <c r="J5798" s="3">
        <v>0</v>
      </c>
      <c r="K5798" s="3">
        <v>92</v>
      </c>
      <c r="L5798" s="3">
        <v>19</v>
      </c>
      <c r="M5798" s="3">
        <v>0</v>
      </c>
      <c r="N5798" s="3">
        <v>0</v>
      </c>
    </row>
    <row r="5799" spans="1:14" x14ac:dyDescent="0.2">
      <c r="A5799" s="5" t="str">
        <f>HYPERLINK("http://www.ncbi.nlm.nih.gov/protein/254750692","Pradc1")</f>
        <v>Pradc1</v>
      </c>
      <c r="B5799" s="4"/>
      <c r="C5799" s="3">
        <v>0</v>
      </c>
      <c r="D5799" s="3">
        <v>0</v>
      </c>
      <c r="E5799" s="3">
        <v>3</v>
      </c>
      <c r="F5799" s="3">
        <v>0</v>
      </c>
      <c r="G5799" s="3">
        <v>0</v>
      </c>
      <c r="H5799" s="2">
        <f t="shared" si="180"/>
        <v>3</v>
      </c>
      <c r="I5799" t="str">
        <f t="shared" si="181"/>
        <v>Pradc1_3</v>
      </c>
      <c r="J5799" s="3">
        <v>0</v>
      </c>
      <c r="K5799" s="3">
        <v>0</v>
      </c>
      <c r="L5799" s="3">
        <v>3</v>
      </c>
      <c r="M5799" s="3">
        <v>0</v>
      </c>
      <c r="N5799" s="3">
        <v>0</v>
      </c>
    </row>
    <row r="5800" spans="1:14" x14ac:dyDescent="0.2">
      <c r="A5800" s="5" t="str">
        <f>HYPERLINK("http://www.ncbi.nlm.nih.gov/protein/20070422","Praf2")</f>
        <v>Praf2</v>
      </c>
      <c r="B5800" s="4"/>
      <c r="C5800" s="3">
        <v>1208</v>
      </c>
      <c r="D5800" s="3">
        <v>2006</v>
      </c>
      <c r="E5800" s="3">
        <v>628</v>
      </c>
      <c r="F5800" s="3">
        <v>327</v>
      </c>
      <c r="G5800" s="3">
        <v>0</v>
      </c>
      <c r="H5800" s="2">
        <f t="shared" si="180"/>
        <v>4169</v>
      </c>
      <c r="I5800" t="str">
        <f t="shared" si="181"/>
        <v>Praf2_4169</v>
      </c>
      <c r="J5800" s="3">
        <v>1208</v>
      </c>
      <c r="K5800" s="3">
        <v>2006</v>
      </c>
      <c r="L5800" s="3">
        <v>628</v>
      </c>
      <c r="M5800" s="3">
        <v>327</v>
      </c>
      <c r="N5800" s="3">
        <v>0</v>
      </c>
    </row>
    <row r="5801" spans="1:14" x14ac:dyDescent="0.2">
      <c r="A5801" s="5" t="str">
        <f>HYPERLINK("http://www.ncbi.nlm.nih.gov/protein/255308896","Pram1")</f>
        <v>Pram1</v>
      </c>
      <c r="B5801" s="4"/>
      <c r="C5801" s="3">
        <v>0</v>
      </c>
      <c r="D5801" s="3">
        <v>0</v>
      </c>
      <c r="E5801" s="3">
        <v>69</v>
      </c>
      <c r="F5801" s="3">
        <v>0</v>
      </c>
      <c r="G5801" s="3">
        <v>0</v>
      </c>
      <c r="H5801" s="2">
        <f t="shared" si="180"/>
        <v>69</v>
      </c>
      <c r="I5801" t="str">
        <f t="shared" si="181"/>
        <v>Pram1_69</v>
      </c>
      <c r="J5801" s="3">
        <v>0</v>
      </c>
      <c r="K5801" s="3">
        <v>0</v>
      </c>
      <c r="L5801" s="3">
        <v>69</v>
      </c>
      <c r="M5801" s="3">
        <v>0</v>
      </c>
      <c r="N5801" s="3">
        <v>0</v>
      </c>
    </row>
    <row r="5802" spans="1:14" x14ac:dyDescent="0.2">
      <c r="A5802" s="5" t="str">
        <f>HYPERLINK("http://www.ncbi.nlm.nih.gov/protein/188219557","Prc1")</f>
        <v>Prc1</v>
      </c>
      <c r="B5802" s="4"/>
      <c r="C5802" s="3">
        <v>0</v>
      </c>
      <c r="D5802" s="3">
        <v>0</v>
      </c>
      <c r="E5802" s="3">
        <v>111</v>
      </c>
      <c r="F5802" s="3">
        <v>0</v>
      </c>
      <c r="G5802" s="3">
        <v>0</v>
      </c>
      <c r="H5802" s="2">
        <f t="shared" si="180"/>
        <v>111</v>
      </c>
      <c r="I5802" t="str">
        <f t="shared" si="181"/>
        <v>Prc1_111</v>
      </c>
      <c r="J5802" s="3">
        <v>0</v>
      </c>
      <c r="K5802" s="3">
        <v>0</v>
      </c>
      <c r="L5802" s="3">
        <v>111</v>
      </c>
      <c r="M5802" s="3">
        <v>0</v>
      </c>
      <c r="N5802" s="3">
        <v>0</v>
      </c>
    </row>
    <row r="5803" spans="1:14" x14ac:dyDescent="0.2">
      <c r="A5803" s="5" t="str">
        <f>HYPERLINK("http://www.ncbi.nlm.nih.gov/protein/33469015","Prcp")</f>
        <v>Prcp</v>
      </c>
      <c r="B5803" s="4"/>
      <c r="C5803" s="3">
        <v>384</v>
      </c>
      <c r="D5803" s="3">
        <v>3649</v>
      </c>
      <c r="E5803" s="3">
        <v>217</v>
      </c>
      <c r="F5803" s="3">
        <v>0</v>
      </c>
      <c r="G5803" s="3">
        <v>5023</v>
      </c>
      <c r="H5803" s="2">
        <f t="shared" si="180"/>
        <v>9273</v>
      </c>
      <c r="I5803" t="str">
        <f t="shared" si="181"/>
        <v>Prcp_9273</v>
      </c>
      <c r="J5803" s="3">
        <v>384</v>
      </c>
      <c r="K5803" s="3">
        <v>3649</v>
      </c>
      <c r="L5803" s="3">
        <v>217</v>
      </c>
      <c r="M5803" s="3">
        <v>0</v>
      </c>
      <c r="N5803" s="3">
        <v>5023</v>
      </c>
    </row>
    <row r="5804" spans="1:14" x14ac:dyDescent="0.2">
      <c r="A5804" s="5" t="str">
        <f>HYPERLINK("http://www.ncbi.nlm.nih.gov/protein/172073164","Prdm1")</f>
        <v>Prdm1</v>
      </c>
      <c r="B5804" s="4"/>
      <c r="C5804" s="3">
        <v>0</v>
      </c>
      <c r="D5804" s="3">
        <v>0</v>
      </c>
      <c r="E5804" s="3">
        <v>121</v>
      </c>
      <c r="F5804" s="3">
        <v>0</v>
      </c>
      <c r="G5804" s="3">
        <v>0</v>
      </c>
      <c r="H5804" s="2">
        <f t="shared" si="180"/>
        <v>121</v>
      </c>
      <c r="I5804" t="str">
        <f t="shared" si="181"/>
        <v>Prdm1_121</v>
      </c>
      <c r="J5804" s="3">
        <v>0</v>
      </c>
      <c r="K5804" s="3">
        <v>0</v>
      </c>
      <c r="L5804" s="3">
        <v>121</v>
      </c>
      <c r="M5804" s="3">
        <v>0</v>
      </c>
      <c r="N5804" s="3">
        <v>0</v>
      </c>
    </row>
    <row r="5805" spans="1:14" x14ac:dyDescent="0.2">
      <c r="A5805" s="5" t="str">
        <f>HYPERLINK("http://www.ncbi.nlm.nih.gov/protein/294712532","Prdm11")</f>
        <v>Prdm11</v>
      </c>
      <c r="B5805" s="4"/>
      <c r="C5805" s="3">
        <v>0</v>
      </c>
      <c r="D5805" s="3">
        <v>455</v>
      </c>
      <c r="E5805" s="3">
        <v>0</v>
      </c>
      <c r="F5805" s="3">
        <v>0</v>
      </c>
      <c r="G5805" s="3">
        <v>0</v>
      </c>
      <c r="H5805" s="2">
        <f t="shared" si="180"/>
        <v>455</v>
      </c>
      <c r="I5805" t="str">
        <f t="shared" si="181"/>
        <v>Prdm11_455</v>
      </c>
      <c r="J5805" s="3">
        <v>0</v>
      </c>
      <c r="K5805" s="3">
        <v>455</v>
      </c>
      <c r="L5805" s="3">
        <v>0</v>
      </c>
      <c r="M5805" s="3">
        <v>0</v>
      </c>
      <c r="N5805" s="3">
        <v>0</v>
      </c>
    </row>
    <row r="5806" spans="1:14" x14ac:dyDescent="0.2">
      <c r="A5806" s="5" t="str">
        <f>HYPERLINK("http://www.ncbi.nlm.nih.gov/protein/6754976","Prdx1")</f>
        <v>Prdx1</v>
      </c>
      <c r="B5806" s="4"/>
      <c r="C5806" s="3">
        <v>123163</v>
      </c>
      <c r="D5806" s="3">
        <v>159129</v>
      </c>
      <c r="E5806" s="3">
        <v>116886</v>
      </c>
      <c r="F5806" s="3">
        <v>774477</v>
      </c>
      <c r="G5806" s="3">
        <v>1194966</v>
      </c>
      <c r="H5806" s="2">
        <f t="shared" si="180"/>
        <v>2368621</v>
      </c>
      <c r="I5806" t="str">
        <f t="shared" si="181"/>
        <v>Prdx1_2368621</v>
      </c>
      <c r="J5806" s="3">
        <v>123163</v>
      </c>
      <c r="K5806" s="3">
        <v>159129</v>
      </c>
      <c r="L5806" s="3">
        <v>116886</v>
      </c>
      <c r="M5806" s="3">
        <v>774477</v>
      </c>
      <c r="N5806" s="3">
        <v>1194966</v>
      </c>
    </row>
    <row r="5807" spans="1:14" x14ac:dyDescent="0.2">
      <c r="A5807" s="5" t="str">
        <f>HYPERLINK("http://www.ncbi.nlm.nih.gov/protein/148747558","Prdx2")</f>
        <v>Prdx2</v>
      </c>
      <c r="B5807" s="4"/>
      <c r="C5807" s="3">
        <v>23670</v>
      </c>
      <c r="D5807" s="3">
        <v>21825</v>
      </c>
      <c r="E5807" s="3">
        <v>45746</v>
      </c>
      <c r="F5807" s="3">
        <v>298225</v>
      </c>
      <c r="G5807" s="3">
        <v>77954</v>
      </c>
      <c r="H5807" s="2">
        <f t="shared" si="180"/>
        <v>467420</v>
      </c>
      <c r="I5807" t="str">
        <f t="shared" si="181"/>
        <v>Prdx2_467420</v>
      </c>
      <c r="J5807" s="3">
        <v>23670</v>
      </c>
      <c r="K5807" s="3">
        <v>21825</v>
      </c>
      <c r="L5807" s="3">
        <v>45746</v>
      </c>
      <c r="M5807" s="3">
        <v>298225</v>
      </c>
      <c r="N5807" s="3">
        <v>77954</v>
      </c>
    </row>
    <row r="5808" spans="1:14" x14ac:dyDescent="0.2">
      <c r="A5808" s="5" t="str">
        <f>HYPERLINK("http://www.ncbi.nlm.nih.gov/protein/6680690","Prdx3")</f>
        <v>Prdx3</v>
      </c>
      <c r="B5808" s="4"/>
      <c r="C5808" s="3">
        <v>277153</v>
      </c>
      <c r="D5808" s="3">
        <v>47080</v>
      </c>
      <c r="E5808" s="3">
        <v>5531</v>
      </c>
      <c r="F5808" s="3">
        <v>1113</v>
      </c>
      <c r="G5808" s="3">
        <v>28027</v>
      </c>
      <c r="H5808" s="2">
        <f t="shared" si="180"/>
        <v>358904</v>
      </c>
      <c r="I5808" t="str">
        <f t="shared" si="181"/>
        <v>Prdx3_358904</v>
      </c>
      <c r="J5808" s="3">
        <v>277153</v>
      </c>
      <c r="K5808" s="3">
        <v>47080</v>
      </c>
      <c r="L5808" s="3">
        <v>5531</v>
      </c>
      <c r="M5808" s="3">
        <v>1113</v>
      </c>
      <c r="N5808" s="3">
        <v>28027</v>
      </c>
    </row>
    <row r="5809" spans="1:14" x14ac:dyDescent="0.2">
      <c r="A5809" s="5" t="str">
        <f>HYPERLINK("http://www.ncbi.nlm.nih.gov/protein/7948999","Prdx4")</f>
        <v>Prdx4</v>
      </c>
      <c r="B5809" s="4"/>
      <c r="C5809" s="3">
        <v>100335</v>
      </c>
      <c r="D5809" s="3">
        <v>82968</v>
      </c>
      <c r="E5809" s="3">
        <v>41223</v>
      </c>
      <c r="F5809" s="3">
        <v>302383</v>
      </c>
      <c r="G5809" s="3">
        <v>107748</v>
      </c>
      <c r="H5809" s="2">
        <f t="shared" si="180"/>
        <v>634657</v>
      </c>
      <c r="I5809" t="str">
        <f t="shared" si="181"/>
        <v>Prdx4_634657</v>
      </c>
      <c r="J5809" s="3">
        <v>100335</v>
      </c>
      <c r="K5809" s="3">
        <v>82968</v>
      </c>
      <c r="L5809" s="3">
        <v>41223</v>
      </c>
      <c r="M5809" s="3">
        <v>302383</v>
      </c>
      <c r="N5809" s="3">
        <v>107748</v>
      </c>
    </row>
    <row r="5810" spans="1:14" x14ac:dyDescent="0.2">
      <c r="A5810" s="5" t="str">
        <f>HYPERLINK("http://www.ncbi.nlm.nih.gov/protein/6755114","Prdx5")</f>
        <v>Prdx5</v>
      </c>
      <c r="B5810" s="4"/>
      <c r="C5810" s="3">
        <v>248230</v>
      </c>
      <c r="D5810" s="3">
        <v>94813</v>
      </c>
      <c r="E5810" s="3">
        <v>75005</v>
      </c>
      <c r="F5810" s="3">
        <v>80710</v>
      </c>
      <c r="G5810" s="3">
        <v>165237</v>
      </c>
      <c r="H5810" s="2">
        <f t="shared" si="180"/>
        <v>663995</v>
      </c>
      <c r="I5810" t="str">
        <f t="shared" si="181"/>
        <v>Prdx5_663995</v>
      </c>
      <c r="J5810" s="3">
        <v>248230</v>
      </c>
      <c r="K5810" s="3">
        <v>94813</v>
      </c>
      <c r="L5810" s="3">
        <v>75005</v>
      </c>
      <c r="M5810" s="3">
        <v>80710</v>
      </c>
      <c r="N5810" s="3">
        <v>165237</v>
      </c>
    </row>
    <row r="5811" spans="1:14" x14ac:dyDescent="0.2">
      <c r="A5811" s="5" t="str">
        <f>HYPERLINK("http://www.ncbi.nlm.nih.gov/protein/6671549","Prdx6")</f>
        <v>Prdx6</v>
      </c>
      <c r="B5811" s="4"/>
      <c r="C5811" s="3">
        <v>14279</v>
      </c>
      <c r="D5811" s="3">
        <v>35269</v>
      </c>
      <c r="E5811" s="3">
        <v>38278</v>
      </c>
      <c r="F5811" s="3">
        <v>17231</v>
      </c>
      <c r="G5811" s="3">
        <v>582104</v>
      </c>
      <c r="H5811" s="2">
        <f t="shared" si="180"/>
        <v>687161</v>
      </c>
      <c r="I5811" t="str">
        <f t="shared" si="181"/>
        <v>Prdx6_687161</v>
      </c>
      <c r="J5811" s="3">
        <v>14279</v>
      </c>
      <c r="K5811" s="3">
        <v>35269</v>
      </c>
      <c r="L5811" s="3">
        <v>38278</v>
      </c>
      <c r="M5811" s="3">
        <v>17231</v>
      </c>
      <c r="N5811" s="3">
        <v>582104</v>
      </c>
    </row>
    <row r="5812" spans="1:14" x14ac:dyDescent="0.2">
      <c r="A5812" s="5" t="str">
        <f>HYPERLINK("http://www.ncbi.nlm.nih.gov/protein/28916703","Prdx6b")</f>
        <v>Prdx6b</v>
      </c>
      <c r="B5812" s="4"/>
      <c r="C5812" s="3">
        <v>1501</v>
      </c>
      <c r="D5812" s="3">
        <v>22441</v>
      </c>
      <c r="E5812" s="3">
        <v>14074</v>
      </c>
      <c r="F5812" s="3">
        <v>7825</v>
      </c>
      <c r="G5812" s="3">
        <v>256825</v>
      </c>
      <c r="H5812" s="2">
        <f t="shared" si="180"/>
        <v>302666</v>
      </c>
      <c r="I5812" t="str">
        <f t="shared" si="181"/>
        <v>Prdx6b_302666</v>
      </c>
      <c r="J5812" s="3">
        <v>1501</v>
      </c>
      <c r="K5812" s="3">
        <v>22441</v>
      </c>
      <c r="L5812" s="3">
        <v>14074</v>
      </c>
      <c r="M5812" s="3">
        <v>7825</v>
      </c>
      <c r="N5812" s="3">
        <v>256825</v>
      </c>
    </row>
    <row r="5813" spans="1:14" x14ac:dyDescent="0.2">
      <c r="A5813" s="5" t="str">
        <f>HYPERLINK("http://www.ncbi.nlm.nih.gov/protein/158749640","Preb")</f>
        <v>Preb</v>
      </c>
      <c r="B5813" s="4"/>
      <c r="C5813" s="3">
        <v>0</v>
      </c>
      <c r="D5813" s="3">
        <v>2785</v>
      </c>
      <c r="E5813" s="3">
        <v>0</v>
      </c>
      <c r="F5813" s="3">
        <v>0</v>
      </c>
      <c r="G5813" s="3">
        <v>0</v>
      </c>
      <c r="H5813" s="2">
        <f t="shared" si="180"/>
        <v>2785</v>
      </c>
      <c r="I5813" t="str">
        <f t="shared" si="181"/>
        <v>Preb_2785</v>
      </c>
      <c r="J5813" s="3">
        <v>0</v>
      </c>
      <c r="K5813" s="3">
        <v>2785</v>
      </c>
      <c r="L5813" s="3">
        <v>0</v>
      </c>
      <c r="M5813" s="3">
        <v>0</v>
      </c>
      <c r="N5813" s="3">
        <v>0</v>
      </c>
    </row>
    <row r="5814" spans="1:14" x14ac:dyDescent="0.2">
      <c r="A5814" s="5" t="str">
        <f>HYPERLINK("http://www.ncbi.nlm.nih.gov/protein/6755152","Prep")</f>
        <v>Prep</v>
      </c>
      <c r="B5814" s="4"/>
      <c r="C5814" s="3">
        <v>714</v>
      </c>
      <c r="D5814" s="3">
        <v>9354</v>
      </c>
      <c r="E5814" s="3">
        <v>14038</v>
      </c>
      <c r="F5814" s="3">
        <v>9700</v>
      </c>
      <c r="G5814" s="3">
        <v>34099</v>
      </c>
      <c r="H5814" s="2">
        <f t="shared" si="180"/>
        <v>67905</v>
      </c>
      <c r="I5814" t="str">
        <f t="shared" si="181"/>
        <v>Prep_67905</v>
      </c>
      <c r="J5814" s="3">
        <v>714</v>
      </c>
      <c r="K5814" s="3">
        <v>9354</v>
      </c>
      <c r="L5814" s="3">
        <v>14038</v>
      </c>
      <c r="M5814" s="3">
        <v>9700</v>
      </c>
      <c r="N5814" s="3">
        <v>34099</v>
      </c>
    </row>
    <row r="5815" spans="1:14" x14ac:dyDescent="0.2">
      <c r="A5815" s="5" t="str">
        <f>HYPERLINK("http://www.ncbi.nlm.nih.gov/protein/6679459","Prim1")</f>
        <v>Prim1</v>
      </c>
      <c r="B5815" s="4"/>
      <c r="C5815" s="3">
        <v>0</v>
      </c>
      <c r="D5815" s="3">
        <v>637</v>
      </c>
      <c r="E5815" s="3">
        <v>707</v>
      </c>
      <c r="F5815" s="3">
        <v>20709</v>
      </c>
      <c r="G5815" s="3">
        <v>7871</v>
      </c>
      <c r="H5815" s="2">
        <f t="shared" si="180"/>
        <v>29924</v>
      </c>
      <c r="I5815" t="str">
        <f t="shared" si="181"/>
        <v>Prim1_29924</v>
      </c>
      <c r="J5815" s="3">
        <v>0</v>
      </c>
      <c r="K5815" s="3">
        <v>637</v>
      </c>
      <c r="L5815" s="3">
        <v>707</v>
      </c>
      <c r="M5815" s="3">
        <v>20709</v>
      </c>
      <c r="N5815" s="3">
        <v>7871</v>
      </c>
    </row>
    <row r="5816" spans="1:14" x14ac:dyDescent="0.2">
      <c r="A5816" s="5" t="str">
        <f>HYPERLINK("http://www.ncbi.nlm.nih.gov/protein/6679461","Prim2")</f>
        <v>Prim2</v>
      </c>
      <c r="B5816" s="4"/>
      <c r="C5816" s="3">
        <v>3094</v>
      </c>
      <c r="D5816" s="3">
        <v>1025</v>
      </c>
      <c r="E5816" s="3">
        <v>1554</v>
      </c>
      <c r="F5816" s="3">
        <v>33536</v>
      </c>
      <c r="G5816" s="3">
        <v>17639</v>
      </c>
      <c r="H5816" s="2">
        <f t="shared" si="180"/>
        <v>56848</v>
      </c>
      <c r="I5816" t="str">
        <f t="shared" si="181"/>
        <v>Prim2_56848</v>
      </c>
      <c r="J5816" s="3">
        <v>3094</v>
      </c>
      <c r="K5816" s="3">
        <v>1025</v>
      </c>
      <c r="L5816" s="3">
        <v>1554</v>
      </c>
      <c r="M5816" s="3">
        <v>33536</v>
      </c>
      <c r="N5816" s="3">
        <v>17639</v>
      </c>
    </row>
    <row r="5817" spans="1:14" x14ac:dyDescent="0.2">
      <c r="A5817" s="5" t="str">
        <f>HYPERLINK("http://www.ncbi.nlm.nih.gov/protein/94681061","Prkaa1")</f>
        <v>Prkaa1</v>
      </c>
      <c r="B5817" s="4"/>
      <c r="C5817" s="3">
        <v>77984</v>
      </c>
      <c r="D5817" s="3">
        <v>1989</v>
      </c>
      <c r="E5817" s="3">
        <v>10975</v>
      </c>
      <c r="F5817" s="3">
        <v>60524</v>
      </c>
      <c r="G5817" s="3">
        <v>16214</v>
      </c>
      <c r="H5817" s="2">
        <f t="shared" si="180"/>
        <v>167686</v>
      </c>
      <c r="I5817" t="str">
        <f t="shared" si="181"/>
        <v>Prkaa1_167686</v>
      </c>
      <c r="J5817" s="3">
        <v>77984</v>
      </c>
      <c r="K5817" s="3">
        <v>1989</v>
      </c>
      <c r="L5817" s="3">
        <v>10975</v>
      </c>
      <c r="M5817" s="3">
        <v>60524</v>
      </c>
      <c r="N5817" s="3">
        <v>16214</v>
      </c>
    </row>
    <row r="5818" spans="1:14" x14ac:dyDescent="0.2">
      <c r="A5818" s="5" t="str">
        <f>HYPERLINK("http://www.ncbi.nlm.nih.gov/protein/227452236","Prkaa2")</f>
        <v>Prkaa2</v>
      </c>
      <c r="B5818" s="4"/>
      <c r="C5818" s="3">
        <v>0</v>
      </c>
      <c r="D5818" s="3">
        <v>35</v>
      </c>
      <c r="E5818" s="3">
        <v>2229</v>
      </c>
      <c r="F5818" s="3">
        <v>3978</v>
      </c>
      <c r="G5818" s="3">
        <v>14790</v>
      </c>
      <c r="H5818" s="2">
        <f t="shared" si="180"/>
        <v>21032</v>
      </c>
      <c r="I5818" t="str">
        <f t="shared" si="181"/>
        <v>Prkaa2_21032</v>
      </c>
      <c r="J5818" s="3">
        <v>0</v>
      </c>
      <c r="K5818" s="3">
        <v>35</v>
      </c>
      <c r="L5818" s="3">
        <v>2229</v>
      </c>
      <c r="M5818" s="3">
        <v>3978</v>
      </c>
      <c r="N5818" s="3">
        <v>14790</v>
      </c>
    </row>
    <row r="5819" spans="1:14" x14ac:dyDescent="0.2">
      <c r="A5819" s="5" t="str">
        <f>HYPERLINK("http://www.ncbi.nlm.nih.gov/protein/23956234","Prkab1")</f>
        <v>Prkab1</v>
      </c>
      <c r="B5819" s="4"/>
      <c r="C5819" s="3">
        <v>0</v>
      </c>
      <c r="D5819" s="3">
        <v>977</v>
      </c>
      <c r="E5819" s="3">
        <v>2104</v>
      </c>
      <c r="F5819" s="3">
        <v>8366</v>
      </c>
      <c r="G5819" s="3">
        <v>4830</v>
      </c>
      <c r="H5819" s="2">
        <f t="shared" si="180"/>
        <v>16277</v>
      </c>
      <c r="I5819" t="str">
        <f t="shared" si="181"/>
        <v>Prkab1_16277</v>
      </c>
      <c r="J5819" s="3">
        <v>0</v>
      </c>
      <c r="K5819" s="3">
        <v>977</v>
      </c>
      <c r="L5819" s="3">
        <v>2104</v>
      </c>
      <c r="M5819" s="3">
        <v>8366</v>
      </c>
      <c r="N5819" s="3">
        <v>4830</v>
      </c>
    </row>
    <row r="5820" spans="1:14" x14ac:dyDescent="0.2">
      <c r="A5820" s="5" t="str">
        <f>HYPERLINK("http://www.ncbi.nlm.nih.gov/protein/72384347","Prkab2")</f>
        <v>Prkab2</v>
      </c>
      <c r="B5820" s="4"/>
      <c r="C5820" s="3">
        <v>0</v>
      </c>
      <c r="D5820" s="3">
        <v>0</v>
      </c>
      <c r="E5820" s="3">
        <v>1092</v>
      </c>
      <c r="F5820" s="3">
        <v>3405</v>
      </c>
      <c r="G5820" s="3">
        <v>4059</v>
      </c>
      <c r="H5820" s="2">
        <f t="shared" si="180"/>
        <v>8556</v>
      </c>
      <c r="I5820" t="str">
        <f t="shared" si="181"/>
        <v>Prkab2_8556</v>
      </c>
      <c r="J5820" s="3">
        <v>0</v>
      </c>
      <c r="K5820" s="3">
        <v>0</v>
      </c>
      <c r="L5820" s="3">
        <v>1092</v>
      </c>
      <c r="M5820" s="3">
        <v>3405</v>
      </c>
      <c r="N5820" s="3">
        <v>4059</v>
      </c>
    </row>
    <row r="5821" spans="1:14" x14ac:dyDescent="0.2">
      <c r="A5821" s="5" t="str">
        <f>HYPERLINK("http://www.ncbi.nlm.nih.gov/protein/483968030","Prkaca")</f>
        <v>Prkaca</v>
      </c>
      <c r="B5821" s="4"/>
      <c r="C5821" s="3">
        <v>15157</v>
      </c>
      <c r="D5821" s="3">
        <v>0</v>
      </c>
      <c r="E5821" s="3">
        <v>515</v>
      </c>
      <c r="F5821" s="3">
        <v>0</v>
      </c>
      <c r="G5821" s="3">
        <v>0</v>
      </c>
      <c r="H5821" s="2">
        <f t="shared" si="180"/>
        <v>15672</v>
      </c>
      <c r="I5821" t="str">
        <f t="shared" si="181"/>
        <v>Prkaca_15672</v>
      </c>
      <c r="J5821" s="3">
        <v>15157</v>
      </c>
      <c r="K5821" s="3">
        <v>0</v>
      </c>
      <c r="L5821" s="3">
        <v>515</v>
      </c>
      <c r="M5821" s="3">
        <v>0</v>
      </c>
      <c r="N5821" s="3">
        <v>0</v>
      </c>
    </row>
    <row r="5822" spans="1:14" x14ac:dyDescent="0.2">
      <c r="A5822" s="5" t="str">
        <f>HYPERLINK("http://www.ncbi.nlm.nih.gov/protein/7110693","Prkaca")</f>
        <v>Prkaca</v>
      </c>
      <c r="B5822" s="4"/>
      <c r="C5822" s="3">
        <v>16768</v>
      </c>
      <c r="D5822" s="3">
        <v>756</v>
      </c>
      <c r="E5822" s="3">
        <v>3007</v>
      </c>
      <c r="F5822" s="3">
        <v>59124</v>
      </c>
      <c r="G5822" s="3">
        <v>54940</v>
      </c>
      <c r="H5822" s="2">
        <f t="shared" si="180"/>
        <v>134595</v>
      </c>
      <c r="I5822" t="str">
        <f t="shared" si="181"/>
        <v>Prkaca_134595</v>
      </c>
      <c r="J5822" s="3">
        <v>16768</v>
      </c>
      <c r="K5822" s="3">
        <v>756</v>
      </c>
      <c r="L5822" s="3">
        <v>3007</v>
      </c>
      <c r="M5822" s="3">
        <v>59124</v>
      </c>
      <c r="N5822" s="3">
        <v>54940</v>
      </c>
    </row>
    <row r="5823" spans="1:14" x14ac:dyDescent="0.2">
      <c r="A5823" s="5" t="str">
        <f>HYPERLINK("http://www.ncbi.nlm.nih.gov/protein/255958156","Prkacb")</f>
        <v>Prkacb</v>
      </c>
      <c r="B5823" s="4"/>
      <c r="C5823" s="3">
        <v>2599</v>
      </c>
      <c r="D5823" s="3">
        <v>19</v>
      </c>
      <c r="E5823" s="3">
        <v>2521</v>
      </c>
      <c r="F5823" s="3">
        <v>32366</v>
      </c>
      <c r="G5823" s="3">
        <v>31422</v>
      </c>
      <c r="H5823" s="2">
        <f t="shared" si="180"/>
        <v>68927</v>
      </c>
      <c r="I5823" t="str">
        <f t="shared" si="181"/>
        <v>Prkacb_68927</v>
      </c>
      <c r="J5823" s="3">
        <v>2599</v>
      </c>
      <c r="K5823" s="3">
        <v>19</v>
      </c>
      <c r="L5823" s="3">
        <v>2521</v>
      </c>
      <c r="M5823" s="3">
        <v>32366</v>
      </c>
      <c r="N5823" s="3">
        <v>31422</v>
      </c>
    </row>
    <row r="5824" spans="1:14" x14ac:dyDescent="0.2">
      <c r="A5824" s="5" t="str">
        <f>HYPERLINK("http://www.ncbi.nlm.nih.gov/protein/255958318","Prkacb")</f>
        <v>Prkacb</v>
      </c>
      <c r="B5824" s="4"/>
      <c r="C5824" s="3">
        <v>2599</v>
      </c>
      <c r="D5824" s="3">
        <v>19</v>
      </c>
      <c r="E5824" s="3">
        <v>2521</v>
      </c>
      <c r="F5824" s="3">
        <v>32366</v>
      </c>
      <c r="G5824" s="3">
        <v>31422</v>
      </c>
      <c r="H5824" s="2">
        <f t="shared" si="180"/>
        <v>68927</v>
      </c>
      <c r="I5824" t="str">
        <f t="shared" si="181"/>
        <v>Prkacb_68927</v>
      </c>
      <c r="J5824" s="3">
        <v>2599</v>
      </c>
      <c r="K5824" s="3">
        <v>19</v>
      </c>
      <c r="L5824" s="3">
        <v>2521</v>
      </c>
      <c r="M5824" s="3">
        <v>32366</v>
      </c>
      <c r="N5824" s="3">
        <v>31422</v>
      </c>
    </row>
    <row r="5825" spans="1:14" x14ac:dyDescent="0.2">
      <c r="A5825" s="5" t="str">
        <f>HYPERLINK("http://www.ncbi.nlm.nih.gov/protein/255958320","Prkacb")</f>
        <v>Prkacb</v>
      </c>
      <c r="B5825" s="4"/>
      <c r="C5825" s="3">
        <v>2599</v>
      </c>
      <c r="D5825" s="3">
        <v>19</v>
      </c>
      <c r="E5825" s="3">
        <v>2521</v>
      </c>
      <c r="F5825" s="3">
        <v>32366</v>
      </c>
      <c r="G5825" s="3">
        <v>31422</v>
      </c>
      <c r="H5825" s="2">
        <f t="shared" si="180"/>
        <v>68927</v>
      </c>
      <c r="I5825" t="str">
        <f t="shared" si="181"/>
        <v>Prkacb_68927</v>
      </c>
      <c r="J5825" s="3">
        <v>2599</v>
      </c>
      <c r="K5825" s="3">
        <v>19</v>
      </c>
      <c r="L5825" s="3">
        <v>2521</v>
      </c>
      <c r="M5825" s="3">
        <v>32366</v>
      </c>
      <c r="N5825" s="3">
        <v>31422</v>
      </c>
    </row>
    <row r="5826" spans="1:14" x14ac:dyDescent="0.2">
      <c r="A5826" s="5" t="str">
        <f>HYPERLINK("http://www.ncbi.nlm.nih.gov/protein/6755076","Prkacb")</f>
        <v>Prkacb</v>
      </c>
      <c r="B5826" s="4"/>
      <c r="C5826" s="3">
        <v>2599</v>
      </c>
      <c r="D5826" s="3">
        <v>19</v>
      </c>
      <c r="E5826" s="3">
        <v>2521</v>
      </c>
      <c r="F5826" s="3">
        <v>32366</v>
      </c>
      <c r="G5826" s="3">
        <v>31422</v>
      </c>
      <c r="H5826" s="2">
        <f t="shared" ref="H5826:H5889" si="182">SUM(C5826:G5826)</f>
        <v>68927</v>
      </c>
      <c r="I5826" t="str">
        <f t="shared" ref="I5826:I5889" si="183">A5826&amp;"_"&amp;H5826</f>
        <v>Prkacb_68927</v>
      </c>
      <c r="J5826" s="3">
        <v>2599</v>
      </c>
      <c r="K5826" s="3">
        <v>19</v>
      </c>
      <c r="L5826" s="3">
        <v>2521</v>
      </c>
      <c r="M5826" s="3">
        <v>32366</v>
      </c>
      <c r="N5826" s="3">
        <v>31422</v>
      </c>
    </row>
    <row r="5827" spans="1:14" x14ac:dyDescent="0.2">
      <c r="A5827" s="5" t="str">
        <f>HYPERLINK("http://www.ncbi.nlm.nih.gov/protein/124107596","Prkag1")</f>
        <v>Prkag1</v>
      </c>
      <c r="B5827" s="4"/>
      <c r="C5827" s="3">
        <v>5272</v>
      </c>
      <c r="D5827" s="3">
        <v>5839</v>
      </c>
      <c r="E5827" s="3">
        <v>8391</v>
      </c>
      <c r="F5827" s="3">
        <v>40117</v>
      </c>
      <c r="G5827" s="3">
        <v>41639</v>
      </c>
      <c r="H5827" s="2">
        <f t="shared" si="182"/>
        <v>101258</v>
      </c>
      <c r="I5827" t="str">
        <f t="shared" si="183"/>
        <v>Prkag1_101258</v>
      </c>
      <c r="J5827" s="3">
        <v>5272</v>
      </c>
      <c r="K5827" s="3">
        <v>5839</v>
      </c>
      <c r="L5827" s="3">
        <v>8391</v>
      </c>
      <c r="M5827" s="3">
        <v>40117</v>
      </c>
      <c r="N5827" s="3">
        <v>41639</v>
      </c>
    </row>
    <row r="5828" spans="1:14" x14ac:dyDescent="0.2">
      <c r="A5828" s="5" t="str">
        <f>HYPERLINK("http://www.ncbi.nlm.nih.gov/protein/282847325","Prkag2")</f>
        <v>Prkag2</v>
      </c>
      <c r="B5828" s="4"/>
      <c r="C5828" s="3">
        <v>0</v>
      </c>
      <c r="D5828" s="3">
        <v>484</v>
      </c>
      <c r="E5828" s="3">
        <v>2988</v>
      </c>
      <c r="F5828" s="3">
        <v>3487</v>
      </c>
      <c r="G5828" s="3">
        <v>5837</v>
      </c>
      <c r="H5828" s="2">
        <f t="shared" si="182"/>
        <v>12796</v>
      </c>
      <c r="I5828" t="str">
        <f t="shared" si="183"/>
        <v>Prkag2_12796</v>
      </c>
      <c r="J5828" s="3">
        <v>0</v>
      </c>
      <c r="K5828" s="3">
        <v>484</v>
      </c>
      <c r="L5828" s="3">
        <v>2988</v>
      </c>
      <c r="M5828" s="3">
        <v>3487</v>
      </c>
      <c r="N5828" s="3">
        <v>5837</v>
      </c>
    </row>
    <row r="5829" spans="1:14" x14ac:dyDescent="0.2">
      <c r="A5829" s="5" t="str">
        <f>HYPERLINK("http://www.ncbi.nlm.nih.gov/protein/282847327","Prkag2")</f>
        <v>Prkag2</v>
      </c>
      <c r="B5829" s="4"/>
      <c r="C5829" s="3">
        <v>0</v>
      </c>
      <c r="D5829" s="3">
        <v>484</v>
      </c>
      <c r="E5829" s="3">
        <v>2988</v>
      </c>
      <c r="F5829" s="3">
        <v>3487</v>
      </c>
      <c r="G5829" s="3">
        <v>5837</v>
      </c>
      <c r="H5829" s="2">
        <f t="shared" si="182"/>
        <v>12796</v>
      </c>
      <c r="I5829" t="str">
        <f t="shared" si="183"/>
        <v>Prkag2_12796</v>
      </c>
      <c r="J5829" s="3">
        <v>0</v>
      </c>
      <c r="K5829" s="3">
        <v>484</v>
      </c>
      <c r="L5829" s="3">
        <v>2988</v>
      </c>
      <c r="M5829" s="3">
        <v>3487</v>
      </c>
      <c r="N5829" s="3">
        <v>5837</v>
      </c>
    </row>
    <row r="5830" spans="1:14" x14ac:dyDescent="0.2">
      <c r="A5830" s="5" t="str">
        <f>HYPERLINK("http://www.ncbi.nlm.nih.gov/protein/282847331","Prkag2")</f>
        <v>Prkag2</v>
      </c>
      <c r="B5830" s="4"/>
      <c r="C5830" s="3">
        <v>0</v>
      </c>
      <c r="D5830" s="3">
        <v>484</v>
      </c>
      <c r="E5830" s="3">
        <v>2988</v>
      </c>
      <c r="F5830" s="3">
        <v>3487</v>
      </c>
      <c r="G5830" s="3">
        <v>5837</v>
      </c>
      <c r="H5830" s="2">
        <f t="shared" si="182"/>
        <v>12796</v>
      </c>
      <c r="I5830" t="str">
        <f t="shared" si="183"/>
        <v>Prkag2_12796</v>
      </c>
      <c r="J5830" s="3">
        <v>0</v>
      </c>
      <c r="K5830" s="3">
        <v>484</v>
      </c>
      <c r="L5830" s="3">
        <v>2988</v>
      </c>
      <c r="M5830" s="3">
        <v>3487</v>
      </c>
      <c r="N5830" s="3">
        <v>5837</v>
      </c>
    </row>
    <row r="5831" spans="1:14" x14ac:dyDescent="0.2">
      <c r="A5831" s="5" t="str">
        <f>HYPERLINK("http://www.ncbi.nlm.nih.gov/protein/30794476","Prkar1a")</f>
        <v>Prkar1a</v>
      </c>
      <c r="B5831" s="4"/>
      <c r="C5831" s="3">
        <v>0</v>
      </c>
      <c r="D5831" s="3">
        <v>678</v>
      </c>
      <c r="E5831" s="3">
        <v>1708</v>
      </c>
      <c r="F5831" s="3">
        <v>4993</v>
      </c>
      <c r="G5831" s="3">
        <v>29269</v>
      </c>
      <c r="H5831" s="2">
        <f t="shared" si="182"/>
        <v>36648</v>
      </c>
      <c r="I5831" t="str">
        <f t="shared" si="183"/>
        <v>Prkar1a_36648</v>
      </c>
      <c r="J5831" s="3">
        <v>0</v>
      </c>
      <c r="K5831" s="3">
        <v>678</v>
      </c>
      <c r="L5831" s="3">
        <v>1708</v>
      </c>
      <c r="M5831" s="3">
        <v>4993</v>
      </c>
      <c r="N5831" s="3">
        <v>29269</v>
      </c>
    </row>
    <row r="5832" spans="1:14" x14ac:dyDescent="0.2">
      <c r="A5832" s="5" t="str">
        <f>HYPERLINK("http://www.ncbi.nlm.nih.gov/protein/359751382;254675178","Prkar1b")</f>
        <v>Prkar1b</v>
      </c>
      <c r="B5832" s="4"/>
      <c r="C5832" s="3">
        <v>0</v>
      </c>
      <c r="D5832" s="3">
        <v>0</v>
      </c>
      <c r="E5832" s="3">
        <v>771</v>
      </c>
      <c r="F5832" s="3">
        <v>1801</v>
      </c>
      <c r="G5832" s="3">
        <v>2495</v>
      </c>
      <c r="H5832" s="2">
        <f t="shared" si="182"/>
        <v>5067</v>
      </c>
      <c r="I5832" t="str">
        <f t="shared" si="183"/>
        <v>Prkar1b_5067</v>
      </c>
      <c r="J5832" s="3">
        <v>0</v>
      </c>
      <c r="K5832" s="3">
        <v>0</v>
      </c>
      <c r="L5832" s="3">
        <v>771</v>
      </c>
      <c r="M5832" s="3">
        <v>1801</v>
      </c>
      <c r="N5832" s="3">
        <v>2495</v>
      </c>
    </row>
    <row r="5833" spans="1:14" x14ac:dyDescent="0.2">
      <c r="A5833" s="5" t="str">
        <f>HYPERLINK("http://www.ncbi.nlm.nih.gov/protein/22550094","Prkar2a")</f>
        <v>Prkar2a</v>
      </c>
      <c r="B5833" s="4"/>
      <c r="C5833" s="3">
        <v>0</v>
      </c>
      <c r="D5833" s="3">
        <v>3058</v>
      </c>
      <c r="E5833" s="3">
        <v>4708</v>
      </c>
      <c r="F5833" s="3">
        <v>15430</v>
      </c>
      <c r="G5833" s="3">
        <v>20209</v>
      </c>
      <c r="H5833" s="2">
        <f t="shared" si="182"/>
        <v>43405</v>
      </c>
      <c r="I5833" t="str">
        <f t="shared" si="183"/>
        <v>Prkar2a_43405</v>
      </c>
      <c r="J5833" s="3">
        <v>0</v>
      </c>
      <c r="K5833" s="3">
        <v>3058</v>
      </c>
      <c r="L5833" s="3">
        <v>4708</v>
      </c>
      <c r="M5833" s="3">
        <v>15430</v>
      </c>
      <c r="N5833" s="3">
        <v>20209</v>
      </c>
    </row>
    <row r="5834" spans="1:14" x14ac:dyDescent="0.2">
      <c r="A5834" s="5" t="str">
        <f>HYPERLINK("http://www.ncbi.nlm.nih.gov/protein/45598396","Prkar2b")</f>
        <v>Prkar2b</v>
      </c>
      <c r="B5834" s="4"/>
      <c r="C5834" s="3">
        <v>7670</v>
      </c>
      <c r="D5834" s="3">
        <v>8310</v>
      </c>
      <c r="E5834" s="3">
        <v>9335</v>
      </c>
      <c r="F5834" s="3">
        <v>46134</v>
      </c>
      <c r="G5834" s="3">
        <v>49446</v>
      </c>
      <c r="H5834" s="2">
        <f t="shared" si="182"/>
        <v>120895</v>
      </c>
      <c r="I5834" t="str">
        <f t="shared" si="183"/>
        <v>Prkar2b_120895</v>
      </c>
      <c r="J5834" s="3">
        <v>7670</v>
      </c>
      <c r="K5834" s="3">
        <v>8310</v>
      </c>
      <c r="L5834" s="3">
        <v>9335</v>
      </c>
      <c r="M5834" s="3">
        <v>46134</v>
      </c>
      <c r="N5834" s="3">
        <v>49446</v>
      </c>
    </row>
    <row r="5835" spans="1:14" x14ac:dyDescent="0.2">
      <c r="A5835" s="5" t="str">
        <f>HYPERLINK("http://www.ncbi.nlm.nih.gov/protein/164663791","Prkca")</f>
        <v>Prkca</v>
      </c>
      <c r="B5835" s="4"/>
      <c r="C5835" s="3">
        <v>0</v>
      </c>
      <c r="D5835" s="3">
        <v>536</v>
      </c>
      <c r="E5835" s="3">
        <v>342</v>
      </c>
      <c r="F5835" s="3">
        <v>0</v>
      </c>
      <c r="G5835" s="3">
        <v>0</v>
      </c>
      <c r="H5835" s="2">
        <f t="shared" si="182"/>
        <v>878</v>
      </c>
      <c r="I5835" t="str">
        <f t="shared" si="183"/>
        <v>Prkca_878</v>
      </c>
      <c r="J5835" s="3">
        <v>0</v>
      </c>
      <c r="K5835" s="3">
        <v>536</v>
      </c>
      <c r="L5835" s="3">
        <v>342</v>
      </c>
      <c r="M5835" s="3">
        <v>0</v>
      </c>
      <c r="N5835" s="3">
        <v>0</v>
      </c>
    </row>
    <row r="5836" spans="1:14" x14ac:dyDescent="0.2">
      <c r="A5836" s="5" t="str">
        <f>HYPERLINK("http://www.ncbi.nlm.nih.gov/protein/6679345","Prkcb")</f>
        <v>Prkcb</v>
      </c>
      <c r="B5836" s="4"/>
      <c r="C5836" s="3">
        <v>0</v>
      </c>
      <c r="D5836" s="3">
        <v>127</v>
      </c>
      <c r="E5836" s="3">
        <v>294</v>
      </c>
      <c r="F5836" s="3">
        <v>0</v>
      </c>
      <c r="G5836" s="3">
        <v>0</v>
      </c>
      <c r="H5836" s="2">
        <f t="shared" si="182"/>
        <v>421</v>
      </c>
      <c r="I5836" t="str">
        <f t="shared" si="183"/>
        <v>Prkcb_421</v>
      </c>
      <c r="J5836" s="3">
        <v>0</v>
      </c>
      <c r="K5836" s="3">
        <v>127</v>
      </c>
      <c r="L5836" s="3">
        <v>294</v>
      </c>
      <c r="M5836" s="3">
        <v>0</v>
      </c>
      <c r="N5836" s="3">
        <v>0</v>
      </c>
    </row>
    <row r="5837" spans="1:14" x14ac:dyDescent="0.2">
      <c r="A5837" s="5" t="str">
        <f>HYPERLINK("http://www.ncbi.nlm.nih.gov/protein/6755082","Prkcd")</f>
        <v>Prkcd</v>
      </c>
      <c r="B5837" s="4"/>
      <c r="C5837" s="3">
        <v>1098</v>
      </c>
      <c r="D5837" s="3">
        <v>2332</v>
      </c>
      <c r="E5837" s="3">
        <v>6485</v>
      </c>
      <c r="F5837" s="3">
        <v>6172</v>
      </c>
      <c r="G5837" s="3">
        <v>150</v>
      </c>
      <c r="H5837" s="2">
        <f t="shared" si="182"/>
        <v>16237</v>
      </c>
      <c r="I5837" t="str">
        <f t="shared" si="183"/>
        <v>Prkcd_16237</v>
      </c>
      <c r="J5837" s="3">
        <v>1098</v>
      </c>
      <c r="K5837" s="3">
        <v>2332</v>
      </c>
      <c r="L5837" s="3">
        <v>6485</v>
      </c>
      <c r="M5837" s="3">
        <v>6172</v>
      </c>
      <c r="N5837" s="3">
        <v>150</v>
      </c>
    </row>
    <row r="5838" spans="1:14" x14ac:dyDescent="0.2">
      <c r="A5838" s="5" t="str">
        <f>HYPERLINK("http://www.ncbi.nlm.nih.gov/protein/6755084","Prkce")</f>
        <v>Prkce</v>
      </c>
      <c r="B5838" s="4"/>
      <c r="C5838" s="3">
        <v>0</v>
      </c>
      <c r="D5838" s="3">
        <v>0</v>
      </c>
      <c r="E5838" s="3">
        <v>751</v>
      </c>
      <c r="F5838" s="3">
        <v>0</v>
      </c>
      <c r="G5838" s="3">
        <v>0</v>
      </c>
      <c r="H5838" s="2">
        <f t="shared" si="182"/>
        <v>751</v>
      </c>
      <c r="I5838" t="str">
        <f t="shared" si="183"/>
        <v>Prkce_751</v>
      </c>
      <c r="J5838" s="3">
        <v>0</v>
      </c>
      <c r="K5838" s="3">
        <v>0</v>
      </c>
      <c r="L5838" s="3">
        <v>751</v>
      </c>
      <c r="M5838" s="3">
        <v>0</v>
      </c>
      <c r="N5838" s="3">
        <v>0</v>
      </c>
    </row>
    <row r="5839" spans="1:14" x14ac:dyDescent="0.2">
      <c r="A5839" s="5" t="str">
        <f>HYPERLINK("http://www.ncbi.nlm.nih.gov/protein/6755080","Prkcg")</f>
        <v>Prkcg</v>
      </c>
      <c r="B5839" s="4"/>
      <c r="C5839" s="3">
        <v>0</v>
      </c>
      <c r="D5839" s="3">
        <v>0</v>
      </c>
      <c r="E5839" s="3">
        <v>0</v>
      </c>
      <c r="F5839" s="3">
        <v>1040</v>
      </c>
      <c r="G5839" s="3">
        <v>0</v>
      </c>
      <c r="H5839" s="2">
        <f t="shared" si="182"/>
        <v>1040</v>
      </c>
      <c r="I5839" t="str">
        <f t="shared" si="183"/>
        <v>Prkcg_1040</v>
      </c>
      <c r="J5839" s="3">
        <v>0</v>
      </c>
      <c r="K5839" s="3">
        <v>0</v>
      </c>
      <c r="L5839" s="3">
        <v>0</v>
      </c>
      <c r="M5839" s="3">
        <v>1040</v>
      </c>
      <c r="N5839" s="3">
        <v>0</v>
      </c>
    </row>
    <row r="5840" spans="1:14" x14ac:dyDescent="0.2">
      <c r="A5840" s="5" t="str">
        <f>HYPERLINK("http://www.ncbi.nlm.nih.gov/protein/31543511","Prkch")</f>
        <v>Prkch</v>
      </c>
      <c r="B5840" s="4"/>
      <c r="C5840" s="3">
        <v>0</v>
      </c>
      <c r="D5840" s="3">
        <v>0</v>
      </c>
      <c r="E5840" s="3">
        <v>294</v>
      </c>
      <c r="F5840" s="3">
        <v>0</v>
      </c>
      <c r="G5840" s="3">
        <v>0</v>
      </c>
      <c r="H5840" s="2">
        <f t="shared" si="182"/>
        <v>294</v>
      </c>
      <c r="I5840" t="str">
        <f t="shared" si="183"/>
        <v>Prkch_294</v>
      </c>
      <c r="J5840" s="3">
        <v>0</v>
      </c>
      <c r="K5840" s="3">
        <v>0</v>
      </c>
      <c r="L5840" s="3">
        <v>294</v>
      </c>
      <c r="M5840" s="3">
        <v>0</v>
      </c>
      <c r="N5840" s="3">
        <v>0</v>
      </c>
    </row>
    <row r="5841" spans="1:14" x14ac:dyDescent="0.2">
      <c r="A5841" s="5" t="str">
        <f>HYPERLINK("http://www.ncbi.nlm.nih.gov/protein/133778989","Prkci")</f>
        <v>Prkci</v>
      </c>
      <c r="B5841" s="4"/>
      <c r="C5841" s="3">
        <v>2746</v>
      </c>
      <c r="D5841" s="3">
        <v>2586</v>
      </c>
      <c r="E5841" s="3">
        <v>7239</v>
      </c>
      <c r="F5841" s="3">
        <v>83239</v>
      </c>
      <c r="G5841" s="3">
        <v>1564</v>
      </c>
      <c r="H5841" s="2">
        <f t="shared" si="182"/>
        <v>97374</v>
      </c>
      <c r="I5841" t="str">
        <f t="shared" si="183"/>
        <v>Prkci_97374</v>
      </c>
      <c r="J5841" s="3">
        <v>2746</v>
      </c>
      <c r="K5841" s="3">
        <v>2586</v>
      </c>
      <c r="L5841" s="3">
        <v>7239</v>
      </c>
      <c r="M5841" s="3">
        <v>83239</v>
      </c>
      <c r="N5841" s="3">
        <v>1564</v>
      </c>
    </row>
    <row r="5842" spans="1:14" x14ac:dyDescent="0.2">
      <c r="A5842" s="5" t="str">
        <f>HYPERLINK("http://www.ncbi.nlm.nih.gov/protein/6679353","Prkcq")</f>
        <v>Prkcq</v>
      </c>
      <c r="B5842" s="4"/>
      <c r="C5842" s="3">
        <v>0</v>
      </c>
      <c r="D5842" s="3">
        <v>0</v>
      </c>
      <c r="E5842" s="3">
        <v>294</v>
      </c>
      <c r="F5842" s="3">
        <v>0</v>
      </c>
      <c r="G5842" s="3">
        <v>0</v>
      </c>
      <c r="H5842" s="2">
        <f t="shared" si="182"/>
        <v>294</v>
      </c>
      <c r="I5842" t="str">
        <f t="shared" si="183"/>
        <v>Prkcq_294</v>
      </c>
      <c r="J5842" s="3">
        <v>0</v>
      </c>
      <c r="K5842" s="3">
        <v>0</v>
      </c>
      <c r="L5842" s="3">
        <v>294</v>
      </c>
      <c r="M5842" s="3">
        <v>0</v>
      </c>
      <c r="N5842" s="3">
        <v>0</v>
      </c>
    </row>
    <row r="5843" spans="1:14" x14ac:dyDescent="0.2">
      <c r="A5843" s="5" t="str">
        <f>HYPERLINK("http://www.ncbi.nlm.nih.gov/protein/6679465","Prkcsh")</f>
        <v>Prkcsh</v>
      </c>
      <c r="B5843" s="4"/>
      <c r="C5843" s="3">
        <v>186136</v>
      </c>
      <c r="D5843" s="3">
        <v>7127</v>
      </c>
      <c r="E5843" s="3">
        <v>21348</v>
      </c>
      <c r="F5843" s="3">
        <v>1285</v>
      </c>
      <c r="G5843" s="3">
        <v>47229</v>
      </c>
      <c r="H5843" s="2">
        <f t="shared" si="182"/>
        <v>263125</v>
      </c>
      <c r="I5843" t="str">
        <f t="shared" si="183"/>
        <v>Prkcsh_263125</v>
      </c>
      <c r="J5843" s="3">
        <v>186136</v>
      </c>
      <c r="K5843" s="3">
        <v>7127</v>
      </c>
      <c r="L5843" s="3">
        <v>21348</v>
      </c>
      <c r="M5843" s="3">
        <v>1285</v>
      </c>
      <c r="N5843" s="3">
        <v>47229</v>
      </c>
    </row>
    <row r="5844" spans="1:14" x14ac:dyDescent="0.2">
      <c r="A5844" s="5" t="str">
        <f>HYPERLINK("http://www.ncbi.nlm.nih.gov/protein/84872200","Prkcz")</f>
        <v>Prkcz</v>
      </c>
      <c r="B5844" s="4"/>
      <c r="C5844" s="3">
        <v>0</v>
      </c>
      <c r="D5844" s="3">
        <v>0</v>
      </c>
      <c r="E5844" s="3">
        <v>746</v>
      </c>
      <c r="F5844" s="3">
        <v>0</v>
      </c>
      <c r="G5844" s="3">
        <v>0</v>
      </c>
      <c r="H5844" s="2">
        <f t="shared" si="182"/>
        <v>746</v>
      </c>
      <c r="I5844" t="str">
        <f t="shared" si="183"/>
        <v>Prkcz_746</v>
      </c>
      <c r="J5844" s="3">
        <v>0</v>
      </c>
      <c r="K5844" s="3">
        <v>0</v>
      </c>
      <c r="L5844" s="3">
        <v>746</v>
      </c>
      <c r="M5844" s="3">
        <v>0</v>
      </c>
      <c r="N5844" s="3">
        <v>0</v>
      </c>
    </row>
    <row r="5845" spans="1:14" x14ac:dyDescent="0.2">
      <c r="A5845" s="5" t="str">
        <f>HYPERLINK("http://www.ncbi.nlm.nih.gov/protein/84872205","Prkcz")</f>
        <v>Prkcz</v>
      </c>
      <c r="B5845" s="4"/>
      <c r="C5845" s="3">
        <v>0</v>
      </c>
      <c r="D5845" s="3">
        <v>0</v>
      </c>
      <c r="E5845" s="3">
        <v>739</v>
      </c>
      <c r="F5845" s="3">
        <v>0</v>
      </c>
      <c r="G5845" s="3">
        <v>0</v>
      </c>
      <c r="H5845" s="2">
        <f t="shared" si="182"/>
        <v>739</v>
      </c>
      <c r="I5845" t="str">
        <f t="shared" si="183"/>
        <v>Prkcz_739</v>
      </c>
      <c r="J5845" s="3">
        <v>0</v>
      </c>
      <c r="K5845" s="3">
        <v>0</v>
      </c>
      <c r="L5845" s="3">
        <v>739</v>
      </c>
      <c r="M5845" s="3">
        <v>0</v>
      </c>
      <c r="N5845" s="3">
        <v>0</v>
      </c>
    </row>
    <row r="5846" spans="1:14" x14ac:dyDescent="0.2">
      <c r="A5846" s="5" t="str">
        <f>HYPERLINK("http://www.ncbi.nlm.nih.gov/protein/356995870;30725754","Prkd2")</f>
        <v>Prkd2</v>
      </c>
      <c r="B5846" s="4"/>
      <c r="C5846" s="3">
        <v>0</v>
      </c>
      <c r="D5846" s="3">
        <v>0</v>
      </c>
      <c r="E5846" s="3">
        <v>1652</v>
      </c>
      <c r="F5846" s="3">
        <v>0</v>
      </c>
      <c r="G5846" s="3">
        <v>0</v>
      </c>
      <c r="H5846" s="2">
        <f t="shared" si="182"/>
        <v>1652</v>
      </c>
      <c r="I5846" t="str">
        <f t="shared" si="183"/>
        <v>Prkd2_1652</v>
      </c>
      <c r="J5846" s="3">
        <v>0</v>
      </c>
      <c r="K5846" s="3">
        <v>0</v>
      </c>
      <c r="L5846" s="3">
        <v>1652</v>
      </c>
      <c r="M5846" s="3">
        <v>0</v>
      </c>
      <c r="N5846" s="3">
        <v>0</v>
      </c>
    </row>
    <row r="5847" spans="1:14" x14ac:dyDescent="0.2">
      <c r="A5847" s="5" t="str">
        <f>HYPERLINK("http://www.ncbi.nlm.nih.gov/protein/30725754","Prkd2")</f>
        <v>Prkd2</v>
      </c>
      <c r="B5847" s="4"/>
      <c r="C5847" s="3">
        <v>13327</v>
      </c>
      <c r="D5847" s="3">
        <v>0</v>
      </c>
      <c r="E5847" s="3">
        <v>0</v>
      </c>
      <c r="F5847" s="3">
        <v>3749</v>
      </c>
      <c r="G5847" s="3">
        <v>0</v>
      </c>
      <c r="H5847" s="2">
        <f t="shared" si="182"/>
        <v>17076</v>
      </c>
      <c r="I5847" t="str">
        <f t="shared" si="183"/>
        <v>Prkd2_17076</v>
      </c>
      <c r="J5847" s="3">
        <v>13327</v>
      </c>
      <c r="K5847" s="3">
        <v>0</v>
      </c>
      <c r="L5847" s="3">
        <v>0</v>
      </c>
      <c r="M5847" s="3">
        <v>3749</v>
      </c>
      <c r="N5847" s="3">
        <v>0</v>
      </c>
    </row>
    <row r="5848" spans="1:14" x14ac:dyDescent="0.2">
      <c r="A5848" s="5" t="str">
        <f>HYPERLINK("http://www.ncbi.nlm.nih.gov/protein/124517706","Prkdc")</f>
        <v>Prkdc</v>
      </c>
      <c r="B5848" s="4"/>
      <c r="C5848" s="3">
        <v>0</v>
      </c>
      <c r="D5848" s="3">
        <v>104</v>
      </c>
      <c r="E5848" s="3">
        <v>331</v>
      </c>
      <c r="F5848" s="3">
        <v>22306</v>
      </c>
      <c r="G5848" s="3">
        <v>0</v>
      </c>
      <c r="H5848" s="2">
        <f t="shared" si="182"/>
        <v>22741</v>
      </c>
      <c r="I5848" t="str">
        <f t="shared" si="183"/>
        <v>Prkdc_22741</v>
      </c>
      <c r="J5848" s="3">
        <v>0</v>
      </c>
      <c r="K5848" s="3">
        <v>104</v>
      </c>
      <c r="L5848" s="3">
        <v>331</v>
      </c>
      <c r="M5848" s="3">
        <v>22306</v>
      </c>
      <c r="N5848" s="3">
        <v>0</v>
      </c>
    </row>
    <row r="5849" spans="1:14" x14ac:dyDescent="0.2">
      <c r="A5849" s="5" t="str">
        <f>HYPERLINK("http://www.ncbi.nlm.nih.gov/protein/6755162","Prkra")</f>
        <v>Prkra</v>
      </c>
      <c r="B5849" s="4"/>
      <c r="C5849" s="3">
        <v>4503</v>
      </c>
      <c r="D5849" s="3">
        <v>2062</v>
      </c>
      <c r="E5849" s="3">
        <v>28406</v>
      </c>
      <c r="F5849" s="3">
        <v>35468</v>
      </c>
      <c r="G5849" s="3">
        <v>4948</v>
      </c>
      <c r="H5849" s="2">
        <f t="shared" si="182"/>
        <v>75387</v>
      </c>
      <c r="I5849" t="str">
        <f t="shared" si="183"/>
        <v>Prkra_75387</v>
      </c>
      <c r="J5849" s="3">
        <v>4503</v>
      </c>
      <c r="K5849" s="3">
        <v>2062</v>
      </c>
      <c r="L5849" s="3">
        <v>28406</v>
      </c>
      <c r="M5849" s="3">
        <v>35468</v>
      </c>
      <c r="N5849" s="3">
        <v>4948</v>
      </c>
    </row>
    <row r="5850" spans="1:14" x14ac:dyDescent="0.2">
      <c r="A5850" s="5" t="str">
        <f>HYPERLINK("http://www.ncbi.nlm.nih.gov/protein/357197160","Prmt1")</f>
        <v>Prmt1</v>
      </c>
      <c r="B5850" s="4"/>
      <c r="C5850" s="3">
        <v>0</v>
      </c>
      <c r="D5850" s="3">
        <v>4296</v>
      </c>
      <c r="E5850" s="3">
        <v>13290</v>
      </c>
      <c r="F5850" s="3">
        <v>117422</v>
      </c>
      <c r="G5850" s="3">
        <v>127486</v>
      </c>
      <c r="H5850" s="2">
        <f t="shared" si="182"/>
        <v>262494</v>
      </c>
      <c r="I5850" t="str">
        <f t="shared" si="183"/>
        <v>Prmt1_262494</v>
      </c>
      <c r="J5850" s="3">
        <v>0</v>
      </c>
      <c r="K5850" s="3">
        <v>4296</v>
      </c>
      <c r="L5850" s="3">
        <v>13290</v>
      </c>
      <c r="M5850" s="3">
        <v>117422</v>
      </c>
      <c r="N5850" s="3">
        <v>127486</v>
      </c>
    </row>
    <row r="5851" spans="1:14" x14ac:dyDescent="0.2">
      <c r="A5851" s="5" t="str">
        <f>HYPERLINK("http://www.ncbi.nlm.nih.gov/protein/357197158","Prmt1")</f>
        <v>Prmt1</v>
      </c>
      <c r="B5851" s="4"/>
      <c r="C5851" s="3">
        <v>2142</v>
      </c>
      <c r="D5851" s="3">
        <v>9674</v>
      </c>
      <c r="E5851" s="3">
        <v>20176</v>
      </c>
      <c r="F5851" s="3">
        <v>171930</v>
      </c>
      <c r="G5851" s="3">
        <v>157387</v>
      </c>
      <c r="H5851" s="2">
        <f t="shared" si="182"/>
        <v>361309</v>
      </c>
      <c r="I5851" t="str">
        <f t="shared" si="183"/>
        <v>Prmt1_361309</v>
      </c>
      <c r="J5851" s="3">
        <v>2142</v>
      </c>
      <c r="K5851" s="3">
        <v>9674</v>
      </c>
      <c r="L5851" s="3">
        <v>20176</v>
      </c>
      <c r="M5851" s="3">
        <v>171930</v>
      </c>
      <c r="N5851" s="3">
        <v>157387</v>
      </c>
    </row>
    <row r="5852" spans="1:14" x14ac:dyDescent="0.2">
      <c r="A5852" s="5" t="str">
        <f>HYPERLINK("http://www.ncbi.nlm.nih.gov/protein/9790109","Prmt1")</f>
        <v>Prmt1</v>
      </c>
      <c r="B5852" s="4"/>
      <c r="C5852" s="3">
        <v>2142</v>
      </c>
      <c r="D5852" s="3">
        <v>9674</v>
      </c>
      <c r="E5852" s="3">
        <v>20176</v>
      </c>
      <c r="F5852" s="3">
        <v>171930</v>
      </c>
      <c r="G5852" s="3">
        <v>157387</v>
      </c>
      <c r="H5852" s="2">
        <f t="shared" si="182"/>
        <v>361309</v>
      </c>
      <c r="I5852" t="str">
        <f t="shared" si="183"/>
        <v>Prmt1_361309</v>
      </c>
      <c r="J5852" s="3">
        <v>2142</v>
      </c>
      <c r="K5852" s="3">
        <v>9674</v>
      </c>
      <c r="L5852" s="3">
        <v>20176</v>
      </c>
      <c r="M5852" s="3">
        <v>171930</v>
      </c>
      <c r="N5852" s="3">
        <v>157387</v>
      </c>
    </row>
    <row r="5853" spans="1:14" x14ac:dyDescent="0.2">
      <c r="A5853" s="5" t="str">
        <f>HYPERLINK("http://www.ncbi.nlm.nih.gov/protein/117938280","Prmt2")</f>
        <v>Prmt2</v>
      </c>
      <c r="B5853" s="4"/>
      <c r="C5853" s="3">
        <v>3661</v>
      </c>
      <c r="D5853" s="3">
        <v>0</v>
      </c>
      <c r="E5853" s="3">
        <v>2919</v>
      </c>
      <c r="F5853" s="3">
        <v>5984</v>
      </c>
      <c r="G5853" s="3">
        <v>0</v>
      </c>
      <c r="H5853" s="2">
        <f t="shared" si="182"/>
        <v>12564</v>
      </c>
      <c r="I5853" t="str">
        <f t="shared" si="183"/>
        <v>Prmt2_12564</v>
      </c>
      <c r="J5853" s="3">
        <v>3661</v>
      </c>
      <c r="K5853" s="3">
        <v>0</v>
      </c>
      <c r="L5853" s="3">
        <v>2919</v>
      </c>
      <c r="M5853" s="3">
        <v>5984</v>
      </c>
      <c r="N5853" s="3">
        <v>0</v>
      </c>
    </row>
    <row r="5854" spans="1:14" x14ac:dyDescent="0.2">
      <c r="A5854" s="5" t="str">
        <f>HYPERLINK("http://www.ncbi.nlm.nih.gov/protein/29789323","Prmt3")</f>
        <v>Prmt3</v>
      </c>
      <c r="B5854" s="4"/>
      <c r="C5854" s="3">
        <v>0</v>
      </c>
      <c r="D5854" s="3">
        <v>0</v>
      </c>
      <c r="E5854" s="3">
        <v>63</v>
      </c>
      <c r="F5854" s="3">
        <v>0</v>
      </c>
      <c r="G5854" s="3">
        <v>1478</v>
      </c>
      <c r="H5854" s="2">
        <f t="shared" si="182"/>
        <v>1541</v>
      </c>
      <c r="I5854" t="str">
        <f t="shared" si="183"/>
        <v>Prmt3_1541</v>
      </c>
      <c r="J5854" s="3">
        <v>0</v>
      </c>
      <c r="K5854" s="3">
        <v>0</v>
      </c>
      <c r="L5854" s="3">
        <v>63</v>
      </c>
      <c r="M5854" s="3">
        <v>0</v>
      </c>
      <c r="N5854" s="3">
        <v>1478</v>
      </c>
    </row>
    <row r="5855" spans="1:14" x14ac:dyDescent="0.2">
      <c r="A5855" s="5" t="str">
        <f>HYPERLINK("http://www.ncbi.nlm.nih.gov/protein/188528624","Prmt5")</f>
        <v>Prmt5</v>
      </c>
      <c r="B5855" s="4"/>
      <c r="C5855" s="3">
        <v>0</v>
      </c>
      <c r="D5855" s="3">
        <v>6148</v>
      </c>
      <c r="E5855" s="3">
        <v>6112</v>
      </c>
      <c r="F5855" s="3">
        <v>110219</v>
      </c>
      <c r="G5855" s="3">
        <v>14576</v>
      </c>
      <c r="H5855" s="2">
        <f t="shared" si="182"/>
        <v>137055</v>
      </c>
      <c r="I5855" t="str">
        <f t="shared" si="183"/>
        <v>Prmt5_137055</v>
      </c>
      <c r="J5855" s="3">
        <v>0</v>
      </c>
      <c r="K5855" s="3">
        <v>6148</v>
      </c>
      <c r="L5855" s="3">
        <v>6112</v>
      </c>
      <c r="M5855" s="3">
        <v>110219</v>
      </c>
      <c r="N5855" s="3">
        <v>14576</v>
      </c>
    </row>
    <row r="5856" spans="1:14" x14ac:dyDescent="0.2">
      <c r="A5856" s="5" t="str">
        <f>HYPERLINK("http://www.ncbi.nlm.nih.gov/protein/126432554","Prmt6")</f>
        <v>Prmt6</v>
      </c>
      <c r="B5856" s="4"/>
      <c r="C5856" s="3">
        <v>0</v>
      </c>
      <c r="D5856" s="3">
        <v>0</v>
      </c>
      <c r="E5856" s="3">
        <v>0</v>
      </c>
      <c r="F5856" s="3">
        <v>205</v>
      </c>
      <c r="G5856" s="3">
        <v>1960</v>
      </c>
      <c r="H5856" s="2">
        <f t="shared" si="182"/>
        <v>2165</v>
      </c>
      <c r="I5856" t="str">
        <f t="shared" si="183"/>
        <v>Prmt6_2165</v>
      </c>
      <c r="J5856" s="3">
        <v>0</v>
      </c>
      <c r="K5856" s="3">
        <v>0</v>
      </c>
      <c r="L5856" s="3">
        <v>0</v>
      </c>
      <c r="M5856" s="3">
        <v>205</v>
      </c>
      <c r="N5856" s="3">
        <v>1960</v>
      </c>
    </row>
    <row r="5857" spans="1:14" x14ac:dyDescent="0.2">
      <c r="A5857" s="5" t="str">
        <f>HYPERLINK("http://www.ncbi.nlm.nih.gov/protein/21703808","Prmt7")</f>
        <v>Prmt7</v>
      </c>
      <c r="B5857" s="4"/>
      <c r="C5857" s="3">
        <v>0</v>
      </c>
      <c r="D5857" s="3">
        <v>0</v>
      </c>
      <c r="E5857" s="3">
        <v>0</v>
      </c>
      <c r="F5857" s="3">
        <v>0</v>
      </c>
      <c r="G5857" s="3">
        <v>632</v>
      </c>
      <c r="H5857" s="2">
        <f t="shared" si="182"/>
        <v>632</v>
      </c>
      <c r="I5857" t="str">
        <f t="shared" si="183"/>
        <v>Prmt7_632</v>
      </c>
      <c r="J5857" s="3">
        <v>0</v>
      </c>
      <c r="K5857" s="3">
        <v>0</v>
      </c>
      <c r="L5857" s="3">
        <v>0</v>
      </c>
      <c r="M5857" s="3">
        <v>0</v>
      </c>
      <c r="N5857" s="3">
        <v>632</v>
      </c>
    </row>
    <row r="5858" spans="1:14" x14ac:dyDescent="0.2">
      <c r="A5858" s="5" t="str">
        <f>HYPERLINK("http://www.ncbi.nlm.nih.gov/protein/357527369","Prmt8")</f>
        <v>Prmt8</v>
      </c>
      <c r="B5858" s="4"/>
      <c r="C5858" s="3">
        <v>0</v>
      </c>
      <c r="D5858" s="3">
        <v>0</v>
      </c>
      <c r="E5858" s="3">
        <v>4068</v>
      </c>
      <c r="F5858" s="3">
        <v>45708</v>
      </c>
      <c r="G5858" s="3">
        <v>44241</v>
      </c>
      <c r="H5858" s="2">
        <f t="shared" si="182"/>
        <v>94017</v>
      </c>
      <c r="I5858" t="str">
        <f t="shared" si="183"/>
        <v>Prmt8_94017</v>
      </c>
      <c r="J5858" s="3">
        <v>0</v>
      </c>
      <c r="K5858" s="3">
        <v>0</v>
      </c>
      <c r="L5858" s="3">
        <v>4068</v>
      </c>
      <c r="M5858" s="3">
        <v>45708</v>
      </c>
      <c r="N5858" s="3">
        <v>44241</v>
      </c>
    </row>
    <row r="5859" spans="1:14" x14ac:dyDescent="0.2">
      <c r="A5859" s="5" t="str">
        <f>HYPERLINK("http://www.ncbi.nlm.nih.gov/protein/118601004","Prodh")</f>
        <v>Prodh</v>
      </c>
      <c r="B5859" s="4"/>
      <c r="C5859" s="3">
        <v>7780</v>
      </c>
      <c r="D5859" s="3">
        <v>13153</v>
      </c>
      <c r="E5859" s="3">
        <v>0</v>
      </c>
      <c r="F5859" s="3">
        <v>0</v>
      </c>
      <c r="G5859" s="3">
        <v>0</v>
      </c>
      <c r="H5859" s="2">
        <f t="shared" si="182"/>
        <v>20933</v>
      </c>
      <c r="I5859" t="str">
        <f t="shared" si="183"/>
        <v>Prodh_20933</v>
      </c>
      <c r="J5859" s="3">
        <v>7780</v>
      </c>
      <c r="K5859" s="3">
        <v>13153</v>
      </c>
      <c r="L5859" s="3">
        <v>0</v>
      </c>
      <c r="M5859" s="3">
        <v>0</v>
      </c>
      <c r="N5859" s="3">
        <v>0</v>
      </c>
    </row>
    <row r="5860" spans="1:14" x14ac:dyDescent="0.2">
      <c r="A5860" s="5" t="str">
        <f>HYPERLINK("http://www.ncbi.nlm.nih.gov/protein/254675296","Prom1")</f>
        <v>Prom1</v>
      </c>
      <c r="B5860" s="4"/>
      <c r="C5860" s="3">
        <v>0</v>
      </c>
      <c r="D5860" s="3">
        <v>384</v>
      </c>
      <c r="E5860" s="3">
        <v>2461</v>
      </c>
      <c r="F5860" s="3">
        <v>5722</v>
      </c>
      <c r="G5860" s="3">
        <v>0</v>
      </c>
      <c r="H5860" s="2">
        <f t="shared" si="182"/>
        <v>8567</v>
      </c>
      <c r="I5860" t="str">
        <f t="shared" si="183"/>
        <v>Prom1_8567</v>
      </c>
      <c r="J5860" s="3">
        <v>0</v>
      </c>
      <c r="K5860" s="3">
        <v>384</v>
      </c>
      <c r="L5860" s="3">
        <v>2461</v>
      </c>
      <c r="M5860" s="3">
        <v>5722</v>
      </c>
      <c r="N5860" s="3">
        <v>0</v>
      </c>
    </row>
    <row r="5861" spans="1:14" x14ac:dyDescent="0.2">
      <c r="A5861" s="5" t="str">
        <f>HYPERLINK("http://www.ncbi.nlm.nih.gov/protein/254675298","Prom1")</f>
        <v>Prom1</v>
      </c>
      <c r="B5861" s="4"/>
      <c r="C5861" s="3">
        <v>0</v>
      </c>
      <c r="D5861" s="3">
        <v>384</v>
      </c>
      <c r="E5861" s="3">
        <v>2461</v>
      </c>
      <c r="F5861" s="3">
        <v>5722</v>
      </c>
      <c r="G5861" s="3">
        <v>0</v>
      </c>
      <c r="H5861" s="2">
        <f t="shared" si="182"/>
        <v>8567</v>
      </c>
      <c r="I5861" t="str">
        <f t="shared" si="183"/>
        <v>Prom1_8567</v>
      </c>
      <c r="J5861" s="3">
        <v>0</v>
      </c>
      <c r="K5861" s="3">
        <v>384</v>
      </c>
      <c r="L5861" s="3">
        <v>2461</v>
      </c>
      <c r="M5861" s="3">
        <v>5722</v>
      </c>
      <c r="N5861" s="3">
        <v>0</v>
      </c>
    </row>
    <row r="5862" spans="1:14" x14ac:dyDescent="0.2">
      <c r="A5862" s="5" t="str">
        <f>HYPERLINK("http://www.ncbi.nlm.nih.gov/protein/254675304","Prom1")</f>
        <v>Prom1</v>
      </c>
      <c r="B5862" s="4"/>
      <c r="C5862" s="3">
        <v>0</v>
      </c>
      <c r="D5862" s="3">
        <v>384</v>
      </c>
      <c r="E5862" s="3">
        <v>2461</v>
      </c>
      <c r="F5862" s="3">
        <v>5722</v>
      </c>
      <c r="G5862" s="3">
        <v>0</v>
      </c>
      <c r="H5862" s="2">
        <f t="shared" si="182"/>
        <v>8567</v>
      </c>
      <c r="I5862" t="str">
        <f t="shared" si="183"/>
        <v>Prom1_8567</v>
      </c>
      <c r="J5862" s="3">
        <v>0</v>
      </c>
      <c r="K5862" s="3">
        <v>384</v>
      </c>
      <c r="L5862" s="3">
        <v>2461</v>
      </c>
      <c r="M5862" s="3">
        <v>5722</v>
      </c>
      <c r="N5862" s="3">
        <v>0</v>
      </c>
    </row>
    <row r="5863" spans="1:14" x14ac:dyDescent="0.2">
      <c r="A5863" s="5" t="str">
        <f>HYPERLINK("http://www.ncbi.nlm.nih.gov/protein/254675312","Prom1")</f>
        <v>Prom1</v>
      </c>
      <c r="B5863" s="4"/>
      <c r="C5863" s="3">
        <v>0</v>
      </c>
      <c r="D5863" s="3">
        <v>384</v>
      </c>
      <c r="E5863" s="3">
        <v>2461</v>
      </c>
      <c r="F5863" s="3">
        <v>5722</v>
      </c>
      <c r="G5863" s="3">
        <v>0</v>
      </c>
      <c r="H5863" s="2">
        <f t="shared" si="182"/>
        <v>8567</v>
      </c>
      <c r="I5863" t="str">
        <f t="shared" si="183"/>
        <v>Prom1_8567</v>
      </c>
      <c r="J5863" s="3">
        <v>0</v>
      </c>
      <c r="K5863" s="3">
        <v>384</v>
      </c>
      <c r="L5863" s="3">
        <v>2461</v>
      </c>
      <c r="M5863" s="3">
        <v>5722</v>
      </c>
      <c r="N5863" s="3">
        <v>0</v>
      </c>
    </row>
    <row r="5864" spans="1:14" x14ac:dyDescent="0.2">
      <c r="A5864" s="5" t="str">
        <f>HYPERLINK("http://www.ncbi.nlm.nih.gov/protein/254675314","Prom1")</f>
        <v>Prom1</v>
      </c>
      <c r="B5864" s="4"/>
      <c r="C5864" s="3">
        <v>0</v>
      </c>
      <c r="D5864" s="3">
        <v>384</v>
      </c>
      <c r="E5864" s="3">
        <v>2461</v>
      </c>
      <c r="F5864" s="3">
        <v>5722</v>
      </c>
      <c r="G5864" s="3">
        <v>0</v>
      </c>
      <c r="H5864" s="2">
        <f t="shared" si="182"/>
        <v>8567</v>
      </c>
      <c r="I5864" t="str">
        <f t="shared" si="183"/>
        <v>Prom1_8567</v>
      </c>
      <c r="J5864" s="3">
        <v>0</v>
      </c>
      <c r="K5864" s="3">
        <v>384</v>
      </c>
      <c r="L5864" s="3">
        <v>2461</v>
      </c>
      <c r="M5864" s="3">
        <v>5722</v>
      </c>
      <c r="N5864" s="3">
        <v>0</v>
      </c>
    </row>
    <row r="5865" spans="1:14" x14ac:dyDescent="0.2">
      <c r="A5865" s="5" t="str">
        <f>HYPERLINK("http://www.ncbi.nlm.nih.gov/protein/254675316","Prom1")</f>
        <v>Prom1</v>
      </c>
      <c r="B5865" s="4"/>
      <c r="C5865" s="3">
        <v>0</v>
      </c>
      <c r="D5865" s="3">
        <v>384</v>
      </c>
      <c r="E5865" s="3">
        <v>2461</v>
      </c>
      <c r="F5865" s="3">
        <v>5722</v>
      </c>
      <c r="G5865" s="3">
        <v>0</v>
      </c>
      <c r="H5865" s="2">
        <f t="shared" si="182"/>
        <v>8567</v>
      </c>
      <c r="I5865" t="str">
        <f t="shared" si="183"/>
        <v>Prom1_8567</v>
      </c>
      <c r="J5865" s="3">
        <v>0</v>
      </c>
      <c r="K5865" s="3">
        <v>384</v>
      </c>
      <c r="L5865" s="3">
        <v>2461</v>
      </c>
      <c r="M5865" s="3">
        <v>5722</v>
      </c>
      <c r="N5865" s="3">
        <v>0</v>
      </c>
    </row>
    <row r="5866" spans="1:14" x14ac:dyDescent="0.2">
      <c r="A5866" s="5" t="str">
        <f>HYPERLINK("http://www.ncbi.nlm.nih.gov/protein/254675318","Prom1")</f>
        <v>Prom1</v>
      </c>
      <c r="B5866" s="4"/>
      <c r="C5866" s="3">
        <v>0</v>
      </c>
      <c r="D5866" s="3">
        <v>384</v>
      </c>
      <c r="E5866" s="3">
        <v>2461</v>
      </c>
      <c r="F5866" s="3">
        <v>5722</v>
      </c>
      <c r="G5866" s="3">
        <v>0</v>
      </c>
      <c r="H5866" s="2">
        <f t="shared" si="182"/>
        <v>8567</v>
      </c>
      <c r="I5866" t="str">
        <f t="shared" si="183"/>
        <v>Prom1_8567</v>
      </c>
      <c r="J5866" s="3">
        <v>0</v>
      </c>
      <c r="K5866" s="3">
        <v>384</v>
      </c>
      <c r="L5866" s="3">
        <v>2461</v>
      </c>
      <c r="M5866" s="3">
        <v>5722</v>
      </c>
      <c r="N5866" s="3">
        <v>0</v>
      </c>
    </row>
    <row r="5867" spans="1:14" x14ac:dyDescent="0.2">
      <c r="A5867" s="5" t="str">
        <f>HYPERLINK("http://www.ncbi.nlm.nih.gov/protein/254675320","Prom1")</f>
        <v>Prom1</v>
      </c>
      <c r="B5867" s="4"/>
      <c r="C5867" s="3">
        <v>0</v>
      </c>
      <c r="D5867" s="3">
        <v>384</v>
      </c>
      <c r="E5867" s="3">
        <v>2461</v>
      </c>
      <c r="F5867" s="3">
        <v>5722</v>
      </c>
      <c r="G5867" s="3">
        <v>0</v>
      </c>
      <c r="H5867" s="2">
        <f t="shared" si="182"/>
        <v>8567</v>
      </c>
      <c r="I5867" t="str">
        <f t="shared" si="183"/>
        <v>Prom1_8567</v>
      </c>
      <c r="J5867" s="3">
        <v>0</v>
      </c>
      <c r="K5867" s="3">
        <v>384</v>
      </c>
      <c r="L5867" s="3">
        <v>2461</v>
      </c>
      <c r="M5867" s="3">
        <v>5722</v>
      </c>
      <c r="N5867" s="3">
        <v>0</v>
      </c>
    </row>
    <row r="5868" spans="1:14" x14ac:dyDescent="0.2">
      <c r="A5868" s="5" t="str">
        <f>HYPERLINK("http://www.ncbi.nlm.nih.gov/protein/224994182","Prom2")</f>
        <v>Prom2</v>
      </c>
      <c r="B5868" s="4"/>
      <c r="C5868" s="3">
        <v>458</v>
      </c>
      <c r="D5868" s="3">
        <v>653</v>
      </c>
      <c r="E5868" s="3">
        <v>3976</v>
      </c>
      <c r="F5868" s="3">
        <v>0</v>
      </c>
      <c r="G5868" s="3">
        <v>0</v>
      </c>
      <c r="H5868" s="2">
        <f t="shared" si="182"/>
        <v>5087</v>
      </c>
      <c r="I5868" t="str">
        <f t="shared" si="183"/>
        <v>Prom2_5087</v>
      </c>
      <c r="J5868" s="3">
        <v>458</v>
      </c>
      <c r="K5868" s="3">
        <v>653</v>
      </c>
      <c r="L5868" s="3">
        <v>3976</v>
      </c>
      <c r="M5868" s="3">
        <v>0</v>
      </c>
      <c r="N5868" s="3">
        <v>0</v>
      </c>
    </row>
    <row r="5869" spans="1:14" x14ac:dyDescent="0.2">
      <c r="A5869" s="5" t="str">
        <f>HYPERLINK("http://www.ncbi.nlm.nih.gov/protein/224994184","Prom2")</f>
        <v>Prom2</v>
      </c>
      <c r="B5869" s="4"/>
      <c r="C5869" s="3">
        <v>458</v>
      </c>
      <c r="D5869" s="3">
        <v>653</v>
      </c>
      <c r="E5869" s="3">
        <v>3976</v>
      </c>
      <c r="F5869" s="3">
        <v>0</v>
      </c>
      <c r="G5869" s="3">
        <v>0</v>
      </c>
      <c r="H5869" s="2">
        <f t="shared" si="182"/>
        <v>5087</v>
      </c>
      <c r="I5869" t="str">
        <f t="shared" si="183"/>
        <v>Prom2_5087</v>
      </c>
      <c r="J5869" s="3">
        <v>458</v>
      </c>
      <c r="K5869" s="3">
        <v>653</v>
      </c>
      <c r="L5869" s="3">
        <v>3976</v>
      </c>
      <c r="M5869" s="3">
        <v>0</v>
      </c>
      <c r="N5869" s="3">
        <v>0</v>
      </c>
    </row>
    <row r="5870" spans="1:14" x14ac:dyDescent="0.2">
      <c r="A5870" s="5" t="str">
        <f>HYPERLINK("http://www.ncbi.nlm.nih.gov/protein/254540216","Prorsd1")</f>
        <v>Prorsd1</v>
      </c>
      <c r="B5870" s="4"/>
      <c r="C5870" s="3">
        <v>0</v>
      </c>
      <c r="D5870" s="3">
        <v>0</v>
      </c>
      <c r="E5870" s="3">
        <v>0</v>
      </c>
      <c r="F5870" s="3">
        <v>0</v>
      </c>
      <c r="G5870" s="3">
        <v>1906</v>
      </c>
      <c r="H5870" s="2">
        <f t="shared" si="182"/>
        <v>1906</v>
      </c>
      <c r="I5870" t="str">
        <f t="shared" si="183"/>
        <v>Prorsd1_1906</v>
      </c>
      <c r="J5870" s="3">
        <v>0</v>
      </c>
      <c r="K5870" s="3">
        <v>0</v>
      </c>
      <c r="L5870" s="3">
        <v>0</v>
      </c>
      <c r="M5870" s="3">
        <v>0</v>
      </c>
      <c r="N5870" s="3">
        <v>1906</v>
      </c>
    </row>
    <row r="5871" spans="1:14" x14ac:dyDescent="0.2">
      <c r="A5871" s="5" t="str">
        <f>HYPERLINK("http://www.ncbi.nlm.nih.gov/protein/21312706","Prorsd1")</f>
        <v>Prorsd1</v>
      </c>
      <c r="B5871" s="4"/>
      <c r="C5871" s="3">
        <v>0</v>
      </c>
      <c r="D5871" s="3">
        <v>29</v>
      </c>
      <c r="E5871" s="3">
        <v>72</v>
      </c>
      <c r="F5871" s="3">
        <v>0</v>
      </c>
      <c r="G5871" s="3">
        <v>8289</v>
      </c>
      <c r="H5871" s="2">
        <f t="shared" si="182"/>
        <v>8390</v>
      </c>
      <c r="I5871" t="str">
        <f t="shared" si="183"/>
        <v>Prorsd1_8390</v>
      </c>
      <c r="J5871" s="3">
        <v>0</v>
      </c>
      <c r="K5871" s="3">
        <v>29</v>
      </c>
      <c r="L5871" s="3">
        <v>72</v>
      </c>
      <c r="M5871" s="3">
        <v>0</v>
      </c>
      <c r="N5871" s="3">
        <v>8289</v>
      </c>
    </row>
    <row r="5872" spans="1:14" x14ac:dyDescent="0.2">
      <c r="A5872" s="5" t="str">
        <f>HYPERLINK("http://www.ncbi.nlm.nih.gov/protein/84872187","Prosc")</f>
        <v>Prosc</v>
      </c>
      <c r="B5872" s="4"/>
      <c r="C5872" s="3">
        <v>0</v>
      </c>
      <c r="D5872" s="3">
        <v>299</v>
      </c>
      <c r="E5872" s="3">
        <v>0</v>
      </c>
      <c r="F5872" s="3">
        <v>0</v>
      </c>
      <c r="G5872" s="3">
        <v>26238</v>
      </c>
      <c r="H5872" s="2">
        <f t="shared" si="182"/>
        <v>26537</v>
      </c>
      <c r="I5872" t="str">
        <f t="shared" si="183"/>
        <v>Prosc_26537</v>
      </c>
      <c r="J5872" s="3">
        <v>0</v>
      </c>
      <c r="K5872" s="3">
        <v>299</v>
      </c>
      <c r="L5872" s="3">
        <v>0</v>
      </c>
      <c r="M5872" s="3">
        <v>0</v>
      </c>
      <c r="N5872" s="3">
        <v>26238</v>
      </c>
    </row>
    <row r="5873" spans="1:14" x14ac:dyDescent="0.2">
      <c r="A5873" s="5" t="str">
        <f>HYPERLINK("http://www.ncbi.nlm.nih.gov/protein/16930823","Prosc")</f>
        <v>Prosc</v>
      </c>
      <c r="B5873" s="4"/>
      <c r="C5873" s="3">
        <v>458</v>
      </c>
      <c r="D5873" s="3">
        <v>553</v>
      </c>
      <c r="E5873" s="3">
        <v>0</v>
      </c>
      <c r="F5873" s="3">
        <v>0</v>
      </c>
      <c r="G5873" s="3">
        <v>53954</v>
      </c>
      <c r="H5873" s="2">
        <f t="shared" si="182"/>
        <v>54965</v>
      </c>
      <c r="I5873" t="str">
        <f t="shared" si="183"/>
        <v>Prosc_54965</v>
      </c>
      <c r="J5873" s="3">
        <v>458</v>
      </c>
      <c r="K5873" s="3">
        <v>553</v>
      </c>
      <c r="L5873" s="3">
        <v>0</v>
      </c>
      <c r="M5873" s="3">
        <v>0</v>
      </c>
      <c r="N5873" s="3">
        <v>53954</v>
      </c>
    </row>
    <row r="5874" spans="1:14" x14ac:dyDescent="0.2">
      <c r="A5874" s="5" t="str">
        <f>HYPERLINK("http://www.ncbi.nlm.nih.gov/protein/84872182","Prosc")</f>
        <v>Prosc</v>
      </c>
      <c r="B5874" s="4"/>
      <c r="C5874" s="3">
        <v>458</v>
      </c>
      <c r="D5874" s="3">
        <v>553</v>
      </c>
      <c r="E5874" s="3">
        <v>0</v>
      </c>
      <c r="F5874" s="3">
        <v>0</v>
      </c>
      <c r="G5874" s="3">
        <v>38169</v>
      </c>
      <c r="H5874" s="2">
        <f t="shared" si="182"/>
        <v>39180</v>
      </c>
      <c r="I5874" t="str">
        <f t="shared" si="183"/>
        <v>Prosc_39180</v>
      </c>
      <c r="J5874" s="3">
        <v>458</v>
      </c>
      <c r="K5874" s="3">
        <v>553</v>
      </c>
      <c r="L5874" s="3">
        <v>0</v>
      </c>
      <c r="M5874" s="3">
        <v>0</v>
      </c>
      <c r="N5874" s="3">
        <v>38169</v>
      </c>
    </row>
    <row r="5875" spans="1:14" x14ac:dyDescent="0.2">
      <c r="A5875" s="5" t="str">
        <f>HYPERLINK("http://www.ncbi.nlm.nih.gov/protein/110625904","Proser2")</f>
        <v>Proser2</v>
      </c>
      <c r="B5875" s="4"/>
      <c r="C5875" s="3">
        <v>0</v>
      </c>
      <c r="D5875" s="3">
        <v>0</v>
      </c>
      <c r="E5875" s="3">
        <v>658</v>
      </c>
      <c r="F5875" s="3">
        <v>0</v>
      </c>
      <c r="G5875" s="3">
        <v>568</v>
      </c>
      <c r="H5875" s="2">
        <f t="shared" si="182"/>
        <v>1226</v>
      </c>
      <c r="I5875" t="str">
        <f t="shared" si="183"/>
        <v>Proser2_1226</v>
      </c>
      <c r="J5875" s="3">
        <v>0</v>
      </c>
      <c r="K5875" s="3">
        <v>0</v>
      </c>
      <c r="L5875" s="3">
        <v>658</v>
      </c>
      <c r="M5875" s="3">
        <v>0</v>
      </c>
      <c r="N5875" s="3">
        <v>568</v>
      </c>
    </row>
    <row r="5876" spans="1:14" x14ac:dyDescent="0.2">
      <c r="A5876" s="5" t="str">
        <f>HYPERLINK("http://www.ncbi.nlm.nih.gov/protein/40254503","Prpf18")</f>
        <v>Prpf18</v>
      </c>
      <c r="B5876" s="4"/>
      <c r="C5876" s="3">
        <v>0</v>
      </c>
      <c r="D5876" s="3">
        <v>0</v>
      </c>
      <c r="E5876" s="3">
        <v>0</v>
      </c>
      <c r="F5876" s="3">
        <v>25</v>
      </c>
      <c r="G5876" s="3">
        <v>0</v>
      </c>
      <c r="H5876" s="2">
        <f t="shared" si="182"/>
        <v>25</v>
      </c>
      <c r="I5876" t="str">
        <f t="shared" si="183"/>
        <v>Prpf18_25</v>
      </c>
      <c r="J5876" s="3">
        <v>0</v>
      </c>
      <c r="K5876" s="3">
        <v>0</v>
      </c>
      <c r="L5876" s="3">
        <v>0</v>
      </c>
      <c r="M5876" s="3">
        <v>25</v>
      </c>
      <c r="N5876" s="3">
        <v>0</v>
      </c>
    </row>
    <row r="5877" spans="1:14" x14ac:dyDescent="0.2">
      <c r="A5877" s="5" t="str">
        <f>HYPERLINK("http://www.ncbi.nlm.nih.gov/protein/19527358","Prpf19")</f>
        <v>Prpf19</v>
      </c>
      <c r="B5877" s="4"/>
      <c r="C5877" s="3">
        <v>113552</v>
      </c>
      <c r="D5877" s="3">
        <v>7667</v>
      </c>
      <c r="E5877" s="3">
        <v>29007</v>
      </c>
      <c r="F5877" s="3">
        <v>84655</v>
      </c>
      <c r="G5877" s="3">
        <v>28894</v>
      </c>
      <c r="H5877" s="2">
        <f t="shared" si="182"/>
        <v>263775</v>
      </c>
      <c r="I5877" t="str">
        <f t="shared" si="183"/>
        <v>Prpf19_263775</v>
      </c>
      <c r="J5877" s="3">
        <v>113552</v>
      </c>
      <c r="K5877" s="3">
        <v>7667</v>
      </c>
      <c r="L5877" s="3">
        <v>29007</v>
      </c>
      <c r="M5877" s="3">
        <v>84655</v>
      </c>
      <c r="N5877" s="3">
        <v>28894</v>
      </c>
    </row>
    <row r="5878" spans="1:14" x14ac:dyDescent="0.2">
      <c r="A5878" s="5" t="str">
        <f>HYPERLINK("http://www.ncbi.nlm.nih.gov/protein/359718917","Prpf19")</f>
        <v>Prpf19</v>
      </c>
      <c r="B5878" s="4"/>
      <c r="C5878" s="3">
        <v>113040</v>
      </c>
      <c r="D5878" s="3">
        <v>7667</v>
      </c>
      <c r="E5878" s="3">
        <v>29007</v>
      </c>
      <c r="F5878" s="3">
        <v>82134</v>
      </c>
      <c r="G5878" s="3">
        <v>28894</v>
      </c>
      <c r="H5878" s="2">
        <f t="shared" si="182"/>
        <v>260742</v>
      </c>
      <c r="I5878" t="str">
        <f t="shared" si="183"/>
        <v>Prpf19_260742</v>
      </c>
      <c r="J5878" s="3">
        <v>113040</v>
      </c>
      <c r="K5878" s="3">
        <v>7667</v>
      </c>
      <c r="L5878" s="3">
        <v>29007</v>
      </c>
      <c r="M5878" s="3">
        <v>82134</v>
      </c>
      <c r="N5878" s="3">
        <v>28894</v>
      </c>
    </row>
    <row r="5879" spans="1:14" x14ac:dyDescent="0.2">
      <c r="A5879" s="5" t="str">
        <f>HYPERLINK("http://www.ncbi.nlm.nih.gov/protein/359718922","Prpf19")</f>
        <v>Prpf19</v>
      </c>
      <c r="B5879" s="4"/>
      <c r="C5879" s="3">
        <v>110458</v>
      </c>
      <c r="D5879" s="3">
        <v>7667</v>
      </c>
      <c r="E5879" s="3">
        <v>29007</v>
      </c>
      <c r="F5879" s="3">
        <v>78295</v>
      </c>
      <c r="G5879" s="3">
        <v>28894</v>
      </c>
      <c r="H5879" s="2">
        <f t="shared" si="182"/>
        <v>254321</v>
      </c>
      <c r="I5879" t="str">
        <f t="shared" si="183"/>
        <v>Prpf19_254321</v>
      </c>
      <c r="J5879" s="3">
        <v>110458</v>
      </c>
      <c r="K5879" s="3">
        <v>7667</v>
      </c>
      <c r="L5879" s="3">
        <v>29007</v>
      </c>
      <c r="M5879" s="3">
        <v>78295</v>
      </c>
      <c r="N5879" s="3">
        <v>28894</v>
      </c>
    </row>
    <row r="5880" spans="1:14" x14ac:dyDescent="0.2">
      <c r="A5880" s="5" t="str">
        <f>HYPERLINK("http://www.ncbi.nlm.nih.gov/protein/31980657","Prpf3")</f>
        <v>Prpf3</v>
      </c>
      <c r="B5880" s="4"/>
      <c r="C5880" s="3">
        <v>9171</v>
      </c>
      <c r="D5880" s="3">
        <v>0</v>
      </c>
      <c r="E5880" s="3">
        <v>3837</v>
      </c>
      <c r="F5880" s="3">
        <v>31015</v>
      </c>
      <c r="G5880" s="3">
        <v>0</v>
      </c>
      <c r="H5880" s="2">
        <f t="shared" si="182"/>
        <v>44023</v>
      </c>
      <c r="I5880" t="str">
        <f t="shared" si="183"/>
        <v>Prpf3_44023</v>
      </c>
      <c r="J5880" s="3">
        <v>9171</v>
      </c>
      <c r="K5880" s="3">
        <v>0</v>
      </c>
      <c r="L5880" s="3">
        <v>3837</v>
      </c>
      <c r="M5880" s="3">
        <v>31015</v>
      </c>
      <c r="N5880" s="3">
        <v>0</v>
      </c>
    </row>
    <row r="5881" spans="1:14" x14ac:dyDescent="0.2">
      <c r="A5881" s="5" t="str">
        <f>HYPERLINK("http://www.ncbi.nlm.nih.gov/protein/228480236","Prpf31")</f>
        <v>Prpf31</v>
      </c>
      <c r="B5881" s="4"/>
      <c r="C5881" s="3">
        <v>0</v>
      </c>
      <c r="D5881" s="3">
        <v>528</v>
      </c>
      <c r="E5881" s="3">
        <v>1384</v>
      </c>
      <c r="F5881" s="3">
        <v>7850</v>
      </c>
      <c r="G5881" s="3">
        <v>0</v>
      </c>
      <c r="H5881" s="2">
        <f t="shared" si="182"/>
        <v>9762</v>
      </c>
      <c r="I5881" t="str">
        <f t="shared" si="183"/>
        <v>Prpf31_9762</v>
      </c>
      <c r="J5881" s="3">
        <v>0</v>
      </c>
      <c r="K5881" s="3">
        <v>528</v>
      </c>
      <c r="L5881" s="3">
        <v>1384</v>
      </c>
      <c r="M5881" s="3">
        <v>7850</v>
      </c>
      <c r="N5881" s="3">
        <v>0</v>
      </c>
    </row>
    <row r="5882" spans="1:14" x14ac:dyDescent="0.2">
      <c r="A5882" s="5" t="str">
        <f>HYPERLINK("http://www.ncbi.nlm.nih.gov/protein/228480238","Prpf31")</f>
        <v>Prpf31</v>
      </c>
      <c r="B5882" s="4"/>
      <c r="C5882" s="3">
        <v>0</v>
      </c>
      <c r="D5882" s="3">
        <v>528</v>
      </c>
      <c r="E5882" s="3">
        <v>1384</v>
      </c>
      <c r="F5882" s="3">
        <v>7850</v>
      </c>
      <c r="G5882" s="3">
        <v>0</v>
      </c>
      <c r="H5882" s="2">
        <f t="shared" si="182"/>
        <v>9762</v>
      </c>
      <c r="I5882" t="str">
        <f t="shared" si="183"/>
        <v>Prpf31_9762</v>
      </c>
      <c r="J5882" s="3">
        <v>0</v>
      </c>
      <c r="K5882" s="3">
        <v>528</v>
      </c>
      <c r="L5882" s="3">
        <v>1384</v>
      </c>
      <c r="M5882" s="3">
        <v>7850</v>
      </c>
      <c r="N5882" s="3">
        <v>0</v>
      </c>
    </row>
    <row r="5883" spans="1:14" x14ac:dyDescent="0.2">
      <c r="A5883" s="5" t="str">
        <f>HYPERLINK("http://www.ncbi.nlm.nih.gov/protein/227497256","Prpf38a")</f>
        <v>Prpf38a</v>
      </c>
      <c r="B5883" s="4"/>
      <c r="C5883" s="3">
        <v>0</v>
      </c>
      <c r="D5883" s="3">
        <v>372</v>
      </c>
      <c r="E5883" s="3">
        <v>170</v>
      </c>
      <c r="F5883" s="3">
        <v>0</v>
      </c>
      <c r="G5883" s="3">
        <v>0</v>
      </c>
      <c r="H5883" s="2">
        <f t="shared" si="182"/>
        <v>542</v>
      </c>
      <c r="I5883" t="str">
        <f t="shared" si="183"/>
        <v>Prpf38a_542</v>
      </c>
      <c r="J5883" s="3">
        <v>0</v>
      </c>
      <c r="K5883" s="3">
        <v>372</v>
      </c>
      <c r="L5883" s="3">
        <v>170</v>
      </c>
      <c r="M5883" s="3">
        <v>0</v>
      </c>
      <c r="N5883" s="3">
        <v>0</v>
      </c>
    </row>
    <row r="5884" spans="1:14" x14ac:dyDescent="0.2">
      <c r="A5884" s="5" t="str">
        <f>HYPERLINK("http://www.ncbi.nlm.nih.gov/protein/30794464","Prpf38b")</f>
        <v>Prpf38b</v>
      </c>
      <c r="B5884" s="4"/>
      <c r="C5884" s="3">
        <v>0</v>
      </c>
      <c r="D5884" s="3">
        <v>2968</v>
      </c>
      <c r="E5884" s="3">
        <v>658</v>
      </c>
      <c r="F5884" s="3">
        <v>0</v>
      </c>
      <c r="G5884" s="3">
        <v>0</v>
      </c>
      <c r="H5884" s="2">
        <f t="shared" si="182"/>
        <v>3626</v>
      </c>
      <c r="I5884" t="str">
        <f t="shared" si="183"/>
        <v>Prpf38b_3626</v>
      </c>
      <c r="J5884" s="3">
        <v>0</v>
      </c>
      <c r="K5884" s="3">
        <v>2968</v>
      </c>
      <c r="L5884" s="3">
        <v>658</v>
      </c>
      <c r="M5884" s="3">
        <v>0</v>
      </c>
      <c r="N5884" s="3">
        <v>0</v>
      </c>
    </row>
    <row r="5885" spans="1:14" x14ac:dyDescent="0.2">
      <c r="A5885" s="5" t="str">
        <f>HYPERLINK("http://www.ncbi.nlm.nih.gov/protein/156546892","Prpf39")</f>
        <v>Prpf39</v>
      </c>
      <c r="B5885" s="4"/>
      <c r="C5885" s="3">
        <v>0</v>
      </c>
      <c r="D5885" s="3">
        <v>0</v>
      </c>
      <c r="E5885" s="3">
        <v>0</v>
      </c>
      <c r="F5885" s="3">
        <v>0</v>
      </c>
      <c r="G5885" s="3">
        <v>10710</v>
      </c>
      <c r="H5885" s="2">
        <f t="shared" si="182"/>
        <v>10710</v>
      </c>
      <c r="I5885" t="str">
        <f t="shared" si="183"/>
        <v>Prpf39_10710</v>
      </c>
      <c r="J5885" s="3">
        <v>0</v>
      </c>
      <c r="K5885" s="3">
        <v>0</v>
      </c>
      <c r="L5885" s="3">
        <v>0</v>
      </c>
      <c r="M5885" s="3">
        <v>0</v>
      </c>
      <c r="N5885" s="3">
        <v>10710</v>
      </c>
    </row>
    <row r="5886" spans="1:14" x14ac:dyDescent="0.2">
      <c r="A5886" s="5" t="str">
        <f>HYPERLINK("http://www.ncbi.nlm.nih.gov/protein/55925589","Prpf4")</f>
        <v>Prpf4</v>
      </c>
      <c r="B5886" s="4"/>
      <c r="C5886" s="3">
        <v>13254</v>
      </c>
      <c r="D5886" s="3">
        <v>2353</v>
      </c>
      <c r="E5886" s="3">
        <v>1643</v>
      </c>
      <c r="F5886" s="3">
        <v>47902</v>
      </c>
      <c r="G5886" s="3">
        <v>0</v>
      </c>
      <c r="H5886" s="2">
        <f t="shared" si="182"/>
        <v>65152</v>
      </c>
      <c r="I5886" t="str">
        <f t="shared" si="183"/>
        <v>Prpf4_65152</v>
      </c>
      <c r="J5886" s="3">
        <v>13254</v>
      </c>
      <c r="K5886" s="3">
        <v>2353</v>
      </c>
      <c r="L5886" s="3">
        <v>1643</v>
      </c>
      <c r="M5886" s="3">
        <v>47902</v>
      </c>
      <c r="N5886" s="3">
        <v>0</v>
      </c>
    </row>
    <row r="5887" spans="1:14" x14ac:dyDescent="0.2">
      <c r="A5887" s="5" t="str">
        <f>HYPERLINK("http://www.ncbi.nlm.nih.gov/protein/9055218","Prpf40a")</f>
        <v>Prpf40a</v>
      </c>
      <c r="B5887" s="4"/>
      <c r="C5887" s="3">
        <v>6370</v>
      </c>
      <c r="D5887" s="3">
        <v>5668</v>
      </c>
      <c r="E5887" s="3">
        <v>742</v>
      </c>
      <c r="F5887" s="3">
        <v>2030</v>
      </c>
      <c r="G5887" s="3">
        <v>0</v>
      </c>
      <c r="H5887" s="2">
        <f t="shared" si="182"/>
        <v>14810</v>
      </c>
      <c r="I5887" t="str">
        <f t="shared" si="183"/>
        <v>Prpf40a_14810</v>
      </c>
      <c r="J5887" s="3">
        <v>6370</v>
      </c>
      <c r="K5887" s="3">
        <v>5668</v>
      </c>
      <c r="L5887" s="3">
        <v>742</v>
      </c>
      <c r="M5887" s="3">
        <v>2030</v>
      </c>
      <c r="N5887" s="3">
        <v>0</v>
      </c>
    </row>
    <row r="5888" spans="1:14" x14ac:dyDescent="0.2">
      <c r="A5888" s="5" t="str">
        <f>HYPERLINK("http://www.ncbi.nlm.nih.gov/protein/9055244","Prpf40b")</f>
        <v>Prpf40b</v>
      </c>
      <c r="B5888" s="4"/>
      <c r="C5888" s="3">
        <v>0</v>
      </c>
      <c r="D5888" s="3">
        <v>50</v>
      </c>
      <c r="E5888" s="3">
        <v>0</v>
      </c>
      <c r="F5888" s="3">
        <v>0</v>
      </c>
      <c r="G5888" s="3">
        <v>0</v>
      </c>
      <c r="H5888" s="2">
        <f t="shared" si="182"/>
        <v>50</v>
      </c>
      <c r="I5888" t="str">
        <f t="shared" si="183"/>
        <v>Prpf40b_50</v>
      </c>
      <c r="J5888" s="3">
        <v>0</v>
      </c>
      <c r="K5888" s="3">
        <v>50</v>
      </c>
      <c r="L5888" s="3">
        <v>0</v>
      </c>
      <c r="M5888" s="3">
        <v>0</v>
      </c>
      <c r="N5888" s="3">
        <v>0</v>
      </c>
    </row>
    <row r="5889" spans="1:14" x14ac:dyDescent="0.2">
      <c r="A5889" s="5" t="str">
        <f>HYPERLINK("http://www.ncbi.nlm.nih.gov/protein/158854005","Prpf4b")</f>
        <v>Prpf4b</v>
      </c>
      <c r="B5889" s="4"/>
      <c r="C5889" s="3">
        <v>0</v>
      </c>
      <c r="D5889" s="3">
        <v>0</v>
      </c>
      <c r="E5889" s="3">
        <v>189</v>
      </c>
      <c r="F5889" s="3">
        <v>65</v>
      </c>
      <c r="G5889" s="3">
        <v>0</v>
      </c>
      <c r="H5889" s="2">
        <f t="shared" si="182"/>
        <v>254</v>
      </c>
      <c r="I5889" t="str">
        <f t="shared" si="183"/>
        <v>Prpf4b_254</v>
      </c>
      <c r="J5889" s="3">
        <v>0</v>
      </c>
      <c r="K5889" s="3">
        <v>0</v>
      </c>
      <c r="L5889" s="3">
        <v>189</v>
      </c>
      <c r="M5889" s="3">
        <v>65</v>
      </c>
      <c r="N5889" s="3">
        <v>0</v>
      </c>
    </row>
    <row r="5890" spans="1:14" x14ac:dyDescent="0.2">
      <c r="A5890" s="5" t="str">
        <f>HYPERLINK("http://www.ncbi.nlm.nih.gov/protein/21539655","Prpf6")</f>
        <v>Prpf6</v>
      </c>
      <c r="B5890" s="4"/>
      <c r="C5890" s="3">
        <v>3698</v>
      </c>
      <c r="D5890" s="3">
        <v>10</v>
      </c>
      <c r="E5890" s="3">
        <v>7805</v>
      </c>
      <c r="F5890" s="3">
        <v>7809</v>
      </c>
      <c r="G5890" s="3">
        <v>0</v>
      </c>
      <c r="H5890" s="2">
        <f t="shared" ref="H5890:H5953" si="184">SUM(C5890:G5890)</f>
        <v>19322</v>
      </c>
      <c r="I5890" t="str">
        <f t="shared" ref="I5890:I5953" si="185">A5890&amp;"_"&amp;H5890</f>
        <v>Prpf6_19322</v>
      </c>
      <c r="J5890" s="3">
        <v>3698</v>
      </c>
      <c r="K5890" s="3">
        <v>10</v>
      </c>
      <c r="L5890" s="3">
        <v>7805</v>
      </c>
      <c r="M5890" s="3">
        <v>7809</v>
      </c>
      <c r="N5890" s="3">
        <v>0</v>
      </c>
    </row>
    <row r="5891" spans="1:14" x14ac:dyDescent="0.2">
      <c r="A5891" s="5" t="str">
        <f>HYPERLINK("http://www.ncbi.nlm.nih.gov/protein/115583687","Prpf8")</f>
        <v>Prpf8</v>
      </c>
      <c r="B5891" s="4"/>
      <c r="C5891" s="3">
        <v>77087</v>
      </c>
      <c r="D5891" s="3">
        <v>10310</v>
      </c>
      <c r="E5891" s="3">
        <v>19786</v>
      </c>
      <c r="F5891" s="3">
        <v>60238</v>
      </c>
      <c r="G5891" s="3">
        <v>0</v>
      </c>
      <c r="H5891" s="2">
        <f t="shared" si="184"/>
        <v>167421</v>
      </c>
      <c r="I5891" t="str">
        <f t="shared" si="185"/>
        <v>Prpf8_167421</v>
      </c>
      <c r="J5891" s="3">
        <v>77087</v>
      </c>
      <c r="K5891" s="3">
        <v>10310</v>
      </c>
      <c r="L5891" s="3">
        <v>19786</v>
      </c>
      <c r="M5891" s="3">
        <v>60238</v>
      </c>
      <c r="N5891" s="3">
        <v>0</v>
      </c>
    </row>
    <row r="5892" spans="1:14" x14ac:dyDescent="0.2">
      <c r="A5892" s="5" t="str">
        <f>HYPERLINK("http://www.ncbi.nlm.nih.gov/protein/254675335","Prph")</f>
        <v>Prph</v>
      </c>
      <c r="B5892" s="4"/>
      <c r="C5892" s="3">
        <v>715600</v>
      </c>
      <c r="D5892" s="3">
        <v>0</v>
      </c>
      <c r="E5892" s="3">
        <v>2644</v>
      </c>
      <c r="F5892" s="3">
        <v>0</v>
      </c>
      <c r="G5892" s="3">
        <v>0</v>
      </c>
      <c r="H5892" s="2">
        <f t="shared" si="184"/>
        <v>718244</v>
      </c>
      <c r="I5892" t="str">
        <f t="shared" si="185"/>
        <v>Prph_718244</v>
      </c>
      <c r="J5892" s="3">
        <v>715600</v>
      </c>
      <c r="K5892" s="3">
        <v>0</v>
      </c>
      <c r="L5892" s="3">
        <v>2644</v>
      </c>
      <c r="M5892" s="3">
        <v>0</v>
      </c>
      <c r="N5892" s="3">
        <v>0</v>
      </c>
    </row>
    <row r="5893" spans="1:14" x14ac:dyDescent="0.2">
      <c r="A5893" s="5" t="str">
        <f>HYPERLINK("http://www.ncbi.nlm.nih.gov/protein/254675337","Prph")</f>
        <v>Prph</v>
      </c>
      <c r="B5893" s="4"/>
      <c r="C5893" s="3">
        <v>715600</v>
      </c>
      <c r="D5893" s="3">
        <v>0</v>
      </c>
      <c r="E5893" s="3">
        <v>2644</v>
      </c>
      <c r="F5893" s="3">
        <v>0</v>
      </c>
      <c r="G5893" s="3">
        <v>0</v>
      </c>
      <c r="H5893" s="2">
        <f t="shared" si="184"/>
        <v>718244</v>
      </c>
      <c r="I5893" t="str">
        <f t="shared" si="185"/>
        <v>Prph_718244</v>
      </c>
      <c r="J5893" s="3">
        <v>715600</v>
      </c>
      <c r="K5893" s="3">
        <v>0</v>
      </c>
      <c r="L5893" s="3">
        <v>2644</v>
      </c>
      <c r="M5893" s="3">
        <v>0</v>
      </c>
      <c r="N5893" s="3">
        <v>0</v>
      </c>
    </row>
    <row r="5894" spans="1:14" x14ac:dyDescent="0.2">
      <c r="A5894" s="5" t="str">
        <f>HYPERLINK("http://www.ncbi.nlm.nih.gov/protein/254675339","Prph")</f>
        <v>Prph</v>
      </c>
      <c r="B5894" s="4"/>
      <c r="C5894" s="3">
        <v>715600</v>
      </c>
      <c r="D5894" s="3">
        <v>0</v>
      </c>
      <c r="E5894" s="3">
        <v>2644</v>
      </c>
      <c r="F5894" s="3">
        <v>0</v>
      </c>
      <c r="G5894" s="3">
        <v>0</v>
      </c>
      <c r="H5894" s="2">
        <f t="shared" si="184"/>
        <v>718244</v>
      </c>
      <c r="I5894" t="str">
        <f t="shared" si="185"/>
        <v>Prph_718244</v>
      </c>
      <c r="J5894" s="3">
        <v>715600</v>
      </c>
      <c r="K5894" s="3">
        <v>0</v>
      </c>
      <c r="L5894" s="3">
        <v>2644</v>
      </c>
      <c r="M5894" s="3">
        <v>0</v>
      </c>
      <c r="N5894" s="3">
        <v>0</v>
      </c>
    </row>
    <row r="5895" spans="1:14" x14ac:dyDescent="0.2">
      <c r="A5895" s="5" t="str">
        <f>HYPERLINK("http://www.ncbi.nlm.nih.gov/protein/10946854","Prps1")</f>
        <v>Prps1</v>
      </c>
      <c r="B5895" s="4"/>
      <c r="C5895" s="3">
        <v>275</v>
      </c>
      <c r="D5895" s="3">
        <v>5010</v>
      </c>
      <c r="E5895" s="3">
        <v>4781</v>
      </c>
      <c r="F5895" s="3">
        <v>391532</v>
      </c>
      <c r="G5895" s="3">
        <v>14726</v>
      </c>
      <c r="H5895" s="2">
        <f t="shared" si="184"/>
        <v>416324</v>
      </c>
      <c r="I5895" t="str">
        <f t="shared" si="185"/>
        <v>Prps1_416324</v>
      </c>
      <c r="J5895" s="3">
        <v>275</v>
      </c>
      <c r="K5895" s="3">
        <v>5010</v>
      </c>
      <c r="L5895" s="3">
        <v>4781</v>
      </c>
      <c r="M5895" s="3">
        <v>391532</v>
      </c>
      <c r="N5895" s="3">
        <v>14726</v>
      </c>
    </row>
    <row r="5896" spans="1:14" x14ac:dyDescent="0.2">
      <c r="A5896" s="5" t="str">
        <f>HYPERLINK("http://www.ncbi.nlm.nih.gov/protein/30794182","Prps1l1")</f>
        <v>Prps1l1</v>
      </c>
      <c r="B5896" s="4"/>
      <c r="C5896" s="3">
        <v>275</v>
      </c>
      <c r="D5896" s="3">
        <v>2720</v>
      </c>
      <c r="E5896" s="3">
        <v>2496</v>
      </c>
      <c r="F5896" s="3">
        <v>291079</v>
      </c>
      <c r="G5896" s="3">
        <v>6297</v>
      </c>
      <c r="H5896" s="2">
        <f t="shared" si="184"/>
        <v>302867</v>
      </c>
      <c r="I5896" t="str">
        <f t="shared" si="185"/>
        <v>Prps1l1_302867</v>
      </c>
      <c r="J5896" s="3">
        <v>275</v>
      </c>
      <c r="K5896" s="3">
        <v>2720</v>
      </c>
      <c r="L5896" s="3">
        <v>2496</v>
      </c>
      <c r="M5896" s="3">
        <v>291079</v>
      </c>
      <c r="N5896" s="3">
        <v>6297</v>
      </c>
    </row>
    <row r="5897" spans="1:14" x14ac:dyDescent="0.2">
      <c r="A5897" s="5" t="str">
        <f>HYPERLINK("http://www.ncbi.nlm.nih.gov/protein/256418956","Prps1l3")</f>
        <v>Prps1l3</v>
      </c>
      <c r="B5897" s="4"/>
      <c r="C5897" s="3">
        <v>275</v>
      </c>
      <c r="D5897" s="3">
        <v>5010</v>
      </c>
      <c r="E5897" s="3">
        <v>4781</v>
      </c>
      <c r="F5897" s="3">
        <v>510525</v>
      </c>
      <c r="G5897" s="3">
        <v>14726</v>
      </c>
      <c r="H5897" s="2">
        <f t="shared" si="184"/>
        <v>535317</v>
      </c>
      <c r="I5897" t="str">
        <f t="shared" si="185"/>
        <v>Prps1l3_535317</v>
      </c>
      <c r="J5897" s="3">
        <v>275</v>
      </c>
      <c r="K5897" s="3">
        <v>5010</v>
      </c>
      <c r="L5897" s="3">
        <v>4781</v>
      </c>
      <c r="M5897" s="3">
        <v>510525</v>
      </c>
      <c r="N5897" s="3">
        <v>14726</v>
      </c>
    </row>
    <row r="5898" spans="1:14" x14ac:dyDescent="0.2">
      <c r="A5898" s="5" t="str">
        <f>HYPERLINK("http://www.ncbi.nlm.nih.gov/protein/13386146","Prps2")</f>
        <v>Prps2</v>
      </c>
      <c r="B5898" s="4"/>
      <c r="C5898" s="3">
        <v>0</v>
      </c>
      <c r="D5898" s="3">
        <v>5213</v>
      </c>
      <c r="E5898" s="3">
        <v>3093</v>
      </c>
      <c r="F5898" s="3">
        <v>458490</v>
      </c>
      <c r="G5898" s="3">
        <v>16407</v>
      </c>
      <c r="H5898" s="2">
        <f t="shared" si="184"/>
        <v>483203</v>
      </c>
      <c r="I5898" t="str">
        <f t="shared" si="185"/>
        <v>Prps2_483203</v>
      </c>
      <c r="J5898" s="3">
        <v>0</v>
      </c>
      <c r="K5898" s="3">
        <v>5213</v>
      </c>
      <c r="L5898" s="3">
        <v>3093</v>
      </c>
      <c r="M5898" s="3">
        <v>458490</v>
      </c>
      <c r="N5898" s="3">
        <v>16407</v>
      </c>
    </row>
    <row r="5899" spans="1:14" x14ac:dyDescent="0.2">
      <c r="A5899" s="5" t="str">
        <f>HYPERLINK("http://www.ncbi.nlm.nih.gov/protein/254540089","Prpsap1")</f>
        <v>Prpsap1</v>
      </c>
      <c r="B5899" s="4"/>
      <c r="C5899" s="3">
        <v>0</v>
      </c>
      <c r="D5899" s="3">
        <v>493</v>
      </c>
      <c r="E5899" s="3">
        <v>1566</v>
      </c>
      <c r="F5899" s="3">
        <v>149829</v>
      </c>
      <c r="G5899" s="3">
        <v>1896</v>
      </c>
      <c r="H5899" s="2">
        <f t="shared" si="184"/>
        <v>153784</v>
      </c>
      <c r="I5899" t="str">
        <f t="shared" si="185"/>
        <v>Prpsap1_153784</v>
      </c>
      <c r="J5899" s="3">
        <v>0</v>
      </c>
      <c r="K5899" s="3">
        <v>493</v>
      </c>
      <c r="L5899" s="3">
        <v>1566</v>
      </c>
      <c r="M5899" s="3">
        <v>149829</v>
      </c>
      <c r="N5899" s="3">
        <v>1896</v>
      </c>
    </row>
    <row r="5900" spans="1:14" x14ac:dyDescent="0.2">
      <c r="A5900" s="5" t="str">
        <f>HYPERLINK("http://www.ncbi.nlm.nih.gov/protein/21450169","Prpsap2")</f>
        <v>Prpsap2</v>
      </c>
      <c r="B5900" s="4"/>
      <c r="C5900" s="3">
        <v>0</v>
      </c>
      <c r="D5900" s="3">
        <v>0</v>
      </c>
      <c r="E5900" s="3">
        <v>654</v>
      </c>
      <c r="F5900" s="3">
        <v>209223</v>
      </c>
      <c r="G5900" s="3">
        <v>2474</v>
      </c>
      <c r="H5900" s="2">
        <f t="shared" si="184"/>
        <v>212351</v>
      </c>
      <c r="I5900" t="str">
        <f t="shared" si="185"/>
        <v>Prpsap2_212351</v>
      </c>
      <c r="J5900" s="3">
        <v>0</v>
      </c>
      <c r="K5900" s="3">
        <v>0</v>
      </c>
      <c r="L5900" s="3">
        <v>654</v>
      </c>
      <c r="M5900" s="3">
        <v>209223</v>
      </c>
      <c r="N5900" s="3">
        <v>2474</v>
      </c>
    </row>
    <row r="5901" spans="1:14" x14ac:dyDescent="0.2">
      <c r="A5901" s="5" t="str">
        <f>HYPERLINK("http://www.ncbi.nlm.nih.gov/protein/256773295","Prpsap2")</f>
        <v>Prpsap2</v>
      </c>
      <c r="B5901" s="4"/>
      <c r="C5901" s="3">
        <v>0</v>
      </c>
      <c r="D5901" s="3">
        <v>0</v>
      </c>
      <c r="E5901" s="3">
        <v>281</v>
      </c>
      <c r="F5901" s="3">
        <v>172912</v>
      </c>
      <c r="G5901" s="3">
        <v>1596</v>
      </c>
      <c r="H5901" s="2">
        <f t="shared" si="184"/>
        <v>174789</v>
      </c>
      <c r="I5901" t="str">
        <f t="shared" si="185"/>
        <v>Prpsap2_174789</v>
      </c>
      <c r="J5901" s="3">
        <v>0</v>
      </c>
      <c r="K5901" s="3">
        <v>0</v>
      </c>
      <c r="L5901" s="3">
        <v>281</v>
      </c>
      <c r="M5901" s="3">
        <v>172912</v>
      </c>
      <c r="N5901" s="3">
        <v>1596</v>
      </c>
    </row>
    <row r="5902" spans="1:14" x14ac:dyDescent="0.2">
      <c r="A5902" s="5" t="str">
        <f>HYPERLINK("http://www.ncbi.nlm.nih.gov/protein/110625811","Prrc1")</f>
        <v>Prrc1</v>
      </c>
      <c r="B5902" s="4"/>
      <c r="C5902" s="3">
        <v>0</v>
      </c>
      <c r="D5902" s="3">
        <v>639</v>
      </c>
      <c r="E5902" s="3">
        <v>29</v>
      </c>
      <c r="F5902" s="3">
        <v>0</v>
      </c>
      <c r="G5902" s="3">
        <v>2120</v>
      </c>
      <c r="H5902" s="2">
        <f t="shared" si="184"/>
        <v>2788</v>
      </c>
      <c r="I5902" t="str">
        <f t="shared" si="185"/>
        <v>Prrc1_2788</v>
      </c>
      <c r="J5902" s="3">
        <v>0</v>
      </c>
      <c r="K5902" s="3">
        <v>639</v>
      </c>
      <c r="L5902" s="3">
        <v>29</v>
      </c>
      <c r="M5902" s="3">
        <v>0</v>
      </c>
      <c r="N5902" s="3">
        <v>2120</v>
      </c>
    </row>
    <row r="5903" spans="1:14" x14ac:dyDescent="0.2">
      <c r="A5903" s="5" t="str">
        <f>HYPERLINK("http://www.ncbi.nlm.nih.gov/protein/312261233","Prrc2a")</f>
        <v>Prrc2a</v>
      </c>
      <c r="B5903" s="4"/>
      <c r="C5903" s="3">
        <v>0</v>
      </c>
      <c r="D5903" s="3">
        <v>0</v>
      </c>
      <c r="E5903" s="3">
        <v>2110</v>
      </c>
      <c r="F5903" s="3">
        <v>0</v>
      </c>
      <c r="G5903" s="3">
        <v>0</v>
      </c>
      <c r="H5903" s="2">
        <f t="shared" si="184"/>
        <v>2110</v>
      </c>
      <c r="I5903" t="str">
        <f t="shared" si="185"/>
        <v>Prrc2a_2110</v>
      </c>
      <c r="J5903" s="3">
        <v>0</v>
      </c>
      <c r="K5903" s="3">
        <v>0</v>
      </c>
      <c r="L5903" s="3">
        <v>2110</v>
      </c>
      <c r="M5903" s="3">
        <v>0</v>
      </c>
      <c r="N5903" s="3">
        <v>0</v>
      </c>
    </row>
    <row r="5904" spans="1:14" x14ac:dyDescent="0.2">
      <c r="A5904" s="5" t="str">
        <f>HYPERLINK("http://www.ncbi.nlm.nih.gov/protein/92110037","Prrc2a")</f>
        <v>Prrc2a</v>
      </c>
      <c r="B5904" s="4"/>
      <c r="C5904" s="3">
        <v>0</v>
      </c>
      <c r="D5904" s="3">
        <v>0</v>
      </c>
      <c r="E5904" s="3">
        <v>2110</v>
      </c>
      <c r="F5904" s="3">
        <v>0</v>
      </c>
      <c r="G5904" s="3">
        <v>0</v>
      </c>
      <c r="H5904" s="2">
        <f t="shared" si="184"/>
        <v>2110</v>
      </c>
      <c r="I5904" t="str">
        <f t="shared" si="185"/>
        <v>Prrc2a_2110</v>
      </c>
      <c r="J5904" s="3">
        <v>0</v>
      </c>
      <c r="K5904" s="3">
        <v>0</v>
      </c>
      <c r="L5904" s="3">
        <v>2110</v>
      </c>
      <c r="M5904" s="3">
        <v>0</v>
      </c>
      <c r="N5904" s="3">
        <v>0</v>
      </c>
    </row>
    <row r="5905" spans="1:14" x14ac:dyDescent="0.2">
      <c r="A5905" s="5" t="str">
        <f>HYPERLINK("http://www.ncbi.nlm.nih.gov/protein/227500365","Prrc2b")</f>
        <v>Prrc2b</v>
      </c>
      <c r="B5905" s="4"/>
      <c r="C5905" s="3">
        <v>0</v>
      </c>
      <c r="D5905" s="3">
        <v>0</v>
      </c>
      <c r="E5905" s="3">
        <v>91</v>
      </c>
      <c r="F5905" s="3">
        <v>0</v>
      </c>
      <c r="G5905" s="3">
        <v>0</v>
      </c>
      <c r="H5905" s="2">
        <f t="shared" si="184"/>
        <v>91</v>
      </c>
      <c r="I5905" t="str">
        <f t="shared" si="185"/>
        <v>Prrc2b_91</v>
      </c>
      <c r="J5905" s="3">
        <v>0</v>
      </c>
      <c r="K5905" s="3">
        <v>0</v>
      </c>
      <c r="L5905" s="3">
        <v>91</v>
      </c>
      <c r="M5905" s="3">
        <v>0</v>
      </c>
      <c r="N5905" s="3">
        <v>0</v>
      </c>
    </row>
    <row r="5906" spans="1:14" x14ac:dyDescent="0.2">
      <c r="A5906" s="5" t="str">
        <f>HYPERLINK("http://www.ncbi.nlm.nih.gov/protein/34328385","Prrc2b")</f>
        <v>Prrc2b</v>
      </c>
      <c r="B5906" s="4"/>
      <c r="C5906" s="3">
        <v>0</v>
      </c>
      <c r="D5906" s="3">
        <v>0</v>
      </c>
      <c r="E5906" s="3">
        <v>91</v>
      </c>
      <c r="F5906" s="3">
        <v>0</v>
      </c>
      <c r="G5906" s="3">
        <v>0</v>
      </c>
      <c r="H5906" s="2">
        <f t="shared" si="184"/>
        <v>91</v>
      </c>
      <c r="I5906" t="str">
        <f t="shared" si="185"/>
        <v>Prrc2b_91</v>
      </c>
      <c r="J5906" s="3">
        <v>0</v>
      </c>
      <c r="K5906" s="3">
        <v>0</v>
      </c>
      <c r="L5906" s="3">
        <v>91</v>
      </c>
      <c r="M5906" s="3">
        <v>0</v>
      </c>
      <c r="N5906" s="3">
        <v>0</v>
      </c>
    </row>
    <row r="5907" spans="1:14" x14ac:dyDescent="0.2">
      <c r="A5907" s="5" t="str">
        <f>HYPERLINK("http://www.ncbi.nlm.nih.gov/protein/124486835","Prrc2c")</f>
        <v>Prrc2c</v>
      </c>
      <c r="B5907" s="4"/>
      <c r="C5907" s="3">
        <v>0</v>
      </c>
      <c r="D5907" s="3">
        <v>211</v>
      </c>
      <c r="E5907" s="3">
        <v>7611</v>
      </c>
      <c r="F5907" s="3">
        <v>2292</v>
      </c>
      <c r="G5907" s="3">
        <v>0</v>
      </c>
      <c r="H5907" s="2">
        <f t="shared" si="184"/>
        <v>10114</v>
      </c>
      <c r="I5907" t="str">
        <f t="shared" si="185"/>
        <v>Prrc2c_10114</v>
      </c>
      <c r="J5907" s="3">
        <v>0</v>
      </c>
      <c r="K5907" s="3">
        <v>211</v>
      </c>
      <c r="L5907" s="3">
        <v>7611</v>
      </c>
      <c r="M5907" s="3">
        <v>2292</v>
      </c>
      <c r="N5907" s="3">
        <v>0</v>
      </c>
    </row>
    <row r="5908" spans="1:14" x14ac:dyDescent="0.2">
      <c r="A5908" s="5" t="str">
        <f>HYPERLINK("http://www.ncbi.nlm.nih.gov/protein/16716569","Prss1")</f>
        <v>Prss1</v>
      </c>
      <c r="B5908" s="4"/>
      <c r="C5908" s="3">
        <v>1757</v>
      </c>
      <c r="D5908" s="3">
        <v>294</v>
      </c>
      <c r="E5908" s="3">
        <v>4064</v>
      </c>
      <c r="F5908" s="3">
        <v>0</v>
      </c>
      <c r="G5908" s="3">
        <v>0</v>
      </c>
      <c r="H5908" s="2">
        <f t="shared" si="184"/>
        <v>6115</v>
      </c>
      <c r="I5908" t="str">
        <f t="shared" si="185"/>
        <v>Prss1_6115</v>
      </c>
      <c r="J5908" s="3">
        <v>1757</v>
      </c>
      <c r="K5908" s="3">
        <v>294</v>
      </c>
      <c r="L5908" s="3">
        <v>4064</v>
      </c>
      <c r="M5908" s="3">
        <v>0</v>
      </c>
      <c r="N5908" s="3">
        <v>0</v>
      </c>
    </row>
    <row r="5909" spans="1:14" x14ac:dyDescent="0.2">
      <c r="A5909" s="5" t="str">
        <f>HYPERLINK("http://www.ncbi.nlm.nih.gov/protein/19111160","Prss8")</f>
        <v>Prss8</v>
      </c>
      <c r="B5909" s="4"/>
      <c r="C5909" s="3">
        <v>0</v>
      </c>
      <c r="D5909" s="3">
        <v>0</v>
      </c>
      <c r="E5909" s="3">
        <v>389</v>
      </c>
      <c r="F5909" s="3">
        <v>0</v>
      </c>
      <c r="G5909" s="3">
        <v>0</v>
      </c>
      <c r="H5909" s="2">
        <f t="shared" si="184"/>
        <v>389</v>
      </c>
      <c r="I5909" t="str">
        <f t="shared" si="185"/>
        <v>Prss8_389</v>
      </c>
      <c r="J5909" s="3">
        <v>0</v>
      </c>
      <c r="K5909" s="3">
        <v>0</v>
      </c>
      <c r="L5909" s="3">
        <v>389</v>
      </c>
      <c r="M5909" s="3">
        <v>0</v>
      </c>
      <c r="N5909" s="3">
        <v>0</v>
      </c>
    </row>
    <row r="5910" spans="1:14" x14ac:dyDescent="0.2">
      <c r="A5910" s="5" t="str">
        <f>HYPERLINK("http://www.ncbi.nlm.nih.gov/protein/27597069","Prune")</f>
        <v>Prune</v>
      </c>
      <c r="B5910" s="4"/>
      <c r="C5910" s="3">
        <v>0</v>
      </c>
      <c r="D5910" s="3">
        <v>635</v>
      </c>
      <c r="E5910" s="3">
        <v>1497</v>
      </c>
      <c r="F5910" s="3">
        <v>819</v>
      </c>
      <c r="G5910" s="3">
        <v>55432</v>
      </c>
      <c r="H5910" s="2">
        <f t="shared" si="184"/>
        <v>58383</v>
      </c>
      <c r="I5910" t="str">
        <f t="shared" si="185"/>
        <v>Prune_58383</v>
      </c>
      <c r="J5910" s="3">
        <v>0</v>
      </c>
      <c r="K5910" s="3">
        <v>635</v>
      </c>
      <c r="L5910" s="3">
        <v>1497</v>
      </c>
      <c r="M5910" s="3">
        <v>819</v>
      </c>
      <c r="N5910" s="3">
        <v>55432</v>
      </c>
    </row>
    <row r="5911" spans="1:14" x14ac:dyDescent="0.2">
      <c r="A5911" s="5" t="str">
        <f>HYPERLINK("http://www.ncbi.nlm.nih.gov/protein/225735645","Psap")</f>
        <v>Psap</v>
      </c>
      <c r="B5911" s="4"/>
      <c r="C5911" s="3">
        <v>1699018</v>
      </c>
      <c r="D5911" s="3">
        <v>171546</v>
      </c>
      <c r="E5911" s="3">
        <v>151723</v>
      </c>
      <c r="F5911" s="3">
        <v>35632</v>
      </c>
      <c r="G5911" s="3">
        <v>306238</v>
      </c>
      <c r="H5911" s="2">
        <f t="shared" si="184"/>
        <v>2364157</v>
      </c>
      <c r="I5911" t="str">
        <f t="shared" si="185"/>
        <v>Psap_2364157</v>
      </c>
      <c r="J5911" s="3">
        <v>1699018</v>
      </c>
      <c r="K5911" s="3">
        <v>171546</v>
      </c>
      <c r="L5911" s="3">
        <v>151723</v>
      </c>
      <c r="M5911" s="3">
        <v>35632</v>
      </c>
      <c r="N5911" s="3">
        <v>306238</v>
      </c>
    </row>
    <row r="5912" spans="1:14" x14ac:dyDescent="0.2">
      <c r="A5912" s="5" t="str">
        <f>HYPERLINK("http://www.ncbi.nlm.nih.gov/protein/225735649","Psap")</f>
        <v>Psap</v>
      </c>
      <c r="B5912" s="4"/>
      <c r="C5912" s="3">
        <v>1699018</v>
      </c>
      <c r="D5912" s="3">
        <v>171546</v>
      </c>
      <c r="E5912" s="3">
        <v>151723</v>
      </c>
      <c r="F5912" s="3">
        <v>40789</v>
      </c>
      <c r="G5912" s="3">
        <v>306238</v>
      </c>
      <c r="H5912" s="2">
        <f t="shared" si="184"/>
        <v>2369314</v>
      </c>
      <c r="I5912" t="str">
        <f t="shared" si="185"/>
        <v>Psap_2369314</v>
      </c>
      <c r="J5912" s="3">
        <v>1699018</v>
      </c>
      <c r="K5912" s="3">
        <v>171546</v>
      </c>
      <c r="L5912" s="3">
        <v>151723</v>
      </c>
      <c r="M5912" s="3">
        <v>40789</v>
      </c>
      <c r="N5912" s="3">
        <v>306238</v>
      </c>
    </row>
    <row r="5913" spans="1:14" x14ac:dyDescent="0.2">
      <c r="A5913" s="5" t="str">
        <f>HYPERLINK("http://www.ncbi.nlm.nih.gov/protein/225735651","Psap")</f>
        <v>Psap</v>
      </c>
      <c r="B5913" s="4"/>
      <c r="C5913" s="3">
        <v>1699018</v>
      </c>
      <c r="D5913" s="3">
        <v>171546</v>
      </c>
      <c r="E5913" s="3">
        <v>151723</v>
      </c>
      <c r="F5913" s="3">
        <v>40789</v>
      </c>
      <c r="G5913" s="3">
        <v>306238</v>
      </c>
      <c r="H5913" s="2">
        <f t="shared" si="184"/>
        <v>2369314</v>
      </c>
      <c r="I5913" t="str">
        <f t="shared" si="185"/>
        <v>Psap_2369314</v>
      </c>
      <c r="J5913" s="3">
        <v>1699018</v>
      </c>
      <c r="K5913" s="3">
        <v>171546</v>
      </c>
      <c r="L5913" s="3">
        <v>151723</v>
      </c>
      <c r="M5913" s="3">
        <v>40789</v>
      </c>
      <c r="N5913" s="3">
        <v>306238</v>
      </c>
    </row>
    <row r="5914" spans="1:14" x14ac:dyDescent="0.2">
      <c r="A5914" s="5" t="str">
        <f>HYPERLINK("http://www.ncbi.nlm.nih.gov/protein/225735653","Psap")</f>
        <v>Psap</v>
      </c>
      <c r="B5914" s="4"/>
      <c r="C5914" s="3">
        <v>1699018</v>
      </c>
      <c r="D5914" s="3">
        <v>171546</v>
      </c>
      <c r="E5914" s="3">
        <v>151723</v>
      </c>
      <c r="F5914" s="3">
        <v>40789</v>
      </c>
      <c r="G5914" s="3">
        <v>306238</v>
      </c>
      <c r="H5914" s="2">
        <f t="shared" si="184"/>
        <v>2369314</v>
      </c>
      <c r="I5914" t="str">
        <f t="shared" si="185"/>
        <v>Psap_2369314</v>
      </c>
      <c r="J5914" s="3">
        <v>1699018</v>
      </c>
      <c r="K5914" s="3">
        <v>171546</v>
      </c>
      <c r="L5914" s="3">
        <v>151723</v>
      </c>
      <c r="M5914" s="3">
        <v>40789</v>
      </c>
      <c r="N5914" s="3">
        <v>306238</v>
      </c>
    </row>
    <row r="5915" spans="1:14" x14ac:dyDescent="0.2">
      <c r="A5915" s="5" t="str">
        <f>HYPERLINK("http://www.ncbi.nlm.nih.gov/protein/225735655","Psap")</f>
        <v>Psap</v>
      </c>
      <c r="B5915" s="4"/>
      <c r="C5915" s="3">
        <v>1699018</v>
      </c>
      <c r="D5915" s="3">
        <v>171546</v>
      </c>
      <c r="E5915" s="3">
        <v>151723</v>
      </c>
      <c r="F5915" s="3">
        <v>40789</v>
      </c>
      <c r="G5915" s="3">
        <v>306238</v>
      </c>
      <c r="H5915" s="2">
        <f t="shared" si="184"/>
        <v>2369314</v>
      </c>
      <c r="I5915" t="str">
        <f t="shared" si="185"/>
        <v>Psap_2369314</v>
      </c>
      <c r="J5915" s="3">
        <v>1699018</v>
      </c>
      <c r="K5915" s="3">
        <v>171546</v>
      </c>
      <c r="L5915" s="3">
        <v>151723</v>
      </c>
      <c r="M5915" s="3">
        <v>40789</v>
      </c>
      <c r="N5915" s="3">
        <v>306238</v>
      </c>
    </row>
    <row r="5916" spans="1:14" x14ac:dyDescent="0.2">
      <c r="A5916" s="5" t="str">
        <f>HYPERLINK("http://www.ncbi.nlm.nih.gov/protein/225735657","Psap")</f>
        <v>Psap</v>
      </c>
      <c r="B5916" s="4"/>
      <c r="C5916" s="3">
        <v>1699018</v>
      </c>
      <c r="D5916" s="3">
        <v>171546</v>
      </c>
      <c r="E5916" s="3">
        <v>151723</v>
      </c>
      <c r="F5916" s="3">
        <v>40789</v>
      </c>
      <c r="G5916" s="3">
        <v>306238</v>
      </c>
      <c r="H5916" s="2">
        <f t="shared" si="184"/>
        <v>2369314</v>
      </c>
      <c r="I5916" t="str">
        <f t="shared" si="185"/>
        <v>Psap_2369314</v>
      </c>
      <c r="J5916" s="3">
        <v>1699018</v>
      </c>
      <c r="K5916" s="3">
        <v>171546</v>
      </c>
      <c r="L5916" s="3">
        <v>151723</v>
      </c>
      <c r="M5916" s="3">
        <v>40789</v>
      </c>
      <c r="N5916" s="3">
        <v>306238</v>
      </c>
    </row>
    <row r="5917" spans="1:14" x14ac:dyDescent="0.2">
      <c r="A5917" s="5" t="str">
        <f>HYPERLINK("http://www.ncbi.nlm.nih.gov/protein/329299029","Psat1")</f>
        <v>Psat1</v>
      </c>
      <c r="B5917" s="4"/>
      <c r="C5917" s="3">
        <v>34489</v>
      </c>
      <c r="D5917" s="3">
        <v>5540</v>
      </c>
      <c r="E5917" s="3">
        <v>62768</v>
      </c>
      <c r="F5917" s="3">
        <v>74849</v>
      </c>
      <c r="G5917" s="3">
        <v>507331</v>
      </c>
      <c r="H5917" s="2">
        <f t="shared" si="184"/>
        <v>684977</v>
      </c>
      <c r="I5917" t="str">
        <f t="shared" si="185"/>
        <v>Psat1_684977</v>
      </c>
      <c r="J5917" s="3">
        <v>34489</v>
      </c>
      <c r="K5917" s="3">
        <v>5540</v>
      </c>
      <c r="L5917" s="3">
        <v>62768</v>
      </c>
      <c r="M5917" s="3">
        <v>74849</v>
      </c>
      <c r="N5917" s="3">
        <v>507331</v>
      </c>
    </row>
    <row r="5918" spans="1:14" x14ac:dyDescent="0.2">
      <c r="A5918" s="5" t="str">
        <f>HYPERLINK("http://www.ncbi.nlm.nih.gov/protein/54292132","Psat1")</f>
        <v>Psat1</v>
      </c>
      <c r="B5918" s="4"/>
      <c r="C5918" s="3">
        <v>34489</v>
      </c>
      <c r="D5918" s="3">
        <v>8112</v>
      </c>
      <c r="E5918" s="3">
        <v>66872</v>
      </c>
      <c r="F5918" s="3">
        <v>81127</v>
      </c>
      <c r="G5918" s="3">
        <v>662886</v>
      </c>
      <c r="H5918" s="2">
        <f t="shared" si="184"/>
        <v>853486</v>
      </c>
      <c r="I5918" t="str">
        <f t="shared" si="185"/>
        <v>Psat1_853486</v>
      </c>
      <c r="J5918" s="3">
        <v>34489</v>
      </c>
      <c r="K5918" s="3">
        <v>8112</v>
      </c>
      <c r="L5918" s="3">
        <v>66872</v>
      </c>
      <c r="M5918" s="3">
        <v>81127</v>
      </c>
      <c r="N5918" s="3">
        <v>662886</v>
      </c>
    </row>
    <row r="5919" spans="1:14" x14ac:dyDescent="0.2">
      <c r="A5919" s="5" t="str">
        <f>HYPERLINK("http://www.ncbi.nlm.nih.gov/protein/6679493","Psen1")</f>
        <v>Psen1</v>
      </c>
      <c r="B5919" s="4"/>
      <c r="C5919" s="3">
        <v>0</v>
      </c>
      <c r="D5919" s="3">
        <v>0</v>
      </c>
      <c r="E5919" s="3">
        <v>2166</v>
      </c>
      <c r="F5919" s="3">
        <v>90</v>
      </c>
      <c r="G5919" s="3">
        <v>0</v>
      </c>
      <c r="H5919" s="2">
        <f t="shared" si="184"/>
        <v>2256</v>
      </c>
      <c r="I5919" t="str">
        <f t="shared" si="185"/>
        <v>Psen1_2256</v>
      </c>
      <c r="J5919" s="3">
        <v>0</v>
      </c>
      <c r="K5919" s="3">
        <v>0</v>
      </c>
      <c r="L5919" s="3">
        <v>2166</v>
      </c>
      <c r="M5919" s="3">
        <v>90</v>
      </c>
      <c r="N5919" s="3">
        <v>0</v>
      </c>
    </row>
    <row r="5920" spans="1:14" x14ac:dyDescent="0.2">
      <c r="A5920" s="5" t="str">
        <f>HYPERLINK("http://www.ncbi.nlm.nih.gov/protein/190684663;190684661","Psen2")</f>
        <v>Psen2</v>
      </c>
      <c r="B5920" s="4"/>
      <c r="C5920" s="3">
        <v>0</v>
      </c>
      <c r="D5920" s="3">
        <v>0</v>
      </c>
      <c r="E5920" s="3">
        <v>1924</v>
      </c>
      <c r="F5920" s="3">
        <v>0</v>
      </c>
      <c r="G5920" s="3">
        <v>0</v>
      </c>
      <c r="H5920" s="2">
        <f t="shared" si="184"/>
        <v>1924</v>
      </c>
      <c r="I5920" t="str">
        <f t="shared" si="185"/>
        <v>Psen2_1924</v>
      </c>
      <c r="J5920" s="3">
        <v>0</v>
      </c>
      <c r="K5920" s="3">
        <v>0</v>
      </c>
      <c r="L5920" s="3">
        <v>1924</v>
      </c>
      <c r="M5920" s="3">
        <v>0</v>
      </c>
      <c r="N5920" s="3">
        <v>0</v>
      </c>
    </row>
    <row r="5921" spans="1:14" x14ac:dyDescent="0.2">
      <c r="A5921" s="5" t="str">
        <f>HYPERLINK("http://www.ncbi.nlm.nih.gov/protein/13384922","Psenen")</f>
        <v>Psenen</v>
      </c>
      <c r="B5921" s="4"/>
      <c r="C5921" s="3">
        <v>0</v>
      </c>
      <c r="D5921" s="3">
        <v>664</v>
      </c>
      <c r="E5921" s="3">
        <v>322</v>
      </c>
      <c r="F5921" s="3">
        <v>0</v>
      </c>
      <c r="G5921" s="3">
        <v>0</v>
      </c>
      <c r="H5921" s="2">
        <f t="shared" si="184"/>
        <v>986</v>
      </c>
      <c r="I5921" t="str">
        <f t="shared" si="185"/>
        <v>Psenen_986</v>
      </c>
      <c r="J5921" s="3">
        <v>0</v>
      </c>
      <c r="K5921" s="3">
        <v>664</v>
      </c>
      <c r="L5921" s="3">
        <v>322</v>
      </c>
      <c r="M5921" s="3">
        <v>0</v>
      </c>
      <c r="N5921" s="3">
        <v>0</v>
      </c>
    </row>
    <row r="5922" spans="1:14" x14ac:dyDescent="0.2">
      <c r="A5922" s="5" t="str">
        <f>HYPERLINK("http://www.ncbi.nlm.nih.gov/protein/19527168","Psip1")</f>
        <v>Psip1</v>
      </c>
      <c r="B5922" s="4"/>
      <c r="C5922" s="3">
        <v>2599</v>
      </c>
      <c r="D5922" s="3">
        <v>1401</v>
      </c>
      <c r="E5922" s="3">
        <v>2665</v>
      </c>
      <c r="F5922" s="3">
        <v>23558</v>
      </c>
      <c r="G5922" s="3">
        <v>8096</v>
      </c>
      <c r="H5922" s="2">
        <f t="shared" si="184"/>
        <v>38319</v>
      </c>
      <c r="I5922" t="str">
        <f t="shared" si="185"/>
        <v>Psip1_38319</v>
      </c>
      <c r="J5922" s="3">
        <v>2599</v>
      </c>
      <c r="K5922" s="3">
        <v>1401</v>
      </c>
      <c r="L5922" s="3">
        <v>2665</v>
      </c>
      <c r="M5922" s="3">
        <v>23558</v>
      </c>
      <c r="N5922" s="3">
        <v>8096</v>
      </c>
    </row>
    <row r="5923" spans="1:14" x14ac:dyDescent="0.2">
      <c r="A5923" s="5" t="str">
        <f>HYPERLINK("http://www.ncbi.nlm.nih.gov/protein/33563282","Psma1")</f>
        <v>Psma1</v>
      </c>
      <c r="B5923" s="4"/>
      <c r="C5923" s="3">
        <v>5675</v>
      </c>
      <c r="D5923" s="3">
        <v>9152</v>
      </c>
      <c r="E5923" s="3">
        <v>11591</v>
      </c>
      <c r="F5923" s="3">
        <v>593347</v>
      </c>
      <c r="G5923" s="3">
        <v>16161</v>
      </c>
      <c r="H5923" s="2">
        <f t="shared" si="184"/>
        <v>635926</v>
      </c>
      <c r="I5923" t="str">
        <f t="shared" si="185"/>
        <v>Psma1_635926</v>
      </c>
      <c r="J5923" s="3">
        <v>5675</v>
      </c>
      <c r="K5923" s="3">
        <v>9152</v>
      </c>
      <c r="L5923" s="3">
        <v>11591</v>
      </c>
      <c r="M5923" s="3">
        <v>593347</v>
      </c>
      <c r="N5923" s="3">
        <v>16161</v>
      </c>
    </row>
    <row r="5924" spans="1:14" x14ac:dyDescent="0.2">
      <c r="A5924" s="5" t="str">
        <f>HYPERLINK("http://www.ncbi.nlm.nih.gov/protein/134031994","Psma2")</f>
        <v>Psma2</v>
      </c>
      <c r="B5924" s="4"/>
      <c r="C5924" s="3">
        <v>3881</v>
      </c>
      <c r="D5924" s="3">
        <v>4981</v>
      </c>
      <c r="E5924" s="3">
        <v>6832</v>
      </c>
      <c r="F5924" s="3">
        <v>72197</v>
      </c>
      <c r="G5924" s="3">
        <v>3534</v>
      </c>
      <c r="H5924" s="2">
        <f t="shared" si="184"/>
        <v>91425</v>
      </c>
      <c r="I5924" t="str">
        <f t="shared" si="185"/>
        <v>Psma2_91425</v>
      </c>
      <c r="J5924" s="3">
        <v>3881</v>
      </c>
      <c r="K5924" s="3">
        <v>4981</v>
      </c>
      <c r="L5924" s="3">
        <v>6832</v>
      </c>
      <c r="M5924" s="3">
        <v>72197</v>
      </c>
      <c r="N5924" s="3">
        <v>3534</v>
      </c>
    </row>
    <row r="5925" spans="1:14" x14ac:dyDescent="0.2">
      <c r="A5925" s="5" t="str">
        <f>HYPERLINK("http://www.ncbi.nlm.nih.gov/protein/261824000","Psma3")</f>
        <v>Psma3</v>
      </c>
      <c r="B5925" s="4"/>
      <c r="C5925" s="3">
        <v>13345</v>
      </c>
      <c r="D5925" s="3">
        <v>5062</v>
      </c>
      <c r="E5925" s="3">
        <v>13313</v>
      </c>
      <c r="F5925" s="3">
        <v>254285</v>
      </c>
      <c r="G5925" s="3">
        <v>72032</v>
      </c>
      <c r="H5925" s="2">
        <f t="shared" si="184"/>
        <v>358037</v>
      </c>
      <c r="I5925" t="str">
        <f t="shared" si="185"/>
        <v>Psma3_358037</v>
      </c>
      <c r="J5925" s="3">
        <v>13345</v>
      </c>
      <c r="K5925" s="3">
        <v>5062</v>
      </c>
      <c r="L5925" s="3">
        <v>13313</v>
      </c>
      <c r="M5925" s="3">
        <v>254285</v>
      </c>
      <c r="N5925" s="3">
        <v>72032</v>
      </c>
    </row>
    <row r="5926" spans="1:14" x14ac:dyDescent="0.2">
      <c r="A5926" s="5" t="str">
        <f>HYPERLINK("http://www.ncbi.nlm.nih.gov/protein/6755196","Psma4")</f>
        <v>Psma4</v>
      </c>
      <c r="B5926" s="4"/>
      <c r="C5926" s="3">
        <v>1190</v>
      </c>
      <c r="D5926" s="3">
        <v>7102</v>
      </c>
      <c r="E5926" s="3">
        <v>13710</v>
      </c>
      <c r="F5926" s="3">
        <v>260931</v>
      </c>
      <c r="G5926" s="3">
        <v>12841</v>
      </c>
      <c r="H5926" s="2">
        <f t="shared" si="184"/>
        <v>295774</v>
      </c>
      <c r="I5926" t="str">
        <f t="shared" si="185"/>
        <v>Psma4_295774</v>
      </c>
      <c r="J5926" s="3">
        <v>1190</v>
      </c>
      <c r="K5926" s="3">
        <v>7102</v>
      </c>
      <c r="L5926" s="3">
        <v>13710</v>
      </c>
      <c r="M5926" s="3">
        <v>260931</v>
      </c>
      <c r="N5926" s="3">
        <v>12841</v>
      </c>
    </row>
    <row r="5927" spans="1:14" x14ac:dyDescent="0.2">
      <c r="A5927" s="5" t="str">
        <f>HYPERLINK("http://www.ncbi.nlm.nih.gov/protein/7106387","Psma5")</f>
        <v>Psma5</v>
      </c>
      <c r="B5927" s="4"/>
      <c r="C5927" s="3">
        <v>2069</v>
      </c>
      <c r="D5927" s="3">
        <v>10154</v>
      </c>
      <c r="E5927" s="3">
        <v>13995</v>
      </c>
      <c r="F5927" s="3">
        <v>242121</v>
      </c>
      <c r="G5927" s="3">
        <v>43598</v>
      </c>
      <c r="H5927" s="2">
        <f t="shared" si="184"/>
        <v>311937</v>
      </c>
      <c r="I5927" t="str">
        <f t="shared" si="185"/>
        <v>Psma5_311937</v>
      </c>
      <c r="J5927" s="3">
        <v>2069</v>
      </c>
      <c r="K5927" s="3">
        <v>10154</v>
      </c>
      <c r="L5927" s="3">
        <v>13995</v>
      </c>
      <c r="M5927" s="3">
        <v>242121</v>
      </c>
      <c r="N5927" s="3">
        <v>43598</v>
      </c>
    </row>
    <row r="5928" spans="1:14" x14ac:dyDescent="0.2">
      <c r="A5928" s="5" t="str">
        <f>HYPERLINK("http://www.ncbi.nlm.nih.gov/protein/6755198","Psma6")</f>
        <v>Psma6</v>
      </c>
      <c r="B5928" s="4"/>
      <c r="C5928" s="3">
        <v>56291</v>
      </c>
      <c r="D5928" s="3">
        <v>17525</v>
      </c>
      <c r="E5928" s="3">
        <v>29964</v>
      </c>
      <c r="F5928" s="3">
        <v>477914</v>
      </c>
      <c r="G5928" s="3">
        <v>55957</v>
      </c>
      <c r="H5928" s="2">
        <f t="shared" si="184"/>
        <v>637651</v>
      </c>
      <c r="I5928" t="str">
        <f t="shared" si="185"/>
        <v>Psma6_637651</v>
      </c>
      <c r="J5928" s="3">
        <v>56291</v>
      </c>
      <c r="K5928" s="3">
        <v>17525</v>
      </c>
      <c r="L5928" s="3">
        <v>29964</v>
      </c>
      <c r="M5928" s="3">
        <v>477914</v>
      </c>
      <c r="N5928" s="3">
        <v>55957</v>
      </c>
    </row>
    <row r="5929" spans="1:14" x14ac:dyDescent="0.2">
      <c r="A5929" s="5" t="str">
        <f>HYPERLINK("http://www.ncbi.nlm.nih.gov/protein/7106389","Psma7")</f>
        <v>Psma7</v>
      </c>
      <c r="B5929" s="4"/>
      <c r="C5929" s="3">
        <v>16311</v>
      </c>
      <c r="D5929" s="3">
        <v>8507</v>
      </c>
      <c r="E5929" s="3">
        <v>23938</v>
      </c>
      <c r="F5929" s="3">
        <v>444206</v>
      </c>
      <c r="G5929" s="3">
        <v>36691</v>
      </c>
      <c r="H5929" s="2">
        <f t="shared" si="184"/>
        <v>529653</v>
      </c>
      <c r="I5929" t="str">
        <f t="shared" si="185"/>
        <v>Psma7_529653</v>
      </c>
      <c r="J5929" s="3">
        <v>16311</v>
      </c>
      <c r="K5929" s="3">
        <v>8507</v>
      </c>
      <c r="L5929" s="3">
        <v>23938</v>
      </c>
      <c r="M5929" s="3">
        <v>444206</v>
      </c>
      <c r="N5929" s="3">
        <v>36691</v>
      </c>
    </row>
    <row r="5930" spans="1:14" x14ac:dyDescent="0.2">
      <c r="A5930" s="5" t="str">
        <f>HYPERLINK("http://www.ncbi.nlm.nih.gov/protein/254692831","Psma8")</f>
        <v>Psma8</v>
      </c>
      <c r="B5930" s="4"/>
      <c r="C5930" s="3">
        <v>11148</v>
      </c>
      <c r="D5930" s="3">
        <v>3165</v>
      </c>
      <c r="E5930" s="3">
        <v>14046</v>
      </c>
      <c r="F5930" s="3">
        <v>41501</v>
      </c>
      <c r="G5930" s="3">
        <v>7507</v>
      </c>
      <c r="H5930" s="2">
        <f t="shared" si="184"/>
        <v>77367</v>
      </c>
      <c r="I5930" t="str">
        <f t="shared" si="185"/>
        <v>Psma8_77367</v>
      </c>
      <c r="J5930" s="3">
        <v>11148</v>
      </c>
      <c r="K5930" s="3">
        <v>3165</v>
      </c>
      <c r="L5930" s="3">
        <v>14046</v>
      </c>
      <c r="M5930" s="3">
        <v>41501</v>
      </c>
      <c r="N5930" s="3">
        <v>7507</v>
      </c>
    </row>
    <row r="5931" spans="1:14" x14ac:dyDescent="0.2">
      <c r="A5931" s="5" t="str">
        <f>HYPERLINK("http://www.ncbi.nlm.nih.gov/protein/7242197","Psmb1")</f>
        <v>Psmb1</v>
      </c>
      <c r="B5931" s="4"/>
      <c r="C5931" s="3">
        <v>7048</v>
      </c>
      <c r="D5931" s="3">
        <v>3313</v>
      </c>
      <c r="E5931" s="3">
        <v>11734</v>
      </c>
      <c r="F5931" s="3">
        <v>256069</v>
      </c>
      <c r="G5931" s="3">
        <v>30404</v>
      </c>
      <c r="H5931" s="2">
        <f t="shared" si="184"/>
        <v>308568</v>
      </c>
      <c r="I5931" t="str">
        <f t="shared" si="185"/>
        <v>Psmb1_308568</v>
      </c>
      <c r="J5931" s="3">
        <v>7048</v>
      </c>
      <c r="K5931" s="3">
        <v>3313</v>
      </c>
      <c r="L5931" s="3">
        <v>11734</v>
      </c>
      <c r="M5931" s="3">
        <v>256069</v>
      </c>
      <c r="N5931" s="3">
        <v>30404</v>
      </c>
    </row>
    <row r="5932" spans="1:14" x14ac:dyDescent="0.2">
      <c r="A5932" s="5" t="str">
        <f>HYPERLINK("http://www.ncbi.nlm.nih.gov/protein/227116345","Psmb2")</f>
        <v>Psmb2</v>
      </c>
      <c r="B5932" s="4"/>
      <c r="C5932" s="3">
        <v>10855</v>
      </c>
      <c r="D5932" s="3">
        <v>7133</v>
      </c>
      <c r="E5932" s="3">
        <v>15993</v>
      </c>
      <c r="F5932" s="3">
        <v>129373</v>
      </c>
      <c r="G5932" s="3">
        <v>19620</v>
      </c>
      <c r="H5932" s="2">
        <f t="shared" si="184"/>
        <v>182974</v>
      </c>
      <c r="I5932" t="str">
        <f t="shared" si="185"/>
        <v>Psmb2_182974</v>
      </c>
      <c r="J5932" s="3">
        <v>10855</v>
      </c>
      <c r="K5932" s="3">
        <v>7133</v>
      </c>
      <c r="L5932" s="3">
        <v>15993</v>
      </c>
      <c r="M5932" s="3">
        <v>129373</v>
      </c>
      <c r="N5932" s="3">
        <v>19620</v>
      </c>
    </row>
    <row r="5933" spans="1:14" x14ac:dyDescent="0.2">
      <c r="A5933" s="5" t="str">
        <f>HYPERLINK("http://www.ncbi.nlm.nih.gov/protein/6755202","Psmb3")</f>
        <v>Psmb3</v>
      </c>
      <c r="B5933" s="4"/>
      <c r="C5933" s="3">
        <v>23120</v>
      </c>
      <c r="D5933" s="3">
        <v>4722</v>
      </c>
      <c r="E5933" s="3">
        <v>5502</v>
      </c>
      <c r="F5933" s="3">
        <v>135987</v>
      </c>
      <c r="G5933" s="3">
        <v>10581</v>
      </c>
      <c r="H5933" s="2">
        <f t="shared" si="184"/>
        <v>179912</v>
      </c>
      <c r="I5933" t="str">
        <f t="shared" si="185"/>
        <v>Psmb3_179912</v>
      </c>
      <c r="J5933" s="3">
        <v>23120</v>
      </c>
      <c r="K5933" s="3">
        <v>4722</v>
      </c>
      <c r="L5933" s="3">
        <v>5502</v>
      </c>
      <c r="M5933" s="3">
        <v>135987</v>
      </c>
      <c r="N5933" s="3">
        <v>10581</v>
      </c>
    </row>
    <row r="5934" spans="1:14" x14ac:dyDescent="0.2">
      <c r="A5934" s="5" t="str">
        <f>HYPERLINK("http://www.ncbi.nlm.nih.gov/protein/254540082","Psmb4")</f>
        <v>Psmb4</v>
      </c>
      <c r="B5934" s="4"/>
      <c r="C5934" s="3">
        <v>0</v>
      </c>
      <c r="D5934" s="3">
        <v>480</v>
      </c>
      <c r="E5934" s="3">
        <v>2845</v>
      </c>
      <c r="F5934" s="3">
        <v>117275</v>
      </c>
      <c r="G5934" s="3">
        <v>9928</v>
      </c>
      <c r="H5934" s="2">
        <f t="shared" si="184"/>
        <v>130528</v>
      </c>
      <c r="I5934" t="str">
        <f t="shared" si="185"/>
        <v>Psmb4_130528</v>
      </c>
      <c r="J5934" s="3">
        <v>0</v>
      </c>
      <c r="K5934" s="3">
        <v>480</v>
      </c>
      <c r="L5934" s="3">
        <v>2845</v>
      </c>
      <c r="M5934" s="3">
        <v>117275</v>
      </c>
      <c r="N5934" s="3">
        <v>9928</v>
      </c>
    </row>
    <row r="5935" spans="1:14" x14ac:dyDescent="0.2">
      <c r="A5935" s="5" t="str">
        <f>HYPERLINK("http://www.ncbi.nlm.nih.gov/protein/6755204","Psmb5")</f>
        <v>Psmb5</v>
      </c>
      <c r="B5935" s="4"/>
      <c r="C5935" s="3">
        <v>35422</v>
      </c>
      <c r="D5935" s="3">
        <v>10321</v>
      </c>
      <c r="E5935" s="3">
        <v>44040</v>
      </c>
      <c r="F5935" s="3">
        <v>500613</v>
      </c>
      <c r="G5935" s="3">
        <v>45055</v>
      </c>
      <c r="H5935" s="2">
        <f t="shared" si="184"/>
        <v>635451</v>
      </c>
      <c r="I5935" t="str">
        <f t="shared" si="185"/>
        <v>Psmb5_635451</v>
      </c>
      <c r="J5935" s="3">
        <v>35422</v>
      </c>
      <c r="K5935" s="3">
        <v>10321</v>
      </c>
      <c r="L5935" s="3">
        <v>44040</v>
      </c>
      <c r="M5935" s="3">
        <v>500613</v>
      </c>
      <c r="N5935" s="3">
        <v>45055</v>
      </c>
    </row>
    <row r="5936" spans="1:14" x14ac:dyDescent="0.2">
      <c r="A5936" s="5" t="str">
        <f>HYPERLINK("http://www.ncbi.nlm.nih.gov/protein/238231384","Psmb6")</f>
        <v>Psmb6</v>
      </c>
      <c r="B5936" s="4"/>
      <c r="C5936" s="3">
        <v>58250</v>
      </c>
      <c r="D5936" s="3">
        <v>6455</v>
      </c>
      <c r="E5936" s="3">
        <v>20936</v>
      </c>
      <c r="F5936" s="3">
        <v>249070</v>
      </c>
      <c r="G5936" s="3">
        <v>35084</v>
      </c>
      <c r="H5936" s="2">
        <f t="shared" si="184"/>
        <v>369795</v>
      </c>
      <c r="I5936" t="str">
        <f t="shared" si="185"/>
        <v>Psmb6_369795</v>
      </c>
      <c r="J5936" s="3">
        <v>58250</v>
      </c>
      <c r="K5936" s="3">
        <v>6455</v>
      </c>
      <c r="L5936" s="3">
        <v>20936</v>
      </c>
      <c r="M5936" s="3">
        <v>249070</v>
      </c>
      <c r="N5936" s="3">
        <v>35084</v>
      </c>
    </row>
    <row r="5937" spans="1:14" x14ac:dyDescent="0.2">
      <c r="A5937" s="5" t="str">
        <f>HYPERLINK("http://www.ncbi.nlm.nih.gov/protein/6755206","Psmb7")</f>
        <v>Psmb7</v>
      </c>
      <c r="B5937" s="4"/>
      <c r="C5937" s="3">
        <v>0</v>
      </c>
      <c r="D5937" s="3">
        <v>357</v>
      </c>
      <c r="E5937" s="3">
        <v>3177</v>
      </c>
      <c r="F5937" s="3">
        <v>88862</v>
      </c>
      <c r="G5937" s="3">
        <v>386</v>
      </c>
      <c r="H5937" s="2">
        <f t="shared" si="184"/>
        <v>92782</v>
      </c>
      <c r="I5937" t="str">
        <f t="shared" si="185"/>
        <v>Psmb7_92782</v>
      </c>
      <c r="J5937" s="3">
        <v>0</v>
      </c>
      <c r="K5937" s="3">
        <v>357</v>
      </c>
      <c r="L5937" s="3">
        <v>3177</v>
      </c>
      <c r="M5937" s="3">
        <v>88862</v>
      </c>
      <c r="N5937" s="3">
        <v>386</v>
      </c>
    </row>
    <row r="5938" spans="1:14" x14ac:dyDescent="0.2">
      <c r="A5938" s="5" t="str">
        <f>HYPERLINK("http://www.ncbi.nlm.nih.gov/protein/158303322","Psmb8")</f>
        <v>Psmb8</v>
      </c>
      <c r="B5938" s="4"/>
      <c r="C5938" s="3">
        <v>0</v>
      </c>
      <c r="D5938" s="3">
        <v>184</v>
      </c>
      <c r="E5938" s="3">
        <v>0</v>
      </c>
      <c r="F5938" s="3">
        <v>0</v>
      </c>
      <c r="G5938" s="3">
        <v>0</v>
      </c>
      <c r="H5938" s="2">
        <f t="shared" si="184"/>
        <v>184</v>
      </c>
      <c r="I5938" t="str">
        <f t="shared" si="185"/>
        <v>Psmb8_184</v>
      </c>
      <c r="J5938" s="3">
        <v>0</v>
      </c>
      <c r="K5938" s="3">
        <v>184</v>
      </c>
      <c r="L5938" s="3">
        <v>0</v>
      </c>
      <c r="M5938" s="3">
        <v>0</v>
      </c>
      <c r="N5938" s="3">
        <v>0</v>
      </c>
    </row>
    <row r="5939" spans="1:14" x14ac:dyDescent="0.2">
      <c r="A5939" s="5" t="str">
        <f>HYPERLINK("http://www.ncbi.nlm.nih.gov/protein/6679501","Psmc1")</f>
        <v>Psmc1</v>
      </c>
      <c r="B5939" s="4"/>
      <c r="C5939" s="3">
        <v>2874</v>
      </c>
      <c r="D5939" s="3">
        <v>7135</v>
      </c>
      <c r="E5939" s="3">
        <v>22943</v>
      </c>
      <c r="F5939" s="3">
        <v>312598</v>
      </c>
      <c r="G5939" s="3">
        <v>16000</v>
      </c>
      <c r="H5939" s="2">
        <f t="shared" si="184"/>
        <v>361550</v>
      </c>
      <c r="I5939" t="str">
        <f t="shared" si="185"/>
        <v>Psmc1_361550</v>
      </c>
      <c r="J5939" s="3">
        <v>2874</v>
      </c>
      <c r="K5939" s="3">
        <v>7135</v>
      </c>
      <c r="L5939" s="3">
        <v>22943</v>
      </c>
      <c r="M5939" s="3">
        <v>312598</v>
      </c>
      <c r="N5939" s="3">
        <v>16000</v>
      </c>
    </row>
    <row r="5940" spans="1:14" x14ac:dyDescent="0.2">
      <c r="A5940" s="5" t="str">
        <f>HYPERLINK("http://www.ncbi.nlm.nih.gov/protein/33859604","Psmc2")</f>
        <v>Psmc2</v>
      </c>
      <c r="B5940" s="4"/>
      <c r="C5940" s="3">
        <v>0</v>
      </c>
      <c r="D5940" s="3">
        <v>10260</v>
      </c>
      <c r="E5940" s="3">
        <v>21623</v>
      </c>
      <c r="F5940" s="3">
        <v>403802</v>
      </c>
      <c r="G5940" s="3">
        <v>45922</v>
      </c>
      <c r="H5940" s="2">
        <f t="shared" si="184"/>
        <v>481607</v>
      </c>
      <c r="I5940" t="str">
        <f t="shared" si="185"/>
        <v>Psmc2_481607</v>
      </c>
      <c r="J5940" s="3">
        <v>0</v>
      </c>
      <c r="K5940" s="3">
        <v>10260</v>
      </c>
      <c r="L5940" s="3">
        <v>21623</v>
      </c>
      <c r="M5940" s="3">
        <v>403802</v>
      </c>
      <c r="N5940" s="3">
        <v>45922</v>
      </c>
    </row>
    <row r="5941" spans="1:14" x14ac:dyDescent="0.2">
      <c r="A5941" s="5" t="str">
        <f>HYPERLINK("http://www.ncbi.nlm.nih.gov/protein/228008337","Psmc3")</f>
        <v>Psmc3</v>
      </c>
      <c r="B5941" s="4"/>
      <c r="C5941" s="3">
        <v>7743</v>
      </c>
      <c r="D5941" s="3">
        <v>2136</v>
      </c>
      <c r="E5941" s="3">
        <v>9349</v>
      </c>
      <c r="F5941" s="3">
        <v>480353</v>
      </c>
      <c r="G5941" s="3">
        <v>16503</v>
      </c>
      <c r="H5941" s="2">
        <f t="shared" si="184"/>
        <v>516084</v>
      </c>
      <c r="I5941" t="str">
        <f t="shared" si="185"/>
        <v>Psmc3_516084</v>
      </c>
      <c r="J5941" s="3">
        <v>7743</v>
      </c>
      <c r="K5941" s="3">
        <v>2136</v>
      </c>
      <c r="L5941" s="3">
        <v>9349</v>
      </c>
      <c r="M5941" s="3">
        <v>480353</v>
      </c>
      <c r="N5941" s="3">
        <v>16503</v>
      </c>
    </row>
    <row r="5942" spans="1:14" x14ac:dyDescent="0.2">
      <c r="A5942" s="5" t="str">
        <f>HYPERLINK("http://www.ncbi.nlm.nih.gov/protein/124248577","Psmc4")</f>
        <v>Psmc4</v>
      </c>
      <c r="B5942" s="4"/>
      <c r="C5942" s="3">
        <v>860</v>
      </c>
      <c r="D5942" s="3">
        <v>2148</v>
      </c>
      <c r="E5942" s="3">
        <v>7917</v>
      </c>
      <c r="F5942" s="3">
        <v>130691</v>
      </c>
      <c r="G5942" s="3">
        <v>471</v>
      </c>
      <c r="H5942" s="2">
        <f t="shared" si="184"/>
        <v>142087</v>
      </c>
      <c r="I5942" t="str">
        <f t="shared" si="185"/>
        <v>Psmc4_142087</v>
      </c>
      <c r="J5942" s="3">
        <v>860</v>
      </c>
      <c r="K5942" s="3">
        <v>2148</v>
      </c>
      <c r="L5942" s="3">
        <v>7917</v>
      </c>
      <c r="M5942" s="3">
        <v>130691</v>
      </c>
      <c r="N5942" s="3">
        <v>471</v>
      </c>
    </row>
    <row r="5943" spans="1:14" x14ac:dyDescent="0.2">
      <c r="A5943" s="5" t="str">
        <f>HYPERLINK("http://www.ncbi.nlm.nih.gov/protein/7110703","Psmc5")</f>
        <v>Psmc5</v>
      </c>
      <c r="B5943" s="4"/>
      <c r="C5943" s="3">
        <v>20301</v>
      </c>
      <c r="D5943" s="3">
        <v>8319</v>
      </c>
      <c r="E5943" s="3">
        <v>11351</v>
      </c>
      <c r="F5943" s="3">
        <v>245362</v>
      </c>
      <c r="G5943" s="3">
        <v>26902</v>
      </c>
      <c r="H5943" s="2">
        <f t="shared" si="184"/>
        <v>312235</v>
      </c>
      <c r="I5943" t="str">
        <f t="shared" si="185"/>
        <v>Psmc5_312235</v>
      </c>
      <c r="J5943" s="3">
        <v>20301</v>
      </c>
      <c r="K5943" s="3">
        <v>8319</v>
      </c>
      <c r="L5943" s="3">
        <v>11351</v>
      </c>
      <c r="M5943" s="3">
        <v>245362</v>
      </c>
      <c r="N5943" s="3">
        <v>26902</v>
      </c>
    </row>
    <row r="5944" spans="1:14" x14ac:dyDescent="0.2">
      <c r="A5944" s="5" t="str">
        <f>HYPERLINK("http://www.ncbi.nlm.nih.gov/protein/27754103","Psmc6")</f>
        <v>Psmc6</v>
      </c>
      <c r="B5944" s="4"/>
      <c r="C5944" s="3">
        <v>9263</v>
      </c>
      <c r="D5944" s="3">
        <v>1925</v>
      </c>
      <c r="E5944" s="3">
        <v>9156</v>
      </c>
      <c r="F5944" s="3">
        <v>412004</v>
      </c>
      <c r="G5944" s="3">
        <v>21805</v>
      </c>
      <c r="H5944" s="2">
        <f t="shared" si="184"/>
        <v>454153</v>
      </c>
      <c r="I5944" t="str">
        <f t="shared" si="185"/>
        <v>Psmc6_454153</v>
      </c>
      <c r="J5944" s="3">
        <v>9263</v>
      </c>
      <c r="K5944" s="3">
        <v>1925</v>
      </c>
      <c r="L5944" s="3">
        <v>9156</v>
      </c>
      <c r="M5944" s="3">
        <v>412004</v>
      </c>
      <c r="N5944" s="3">
        <v>21805</v>
      </c>
    </row>
    <row r="5945" spans="1:14" x14ac:dyDescent="0.2">
      <c r="A5945" s="5" t="str">
        <f>HYPERLINK("http://www.ncbi.nlm.nih.gov/protein/74315975","Psmd1")</f>
        <v>Psmd1</v>
      </c>
      <c r="B5945" s="4"/>
      <c r="C5945" s="3">
        <v>4778</v>
      </c>
      <c r="D5945" s="3">
        <v>40</v>
      </c>
      <c r="E5945" s="3">
        <v>19074</v>
      </c>
      <c r="F5945" s="3">
        <v>532864</v>
      </c>
      <c r="G5945" s="3">
        <v>27995</v>
      </c>
      <c r="H5945" s="2">
        <f t="shared" si="184"/>
        <v>584751</v>
      </c>
      <c r="I5945" t="str">
        <f t="shared" si="185"/>
        <v>Psmd1_584751</v>
      </c>
      <c r="J5945" s="3">
        <v>4778</v>
      </c>
      <c r="K5945" s="3">
        <v>40</v>
      </c>
      <c r="L5945" s="3">
        <v>19074</v>
      </c>
      <c r="M5945" s="3">
        <v>532864</v>
      </c>
      <c r="N5945" s="3">
        <v>27995</v>
      </c>
    </row>
    <row r="5946" spans="1:14" x14ac:dyDescent="0.2">
      <c r="A5946" s="5" t="str">
        <f>HYPERLINK("http://www.ncbi.nlm.nih.gov/protein/255958245","Psmd10")</f>
        <v>Psmd10</v>
      </c>
      <c r="B5946" s="4"/>
      <c r="C5946" s="3">
        <v>0</v>
      </c>
      <c r="D5946" s="3">
        <v>188</v>
      </c>
      <c r="E5946" s="3">
        <v>4</v>
      </c>
      <c r="F5946" s="3">
        <v>1244</v>
      </c>
      <c r="G5946" s="3">
        <v>0</v>
      </c>
      <c r="H5946" s="2">
        <f t="shared" si="184"/>
        <v>1436</v>
      </c>
      <c r="I5946" t="str">
        <f t="shared" si="185"/>
        <v>Psmd10_1436</v>
      </c>
      <c r="J5946" s="3">
        <v>0</v>
      </c>
      <c r="K5946" s="3">
        <v>188</v>
      </c>
      <c r="L5946" s="3">
        <v>4</v>
      </c>
      <c r="M5946" s="3">
        <v>1244</v>
      </c>
      <c r="N5946" s="3">
        <v>0</v>
      </c>
    </row>
    <row r="5947" spans="1:14" x14ac:dyDescent="0.2">
      <c r="A5947" s="5" t="str">
        <f>HYPERLINK("http://www.ncbi.nlm.nih.gov/protein/31980811","Psmd10")</f>
        <v>Psmd10</v>
      </c>
      <c r="B5947" s="4"/>
      <c r="C5947" s="3">
        <v>0</v>
      </c>
      <c r="D5947" s="3">
        <v>188</v>
      </c>
      <c r="E5947" s="3">
        <v>120</v>
      </c>
      <c r="F5947" s="3">
        <v>6892</v>
      </c>
      <c r="G5947" s="3">
        <v>1692</v>
      </c>
      <c r="H5947" s="2">
        <f t="shared" si="184"/>
        <v>8892</v>
      </c>
      <c r="I5947" t="str">
        <f t="shared" si="185"/>
        <v>Psmd10_8892</v>
      </c>
      <c r="J5947" s="3">
        <v>0</v>
      </c>
      <c r="K5947" s="3">
        <v>188</v>
      </c>
      <c r="L5947" s="3">
        <v>120</v>
      </c>
      <c r="M5947" s="3">
        <v>6892</v>
      </c>
      <c r="N5947" s="3">
        <v>1692</v>
      </c>
    </row>
    <row r="5948" spans="1:14" x14ac:dyDescent="0.2">
      <c r="A5948" s="5" t="str">
        <f>HYPERLINK("http://www.ncbi.nlm.nih.gov/protein/134053905","Psmd11")</f>
        <v>Psmd11</v>
      </c>
      <c r="B5948" s="4"/>
      <c r="C5948" s="3">
        <v>0</v>
      </c>
      <c r="D5948" s="3">
        <v>14120</v>
      </c>
      <c r="E5948" s="3">
        <v>20623</v>
      </c>
      <c r="F5948" s="3">
        <v>348738</v>
      </c>
      <c r="G5948" s="3">
        <v>38008</v>
      </c>
      <c r="H5948" s="2">
        <f t="shared" si="184"/>
        <v>421489</v>
      </c>
      <c r="I5948" t="str">
        <f t="shared" si="185"/>
        <v>Psmd11_421489</v>
      </c>
      <c r="J5948" s="3">
        <v>0</v>
      </c>
      <c r="K5948" s="3">
        <v>14120</v>
      </c>
      <c r="L5948" s="3">
        <v>20623</v>
      </c>
      <c r="M5948" s="3">
        <v>348738</v>
      </c>
      <c r="N5948" s="3">
        <v>38008</v>
      </c>
    </row>
    <row r="5949" spans="1:14" x14ac:dyDescent="0.2">
      <c r="A5949" s="5" t="str">
        <f>HYPERLINK("http://www.ncbi.nlm.nih.gov/protein/13385384","Psmd12")</f>
        <v>Psmd12</v>
      </c>
      <c r="B5949" s="4"/>
      <c r="C5949" s="3">
        <v>366</v>
      </c>
      <c r="D5949" s="3">
        <v>11878</v>
      </c>
      <c r="E5949" s="3">
        <v>14579</v>
      </c>
      <c r="F5949" s="3">
        <v>273488</v>
      </c>
      <c r="G5949" s="3">
        <v>26859</v>
      </c>
      <c r="H5949" s="2">
        <f t="shared" si="184"/>
        <v>327170</v>
      </c>
      <c r="I5949" t="str">
        <f t="shared" si="185"/>
        <v>Psmd12_327170</v>
      </c>
      <c r="J5949" s="3">
        <v>366</v>
      </c>
      <c r="K5949" s="3">
        <v>11878</v>
      </c>
      <c r="L5949" s="3">
        <v>14579</v>
      </c>
      <c r="M5949" s="3">
        <v>273488</v>
      </c>
      <c r="N5949" s="3">
        <v>26859</v>
      </c>
    </row>
    <row r="5950" spans="1:14" x14ac:dyDescent="0.2">
      <c r="A5950" s="5" t="str">
        <f>HYPERLINK("http://www.ncbi.nlm.nih.gov/protein/6755210","Psmd13")</f>
        <v>Psmd13</v>
      </c>
      <c r="B5950" s="4"/>
      <c r="C5950" s="3">
        <v>0</v>
      </c>
      <c r="D5950" s="3">
        <v>48</v>
      </c>
      <c r="E5950" s="3">
        <v>13568</v>
      </c>
      <c r="F5950" s="3">
        <v>408230</v>
      </c>
      <c r="G5950" s="3">
        <v>31293</v>
      </c>
      <c r="H5950" s="2">
        <f t="shared" si="184"/>
        <v>453139</v>
      </c>
      <c r="I5950" t="str">
        <f t="shared" si="185"/>
        <v>Psmd13_453139</v>
      </c>
      <c r="J5950" s="3">
        <v>0</v>
      </c>
      <c r="K5950" s="3">
        <v>48</v>
      </c>
      <c r="L5950" s="3">
        <v>13568</v>
      </c>
      <c r="M5950" s="3">
        <v>408230</v>
      </c>
      <c r="N5950" s="3">
        <v>31293</v>
      </c>
    </row>
    <row r="5951" spans="1:14" x14ac:dyDescent="0.2">
      <c r="A5951" s="5" t="str">
        <f>HYPERLINK("http://www.ncbi.nlm.nih.gov/protein/145966883","Psmd14")</f>
        <v>Psmd14</v>
      </c>
      <c r="B5951" s="4"/>
      <c r="C5951" s="3">
        <v>1300</v>
      </c>
      <c r="D5951" s="3">
        <v>923</v>
      </c>
      <c r="E5951" s="3">
        <v>4405</v>
      </c>
      <c r="F5951" s="3">
        <v>58429</v>
      </c>
      <c r="G5951" s="3">
        <v>0</v>
      </c>
      <c r="H5951" s="2">
        <f t="shared" si="184"/>
        <v>65057</v>
      </c>
      <c r="I5951" t="str">
        <f t="shared" si="185"/>
        <v>Psmd14_65057</v>
      </c>
      <c r="J5951" s="3">
        <v>1300</v>
      </c>
      <c r="K5951" s="3">
        <v>923</v>
      </c>
      <c r="L5951" s="3">
        <v>4405</v>
      </c>
      <c r="M5951" s="3">
        <v>58429</v>
      </c>
      <c r="N5951" s="3">
        <v>0</v>
      </c>
    </row>
    <row r="5952" spans="1:14" x14ac:dyDescent="0.2">
      <c r="A5952" s="5" t="str">
        <f>HYPERLINK("http://www.ncbi.nlm.nih.gov/protein/19882201","Psmd2")</f>
        <v>Psmd2</v>
      </c>
      <c r="B5952" s="4"/>
      <c r="C5952" s="3">
        <v>5107</v>
      </c>
      <c r="D5952" s="3">
        <v>1866</v>
      </c>
      <c r="E5952" s="3">
        <v>21820</v>
      </c>
      <c r="F5952" s="3">
        <v>493008</v>
      </c>
      <c r="G5952" s="3">
        <v>16268</v>
      </c>
      <c r="H5952" s="2">
        <f t="shared" si="184"/>
        <v>538069</v>
      </c>
      <c r="I5952" t="str">
        <f t="shared" si="185"/>
        <v>Psmd2_538069</v>
      </c>
      <c r="J5952" s="3">
        <v>5107</v>
      </c>
      <c r="K5952" s="3">
        <v>1866</v>
      </c>
      <c r="L5952" s="3">
        <v>21820</v>
      </c>
      <c r="M5952" s="3">
        <v>493008</v>
      </c>
      <c r="N5952" s="3">
        <v>16268</v>
      </c>
    </row>
    <row r="5953" spans="1:14" x14ac:dyDescent="0.2">
      <c r="A5953" s="5" t="str">
        <f>HYPERLINK("http://www.ncbi.nlm.nih.gov/protein/19705424","Psmd3")</f>
        <v>Psmd3</v>
      </c>
      <c r="B5953" s="4"/>
      <c r="C5953" s="3">
        <v>5437</v>
      </c>
      <c r="D5953" s="3">
        <v>286</v>
      </c>
      <c r="E5953" s="3">
        <v>25769</v>
      </c>
      <c r="F5953" s="3">
        <v>704875</v>
      </c>
      <c r="G5953" s="3">
        <v>7165</v>
      </c>
      <c r="H5953" s="2">
        <f t="shared" si="184"/>
        <v>743532</v>
      </c>
      <c r="I5953" t="str">
        <f t="shared" si="185"/>
        <v>Psmd3_743532</v>
      </c>
      <c r="J5953" s="3">
        <v>5437</v>
      </c>
      <c r="K5953" s="3">
        <v>286</v>
      </c>
      <c r="L5953" s="3">
        <v>25769</v>
      </c>
      <c r="M5953" s="3">
        <v>704875</v>
      </c>
      <c r="N5953" s="3">
        <v>7165</v>
      </c>
    </row>
    <row r="5954" spans="1:14" x14ac:dyDescent="0.2">
      <c r="A5954" s="5" t="str">
        <f>HYPERLINK("http://www.ncbi.nlm.nih.gov/protein/6679505","Psmd4")</f>
        <v>Psmd4</v>
      </c>
      <c r="B5954" s="4"/>
      <c r="C5954" s="3">
        <v>0</v>
      </c>
      <c r="D5954" s="3">
        <v>2156</v>
      </c>
      <c r="E5954" s="3">
        <v>5906</v>
      </c>
      <c r="F5954" s="3">
        <v>134268</v>
      </c>
      <c r="G5954" s="3">
        <v>38961</v>
      </c>
      <c r="H5954" s="2">
        <f t="shared" ref="H5954:H6017" si="186">SUM(C5954:G5954)</f>
        <v>181291</v>
      </c>
      <c r="I5954" t="str">
        <f t="shared" ref="I5954:I6017" si="187">A5954&amp;"_"&amp;H5954</f>
        <v>Psmd4_181291</v>
      </c>
      <c r="J5954" s="3">
        <v>0</v>
      </c>
      <c r="K5954" s="3">
        <v>2156</v>
      </c>
      <c r="L5954" s="3">
        <v>5906</v>
      </c>
      <c r="M5954" s="3">
        <v>134268</v>
      </c>
      <c r="N5954" s="3">
        <v>38961</v>
      </c>
    </row>
    <row r="5955" spans="1:14" x14ac:dyDescent="0.2">
      <c r="A5955" s="5" t="str">
        <f>HYPERLINK("http://www.ncbi.nlm.nih.gov/protein/134053913","Psmd5")</f>
        <v>Psmd5</v>
      </c>
      <c r="B5955" s="4"/>
      <c r="C5955" s="3">
        <v>0</v>
      </c>
      <c r="D5955" s="3">
        <v>4889</v>
      </c>
      <c r="E5955" s="3">
        <v>12548</v>
      </c>
      <c r="F5955" s="3">
        <v>247744</v>
      </c>
      <c r="G5955" s="3">
        <v>36734</v>
      </c>
      <c r="H5955" s="2">
        <f t="shared" si="186"/>
        <v>301915</v>
      </c>
      <c r="I5955" t="str">
        <f t="shared" si="187"/>
        <v>Psmd5_301915</v>
      </c>
      <c r="J5955" s="3">
        <v>0</v>
      </c>
      <c r="K5955" s="3">
        <v>4889</v>
      </c>
      <c r="L5955" s="3">
        <v>12548</v>
      </c>
      <c r="M5955" s="3">
        <v>247744</v>
      </c>
      <c r="N5955" s="3">
        <v>36734</v>
      </c>
    </row>
    <row r="5956" spans="1:14" x14ac:dyDescent="0.2">
      <c r="A5956" s="5" t="str">
        <f>HYPERLINK("http://www.ncbi.nlm.nih.gov/protein/46049022","Psmd6")</f>
        <v>Psmd6</v>
      </c>
      <c r="B5956" s="4"/>
      <c r="C5956" s="3">
        <v>5016</v>
      </c>
      <c r="D5956" s="3">
        <v>9062</v>
      </c>
      <c r="E5956" s="3">
        <v>17447</v>
      </c>
      <c r="F5956" s="3">
        <v>425748</v>
      </c>
      <c r="G5956" s="3">
        <v>10913</v>
      </c>
      <c r="H5956" s="2">
        <f t="shared" si="186"/>
        <v>468186</v>
      </c>
      <c r="I5956" t="str">
        <f t="shared" si="187"/>
        <v>Psmd6_468186</v>
      </c>
      <c r="J5956" s="3">
        <v>5016</v>
      </c>
      <c r="K5956" s="3">
        <v>9062</v>
      </c>
      <c r="L5956" s="3">
        <v>17447</v>
      </c>
      <c r="M5956" s="3">
        <v>425748</v>
      </c>
      <c r="N5956" s="3">
        <v>10913</v>
      </c>
    </row>
    <row r="5957" spans="1:14" x14ac:dyDescent="0.2">
      <c r="A5957" s="5" t="str">
        <f>HYPERLINK("http://www.ncbi.nlm.nih.gov/protein/6754724","Psmd7")</f>
        <v>Psmd7</v>
      </c>
      <c r="B5957" s="4"/>
      <c r="C5957" s="3">
        <v>1062</v>
      </c>
      <c r="D5957" s="3">
        <v>4678</v>
      </c>
      <c r="E5957" s="3">
        <v>7224</v>
      </c>
      <c r="F5957" s="3">
        <v>189733</v>
      </c>
      <c r="G5957" s="3">
        <v>9735</v>
      </c>
      <c r="H5957" s="2">
        <f t="shared" si="186"/>
        <v>212432</v>
      </c>
      <c r="I5957" t="str">
        <f t="shared" si="187"/>
        <v>Psmd7_212432</v>
      </c>
      <c r="J5957" s="3">
        <v>1062</v>
      </c>
      <c r="K5957" s="3">
        <v>4678</v>
      </c>
      <c r="L5957" s="3">
        <v>7224</v>
      </c>
      <c r="M5957" s="3">
        <v>189733</v>
      </c>
      <c r="N5957" s="3">
        <v>9735</v>
      </c>
    </row>
    <row r="5958" spans="1:14" x14ac:dyDescent="0.2">
      <c r="A5958" s="5" t="str">
        <f>HYPERLINK("http://www.ncbi.nlm.nih.gov/protein/156713423","Psmd8")</f>
        <v>Psmd8</v>
      </c>
      <c r="B5958" s="4"/>
      <c r="C5958" s="3">
        <v>0</v>
      </c>
      <c r="D5958" s="3">
        <v>0</v>
      </c>
      <c r="E5958" s="3">
        <v>1844</v>
      </c>
      <c r="F5958" s="3">
        <v>228737</v>
      </c>
      <c r="G5958" s="3">
        <v>4798</v>
      </c>
      <c r="H5958" s="2">
        <f t="shared" si="186"/>
        <v>235379</v>
      </c>
      <c r="I5958" t="str">
        <f t="shared" si="187"/>
        <v>Psmd8_235379</v>
      </c>
      <c r="J5958" s="3">
        <v>0</v>
      </c>
      <c r="K5958" s="3">
        <v>0</v>
      </c>
      <c r="L5958" s="3">
        <v>1844</v>
      </c>
      <c r="M5958" s="3">
        <v>228737</v>
      </c>
      <c r="N5958" s="3">
        <v>4798</v>
      </c>
    </row>
    <row r="5959" spans="1:14" x14ac:dyDescent="0.2">
      <c r="A5959" s="5" t="str">
        <f>HYPERLINK("http://www.ncbi.nlm.nih.gov/protein/119508441","Psmd9")</f>
        <v>Psmd9</v>
      </c>
      <c r="B5959" s="4"/>
      <c r="C5959" s="3">
        <v>0</v>
      </c>
      <c r="D5959" s="3">
        <v>0</v>
      </c>
      <c r="E5959" s="3">
        <v>0</v>
      </c>
      <c r="F5959" s="3">
        <v>10993</v>
      </c>
      <c r="G5959" s="3">
        <v>43341</v>
      </c>
      <c r="H5959" s="2">
        <f t="shared" si="186"/>
        <v>54334</v>
      </c>
      <c r="I5959" t="str">
        <f t="shared" si="187"/>
        <v>Psmd9_54334</v>
      </c>
      <c r="J5959" s="3">
        <v>0</v>
      </c>
      <c r="K5959" s="3">
        <v>0</v>
      </c>
      <c r="L5959" s="3">
        <v>0</v>
      </c>
      <c r="M5959" s="3">
        <v>10993</v>
      </c>
      <c r="N5959" s="3">
        <v>43341</v>
      </c>
    </row>
    <row r="5960" spans="1:14" x14ac:dyDescent="0.2">
      <c r="A5960" s="5" t="str">
        <f>HYPERLINK("http://www.ncbi.nlm.nih.gov/protein/6755212","Psme1")</f>
        <v>Psme1</v>
      </c>
      <c r="B5960" s="4"/>
      <c r="C5960" s="3">
        <v>915</v>
      </c>
      <c r="D5960" s="3">
        <v>19660</v>
      </c>
      <c r="E5960" s="3">
        <v>14184</v>
      </c>
      <c r="F5960" s="3">
        <v>143992</v>
      </c>
      <c r="G5960" s="3">
        <v>181098</v>
      </c>
      <c r="H5960" s="2">
        <f t="shared" si="186"/>
        <v>359849</v>
      </c>
      <c r="I5960" t="str">
        <f t="shared" si="187"/>
        <v>Psme1_359849</v>
      </c>
      <c r="J5960" s="3">
        <v>915</v>
      </c>
      <c r="K5960" s="3">
        <v>19660</v>
      </c>
      <c r="L5960" s="3">
        <v>14184</v>
      </c>
      <c r="M5960" s="3">
        <v>143992</v>
      </c>
      <c r="N5960" s="3">
        <v>181098</v>
      </c>
    </row>
    <row r="5961" spans="1:14" x14ac:dyDescent="0.2">
      <c r="A5961" s="5" t="str">
        <f>HYPERLINK("http://www.ncbi.nlm.nih.gov/protein/20137004","Psme2")</f>
        <v>Psme2</v>
      </c>
      <c r="B5961" s="4"/>
      <c r="C5961" s="3">
        <v>0</v>
      </c>
      <c r="D5961" s="3">
        <v>6244</v>
      </c>
      <c r="E5961" s="3">
        <v>9513</v>
      </c>
      <c r="F5961" s="3">
        <v>82068</v>
      </c>
      <c r="G5961" s="3">
        <v>70758</v>
      </c>
      <c r="H5961" s="2">
        <f t="shared" si="186"/>
        <v>168583</v>
      </c>
      <c r="I5961" t="str">
        <f t="shared" si="187"/>
        <v>Psme2_168583</v>
      </c>
      <c r="J5961" s="3">
        <v>0</v>
      </c>
      <c r="K5961" s="3">
        <v>6244</v>
      </c>
      <c r="L5961" s="3">
        <v>9513</v>
      </c>
      <c r="M5961" s="3">
        <v>82068</v>
      </c>
      <c r="N5961" s="3">
        <v>70758</v>
      </c>
    </row>
    <row r="5962" spans="1:14" x14ac:dyDescent="0.2">
      <c r="A5962" s="5" t="str">
        <f>HYPERLINK("http://www.ncbi.nlm.nih.gov/protein/71725358","Psme2")</f>
        <v>Psme2</v>
      </c>
      <c r="B5962" s="4"/>
      <c r="C5962" s="3">
        <v>55</v>
      </c>
      <c r="D5962" s="3">
        <v>6244</v>
      </c>
      <c r="E5962" s="3">
        <v>9513</v>
      </c>
      <c r="F5962" s="3">
        <v>82068</v>
      </c>
      <c r="G5962" s="3">
        <v>70758</v>
      </c>
      <c r="H5962" s="2">
        <f t="shared" si="186"/>
        <v>168638</v>
      </c>
      <c r="I5962" t="str">
        <f t="shared" si="187"/>
        <v>Psme2_168638</v>
      </c>
      <c r="J5962" s="3">
        <v>55</v>
      </c>
      <c r="K5962" s="3">
        <v>6244</v>
      </c>
      <c r="L5962" s="3">
        <v>9513</v>
      </c>
      <c r="M5962" s="3">
        <v>82068</v>
      </c>
      <c r="N5962" s="3">
        <v>70758</v>
      </c>
    </row>
    <row r="5963" spans="1:14" x14ac:dyDescent="0.2">
      <c r="A5963" s="5" t="str">
        <f>HYPERLINK("http://www.ncbi.nlm.nih.gov/protein/527317390","Psme2b")</f>
        <v>Psme2b</v>
      </c>
      <c r="B5963" s="4"/>
      <c r="C5963" s="3">
        <v>55</v>
      </c>
      <c r="D5963" s="3">
        <v>0</v>
      </c>
      <c r="E5963" s="3">
        <v>0</v>
      </c>
      <c r="F5963" s="3">
        <v>0</v>
      </c>
      <c r="G5963" s="3">
        <v>0</v>
      </c>
      <c r="H5963" s="2">
        <f t="shared" si="186"/>
        <v>55</v>
      </c>
      <c r="I5963" t="str">
        <f t="shared" si="187"/>
        <v>Psme2b_55</v>
      </c>
      <c r="J5963" s="3">
        <v>55</v>
      </c>
      <c r="K5963" s="3">
        <v>0</v>
      </c>
      <c r="L5963" s="3">
        <v>0</v>
      </c>
      <c r="M5963" s="3">
        <v>0</v>
      </c>
      <c r="N5963" s="3">
        <v>0</v>
      </c>
    </row>
    <row r="5964" spans="1:14" x14ac:dyDescent="0.2">
      <c r="A5964" s="5" t="str">
        <f>HYPERLINK("http://www.ncbi.nlm.nih.gov/protein/6755214","Psme3")</f>
        <v>Psme3</v>
      </c>
      <c r="B5964" s="4"/>
      <c r="C5964" s="3">
        <v>0</v>
      </c>
      <c r="D5964" s="3">
        <v>2933</v>
      </c>
      <c r="E5964" s="3">
        <v>1759</v>
      </c>
      <c r="F5964" s="3">
        <v>17010</v>
      </c>
      <c r="G5964" s="3">
        <v>29001</v>
      </c>
      <c r="H5964" s="2">
        <f t="shared" si="186"/>
        <v>50703</v>
      </c>
      <c r="I5964" t="str">
        <f t="shared" si="187"/>
        <v>Psme3_50703</v>
      </c>
      <c r="J5964" s="3">
        <v>0</v>
      </c>
      <c r="K5964" s="3">
        <v>2933</v>
      </c>
      <c r="L5964" s="3">
        <v>1759</v>
      </c>
      <c r="M5964" s="3">
        <v>17010</v>
      </c>
      <c r="N5964" s="3">
        <v>29001</v>
      </c>
    </row>
    <row r="5965" spans="1:14" x14ac:dyDescent="0.2">
      <c r="A5965" s="5" t="str">
        <f>HYPERLINK("http://www.ncbi.nlm.nih.gov/protein/117956381","Psme4")</f>
        <v>Psme4</v>
      </c>
      <c r="B5965" s="4"/>
      <c r="C5965" s="3">
        <v>0</v>
      </c>
      <c r="D5965" s="3">
        <v>0</v>
      </c>
      <c r="E5965" s="3">
        <v>7</v>
      </c>
      <c r="F5965" s="3">
        <v>7989</v>
      </c>
      <c r="G5965" s="3">
        <v>0</v>
      </c>
      <c r="H5965" s="2">
        <f t="shared" si="186"/>
        <v>7996</v>
      </c>
      <c r="I5965" t="str">
        <f t="shared" si="187"/>
        <v>Psme4_7996</v>
      </c>
      <c r="J5965" s="3">
        <v>0</v>
      </c>
      <c r="K5965" s="3">
        <v>0</v>
      </c>
      <c r="L5965" s="3">
        <v>7</v>
      </c>
      <c r="M5965" s="3">
        <v>7989</v>
      </c>
      <c r="N5965" s="3">
        <v>0</v>
      </c>
    </row>
    <row r="5966" spans="1:14" x14ac:dyDescent="0.2">
      <c r="A5966" s="5" t="str">
        <f>HYPERLINK("http://www.ncbi.nlm.nih.gov/protein/47078287","Psmf1")</f>
        <v>Psmf1</v>
      </c>
      <c r="B5966" s="4"/>
      <c r="C5966" s="3">
        <v>0</v>
      </c>
      <c r="D5966" s="3">
        <v>983</v>
      </c>
      <c r="E5966" s="3">
        <v>0</v>
      </c>
      <c r="F5966" s="3">
        <v>0</v>
      </c>
      <c r="G5966" s="3">
        <v>5730</v>
      </c>
      <c r="H5966" s="2">
        <f t="shared" si="186"/>
        <v>6713</v>
      </c>
      <c r="I5966" t="str">
        <f t="shared" si="187"/>
        <v>Psmf1_6713</v>
      </c>
      <c r="J5966" s="3">
        <v>0</v>
      </c>
      <c r="K5966" s="3">
        <v>983</v>
      </c>
      <c r="L5966" s="3">
        <v>0</v>
      </c>
      <c r="M5966" s="3">
        <v>0</v>
      </c>
      <c r="N5966" s="3">
        <v>5730</v>
      </c>
    </row>
    <row r="5967" spans="1:14" x14ac:dyDescent="0.2">
      <c r="A5967" s="5" t="str">
        <f>HYPERLINK("http://www.ncbi.nlm.nih.gov/protein/9506555","Psmg1")</f>
        <v>Psmg1</v>
      </c>
      <c r="B5967" s="4"/>
      <c r="C5967" s="3">
        <v>0</v>
      </c>
      <c r="D5967" s="3">
        <v>785</v>
      </c>
      <c r="E5967" s="3">
        <v>243</v>
      </c>
      <c r="F5967" s="3">
        <v>9143</v>
      </c>
      <c r="G5967" s="3">
        <v>8386</v>
      </c>
      <c r="H5967" s="2">
        <f t="shared" si="186"/>
        <v>18557</v>
      </c>
      <c r="I5967" t="str">
        <f t="shared" si="187"/>
        <v>Psmg1_18557</v>
      </c>
      <c r="J5967" s="3">
        <v>0</v>
      </c>
      <c r="K5967" s="3">
        <v>785</v>
      </c>
      <c r="L5967" s="3">
        <v>243</v>
      </c>
      <c r="M5967" s="3">
        <v>9143</v>
      </c>
      <c r="N5967" s="3">
        <v>8386</v>
      </c>
    </row>
    <row r="5968" spans="1:14" x14ac:dyDescent="0.2">
      <c r="A5968" s="5" t="str">
        <f>HYPERLINK("http://www.ncbi.nlm.nih.gov/protein/19527372","Psmg2")</f>
        <v>Psmg2</v>
      </c>
      <c r="B5968" s="4"/>
      <c r="C5968" s="3">
        <v>0</v>
      </c>
      <c r="D5968" s="3">
        <v>92</v>
      </c>
      <c r="E5968" s="3">
        <v>0</v>
      </c>
      <c r="F5968" s="3">
        <v>6950</v>
      </c>
      <c r="G5968" s="3">
        <v>1189</v>
      </c>
      <c r="H5968" s="2">
        <f t="shared" si="186"/>
        <v>8231</v>
      </c>
      <c r="I5968" t="str">
        <f t="shared" si="187"/>
        <v>Psmg2_8231</v>
      </c>
      <c r="J5968" s="3">
        <v>0</v>
      </c>
      <c r="K5968" s="3">
        <v>92</v>
      </c>
      <c r="L5968" s="3">
        <v>0</v>
      </c>
      <c r="M5968" s="3">
        <v>6950</v>
      </c>
      <c r="N5968" s="3">
        <v>1189</v>
      </c>
    </row>
    <row r="5969" spans="1:14" x14ac:dyDescent="0.2">
      <c r="A5969" s="5" t="str">
        <f>HYPERLINK("http://www.ncbi.nlm.nih.gov/protein/21313432","Psmg3")</f>
        <v>Psmg3</v>
      </c>
      <c r="B5969" s="4"/>
      <c r="C5969" s="3">
        <v>0</v>
      </c>
      <c r="D5969" s="3">
        <v>0</v>
      </c>
      <c r="E5969" s="3">
        <v>42</v>
      </c>
      <c r="F5969" s="3">
        <v>999</v>
      </c>
      <c r="G5969" s="3">
        <v>3395</v>
      </c>
      <c r="H5969" s="2">
        <f t="shared" si="186"/>
        <v>4436</v>
      </c>
      <c r="I5969" t="str">
        <f t="shared" si="187"/>
        <v>Psmg3_4436</v>
      </c>
      <c r="J5969" s="3">
        <v>0</v>
      </c>
      <c r="K5969" s="3">
        <v>0</v>
      </c>
      <c r="L5969" s="3">
        <v>42</v>
      </c>
      <c r="M5969" s="3">
        <v>999</v>
      </c>
      <c r="N5969" s="3">
        <v>3395</v>
      </c>
    </row>
    <row r="5970" spans="1:14" x14ac:dyDescent="0.2">
      <c r="A5970" s="5" t="str">
        <f>HYPERLINK("http://www.ncbi.nlm.nih.gov/protein/160333436","Psmg4")</f>
        <v>Psmg4</v>
      </c>
      <c r="B5970" s="4"/>
      <c r="C5970" s="3">
        <v>0</v>
      </c>
      <c r="D5970" s="3">
        <v>0</v>
      </c>
      <c r="E5970" s="3">
        <v>0</v>
      </c>
      <c r="F5970" s="3">
        <v>0</v>
      </c>
      <c r="G5970" s="3">
        <v>1863</v>
      </c>
      <c r="H5970" s="2">
        <f t="shared" si="186"/>
        <v>1863</v>
      </c>
      <c r="I5970" t="str">
        <f t="shared" si="187"/>
        <v>Psmg4_1863</v>
      </c>
      <c r="J5970" s="3">
        <v>0</v>
      </c>
      <c r="K5970" s="3">
        <v>0</v>
      </c>
      <c r="L5970" s="3">
        <v>0</v>
      </c>
      <c r="M5970" s="3">
        <v>0</v>
      </c>
      <c r="N5970" s="3">
        <v>1863</v>
      </c>
    </row>
    <row r="5971" spans="1:14" x14ac:dyDescent="0.2">
      <c r="A5971" s="5" t="str">
        <f>HYPERLINK("http://www.ncbi.nlm.nih.gov/protein/160333430","Psmg4")</f>
        <v>Psmg4</v>
      </c>
      <c r="B5971" s="4"/>
      <c r="C5971" s="3">
        <v>0</v>
      </c>
      <c r="D5971" s="3">
        <v>0</v>
      </c>
      <c r="E5971" s="3">
        <v>0</v>
      </c>
      <c r="F5971" s="3">
        <v>1424</v>
      </c>
      <c r="G5971" s="3">
        <v>1992</v>
      </c>
      <c r="H5971" s="2">
        <f t="shared" si="186"/>
        <v>3416</v>
      </c>
      <c r="I5971" t="str">
        <f t="shared" si="187"/>
        <v>Psmg4_3416</v>
      </c>
      <c r="J5971" s="3">
        <v>0</v>
      </c>
      <c r="K5971" s="3">
        <v>0</v>
      </c>
      <c r="L5971" s="3">
        <v>0</v>
      </c>
      <c r="M5971" s="3">
        <v>1424</v>
      </c>
      <c r="N5971" s="3">
        <v>1992</v>
      </c>
    </row>
    <row r="5972" spans="1:14" x14ac:dyDescent="0.2">
      <c r="A5972" s="5" t="str">
        <f>HYPERLINK("http://www.ncbi.nlm.nih.gov/protein/225543409","Pspc1")</f>
        <v>Pspc1</v>
      </c>
      <c r="B5972" s="4"/>
      <c r="C5972" s="3">
        <v>111978</v>
      </c>
      <c r="D5972" s="3">
        <v>645</v>
      </c>
      <c r="E5972" s="3">
        <v>3442</v>
      </c>
      <c r="F5972" s="3">
        <v>2014</v>
      </c>
      <c r="G5972" s="3">
        <v>0</v>
      </c>
      <c r="H5972" s="2">
        <f t="shared" si="186"/>
        <v>118079</v>
      </c>
      <c r="I5972" t="str">
        <f t="shared" si="187"/>
        <v>Pspc1_118079</v>
      </c>
      <c r="J5972" s="3">
        <v>111978</v>
      </c>
      <c r="K5972" s="3">
        <v>645</v>
      </c>
      <c r="L5972" s="3">
        <v>3442</v>
      </c>
      <c r="M5972" s="3">
        <v>2014</v>
      </c>
      <c r="N5972" s="3">
        <v>0</v>
      </c>
    </row>
    <row r="5973" spans="1:14" x14ac:dyDescent="0.2">
      <c r="A5973" s="5" t="str">
        <f>HYPERLINK("http://www.ncbi.nlm.nih.gov/protein/19527116","Psph")</f>
        <v>Psph</v>
      </c>
      <c r="B5973" s="4"/>
      <c r="C5973" s="3">
        <v>0</v>
      </c>
      <c r="D5973" s="3">
        <v>0</v>
      </c>
      <c r="E5973" s="3">
        <v>209</v>
      </c>
      <c r="F5973" s="3">
        <v>0</v>
      </c>
      <c r="G5973" s="3">
        <v>6983</v>
      </c>
      <c r="H5973" s="2">
        <f t="shared" si="186"/>
        <v>7192</v>
      </c>
      <c r="I5973" t="str">
        <f t="shared" si="187"/>
        <v>Psph_7192</v>
      </c>
      <c r="J5973" s="3">
        <v>0</v>
      </c>
      <c r="K5973" s="3">
        <v>0</v>
      </c>
      <c r="L5973" s="3">
        <v>209</v>
      </c>
      <c r="M5973" s="3">
        <v>0</v>
      </c>
      <c r="N5973" s="3">
        <v>6983</v>
      </c>
    </row>
    <row r="5974" spans="1:14" x14ac:dyDescent="0.2">
      <c r="A5974" s="5" t="str">
        <f>HYPERLINK("http://www.ncbi.nlm.nih.gov/protein/171184423","Pstpip1")</f>
        <v>Pstpip1</v>
      </c>
      <c r="B5974" s="4"/>
      <c r="C5974" s="3">
        <v>0</v>
      </c>
      <c r="D5974" s="3">
        <v>0</v>
      </c>
      <c r="E5974" s="3">
        <v>133</v>
      </c>
      <c r="F5974" s="3">
        <v>0</v>
      </c>
      <c r="G5974" s="3">
        <v>0</v>
      </c>
      <c r="H5974" s="2">
        <f t="shared" si="186"/>
        <v>133</v>
      </c>
      <c r="I5974" t="str">
        <f t="shared" si="187"/>
        <v>Pstpip1_133</v>
      </c>
      <c r="J5974" s="3">
        <v>0</v>
      </c>
      <c r="K5974" s="3">
        <v>0</v>
      </c>
      <c r="L5974" s="3">
        <v>133</v>
      </c>
      <c r="M5974" s="3">
        <v>0</v>
      </c>
      <c r="N5974" s="3">
        <v>0</v>
      </c>
    </row>
    <row r="5975" spans="1:14" x14ac:dyDescent="0.2">
      <c r="A5975" s="5" t="str">
        <f>HYPERLINK("http://www.ncbi.nlm.nih.gov/protein/258613904","Ptar1")</f>
        <v>Ptar1</v>
      </c>
      <c r="B5975" s="4"/>
      <c r="C5975" s="3">
        <v>0</v>
      </c>
      <c r="D5975" s="3">
        <v>1265</v>
      </c>
      <c r="E5975" s="3">
        <v>0</v>
      </c>
      <c r="F5975" s="3">
        <v>0</v>
      </c>
      <c r="G5975" s="3">
        <v>7336</v>
      </c>
      <c r="H5975" s="2">
        <f t="shared" si="186"/>
        <v>8601</v>
      </c>
      <c r="I5975" t="str">
        <f t="shared" si="187"/>
        <v>Ptar1_8601</v>
      </c>
      <c r="J5975" s="3">
        <v>0</v>
      </c>
      <c r="K5975" s="3">
        <v>1265</v>
      </c>
      <c r="L5975" s="3">
        <v>0</v>
      </c>
      <c r="M5975" s="3">
        <v>0</v>
      </c>
      <c r="N5975" s="3">
        <v>7336</v>
      </c>
    </row>
    <row r="5976" spans="1:14" x14ac:dyDescent="0.2">
      <c r="A5976" s="5" t="str">
        <f>HYPERLINK("http://www.ncbi.nlm.nih.gov/protein/545688433","Ptbp1")</f>
        <v>Ptbp1</v>
      </c>
      <c r="B5976" s="4"/>
      <c r="C5976" s="3">
        <v>435207</v>
      </c>
      <c r="D5976" s="3">
        <v>0</v>
      </c>
      <c r="E5976" s="3">
        <v>0</v>
      </c>
      <c r="F5976" s="3">
        <v>0</v>
      </c>
      <c r="G5976" s="3">
        <v>0</v>
      </c>
      <c r="H5976" s="2">
        <f t="shared" si="186"/>
        <v>435207</v>
      </c>
      <c r="I5976" t="str">
        <f t="shared" si="187"/>
        <v>Ptbp1_435207</v>
      </c>
      <c r="J5976" s="3">
        <v>435207</v>
      </c>
      <c r="K5976" s="3">
        <v>0</v>
      </c>
      <c r="L5976" s="3">
        <v>0</v>
      </c>
      <c r="M5976" s="3">
        <v>0</v>
      </c>
      <c r="N5976" s="3">
        <v>0</v>
      </c>
    </row>
    <row r="5977" spans="1:14" x14ac:dyDescent="0.2">
      <c r="A5977" s="5" t="str">
        <f>HYPERLINK("http://www.ncbi.nlm.nih.gov/protein/116517301","Ptbp1")</f>
        <v>Ptbp1</v>
      </c>
      <c r="B5977" s="4"/>
      <c r="C5977" s="3">
        <v>492725</v>
      </c>
      <c r="D5977" s="3">
        <v>26597</v>
      </c>
      <c r="E5977" s="3">
        <v>168599</v>
      </c>
      <c r="F5977" s="3">
        <v>242522</v>
      </c>
      <c r="G5977" s="3">
        <v>386</v>
      </c>
      <c r="H5977" s="2">
        <f t="shared" si="186"/>
        <v>930829</v>
      </c>
      <c r="I5977" t="str">
        <f t="shared" si="187"/>
        <v>Ptbp1_930829</v>
      </c>
      <c r="J5977" s="3">
        <v>492725</v>
      </c>
      <c r="K5977" s="3">
        <v>26597</v>
      </c>
      <c r="L5977" s="3">
        <v>168599</v>
      </c>
      <c r="M5977" s="3">
        <v>242522</v>
      </c>
      <c r="N5977" s="3">
        <v>386</v>
      </c>
    </row>
    <row r="5978" spans="1:14" x14ac:dyDescent="0.2">
      <c r="A5978" s="5" t="str">
        <f>HYPERLINK("http://www.ncbi.nlm.nih.gov/protein/116517303","Ptbp1")</f>
        <v>Ptbp1</v>
      </c>
      <c r="B5978" s="4"/>
      <c r="C5978" s="3">
        <v>492725</v>
      </c>
      <c r="D5978" s="3">
        <v>26597</v>
      </c>
      <c r="E5978" s="3">
        <v>168599</v>
      </c>
      <c r="F5978" s="3">
        <v>242424</v>
      </c>
      <c r="G5978" s="3">
        <v>386</v>
      </c>
      <c r="H5978" s="2">
        <f t="shared" si="186"/>
        <v>930731</v>
      </c>
      <c r="I5978" t="str">
        <f t="shared" si="187"/>
        <v>Ptbp1_930731</v>
      </c>
      <c r="J5978" s="3">
        <v>492725</v>
      </c>
      <c r="K5978" s="3">
        <v>26597</v>
      </c>
      <c r="L5978" s="3">
        <v>168599</v>
      </c>
      <c r="M5978" s="3">
        <v>242424</v>
      </c>
      <c r="N5978" s="3">
        <v>386</v>
      </c>
    </row>
    <row r="5979" spans="1:14" x14ac:dyDescent="0.2">
      <c r="A5979" s="5" t="str">
        <f>HYPERLINK("http://www.ncbi.nlm.nih.gov/protein/9507003","Ptbp2")</f>
        <v>Ptbp2</v>
      </c>
      <c r="B5979" s="4"/>
      <c r="C5979" s="3">
        <v>40804</v>
      </c>
      <c r="D5979" s="3">
        <v>2860</v>
      </c>
      <c r="E5979" s="3">
        <v>70011</v>
      </c>
      <c r="F5979" s="3">
        <v>73433</v>
      </c>
      <c r="G5979" s="3">
        <v>0</v>
      </c>
      <c r="H5979" s="2">
        <f t="shared" si="186"/>
        <v>187108</v>
      </c>
      <c r="I5979" t="str">
        <f t="shared" si="187"/>
        <v>Ptbp2_187108</v>
      </c>
      <c r="J5979" s="3">
        <v>40804</v>
      </c>
      <c r="K5979" s="3">
        <v>2860</v>
      </c>
      <c r="L5979" s="3">
        <v>70011</v>
      </c>
      <c r="M5979" s="3">
        <v>73433</v>
      </c>
      <c r="N5979" s="3">
        <v>0</v>
      </c>
    </row>
    <row r="5980" spans="1:14" x14ac:dyDescent="0.2">
      <c r="A5980" s="5" t="str">
        <f>HYPERLINK("http://www.ncbi.nlm.nih.gov/protein/255003709","Ptbp3")</f>
        <v>Ptbp3</v>
      </c>
      <c r="B5980" s="4"/>
      <c r="C5980" s="3">
        <v>41079</v>
      </c>
      <c r="D5980" s="3">
        <v>6532</v>
      </c>
      <c r="E5980" s="3">
        <v>131201</v>
      </c>
      <c r="F5980" s="3">
        <v>92882</v>
      </c>
      <c r="G5980" s="3">
        <v>0</v>
      </c>
      <c r="H5980" s="2">
        <f t="shared" si="186"/>
        <v>271694</v>
      </c>
      <c r="I5980" t="str">
        <f t="shared" si="187"/>
        <v>Ptbp3_271694</v>
      </c>
      <c r="J5980" s="3">
        <v>41079</v>
      </c>
      <c r="K5980" s="3">
        <v>6532</v>
      </c>
      <c r="L5980" s="3">
        <v>131201</v>
      </c>
      <c r="M5980" s="3">
        <v>92882</v>
      </c>
      <c r="N5980" s="3">
        <v>0</v>
      </c>
    </row>
    <row r="5981" spans="1:14" x14ac:dyDescent="0.2">
      <c r="A5981" s="5" t="str">
        <f>HYPERLINK("http://www.ncbi.nlm.nih.gov/protein/30039680","Ptbp3")</f>
        <v>Ptbp3</v>
      </c>
      <c r="B5981" s="4"/>
      <c r="C5981" s="3">
        <v>41079</v>
      </c>
      <c r="D5981" s="3">
        <v>6532</v>
      </c>
      <c r="E5981" s="3">
        <v>131201</v>
      </c>
      <c r="F5981" s="3">
        <v>92882</v>
      </c>
      <c r="G5981" s="3">
        <v>0</v>
      </c>
      <c r="H5981" s="2">
        <f t="shared" si="186"/>
        <v>271694</v>
      </c>
      <c r="I5981" t="str">
        <f t="shared" si="187"/>
        <v>Ptbp3_271694</v>
      </c>
      <c r="J5981" s="3">
        <v>41079</v>
      </c>
      <c r="K5981" s="3">
        <v>6532</v>
      </c>
      <c r="L5981" s="3">
        <v>131201</v>
      </c>
      <c r="M5981" s="3">
        <v>92882</v>
      </c>
      <c r="N5981" s="3">
        <v>0</v>
      </c>
    </row>
    <row r="5982" spans="1:14" x14ac:dyDescent="0.2">
      <c r="A5982" s="5" t="str">
        <f>HYPERLINK("http://www.ncbi.nlm.nih.gov/protein/58037131","Ptcd2")</f>
        <v>Ptcd2</v>
      </c>
      <c r="B5982" s="4"/>
      <c r="C5982" s="3">
        <v>0</v>
      </c>
      <c r="D5982" s="3">
        <v>338</v>
      </c>
      <c r="E5982" s="3">
        <v>0</v>
      </c>
      <c r="F5982" s="3">
        <v>1048</v>
      </c>
      <c r="G5982" s="3">
        <v>0</v>
      </c>
      <c r="H5982" s="2">
        <f t="shared" si="186"/>
        <v>1386</v>
      </c>
      <c r="I5982" t="str">
        <f t="shared" si="187"/>
        <v>Ptcd2_1386</v>
      </c>
      <c r="J5982" s="3">
        <v>0</v>
      </c>
      <c r="K5982" s="3">
        <v>338</v>
      </c>
      <c r="L5982" s="3">
        <v>0</v>
      </c>
      <c r="M5982" s="3">
        <v>1048</v>
      </c>
      <c r="N5982" s="3">
        <v>0</v>
      </c>
    </row>
    <row r="5983" spans="1:14" x14ac:dyDescent="0.2">
      <c r="A5983" s="5" t="str">
        <f>HYPERLINK("http://www.ncbi.nlm.nih.gov/protein/33469980","Ptcd3")</f>
        <v>Ptcd3</v>
      </c>
      <c r="B5983" s="4"/>
      <c r="C5983" s="3">
        <v>2307</v>
      </c>
      <c r="D5983" s="3">
        <v>6440</v>
      </c>
      <c r="E5983" s="3">
        <v>0</v>
      </c>
      <c r="F5983" s="3">
        <v>0</v>
      </c>
      <c r="G5983" s="3">
        <v>0</v>
      </c>
      <c r="H5983" s="2">
        <f t="shared" si="186"/>
        <v>8747</v>
      </c>
      <c r="I5983" t="str">
        <f t="shared" si="187"/>
        <v>Ptcd3_8747</v>
      </c>
      <c r="J5983" s="3">
        <v>2307</v>
      </c>
      <c r="K5983" s="3">
        <v>6440</v>
      </c>
      <c r="L5983" s="3">
        <v>0</v>
      </c>
      <c r="M5983" s="3">
        <v>0</v>
      </c>
      <c r="N5983" s="3">
        <v>0</v>
      </c>
    </row>
    <row r="5984" spans="1:14" x14ac:dyDescent="0.2">
      <c r="A5984" s="5" t="str">
        <f>HYPERLINK("http://www.ncbi.nlm.nih.gov/protein/6755216","Ptcra")</f>
        <v>Ptcra</v>
      </c>
      <c r="B5984" s="4"/>
      <c r="C5984" s="3">
        <v>13327</v>
      </c>
      <c r="D5984" s="3">
        <v>0</v>
      </c>
      <c r="E5984" s="3">
        <v>1652</v>
      </c>
      <c r="F5984" s="3">
        <v>3749</v>
      </c>
      <c r="G5984" s="3">
        <v>0</v>
      </c>
      <c r="H5984" s="2">
        <f t="shared" si="186"/>
        <v>18728</v>
      </c>
      <c r="I5984" t="str">
        <f t="shared" si="187"/>
        <v>Ptcra_18728</v>
      </c>
      <c r="J5984" s="3">
        <v>13327</v>
      </c>
      <c r="K5984" s="3">
        <v>0</v>
      </c>
      <c r="L5984" s="3">
        <v>1652</v>
      </c>
      <c r="M5984" s="3">
        <v>3749</v>
      </c>
      <c r="N5984" s="3">
        <v>0</v>
      </c>
    </row>
    <row r="5985" spans="1:14" x14ac:dyDescent="0.2">
      <c r="A5985" s="5" t="str">
        <f>HYPERLINK("http://www.ncbi.nlm.nih.gov/protein/31560651","Ptdss1")</f>
        <v>Ptdss1</v>
      </c>
      <c r="B5985" s="4"/>
      <c r="C5985" s="3">
        <v>0</v>
      </c>
      <c r="D5985" s="3">
        <v>0</v>
      </c>
      <c r="E5985" s="3">
        <v>70</v>
      </c>
      <c r="F5985" s="3">
        <v>0</v>
      </c>
      <c r="G5985" s="3">
        <v>0</v>
      </c>
      <c r="H5985" s="2">
        <f t="shared" si="186"/>
        <v>70</v>
      </c>
      <c r="I5985" t="str">
        <f t="shared" si="187"/>
        <v>Ptdss1_70</v>
      </c>
      <c r="J5985" s="3">
        <v>0</v>
      </c>
      <c r="K5985" s="3">
        <v>0</v>
      </c>
      <c r="L5985" s="3">
        <v>70</v>
      </c>
      <c r="M5985" s="3">
        <v>0</v>
      </c>
      <c r="N5985" s="3">
        <v>0</v>
      </c>
    </row>
    <row r="5986" spans="1:14" x14ac:dyDescent="0.2">
      <c r="A5986" s="5" t="str">
        <f>HYPERLINK("http://www.ncbi.nlm.nih.gov/protein/6679523","Pten")</f>
        <v>Pten</v>
      </c>
      <c r="B5986" s="4"/>
      <c r="C5986" s="3">
        <v>0</v>
      </c>
      <c r="D5986" s="3">
        <v>0</v>
      </c>
      <c r="E5986" s="3">
        <v>0</v>
      </c>
      <c r="F5986" s="3">
        <v>0</v>
      </c>
      <c r="G5986" s="3">
        <v>2560</v>
      </c>
      <c r="H5986" s="2">
        <f t="shared" si="186"/>
        <v>2560</v>
      </c>
      <c r="I5986" t="str">
        <f t="shared" si="187"/>
        <v>Pten_2560</v>
      </c>
      <c r="J5986" s="3">
        <v>0</v>
      </c>
      <c r="K5986" s="3">
        <v>0</v>
      </c>
      <c r="L5986" s="3">
        <v>0</v>
      </c>
      <c r="M5986" s="3">
        <v>0</v>
      </c>
      <c r="N5986" s="3">
        <v>2560</v>
      </c>
    </row>
    <row r="5987" spans="1:14" x14ac:dyDescent="0.2">
      <c r="A5987" s="5" t="str">
        <f>HYPERLINK("http://www.ncbi.nlm.nih.gov/protein/6679525","Pter")</f>
        <v>Pter</v>
      </c>
      <c r="B5987" s="4"/>
      <c r="C5987" s="3">
        <v>0</v>
      </c>
      <c r="D5987" s="3">
        <v>0</v>
      </c>
      <c r="E5987" s="3">
        <v>0</v>
      </c>
      <c r="F5987" s="3">
        <v>0</v>
      </c>
      <c r="G5987" s="3">
        <v>38511</v>
      </c>
      <c r="H5987" s="2">
        <f t="shared" si="186"/>
        <v>38511</v>
      </c>
      <c r="I5987" t="str">
        <f t="shared" si="187"/>
        <v>Pter_38511</v>
      </c>
      <c r="J5987" s="3">
        <v>0</v>
      </c>
      <c r="K5987" s="3">
        <v>0</v>
      </c>
      <c r="L5987" s="3">
        <v>0</v>
      </c>
      <c r="M5987" s="3">
        <v>0</v>
      </c>
      <c r="N5987" s="3">
        <v>38511</v>
      </c>
    </row>
    <row r="5988" spans="1:14" x14ac:dyDescent="0.2">
      <c r="A5988" s="5" t="str">
        <f>HYPERLINK("http://www.ncbi.nlm.nih.gov/protein/260763900","Ptges2")</f>
        <v>Ptges2</v>
      </c>
      <c r="B5988" s="4"/>
      <c r="C5988" s="3">
        <v>5583</v>
      </c>
      <c r="D5988" s="3">
        <v>3494</v>
      </c>
      <c r="E5988" s="3">
        <v>364</v>
      </c>
      <c r="F5988" s="3">
        <v>0</v>
      </c>
      <c r="G5988" s="3">
        <v>0</v>
      </c>
      <c r="H5988" s="2">
        <f t="shared" si="186"/>
        <v>9441</v>
      </c>
      <c r="I5988" t="str">
        <f t="shared" si="187"/>
        <v>Ptges2_9441</v>
      </c>
      <c r="J5988" s="3">
        <v>5583</v>
      </c>
      <c r="K5988" s="3">
        <v>3494</v>
      </c>
      <c r="L5988" s="3">
        <v>364</v>
      </c>
      <c r="M5988" s="3">
        <v>0</v>
      </c>
      <c r="N5988" s="3">
        <v>0</v>
      </c>
    </row>
    <row r="5989" spans="1:14" x14ac:dyDescent="0.2">
      <c r="A5989" s="5" t="str">
        <f>HYPERLINK("http://www.ncbi.nlm.nih.gov/protein/50845420","Ptgfrn")</f>
        <v>Ptgfrn</v>
      </c>
      <c r="B5989" s="4"/>
      <c r="C5989" s="3">
        <v>0</v>
      </c>
      <c r="D5989" s="3">
        <v>3282</v>
      </c>
      <c r="E5989" s="3">
        <v>12039</v>
      </c>
      <c r="F5989" s="3">
        <v>1997</v>
      </c>
      <c r="G5989" s="3">
        <v>0</v>
      </c>
      <c r="H5989" s="2">
        <f t="shared" si="186"/>
        <v>17318</v>
      </c>
      <c r="I5989" t="str">
        <f t="shared" si="187"/>
        <v>Ptgfrn_17318</v>
      </c>
      <c r="J5989" s="3">
        <v>0</v>
      </c>
      <c r="K5989" s="3">
        <v>3282</v>
      </c>
      <c r="L5989" s="3">
        <v>12039</v>
      </c>
      <c r="M5989" s="3">
        <v>1997</v>
      </c>
      <c r="N5989" s="3">
        <v>0</v>
      </c>
    </row>
    <row r="5990" spans="1:14" x14ac:dyDescent="0.2">
      <c r="A5990" s="5" t="str">
        <f>HYPERLINK("http://www.ncbi.nlm.nih.gov/protein/13385466","Ptgr1")</f>
        <v>Ptgr1</v>
      </c>
      <c r="B5990" s="4"/>
      <c r="C5990" s="3">
        <v>0</v>
      </c>
      <c r="D5990" s="3">
        <v>0</v>
      </c>
      <c r="E5990" s="3">
        <v>0</v>
      </c>
      <c r="F5990" s="3">
        <v>0</v>
      </c>
      <c r="G5990" s="3">
        <v>4359</v>
      </c>
      <c r="H5990" s="2">
        <f t="shared" si="186"/>
        <v>4359</v>
      </c>
      <c r="I5990" t="str">
        <f t="shared" si="187"/>
        <v>Ptgr1_4359</v>
      </c>
      <c r="J5990" s="3">
        <v>0</v>
      </c>
      <c r="K5990" s="3">
        <v>0</v>
      </c>
      <c r="L5990" s="3">
        <v>0</v>
      </c>
      <c r="M5990" s="3">
        <v>0</v>
      </c>
      <c r="N5990" s="3">
        <v>4359</v>
      </c>
    </row>
    <row r="5991" spans="1:14" x14ac:dyDescent="0.2">
      <c r="A5991" s="5" t="str">
        <f>HYPERLINK("http://www.ncbi.nlm.nih.gov/protein/357933647","Ptgr2")</f>
        <v>Ptgr2</v>
      </c>
      <c r="B5991" s="4"/>
      <c r="C5991" s="3">
        <v>0</v>
      </c>
      <c r="D5991" s="3">
        <v>0</v>
      </c>
      <c r="E5991" s="3">
        <v>28</v>
      </c>
      <c r="F5991" s="3">
        <v>115</v>
      </c>
      <c r="G5991" s="3">
        <v>1285</v>
      </c>
      <c r="H5991" s="2">
        <f t="shared" si="186"/>
        <v>1428</v>
      </c>
      <c r="I5991" t="str">
        <f t="shared" si="187"/>
        <v>Ptgr2_1428</v>
      </c>
      <c r="J5991" s="3">
        <v>0</v>
      </c>
      <c r="K5991" s="3">
        <v>0</v>
      </c>
      <c r="L5991" s="3">
        <v>28</v>
      </c>
      <c r="M5991" s="3">
        <v>115</v>
      </c>
      <c r="N5991" s="3">
        <v>1285</v>
      </c>
    </row>
    <row r="5992" spans="1:14" x14ac:dyDescent="0.2">
      <c r="A5992" s="5" t="str">
        <f>HYPERLINK("http://www.ncbi.nlm.nih.gov/protein/85719320","Ptgr2")</f>
        <v>Ptgr2</v>
      </c>
      <c r="B5992" s="4"/>
      <c r="C5992" s="3">
        <v>0</v>
      </c>
      <c r="D5992" s="3">
        <v>0</v>
      </c>
      <c r="E5992" s="3">
        <v>193</v>
      </c>
      <c r="F5992" s="3">
        <v>295</v>
      </c>
      <c r="G5992" s="3">
        <v>39336</v>
      </c>
      <c r="H5992" s="2">
        <f t="shared" si="186"/>
        <v>39824</v>
      </c>
      <c r="I5992" t="str">
        <f t="shared" si="187"/>
        <v>Ptgr2_39824</v>
      </c>
      <c r="J5992" s="3">
        <v>0</v>
      </c>
      <c r="K5992" s="3">
        <v>0</v>
      </c>
      <c r="L5992" s="3">
        <v>193</v>
      </c>
      <c r="M5992" s="3">
        <v>295</v>
      </c>
      <c r="N5992" s="3">
        <v>39336</v>
      </c>
    </row>
    <row r="5993" spans="1:14" x14ac:dyDescent="0.2">
      <c r="A5993" s="5" t="str">
        <f>HYPERLINK("http://www.ncbi.nlm.nih.gov/protein/6679537","Ptgs1")</f>
        <v>Ptgs1</v>
      </c>
      <c r="B5993" s="4"/>
      <c r="C5993" s="3">
        <v>2361</v>
      </c>
      <c r="D5993" s="3">
        <v>4924</v>
      </c>
      <c r="E5993" s="3">
        <v>484</v>
      </c>
      <c r="F5993" s="3">
        <v>0</v>
      </c>
      <c r="G5993" s="3">
        <v>0</v>
      </c>
      <c r="H5993" s="2">
        <f t="shared" si="186"/>
        <v>7769</v>
      </c>
      <c r="I5993" t="str">
        <f t="shared" si="187"/>
        <v>Ptgs1_7769</v>
      </c>
      <c r="J5993" s="3">
        <v>2361</v>
      </c>
      <c r="K5993" s="3">
        <v>4924</v>
      </c>
      <c r="L5993" s="3">
        <v>484</v>
      </c>
      <c r="M5993" s="3">
        <v>0</v>
      </c>
      <c r="N5993" s="3">
        <v>0</v>
      </c>
    </row>
    <row r="5994" spans="1:14" x14ac:dyDescent="0.2">
      <c r="A5994" s="5" t="str">
        <f>HYPERLINK("http://www.ncbi.nlm.nih.gov/protein/31981525","Ptgs2")</f>
        <v>Ptgs2</v>
      </c>
      <c r="B5994" s="4"/>
      <c r="C5994" s="3">
        <v>0</v>
      </c>
      <c r="D5994" s="3">
        <v>2856</v>
      </c>
      <c r="E5994" s="3">
        <v>215</v>
      </c>
      <c r="F5994" s="3">
        <v>0</v>
      </c>
      <c r="G5994" s="3">
        <v>0</v>
      </c>
      <c r="H5994" s="2">
        <f t="shared" si="186"/>
        <v>3071</v>
      </c>
      <c r="I5994" t="str">
        <f t="shared" si="187"/>
        <v>Ptgs2_3071</v>
      </c>
      <c r="J5994" s="3">
        <v>0</v>
      </c>
      <c r="K5994" s="3">
        <v>2856</v>
      </c>
      <c r="L5994" s="3">
        <v>215</v>
      </c>
      <c r="M5994" s="3">
        <v>0</v>
      </c>
      <c r="N5994" s="3">
        <v>0</v>
      </c>
    </row>
    <row r="5995" spans="1:14" x14ac:dyDescent="0.2">
      <c r="A5995" s="5" t="str">
        <f>HYPERLINK("http://www.ncbi.nlm.nih.gov/protein/194353974","Ptk2")</f>
        <v>Ptk2</v>
      </c>
      <c r="B5995" s="4"/>
      <c r="C5995" s="3">
        <v>0</v>
      </c>
      <c r="D5995" s="3">
        <v>0</v>
      </c>
      <c r="E5995" s="3">
        <v>0</v>
      </c>
      <c r="F5995" s="3">
        <v>0</v>
      </c>
      <c r="G5995" s="3">
        <v>3041</v>
      </c>
      <c r="H5995" s="2">
        <f t="shared" si="186"/>
        <v>3041</v>
      </c>
      <c r="I5995" t="str">
        <f t="shared" si="187"/>
        <v>Ptk2_3041</v>
      </c>
      <c r="J5995" s="3">
        <v>0</v>
      </c>
      <c r="K5995" s="3">
        <v>0</v>
      </c>
      <c r="L5995" s="3">
        <v>0</v>
      </c>
      <c r="M5995" s="3">
        <v>0</v>
      </c>
      <c r="N5995" s="3">
        <v>3041</v>
      </c>
    </row>
    <row r="5996" spans="1:14" x14ac:dyDescent="0.2">
      <c r="A5996" s="5" t="str">
        <f>HYPERLINK("http://www.ncbi.nlm.nih.gov/protein/194353972","Ptk2")</f>
        <v>Ptk2</v>
      </c>
      <c r="B5996" s="4"/>
      <c r="C5996" s="3">
        <v>0</v>
      </c>
      <c r="D5996" s="3">
        <v>0</v>
      </c>
      <c r="E5996" s="3">
        <v>252</v>
      </c>
      <c r="F5996" s="3">
        <v>0</v>
      </c>
      <c r="G5996" s="3">
        <v>11170</v>
      </c>
      <c r="H5996" s="2">
        <f t="shared" si="186"/>
        <v>11422</v>
      </c>
      <c r="I5996" t="str">
        <f t="shared" si="187"/>
        <v>Ptk2_11422</v>
      </c>
      <c r="J5996" s="3">
        <v>0</v>
      </c>
      <c r="K5996" s="3">
        <v>0</v>
      </c>
      <c r="L5996" s="3">
        <v>252</v>
      </c>
      <c r="M5996" s="3">
        <v>0</v>
      </c>
      <c r="N5996" s="3">
        <v>11170</v>
      </c>
    </row>
    <row r="5997" spans="1:14" x14ac:dyDescent="0.2">
      <c r="A5997" s="5" t="str">
        <f>HYPERLINK("http://www.ncbi.nlm.nih.gov/protein/241982783","Ptk2b")</f>
        <v>Ptk2b</v>
      </c>
      <c r="B5997" s="4"/>
      <c r="C5997" s="3">
        <v>0</v>
      </c>
      <c r="D5997" s="3">
        <v>0</v>
      </c>
      <c r="E5997" s="3">
        <v>0</v>
      </c>
      <c r="F5997" s="3">
        <v>0</v>
      </c>
      <c r="G5997" s="3">
        <v>2774</v>
      </c>
      <c r="H5997" s="2">
        <f t="shared" si="186"/>
        <v>2774</v>
      </c>
      <c r="I5997" t="str">
        <f t="shared" si="187"/>
        <v>Ptk2b_2774</v>
      </c>
      <c r="J5997" s="3">
        <v>0</v>
      </c>
      <c r="K5997" s="3">
        <v>0</v>
      </c>
      <c r="L5997" s="3">
        <v>0</v>
      </c>
      <c r="M5997" s="3">
        <v>0</v>
      </c>
      <c r="N5997" s="3">
        <v>2774</v>
      </c>
    </row>
    <row r="5998" spans="1:14" x14ac:dyDescent="0.2">
      <c r="A5998" s="5" t="str">
        <f>HYPERLINK("http://www.ncbi.nlm.nih.gov/protein/241982787","Ptk2b")</f>
        <v>Ptk2b</v>
      </c>
      <c r="B5998" s="4"/>
      <c r="C5998" s="3">
        <v>0</v>
      </c>
      <c r="D5998" s="3">
        <v>0</v>
      </c>
      <c r="E5998" s="3">
        <v>0</v>
      </c>
      <c r="F5998" s="3">
        <v>0</v>
      </c>
      <c r="G5998" s="3">
        <v>2774</v>
      </c>
      <c r="H5998" s="2">
        <f t="shared" si="186"/>
        <v>2774</v>
      </c>
      <c r="I5998" t="str">
        <f t="shared" si="187"/>
        <v>Ptk2b_2774</v>
      </c>
      <c r="J5998" s="3">
        <v>0</v>
      </c>
      <c r="K5998" s="3">
        <v>0</v>
      </c>
      <c r="L5998" s="3">
        <v>0</v>
      </c>
      <c r="M5998" s="3">
        <v>0</v>
      </c>
      <c r="N5998" s="3">
        <v>2774</v>
      </c>
    </row>
    <row r="5999" spans="1:14" x14ac:dyDescent="0.2">
      <c r="A5999" s="5" t="str">
        <f>HYPERLINK("http://www.ncbi.nlm.nih.gov/protein/241982789","Ptk2b")</f>
        <v>Ptk2b</v>
      </c>
      <c r="B5999" s="4"/>
      <c r="C5999" s="3">
        <v>0</v>
      </c>
      <c r="D5999" s="3">
        <v>0</v>
      </c>
      <c r="E5999" s="3">
        <v>0</v>
      </c>
      <c r="F5999" s="3">
        <v>0</v>
      </c>
      <c r="G5999" s="3">
        <v>2774</v>
      </c>
      <c r="H5999" s="2">
        <f t="shared" si="186"/>
        <v>2774</v>
      </c>
      <c r="I5999" t="str">
        <f t="shared" si="187"/>
        <v>Ptk2b_2774</v>
      </c>
      <c r="J5999" s="3">
        <v>0</v>
      </c>
      <c r="K5999" s="3">
        <v>0</v>
      </c>
      <c r="L5999" s="3">
        <v>0</v>
      </c>
      <c r="M5999" s="3">
        <v>0</v>
      </c>
      <c r="N5999" s="3">
        <v>2774</v>
      </c>
    </row>
    <row r="6000" spans="1:14" x14ac:dyDescent="0.2">
      <c r="A6000" s="5" t="str">
        <f>HYPERLINK("http://www.ncbi.nlm.nih.gov/protein/30425042","Ptk7")</f>
        <v>Ptk7</v>
      </c>
      <c r="B6000" s="4"/>
      <c r="C6000" s="3">
        <v>0</v>
      </c>
      <c r="D6000" s="3">
        <v>1977</v>
      </c>
      <c r="E6000" s="3">
        <v>8410</v>
      </c>
      <c r="F6000" s="3">
        <v>0</v>
      </c>
      <c r="G6000" s="3">
        <v>0</v>
      </c>
      <c r="H6000" s="2">
        <f t="shared" si="186"/>
        <v>10387</v>
      </c>
      <c r="I6000" t="str">
        <f t="shared" si="187"/>
        <v>Ptk7_10387</v>
      </c>
      <c r="J6000" s="3">
        <v>0</v>
      </c>
      <c r="K6000" s="3">
        <v>1977</v>
      </c>
      <c r="L6000" s="3">
        <v>8410</v>
      </c>
      <c r="M6000" s="3">
        <v>0</v>
      </c>
      <c r="N6000" s="3">
        <v>0</v>
      </c>
    </row>
    <row r="6001" spans="1:14" x14ac:dyDescent="0.2">
      <c r="A6001" s="5" t="str">
        <f>HYPERLINK("http://www.ncbi.nlm.nih.gov/protein/7110705","Ptma")</f>
        <v>Ptma</v>
      </c>
      <c r="B6001" s="4"/>
      <c r="C6001" s="3">
        <v>292933</v>
      </c>
      <c r="D6001" s="3">
        <v>180</v>
      </c>
      <c r="E6001" s="3">
        <v>14886</v>
      </c>
      <c r="F6001" s="3">
        <v>442</v>
      </c>
      <c r="G6001" s="3">
        <v>6147</v>
      </c>
      <c r="H6001" s="2">
        <f t="shared" si="186"/>
        <v>314588</v>
      </c>
      <c r="I6001" t="str">
        <f t="shared" si="187"/>
        <v>Ptma_314588</v>
      </c>
      <c r="J6001" s="3">
        <v>292933</v>
      </c>
      <c r="K6001" s="3">
        <v>180</v>
      </c>
      <c r="L6001" s="3">
        <v>14886</v>
      </c>
      <c r="M6001" s="3">
        <v>442</v>
      </c>
      <c r="N6001" s="3">
        <v>6147</v>
      </c>
    </row>
    <row r="6002" spans="1:14" x14ac:dyDescent="0.2">
      <c r="A6002" s="5" t="str">
        <f>HYPERLINK("http://www.ncbi.nlm.nih.gov/protein/62460366","Ptms")</f>
        <v>Ptms</v>
      </c>
      <c r="B6002" s="4"/>
      <c r="C6002" s="3">
        <v>6755</v>
      </c>
      <c r="D6002" s="3">
        <v>1733</v>
      </c>
      <c r="E6002" s="3">
        <v>5643</v>
      </c>
      <c r="F6002" s="3">
        <v>5836</v>
      </c>
      <c r="G6002" s="3">
        <v>2131</v>
      </c>
      <c r="H6002" s="2">
        <f t="shared" si="186"/>
        <v>22098</v>
      </c>
      <c r="I6002" t="str">
        <f t="shared" si="187"/>
        <v>Ptms_22098</v>
      </c>
      <c r="J6002" s="3">
        <v>6755</v>
      </c>
      <c r="K6002" s="3">
        <v>1733</v>
      </c>
      <c r="L6002" s="3">
        <v>5643</v>
      </c>
      <c r="M6002" s="3">
        <v>5836</v>
      </c>
      <c r="N6002" s="3">
        <v>2131</v>
      </c>
    </row>
    <row r="6003" spans="1:14" x14ac:dyDescent="0.2">
      <c r="A6003" s="5" t="str">
        <f>HYPERLINK("http://www.ncbi.nlm.nih.gov/protein/258613926;6679545","Ptp4a2")</f>
        <v>Ptp4a2</v>
      </c>
      <c r="B6003" s="4"/>
      <c r="C6003" s="3">
        <v>0</v>
      </c>
      <c r="D6003" s="3">
        <v>0</v>
      </c>
      <c r="E6003" s="3">
        <v>2050</v>
      </c>
      <c r="F6003" s="3">
        <v>0</v>
      </c>
      <c r="G6003" s="3">
        <v>0</v>
      </c>
      <c r="H6003" s="2">
        <f t="shared" si="186"/>
        <v>2050</v>
      </c>
      <c r="I6003" t="str">
        <f t="shared" si="187"/>
        <v>Ptp4a2_2050</v>
      </c>
      <c r="J6003" s="3">
        <v>0</v>
      </c>
      <c r="K6003" s="3">
        <v>0</v>
      </c>
      <c r="L6003" s="3">
        <v>2050</v>
      </c>
      <c r="M6003" s="3">
        <v>0</v>
      </c>
      <c r="N6003" s="3">
        <v>0</v>
      </c>
    </row>
    <row r="6004" spans="1:14" x14ac:dyDescent="0.2">
      <c r="A6004" s="5" t="str">
        <f>HYPERLINK("http://www.ncbi.nlm.nih.gov/protein/6679545","Ptp4a2")</f>
        <v>Ptp4a2</v>
      </c>
      <c r="B6004" s="4"/>
      <c r="C6004" s="3">
        <v>0</v>
      </c>
      <c r="D6004" s="3">
        <v>1334</v>
      </c>
      <c r="E6004" s="3">
        <v>0</v>
      </c>
      <c r="F6004" s="3">
        <v>1686</v>
      </c>
      <c r="G6004" s="3">
        <v>2731</v>
      </c>
      <c r="H6004" s="2">
        <f t="shared" si="186"/>
        <v>5751</v>
      </c>
      <c r="I6004" t="str">
        <f t="shared" si="187"/>
        <v>Ptp4a2_5751</v>
      </c>
      <c r="J6004" s="3">
        <v>0</v>
      </c>
      <c r="K6004" s="3">
        <v>1334</v>
      </c>
      <c r="L6004" s="3">
        <v>0</v>
      </c>
      <c r="M6004" s="3">
        <v>1686</v>
      </c>
      <c r="N6004" s="3">
        <v>2731</v>
      </c>
    </row>
    <row r="6005" spans="1:14" x14ac:dyDescent="0.2">
      <c r="A6005" s="5" t="str">
        <f>HYPERLINK("http://www.ncbi.nlm.nih.gov/protein/171184435","Ptplad1")</f>
        <v>Ptplad1</v>
      </c>
      <c r="B6005" s="4"/>
      <c r="C6005" s="3">
        <v>0</v>
      </c>
      <c r="D6005" s="3">
        <v>0</v>
      </c>
      <c r="E6005" s="3">
        <v>40</v>
      </c>
      <c r="F6005" s="3">
        <v>0</v>
      </c>
      <c r="G6005" s="3">
        <v>0</v>
      </c>
      <c r="H6005" s="2">
        <f t="shared" si="186"/>
        <v>40</v>
      </c>
      <c r="I6005" t="str">
        <f t="shared" si="187"/>
        <v>Ptplad1_40</v>
      </c>
      <c r="J6005" s="3">
        <v>0</v>
      </c>
      <c r="K6005" s="3">
        <v>0</v>
      </c>
      <c r="L6005" s="3">
        <v>40</v>
      </c>
      <c r="M6005" s="3">
        <v>0</v>
      </c>
      <c r="N6005" s="3">
        <v>0</v>
      </c>
    </row>
    <row r="6006" spans="1:14" x14ac:dyDescent="0.2">
      <c r="A6006" s="5" t="str">
        <f>HYPERLINK("http://www.ncbi.nlm.nih.gov/protein/84872191","Ptplb")</f>
        <v>Ptplb</v>
      </c>
      <c r="B6006" s="4"/>
      <c r="C6006" s="3">
        <v>0</v>
      </c>
      <c r="D6006" s="3">
        <v>1966</v>
      </c>
      <c r="E6006" s="3">
        <v>171</v>
      </c>
      <c r="F6006" s="3">
        <v>0</v>
      </c>
      <c r="G6006" s="3">
        <v>0</v>
      </c>
      <c r="H6006" s="2">
        <f t="shared" si="186"/>
        <v>2137</v>
      </c>
      <c r="I6006" t="str">
        <f t="shared" si="187"/>
        <v>Ptplb_2137</v>
      </c>
      <c r="J6006" s="3">
        <v>0</v>
      </c>
      <c r="K6006" s="3">
        <v>1966</v>
      </c>
      <c r="L6006" s="3">
        <v>171</v>
      </c>
      <c r="M6006" s="3">
        <v>0</v>
      </c>
      <c r="N6006" s="3">
        <v>0</v>
      </c>
    </row>
    <row r="6007" spans="1:14" x14ac:dyDescent="0.2">
      <c r="A6007" s="5" t="str">
        <f>HYPERLINK("http://www.ncbi.nlm.nih.gov/protein/23956130","Ptpmt1")</f>
        <v>Ptpmt1</v>
      </c>
      <c r="B6007" s="4"/>
      <c r="C6007" s="3">
        <v>0</v>
      </c>
      <c r="D6007" s="3">
        <v>837</v>
      </c>
      <c r="E6007" s="3">
        <v>9</v>
      </c>
      <c r="F6007" s="3">
        <v>0</v>
      </c>
      <c r="G6007" s="3">
        <v>0</v>
      </c>
      <c r="H6007" s="2">
        <f t="shared" si="186"/>
        <v>846</v>
      </c>
      <c r="I6007" t="str">
        <f t="shared" si="187"/>
        <v>Ptpmt1_846</v>
      </c>
      <c r="J6007" s="3">
        <v>0</v>
      </c>
      <c r="K6007" s="3">
        <v>837</v>
      </c>
      <c r="L6007" s="3">
        <v>9</v>
      </c>
      <c r="M6007" s="3">
        <v>0</v>
      </c>
      <c r="N6007" s="3">
        <v>0</v>
      </c>
    </row>
    <row r="6008" spans="1:14" x14ac:dyDescent="0.2">
      <c r="A6008" s="5" t="str">
        <f>HYPERLINK("http://www.ncbi.nlm.nih.gov/protein/133505845","Ptpn1")</f>
        <v>Ptpn1</v>
      </c>
      <c r="B6008" s="4"/>
      <c r="C6008" s="3">
        <v>0</v>
      </c>
      <c r="D6008" s="3">
        <v>5440</v>
      </c>
      <c r="E6008" s="3">
        <v>1910</v>
      </c>
      <c r="F6008" s="3">
        <v>0</v>
      </c>
      <c r="G6008" s="3">
        <v>0</v>
      </c>
      <c r="H6008" s="2">
        <f t="shared" si="186"/>
        <v>7350</v>
      </c>
      <c r="I6008" t="str">
        <f t="shared" si="187"/>
        <v>Ptpn1_7350</v>
      </c>
      <c r="J6008" s="3">
        <v>0</v>
      </c>
      <c r="K6008" s="3">
        <v>5440</v>
      </c>
      <c r="L6008" s="3">
        <v>1910</v>
      </c>
      <c r="M6008" s="3">
        <v>0</v>
      </c>
      <c r="N6008" s="3">
        <v>0</v>
      </c>
    </row>
    <row r="6009" spans="1:14" x14ac:dyDescent="0.2">
      <c r="A6009" s="5" t="str">
        <f>HYPERLINK("http://www.ncbi.nlm.nih.gov/protein/158508568","Ptpn11")</f>
        <v>Ptpn11</v>
      </c>
      <c r="B6009" s="4"/>
      <c r="C6009" s="3">
        <v>0</v>
      </c>
      <c r="D6009" s="3">
        <v>209</v>
      </c>
      <c r="E6009" s="3">
        <v>2997</v>
      </c>
      <c r="F6009" s="3">
        <v>892</v>
      </c>
      <c r="G6009" s="3">
        <v>15625</v>
      </c>
      <c r="H6009" s="2">
        <f t="shared" si="186"/>
        <v>19723</v>
      </c>
      <c r="I6009" t="str">
        <f t="shared" si="187"/>
        <v>Ptpn11_19723</v>
      </c>
      <c r="J6009" s="3">
        <v>0</v>
      </c>
      <c r="K6009" s="3">
        <v>209</v>
      </c>
      <c r="L6009" s="3">
        <v>2997</v>
      </c>
      <c r="M6009" s="3">
        <v>892</v>
      </c>
      <c r="N6009" s="3">
        <v>15625</v>
      </c>
    </row>
    <row r="6010" spans="1:14" x14ac:dyDescent="0.2">
      <c r="A6010" s="5" t="str">
        <f>HYPERLINK("http://www.ncbi.nlm.nih.gov/protein/6755228","Ptpn11")</f>
        <v>Ptpn11</v>
      </c>
      <c r="B6010" s="4"/>
      <c r="C6010" s="3">
        <v>0</v>
      </c>
      <c r="D6010" s="3">
        <v>209</v>
      </c>
      <c r="E6010" s="3">
        <v>3471</v>
      </c>
      <c r="F6010" s="3">
        <v>892</v>
      </c>
      <c r="G6010" s="3">
        <v>23122</v>
      </c>
      <c r="H6010" s="2">
        <f t="shared" si="186"/>
        <v>27694</v>
      </c>
      <c r="I6010" t="str">
        <f t="shared" si="187"/>
        <v>Ptpn11_27694</v>
      </c>
      <c r="J6010" s="3">
        <v>0</v>
      </c>
      <c r="K6010" s="3">
        <v>209</v>
      </c>
      <c r="L6010" s="3">
        <v>3471</v>
      </c>
      <c r="M6010" s="3">
        <v>892</v>
      </c>
      <c r="N6010" s="3">
        <v>23122</v>
      </c>
    </row>
    <row r="6011" spans="1:14" x14ac:dyDescent="0.2">
      <c r="A6011" s="5" t="str">
        <f>HYPERLINK("http://www.ncbi.nlm.nih.gov/protein/34328195","Ptpn12")</f>
        <v>Ptpn12</v>
      </c>
      <c r="B6011" s="4"/>
      <c r="C6011" s="3">
        <v>0</v>
      </c>
      <c r="D6011" s="3">
        <v>0</v>
      </c>
      <c r="E6011" s="3">
        <v>13</v>
      </c>
      <c r="F6011" s="3">
        <v>123</v>
      </c>
      <c r="G6011" s="3">
        <v>4209</v>
      </c>
      <c r="H6011" s="2">
        <f t="shared" si="186"/>
        <v>4345</v>
      </c>
      <c r="I6011" t="str">
        <f t="shared" si="187"/>
        <v>Ptpn12_4345</v>
      </c>
      <c r="J6011" s="3">
        <v>0</v>
      </c>
      <c r="K6011" s="3">
        <v>0</v>
      </c>
      <c r="L6011" s="3">
        <v>13</v>
      </c>
      <c r="M6011" s="3">
        <v>123</v>
      </c>
      <c r="N6011" s="3">
        <v>4209</v>
      </c>
    </row>
    <row r="6012" spans="1:14" x14ac:dyDescent="0.2">
      <c r="A6012" s="5" t="str">
        <f>HYPERLINK("http://www.ncbi.nlm.nih.gov/protein/134948762","Ptpn13")</f>
        <v>Ptpn13</v>
      </c>
      <c r="B6012" s="4"/>
      <c r="C6012" s="3">
        <v>0</v>
      </c>
      <c r="D6012" s="3">
        <v>0</v>
      </c>
      <c r="E6012" s="3">
        <v>3266</v>
      </c>
      <c r="F6012" s="3">
        <v>0</v>
      </c>
      <c r="G6012" s="3">
        <v>32</v>
      </c>
      <c r="H6012" s="2">
        <f t="shared" si="186"/>
        <v>3298</v>
      </c>
      <c r="I6012" t="str">
        <f t="shared" si="187"/>
        <v>Ptpn13_3298</v>
      </c>
      <c r="J6012" s="3">
        <v>0</v>
      </c>
      <c r="K6012" s="3">
        <v>0</v>
      </c>
      <c r="L6012" s="3">
        <v>3266</v>
      </c>
      <c r="M6012" s="3">
        <v>0</v>
      </c>
      <c r="N6012" s="3">
        <v>32</v>
      </c>
    </row>
    <row r="6013" spans="1:14" x14ac:dyDescent="0.2">
      <c r="A6013" s="5" t="str">
        <f>HYPERLINK("http://www.ncbi.nlm.nih.gov/protein/110825986","Ptpn14")</f>
        <v>Ptpn14</v>
      </c>
      <c r="B6013" s="4"/>
      <c r="C6013" s="3">
        <v>0</v>
      </c>
      <c r="D6013" s="3">
        <v>716</v>
      </c>
      <c r="E6013" s="3">
        <v>1904</v>
      </c>
      <c r="F6013" s="3">
        <v>3708</v>
      </c>
      <c r="G6013" s="3">
        <v>236</v>
      </c>
      <c r="H6013" s="2">
        <f t="shared" si="186"/>
        <v>6564</v>
      </c>
      <c r="I6013" t="str">
        <f t="shared" si="187"/>
        <v>Ptpn14_6564</v>
      </c>
      <c r="J6013" s="3">
        <v>0</v>
      </c>
      <c r="K6013" s="3">
        <v>716</v>
      </c>
      <c r="L6013" s="3">
        <v>1904</v>
      </c>
      <c r="M6013" s="3">
        <v>3708</v>
      </c>
      <c r="N6013" s="3">
        <v>236</v>
      </c>
    </row>
    <row r="6014" spans="1:14" x14ac:dyDescent="0.2">
      <c r="A6014" s="5" t="str">
        <f>HYPERLINK("http://www.ncbi.nlm.nih.gov/protein/187608416","Ptpn2")</f>
        <v>Ptpn2</v>
      </c>
      <c r="B6014" s="4"/>
      <c r="C6014" s="3">
        <v>0</v>
      </c>
      <c r="D6014" s="3">
        <v>92</v>
      </c>
      <c r="E6014" s="3">
        <v>47</v>
      </c>
      <c r="F6014" s="3">
        <v>0</v>
      </c>
      <c r="G6014" s="3">
        <v>0</v>
      </c>
      <c r="H6014" s="2">
        <f t="shared" si="186"/>
        <v>139</v>
      </c>
      <c r="I6014" t="str">
        <f t="shared" si="187"/>
        <v>Ptpn2_139</v>
      </c>
      <c r="J6014" s="3">
        <v>0</v>
      </c>
      <c r="K6014" s="3">
        <v>92</v>
      </c>
      <c r="L6014" s="3">
        <v>47</v>
      </c>
      <c r="M6014" s="3">
        <v>0</v>
      </c>
      <c r="N6014" s="3">
        <v>0</v>
      </c>
    </row>
    <row r="6015" spans="1:14" x14ac:dyDescent="0.2">
      <c r="A6015" s="5" t="str">
        <f>HYPERLINK("http://www.ncbi.nlm.nih.gov/protein/6679553","Ptpn2")</f>
        <v>Ptpn2</v>
      </c>
      <c r="B6015" s="4"/>
      <c r="C6015" s="3">
        <v>0</v>
      </c>
      <c r="D6015" s="3">
        <v>92</v>
      </c>
      <c r="E6015" s="3">
        <v>47</v>
      </c>
      <c r="F6015" s="3">
        <v>0</v>
      </c>
      <c r="G6015" s="3">
        <v>0</v>
      </c>
      <c r="H6015" s="2">
        <f t="shared" si="186"/>
        <v>139</v>
      </c>
      <c r="I6015" t="str">
        <f t="shared" si="187"/>
        <v>Ptpn2_139</v>
      </c>
      <c r="J6015" s="3">
        <v>0</v>
      </c>
      <c r="K6015" s="3">
        <v>92</v>
      </c>
      <c r="L6015" s="3">
        <v>47</v>
      </c>
      <c r="M6015" s="3">
        <v>0</v>
      </c>
      <c r="N6015" s="3">
        <v>0</v>
      </c>
    </row>
    <row r="6016" spans="1:14" x14ac:dyDescent="0.2">
      <c r="A6016" s="5" t="str">
        <f>HYPERLINK("http://www.ncbi.nlm.nih.gov/protein/226246561","Ptpn21")</f>
        <v>Ptpn21</v>
      </c>
      <c r="B6016" s="4"/>
      <c r="C6016" s="3">
        <v>0</v>
      </c>
      <c r="D6016" s="3">
        <v>205</v>
      </c>
      <c r="E6016" s="3">
        <v>0</v>
      </c>
      <c r="F6016" s="3">
        <v>0</v>
      </c>
      <c r="G6016" s="3">
        <v>0</v>
      </c>
      <c r="H6016" s="2">
        <f t="shared" si="186"/>
        <v>205</v>
      </c>
      <c r="I6016" t="str">
        <f t="shared" si="187"/>
        <v>Ptpn21_205</v>
      </c>
      <c r="J6016" s="3">
        <v>0</v>
      </c>
      <c r="K6016" s="3">
        <v>205</v>
      </c>
      <c r="L6016" s="3">
        <v>0</v>
      </c>
      <c r="M6016" s="3">
        <v>0</v>
      </c>
      <c r="N6016" s="3">
        <v>0</v>
      </c>
    </row>
    <row r="6017" spans="1:14" x14ac:dyDescent="0.2">
      <c r="A6017" s="5" t="str">
        <f>HYPERLINK("http://www.ncbi.nlm.nih.gov/protein/226246563;226246561","Ptpn21")</f>
        <v>Ptpn21</v>
      </c>
      <c r="B6017" s="4"/>
      <c r="C6017" s="3">
        <v>0</v>
      </c>
      <c r="D6017" s="3">
        <v>0</v>
      </c>
      <c r="E6017" s="3">
        <v>1217</v>
      </c>
      <c r="F6017" s="3">
        <v>0</v>
      </c>
      <c r="G6017" s="3">
        <v>0</v>
      </c>
      <c r="H6017" s="2">
        <f t="shared" si="186"/>
        <v>1217</v>
      </c>
      <c r="I6017" t="str">
        <f t="shared" si="187"/>
        <v>Ptpn21_1217</v>
      </c>
      <c r="J6017" s="3">
        <v>0</v>
      </c>
      <c r="K6017" s="3">
        <v>0</v>
      </c>
      <c r="L6017" s="3">
        <v>1217</v>
      </c>
      <c r="M6017" s="3">
        <v>0</v>
      </c>
      <c r="N6017" s="3">
        <v>0</v>
      </c>
    </row>
    <row r="6018" spans="1:14" x14ac:dyDescent="0.2">
      <c r="A6018" s="5" t="str">
        <f>HYPERLINK("http://www.ncbi.nlm.nih.gov/protein/124517678","Ptpn23")</f>
        <v>Ptpn23</v>
      </c>
      <c r="B6018" s="4"/>
      <c r="C6018" s="3">
        <v>0</v>
      </c>
      <c r="D6018" s="3">
        <v>2749</v>
      </c>
      <c r="E6018" s="3">
        <v>2583</v>
      </c>
      <c r="F6018" s="3">
        <v>0</v>
      </c>
      <c r="G6018" s="3">
        <v>132916</v>
      </c>
      <c r="H6018" s="2">
        <f t="shared" ref="H6018:H6081" si="188">SUM(C6018:G6018)</f>
        <v>138248</v>
      </c>
      <c r="I6018" t="str">
        <f t="shared" ref="I6018:I6081" si="189">A6018&amp;"_"&amp;H6018</f>
        <v>Ptpn23_138248</v>
      </c>
      <c r="J6018" s="3">
        <v>0</v>
      </c>
      <c r="K6018" s="3">
        <v>2749</v>
      </c>
      <c r="L6018" s="3">
        <v>2583</v>
      </c>
      <c r="M6018" s="3">
        <v>0</v>
      </c>
      <c r="N6018" s="3">
        <v>132916</v>
      </c>
    </row>
    <row r="6019" spans="1:14" x14ac:dyDescent="0.2">
      <c r="A6019" s="5" t="str">
        <f>HYPERLINK("http://www.ncbi.nlm.nih.gov/protein/218505829","Ptpn3")</f>
        <v>Ptpn3</v>
      </c>
      <c r="B6019" s="4"/>
      <c r="C6019" s="3">
        <v>0</v>
      </c>
      <c r="D6019" s="3">
        <v>0</v>
      </c>
      <c r="E6019" s="3">
        <v>73</v>
      </c>
      <c r="F6019" s="3">
        <v>0</v>
      </c>
      <c r="G6019" s="3">
        <v>0</v>
      </c>
      <c r="H6019" s="2">
        <f t="shared" si="188"/>
        <v>73</v>
      </c>
      <c r="I6019" t="str">
        <f t="shared" si="189"/>
        <v>Ptpn3_73</v>
      </c>
      <c r="J6019" s="3">
        <v>0</v>
      </c>
      <c r="K6019" s="3">
        <v>0</v>
      </c>
      <c r="L6019" s="3">
        <v>73</v>
      </c>
      <c r="M6019" s="3">
        <v>0</v>
      </c>
      <c r="N6019" s="3">
        <v>0</v>
      </c>
    </row>
    <row r="6020" spans="1:14" x14ac:dyDescent="0.2">
      <c r="A6020" s="5" t="str">
        <f>HYPERLINK("http://www.ncbi.nlm.nih.gov/protein/118130771","Ptpn6")</f>
        <v>Ptpn6</v>
      </c>
      <c r="B6020" s="4"/>
      <c r="C6020" s="3">
        <v>0</v>
      </c>
      <c r="D6020" s="3">
        <v>998</v>
      </c>
      <c r="E6020" s="3">
        <v>2442</v>
      </c>
      <c r="F6020" s="3">
        <v>4011</v>
      </c>
      <c r="G6020" s="3">
        <v>11277</v>
      </c>
      <c r="H6020" s="2">
        <f t="shared" si="188"/>
        <v>18728</v>
      </c>
      <c r="I6020" t="str">
        <f t="shared" si="189"/>
        <v>Ptpn6_18728</v>
      </c>
      <c r="J6020" s="3">
        <v>0</v>
      </c>
      <c r="K6020" s="3">
        <v>998</v>
      </c>
      <c r="L6020" s="3">
        <v>2442</v>
      </c>
      <c r="M6020" s="3">
        <v>4011</v>
      </c>
      <c r="N6020" s="3">
        <v>11277</v>
      </c>
    </row>
    <row r="6021" spans="1:14" x14ac:dyDescent="0.2">
      <c r="A6021" s="5" t="str">
        <f>HYPERLINK("http://www.ncbi.nlm.nih.gov/protein/118130785","Ptpn6")</f>
        <v>Ptpn6</v>
      </c>
      <c r="B6021" s="4"/>
      <c r="C6021" s="3">
        <v>0</v>
      </c>
      <c r="D6021" s="3">
        <v>998</v>
      </c>
      <c r="E6021" s="3">
        <v>2442</v>
      </c>
      <c r="F6021" s="3">
        <v>4011</v>
      </c>
      <c r="G6021" s="3">
        <v>11277</v>
      </c>
      <c r="H6021" s="2">
        <f t="shared" si="188"/>
        <v>18728</v>
      </c>
      <c r="I6021" t="str">
        <f t="shared" si="189"/>
        <v>Ptpn6_18728</v>
      </c>
      <c r="J6021" s="3">
        <v>0</v>
      </c>
      <c r="K6021" s="3">
        <v>998</v>
      </c>
      <c r="L6021" s="3">
        <v>2442</v>
      </c>
      <c r="M6021" s="3">
        <v>4011</v>
      </c>
      <c r="N6021" s="3">
        <v>11277</v>
      </c>
    </row>
    <row r="6022" spans="1:14" x14ac:dyDescent="0.2">
      <c r="A6022" s="5" t="str">
        <f>HYPERLINK("http://www.ncbi.nlm.nih.gov/protein/61098100","Ptpn9")</f>
        <v>Ptpn9</v>
      </c>
      <c r="B6022" s="4"/>
      <c r="C6022" s="3">
        <v>3661</v>
      </c>
      <c r="D6022" s="3">
        <v>1246</v>
      </c>
      <c r="E6022" s="3">
        <v>5324</v>
      </c>
      <c r="F6022" s="3">
        <v>9389</v>
      </c>
      <c r="G6022" s="3">
        <v>17360</v>
      </c>
      <c r="H6022" s="2">
        <f t="shared" si="188"/>
        <v>36980</v>
      </c>
      <c r="I6022" t="str">
        <f t="shared" si="189"/>
        <v>Ptpn9_36980</v>
      </c>
      <c r="J6022" s="3">
        <v>3661</v>
      </c>
      <c r="K6022" s="3">
        <v>1246</v>
      </c>
      <c r="L6022" s="3">
        <v>5324</v>
      </c>
      <c r="M6022" s="3">
        <v>9389</v>
      </c>
      <c r="N6022" s="3">
        <v>17360</v>
      </c>
    </row>
    <row r="6023" spans="1:14" x14ac:dyDescent="0.2">
      <c r="A6023" s="5" t="str">
        <f>HYPERLINK("http://www.ncbi.nlm.nih.gov/protein/255304936","Ptpra")</f>
        <v>Ptpra</v>
      </c>
      <c r="B6023" s="4"/>
      <c r="C6023" s="3">
        <v>23651</v>
      </c>
      <c r="D6023" s="3">
        <v>1301</v>
      </c>
      <c r="E6023" s="3">
        <v>3088</v>
      </c>
      <c r="F6023" s="3">
        <v>1711</v>
      </c>
      <c r="G6023" s="3">
        <v>0</v>
      </c>
      <c r="H6023" s="2">
        <f t="shared" si="188"/>
        <v>29751</v>
      </c>
      <c r="I6023" t="str">
        <f t="shared" si="189"/>
        <v>Ptpra_29751</v>
      </c>
      <c r="J6023" s="3">
        <v>23651</v>
      </c>
      <c r="K6023" s="3">
        <v>1301</v>
      </c>
      <c r="L6023" s="3">
        <v>3088</v>
      </c>
      <c r="M6023" s="3">
        <v>1711</v>
      </c>
      <c r="N6023" s="3">
        <v>0</v>
      </c>
    </row>
    <row r="6024" spans="1:14" x14ac:dyDescent="0.2">
      <c r="A6024" s="5" t="str">
        <f>HYPERLINK("http://www.ncbi.nlm.nih.gov/protein/255304938","Ptpra")</f>
        <v>Ptpra</v>
      </c>
      <c r="B6024" s="4"/>
      <c r="C6024" s="3">
        <v>23651</v>
      </c>
      <c r="D6024" s="3">
        <v>1301</v>
      </c>
      <c r="E6024" s="3">
        <v>3088</v>
      </c>
      <c r="F6024" s="3">
        <v>1711</v>
      </c>
      <c r="G6024" s="3">
        <v>0</v>
      </c>
      <c r="H6024" s="2">
        <f t="shared" si="188"/>
        <v>29751</v>
      </c>
      <c r="I6024" t="str">
        <f t="shared" si="189"/>
        <v>Ptpra_29751</v>
      </c>
      <c r="J6024" s="3">
        <v>23651</v>
      </c>
      <c r="K6024" s="3">
        <v>1301</v>
      </c>
      <c r="L6024" s="3">
        <v>3088</v>
      </c>
      <c r="M6024" s="3">
        <v>1711</v>
      </c>
      <c r="N6024" s="3">
        <v>0</v>
      </c>
    </row>
    <row r="6025" spans="1:14" x14ac:dyDescent="0.2">
      <c r="A6025" s="5" t="str">
        <f>HYPERLINK("http://www.ncbi.nlm.nih.gov/protein/90403603","Ptprd")</f>
        <v>Ptprd</v>
      </c>
      <c r="B6025" s="4"/>
      <c r="C6025" s="3">
        <v>0</v>
      </c>
      <c r="D6025" s="3">
        <v>0</v>
      </c>
      <c r="E6025" s="3">
        <v>100</v>
      </c>
      <c r="F6025" s="3">
        <v>0</v>
      </c>
      <c r="G6025" s="3">
        <v>0</v>
      </c>
      <c r="H6025" s="2">
        <f t="shared" si="188"/>
        <v>100</v>
      </c>
      <c r="I6025" t="str">
        <f t="shared" si="189"/>
        <v>Ptprd_100</v>
      </c>
      <c r="J6025" s="3">
        <v>0</v>
      </c>
      <c r="K6025" s="3">
        <v>0</v>
      </c>
      <c r="L6025" s="3">
        <v>100</v>
      </c>
      <c r="M6025" s="3">
        <v>0</v>
      </c>
      <c r="N6025" s="3">
        <v>0</v>
      </c>
    </row>
    <row r="6026" spans="1:14" x14ac:dyDescent="0.2">
      <c r="A6026" s="5" t="str">
        <f>HYPERLINK("http://www.ncbi.nlm.nih.gov/protein/115648048","Ptprf")</f>
        <v>Ptprf</v>
      </c>
      <c r="B6026" s="4"/>
      <c r="C6026" s="3">
        <v>0</v>
      </c>
      <c r="D6026" s="3">
        <v>1127</v>
      </c>
      <c r="E6026" s="3">
        <v>603</v>
      </c>
      <c r="F6026" s="3">
        <v>0</v>
      </c>
      <c r="G6026" s="3">
        <v>2988</v>
      </c>
      <c r="H6026" s="2">
        <f t="shared" si="188"/>
        <v>4718</v>
      </c>
      <c r="I6026" t="str">
        <f t="shared" si="189"/>
        <v>Ptprf_4718</v>
      </c>
      <c r="J6026" s="3">
        <v>0</v>
      </c>
      <c r="K6026" s="3">
        <v>1127</v>
      </c>
      <c r="L6026" s="3">
        <v>603</v>
      </c>
      <c r="M6026" s="3">
        <v>0</v>
      </c>
      <c r="N6026" s="3">
        <v>2988</v>
      </c>
    </row>
    <row r="6027" spans="1:14" x14ac:dyDescent="0.2">
      <c r="A6027" s="5" t="str">
        <f>HYPERLINK("http://www.ncbi.nlm.nih.gov/protein/208609939","Ptprj")</f>
        <v>Ptprj</v>
      </c>
      <c r="B6027" s="4"/>
      <c r="C6027" s="3">
        <v>0</v>
      </c>
      <c r="D6027" s="3">
        <v>812</v>
      </c>
      <c r="E6027" s="3">
        <v>11932</v>
      </c>
      <c r="F6027" s="3">
        <v>0</v>
      </c>
      <c r="G6027" s="3">
        <v>0</v>
      </c>
      <c r="H6027" s="2">
        <f t="shared" si="188"/>
        <v>12744</v>
      </c>
      <c r="I6027" t="str">
        <f t="shared" si="189"/>
        <v>Ptprj_12744</v>
      </c>
      <c r="J6027" s="3">
        <v>0</v>
      </c>
      <c r="K6027" s="3">
        <v>812</v>
      </c>
      <c r="L6027" s="3">
        <v>11932</v>
      </c>
      <c r="M6027" s="3">
        <v>0</v>
      </c>
      <c r="N6027" s="3">
        <v>0</v>
      </c>
    </row>
    <row r="6028" spans="1:14" x14ac:dyDescent="0.2">
      <c r="A6028" s="5" t="str">
        <f>HYPERLINK("http://www.ncbi.nlm.nih.gov/protein/208609941","Ptprj")</f>
        <v>Ptprj</v>
      </c>
      <c r="B6028" s="4"/>
      <c r="C6028" s="3">
        <v>0</v>
      </c>
      <c r="D6028" s="3">
        <v>812</v>
      </c>
      <c r="E6028" s="3">
        <v>11932</v>
      </c>
      <c r="F6028" s="3">
        <v>0</v>
      </c>
      <c r="G6028" s="3">
        <v>0</v>
      </c>
      <c r="H6028" s="2">
        <f t="shared" si="188"/>
        <v>12744</v>
      </c>
      <c r="I6028" t="str">
        <f t="shared" si="189"/>
        <v>Ptprj_12744</v>
      </c>
      <c r="J6028" s="3">
        <v>0</v>
      </c>
      <c r="K6028" s="3">
        <v>812</v>
      </c>
      <c r="L6028" s="3">
        <v>11932</v>
      </c>
      <c r="M6028" s="3">
        <v>0</v>
      </c>
      <c r="N6028" s="3">
        <v>0</v>
      </c>
    </row>
    <row r="6029" spans="1:14" x14ac:dyDescent="0.2">
      <c r="A6029" s="5" t="str">
        <f>HYPERLINK("http://www.ncbi.nlm.nih.gov/protein/6679561","Ptprk")</f>
        <v>Ptprk</v>
      </c>
      <c r="B6029" s="4"/>
      <c r="C6029" s="3">
        <v>0</v>
      </c>
      <c r="D6029" s="3">
        <v>2325</v>
      </c>
      <c r="E6029" s="3">
        <v>5885</v>
      </c>
      <c r="F6029" s="3">
        <v>0</v>
      </c>
      <c r="G6029" s="3">
        <v>12134</v>
      </c>
      <c r="H6029" s="2">
        <f t="shared" si="188"/>
        <v>20344</v>
      </c>
      <c r="I6029" t="str">
        <f t="shared" si="189"/>
        <v>Ptprk_20344</v>
      </c>
      <c r="J6029" s="3">
        <v>0</v>
      </c>
      <c r="K6029" s="3">
        <v>2325</v>
      </c>
      <c r="L6029" s="3">
        <v>5885</v>
      </c>
      <c r="M6029" s="3">
        <v>0</v>
      </c>
      <c r="N6029" s="3">
        <v>12134</v>
      </c>
    </row>
    <row r="6030" spans="1:14" x14ac:dyDescent="0.2">
      <c r="A6030" s="5" t="str">
        <f>HYPERLINK("http://www.ncbi.nlm.nih.gov/protein/226054321","Ptprm")</f>
        <v>Ptprm</v>
      </c>
      <c r="B6030" s="4"/>
      <c r="C6030" s="3">
        <v>0</v>
      </c>
      <c r="D6030" s="3">
        <v>0</v>
      </c>
      <c r="E6030" s="3">
        <v>1635</v>
      </c>
      <c r="F6030" s="3">
        <v>0</v>
      </c>
      <c r="G6030" s="3">
        <v>0</v>
      </c>
      <c r="H6030" s="2">
        <f t="shared" si="188"/>
        <v>1635</v>
      </c>
      <c r="I6030" t="str">
        <f t="shared" si="189"/>
        <v>Ptprm_1635</v>
      </c>
      <c r="J6030" s="3">
        <v>0</v>
      </c>
      <c r="K6030" s="3">
        <v>0</v>
      </c>
      <c r="L6030" s="3">
        <v>1635</v>
      </c>
      <c r="M6030" s="3">
        <v>0</v>
      </c>
      <c r="N6030" s="3">
        <v>0</v>
      </c>
    </row>
    <row r="6031" spans="1:14" x14ac:dyDescent="0.2">
      <c r="A6031" s="5" t="str">
        <f>HYPERLINK("http://www.ncbi.nlm.nih.gov/protein/257096040","Ptpro")</f>
        <v>Ptpro</v>
      </c>
      <c r="B6031" s="4"/>
      <c r="C6031" s="3">
        <v>0</v>
      </c>
      <c r="D6031" s="3">
        <v>0</v>
      </c>
      <c r="E6031" s="3">
        <v>2305</v>
      </c>
      <c r="F6031" s="3">
        <v>0</v>
      </c>
      <c r="G6031" s="3">
        <v>0</v>
      </c>
      <c r="H6031" s="2">
        <f t="shared" si="188"/>
        <v>2305</v>
      </c>
      <c r="I6031" t="str">
        <f t="shared" si="189"/>
        <v>Ptpro_2305</v>
      </c>
      <c r="J6031" s="3">
        <v>0</v>
      </c>
      <c r="K6031" s="3">
        <v>0</v>
      </c>
      <c r="L6031" s="3">
        <v>2305</v>
      </c>
      <c r="M6031" s="3">
        <v>0</v>
      </c>
      <c r="N6031" s="3">
        <v>0</v>
      </c>
    </row>
    <row r="6032" spans="1:14" x14ac:dyDescent="0.2">
      <c r="A6032" s="5" t="str">
        <f>HYPERLINK("http://www.ncbi.nlm.nih.gov/protein/257096042","Ptpro")</f>
        <v>Ptpro</v>
      </c>
      <c r="B6032" s="4"/>
      <c r="C6032" s="3">
        <v>0</v>
      </c>
      <c r="D6032" s="3">
        <v>0</v>
      </c>
      <c r="E6032" s="3">
        <v>2305</v>
      </c>
      <c r="F6032" s="3">
        <v>0</v>
      </c>
      <c r="G6032" s="3">
        <v>0</v>
      </c>
      <c r="H6032" s="2">
        <f t="shared" si="188"/>
        <v>2305</v>
      </c>
      <c r="I6032" t="str">
        <f t="shared" si="189"/>
        <v>Ptpro_2305</v>
      </c>
      <c r="J6032" s="3">
        <v>0</v>
      </c>
      <c r="K6032" s="3">
        <v>0</v>
      </c>
      <c r="L6032" s="3">
        <v>2305</v>
      </c>
      <c r="M6032" s="3">
        <v>0</v>
      </c>
      <c r="N6032" s="3">
        <v>0</v>
      </c>
    </row>
    <row r="6033" spans="1:14" x14ac:dyDescent="0.2">
      <c r="A6033" s="5" t="str">
        <f>HYPERLINK("http://www.ncbi.nlm.nih.gov/protein/257096044","Ptpro")</f>
        <v>Ptpro</v>
      </c>
      <c r="B6033" s="4"/>
      <c r="C6033" s="3">
        <v>0</v>
      </c>
      <c r="D6033" s="3">
        <v>0</v>
      </c>
      <c r="E6033" s="3">
        <v>2305</v>
      </c>
      <c r="F6033" s="3">
        <v>0</v>
      </c>
      <c r="G6033" s="3">
        <v>0</v>
      </c>
      <c r="H6033" s="2">
        <f t="shared" si="188"/>
        <v>2305</v>
      </c>
      <c r="I6033" t="str">
        <f t="shared" si="189"/>
        <v>Ptpro_2305</v>
      </c>
      <c r="J6033" s="3">
        <v>0</v>
      </c>
      <c r="K6033" s="3">
        <v>0</v>
      </c>
      <c r="L6033" s="3">
        <v>2305</v>
      </c>
      <c r="M6033" s="3">
        <v>0</v>
      </c>
      <c r="N6033" s="3">
        <v>0</v>
      </c>
    </row>
    <row r="6034" spans="1:14" x14ac:dyDescent="0.2">
      <c r="A6034" s="5" t="str">
        <f>HYPERLINK("http://www.ncbi.nlm.nih.gov/protein/257096046","Ptpro")</f>
        <v>Ptpro</v>
      </c>
      <c r="B6034" s="4"/>
      <c r="C6034" s="3">
        <v>0</v>
      </c>
      <c r="D6034" s="3">
        <v>0</v>
      </c>
      <c r="E6034" s="3">
        <v>2305</v>
      </c>
      <c r="F6034" s="3">
        <v>0</v>
      </c>
      <c r="G6034" s="3">
        <v>0</v>
      </c>
      <c r="H6034" s="2">
        <f t="shared" si="188"/>
        <v>2305</v>
      </c>
      <c r="I6034" t="str">
        <f t="shared" si="189"/>
        <v>Ptpro_2305</v>
      </c>
      <c r="J6034" s="3">
        <v>0</v>
      </c>
      <c r="K6034" s="3">
        <v>0</v>
      </c>
      <c r="L6034" s="3">
        <v>2305</v>
      </c>
      <c r="M6034" s="3">
        <v>0</v>
      </c>
      <c r="N6034" s="3">
        <v>0</v>
      </c>
    </row>
    <row r="6035" spans="1:14" x14ac:dyDescent="0.2">
      <c r="A6035" s="5" t="str">
        <f>HYPERLINK("http://www.ncbi.nlm.nih.gov/protein/6679567","Ptrf")</f>
        <v>Ptrf</v>
      </c>
      <c r="B6035" s="4"/>
      <c r="C6035" s="3">
        <v>0</v>
      </c>
      <c r="D6035" s="3">
        <v>612</v>
      </c>
      <c r="E6035" s="3">
        <v>1765</v>
      </c>
      <c r="F6035" s="3">
        <v>24131</v>
      </c>
      <c r="G6035" s="3">
        <v>4691</v>
      </c>
      <c r="H6035" s="2">
        <f t="shared" si="188"/>
        <v>31199</v>
      </c>
      <c r="I6035" t="str">
        <f t="shared" si="189"/>
        <v>Ptrf_31199</v>
      </c>
      <c r="J6035" s="3">
        <v>0</v>
      </c>
      <c r="K6035" s="3">
        <v>612</v>
      </c>
      <c r="L6035" s="3">
        <v>1765</v>
      </c>
      <c r="M6035" s="3">
        <v>24131</v>
      </c>
      <c r="N6035" s="3">
        <v>4691</v>
      </c>
    </row>
    <row r="6036" spans="1:14" x14ac:dyDescent="0.2">
      <c r="A6036" s="5" t="str">
        <f>HYPERLINK("http://www.ncbi.nlm.nih.gov/protein/149363634","Ptrh2")</f>
        <v>Ptrh2</v>
      </c>
      <c r="B6036" s="4"/>
      <c r="C6036" s="3">
        <v>20960</v>
      </c>
      <c r="D6036" s="3">
        <v>6148</v>
      </c>
      <c r="E6036" s="3">
        <v>868</v>
      </c>
      <c r="F6036" s="3">
        <v>147</v>
      </c>
      <c r="G6036" s="3">
        <v>0</v>
      </c>
      <c r="H6036" s="2">
        <f t="shared" si="188"/>
        <v>28123</v>
      </c>
      <c r="I6036" t="str">
        <f t="shared" si="189"/>
        <v>Ptrh2_28123</v>
      </c>
      <c r="J6036" s="3">
        <v>20960</v>
      </c>
      <c r="K6036" s="3">
        <v>6148</v>
      </c>
      <c r="L6036" s="3">
        <v>868</v>
      </c>
      <c r="M6036" s="3">
        <v>147</v>
      </c>
      <c r="N6036" s="3">
        <v>0</v>
      </c>
    </row>
    <row r="6037" spans="1:14" x14ac:dyDescent="0.2">
      <c r="A6037" s="5" t="str">
        <f>HYPERLINK("http://www.ncbi.nlm.nih.gov/protein/33239415","Ptrh2")</f>
        <v>Ptrh2</v>
      </c>
      <c r="B6037" s="4"/>
      <c r="C6037" s="3">
        <v>20960</v>
      </c>
      <c r="D6037" s="3">
        <v>6148</v>
      </c>
      <c r="E6037" s="3">
        <v>868</v>
      </c>
      <c r="F6037" s="3">
        <v>147</v>
      </c>
      <c r="G6037" s="3">
        <v>0</v>
      </c>
      <c r="H6037" s="2">
        <f t="shared" si="188"/>
        <v>28123</v>
      </c>
      <c r="I6037" t="str">
        <f t="shared" si="189"/>
        <v>Ptrh2_28123</v>
      </c>
      <c r="J6037" s="3">
        <v>20960</v>
      </c>
      <c r="K6037" s="3">
        <v>6148</v>
      </c>
      <c r="L6037" s="3">
        <v>868</v>
      </c>
      <c r="M6037" s="3">
        <v>147</v>
      </c>
      <c r="N6037" s="3">
        <v>0</v>
      </c>
    </row>
    <row r="6038" spans="1:14" x14ac:dyDescent="0.2">
      <c r="A6038" s="5" t="str">
        <f>HYPERLINK("http://www.ncbi.nlm.nih.gov/protein/325995166","Ptrhd1")</f>
        <v>Ptrhd1</v>
      </c>
      <c r="B6038" s="4"/>
      <c r="C6038" s="3">
        <v>0</v>
      </c>
      <c r="D6038" s="3">
        <v>342</v>
      </c>
      <c r="E6038" s="3">
        <v>206</v>
      </c>
      <c r="F6038" s="3">
        <v>0</v>
      </c>
      <c r="G6038" s="3">
        <v>2078</v>
      </c>
      <c r="H6038" s="2">
        <f t="shared" si="188"/>
        <v>2626</v>
      </c>
      <c r="I6038" t="str">
        <f t="shared" si="189"/>
        <v>Ptrhd1_2626</v>
      </c>
      <c r="J6038" s="3">
        <v>0</v>
      </c>
      <c r="K6038" s="3">
        <v>342</v>
      </c>
      <c r="L6038" s="3">
        <v>206</v>
      </c>
      <c r="M6038" s="3">
        <v>0</v>
      </c>
      <c r="N6038" s="3">
        <v>2078</v>
      </c>
    </row>
    <row r="6039" spans="1:14" x14ac:dyDescent="0.2">
      <c r="A6039" s="5" t="str">
        <f>HYPERLINK("http://www.ncbi.nlm.nih.gov/protein/7110709","Pts")</f>
        <v>Pts</v>
      </c>
      <c r="B6039" s="4"/>
      <c r="C6039" s="3">
        <v>0</v>
      </c>
      <c r="D6039" s="3">
        <v>1580</v>
      </c>
      <c r="E6039" s="3">
        <v>0</v>
      </c>
      <c r="F6039" s="3">
        <v>0</v>
      </c>
      <c r="G6039" s="3">
        <v>31550</v>
      </c>
      <c r="H6039" s="2">
        <f t="shared" si="188"/>
        <v>33130</v>
      </c>
      <c r="I6039" t="str">
        <f t="shared" si="189"/>
        <v>Pts_33130</v>
      </c>
      <c r="J6039" s="3">
        <v>0</v>
      </c>
      <c r="K6039" s="3">
        <v>1580</v>
      </c>
      <c r="L6039" s="3">
        <v>0</v>
      </c>
      <c r="M6039" s="3">
        <v>0</v>
      </c>
      <c r="N6039" s="3">
        <v>31550</v>
      </c>
    </row>
    <row r="6040" spans="1:14" x14ac:dyDescent="0.2">
      <c r="A6040" s="5" t="str">
        <f>HYPERLINK("http://www.ncbi.nlm.nih.gov/protein/22122339","Pttg1ip")</f>
        <v>Pttg1ip</v>
      </c>
      <c r="B6040" s="4"/>
      <c r="C6040" s="3">
        <v>4924</v>
      </c>
      <c r="D6040" s="3">
        <v>18623</v>
      </c>
      <c r="E6040" s="3">
        <v>23338</v>
      </c>
      <c r="F6040" s="3">
        <v>3323</v>
      </c>
      <c r="G6040" s="3">
        <v>0</v>
      </c>
      <c r="H6040" s="2">
        <f t="shared" si="188"/>
        <v>50208</v>
      </c>
      <c r="I6040" t="str">
        <f t="shared" si="189"/>
        <v>Pttg1ip_50208</v>
      </c>
      <c r="J6040" s="3">
        <v>4924</v>
      </c>
      <c r="K6040" s="3">
        <v>18623</v>
      </c>
      <c r="L6040" s="3">
        <v>23338</v>
      </c>
      <c r="M6040" s="3">
        <v>3323</v>
      </c>
      <c r="N6040" s="3">
        <v>0</v>
      </c>
    </row>
    <row r="6041" spans="1:14" x14ac:dyDescent="0.2">
      <c r="A6041" s="5" t="str">
        <f>HYPERLINK("http://www.ncbi.nlm.nih.gov/protein/257196183","Puf60")</f>
        <v>Puf60</v>
      </c>
      <c r="B6041" s="4"/>
      <c r="C6041" s="3">
        <v>64089</v>
      </c>
      <c r="D6041" s="3">
        <v>8559</v>
      </c>
      <c r="E6041" s="3">
        <v>25364</v>
      </c>
      <c r="F6041" s="3">
        <v>3299</v>
      </c>
      <c r="G6041" s="3">
        <v>6479</v>
      </c>
      <c r="H6041" s="2">
        <f t="shared" si="188"/>
        <v>107790</v>
      </c>
      <c r="I6041" t="str">
        <f t="shared" si="189"/>
        <v>Puf60_107790</v>
      </c>
      <c r="J6041" s="3">
        <v>64089</v>
      </c>
      <c r="K6041" s="3">
        <v>8559</v>
      </c>
      <c r="L6041" s="3">
        <v>25364</v>
      </c>
      <c r="M6041" s="3">
        <v>3299</v>
      </c>
      <c r="N6041" s="3">
        <v>6479</v>
      </c>
    </row>
    <row r="6042" spans="1:14" x14ac:dyDescent="0.2">
      <c r="A6042" s="5" t="str">
        <f>HYPERLINK("http://www.ncbi.nlm.nih.gov/protein/257196186","Puf60")</f>
        <v>Puf60</v>
      </c>
      <c r="B6042" s="4"/>
      <c r="C6042" s="3">
        <v>64089</v>
      </c>
      <c r="D6042" s="3">
        <v>8565</v>
      </c>
      <c r="E6042" s="3">
        <v>26387</v>
      </c>
      <c r="F6042" s="3">
        <v>3299</v>
      </c>
      <c r="G6042" s="3">
        <v>6479</v>
      </c>
      <c r="H6042" s="2">
        <f t="shared" si="188"/>
        <v>108819</v>
      </c>
      <c r="I6042" t="str">
        <f t="shared" si="189"/>
        <v>Puf60_108819</v>
      </c>
      <c r="J6042" s="3">
        <v>64089</v>
      </c>
      <c r="K6042" s="3">
        <v>8565</v>
      </c>
      <c r="L6042" s="3">
        <v>26387</v>
      </c>
      <c r="M6042" s="3">
        <v>3299</v>
      </c>
      <c r="N6042" s="3">
        <v>6479</v>
      </c>
    </row>
    <row r="6043" spans="1:14" x14ac:dyDescent="0.2">
      <c r="A6043" s="5" t="str">
        <f>HYPERLINK("http://www.ncbi.nlm.nih.gov/protein/76677895","Puf60")</f>
        <v>Puf60</v>
      </c>
      <c r="B6043" s="4"/>
      <c r="C6043" s="3">
        <v>64089</v>
      </c>
      <c r="D6043" s="3">
        <v>8565</v>
      </c>
      <c r="E6043" s="3">
        <v>26387</v>
      </c>
      <c r="F6043" s="3">
        <v>3299</v>
      </c>
      <c r="G6043" s="3">
        <v>6479</v>
      </c>
      <c r="H6043" s="2">
        <f t="shared" si="188"/>
        <v>108819</v>
      </c>
      <c r="I6043" t="str">
        <f t="shared" si="189"/>
        <v>Puf60_108819</v>
      </c>
      <c r="J6043" s="3">
        <v>64089</v>
      </c>
      <c r="K6043" s="3">
        <v>8565</v>
      </c>
      <c r="L6043" s="3">
        <v>26387</v>
      </c>
      <c r="M6043" s="3">
        <v>3299</v>
      </c>
      <c r="N6043" s="3">
        <v>6479</v>
      </c>
    </row>
    <row r="6044" spans="1:14" x14ac:dyDescent="0.2">
      <c r="A6044" s="5" t="str">
        <f>HYPERLINK("http://www.ncbi.nlm.nih.gov/protein/227430380","Pum1")</f>
        <v>Pum1</v>
      </c>
      <c r="B6044" s="4"/>
      <c r="C6044" s="3">
        <v>0</v>
      </c>
      <c r="D6044" s="3">
        <v>0</v>
      </c>
      <c r="E6044" s="3">
        <v>3636</v>
      </c>
      <c r="F6044" s="3">
        <v>8</v>
      </c>
      <c r="G6044" s="3">
        <v>0</v>
      </c>
      <c r="H6044" s="2">
        <f t="shared" si="188"/>
        <v>3644</v>
      </c>
      <c r="I6044" t="str">
        <f t="shared" si="189"/>
        <v>Pum1_3644</v>
      </c>
      <c r="J6044" s="3">
        <v>0</v>
      </c>
      <c r="K6044" s="3">
        <v>0</v>
      </c>
      <c r="L6044" s="3">
        <v>3636</v>
      </c>
      <c r="M6044" s="3">
        <v>8</v>
      </c>
      <c r="N6044" s="3">
        <v>0</v>
      </c>
    </row>
    <row r="6045" spans="1:14" x14ac:dyDescent="0.2">
      <c r="A6045" s="5" t="str">
        <f>HYPERLINK("http://www.ncbi.nlm.nih.gov/protein/227430382","Pum1")</f>
        <v>Pum1</v>
      </c>
      <c r="B6045" s="4"/>
      <c r="C6045" s="3">
        <v>0</v>
      </c>
      <c r="D6045" s="3">
        <v>0</v>
      </c>
      <c r="E6045" s="3">
        <v>3636</v>
      </c>
      <c r="F6045" s="3">
        <v>8</v>
      </c>
      <c r="G6045" s="3">
        <v>0</v>
      </c>
      <c r="H6045" s="2">
        <f t="shared" si="188"/>
        <v>3644</v>
      </c>
      <c r="I6045" t="str">
        <f t="shared" si="189"/>
        <v>Pum1_3644</v>
      </c>
      <c r="J6045" s="3">
        <v>0</v>
      </c>
      <c r="K6045" s="3">
        <v>0</v>
      </c>
      <c r="L6045" s="3">
        <v>3636</v>
      </c>
      <c r="M6045" s="3">
        <v>8</v>
      </c>
      <c r="N6045" s="3">
        <v>0</v>
      </c>
    </row>
    <row r="6046" spans="1:14" x14ac:dyDescent="0.2">
      <c r="A6046" s="5" t="str">
        <f>HYPERLINK("http://www.ncbi.nlm.nih.gov/protein/227430384","Pum1")</f>
        <v>Pum1</v>
      </c>
      <c r="B6046" s="4"/>
      <c r="C6046" s="3">
        <v>0</v>
      </c>
      <c r="D6046" s="3">
        <v>0</v>
      </c>
      <c r="E6046" s="3">
        <v>3636</v>
      </c>
      <c r="F6046" s="3">
        <v>8</v>
      </c>
      <c r="G6046" s="3">
        <v>0</v>
      </c>
      <c r="H6046" s="2">
        <f t="shared" si="188"/>
        <v>3644</v>
      </c>
      <c r="I6046" t="str">
        <f t="shared" si="189"/>
        <v>Pum1_3644</v>
      </c>
      <c r="J6046" s="3">
        <v>0</v>
      </c>
      <c r="K6046" s="3">
        <v>0</v>
      </c>
      <c r="L6046" s="3">
        <v>3636</v>
      </c>
      <c r="M6046" s="3">
        <v>8</v>
      </c>
      <c r="N6046" s="3">
        <v>0</v>
      </c>
    </row>
    <row r="6047" spans="1:14" x14ac:dyDescent="0.2">
      <c r="A6047" s="5" t="str">
        <f>HYPERLINK("http://www.ncbi.nlm.nih.gov/protein/227430386","Pum1")</f>
        <v>Pum1</v>
      </c>
      <c r="B6047" s="4"/>
      <c r="C6047" s="3">
        <v>0</v>
      </c>
      <c r="D6047" s="3">
        <v>0</v>
      </c>
      <c r="E6047" s="3">
        <v>3636</v>
      </c>
      <c r="F6047" s="3">
        <v>8</v>
      </c>
      <c r="G6047" s="3">
        <v>0</v>
      </c>
      <c r="H6047" s="2">
        <f t="shared" si="188"/>
        <v>3644</v>
      </c>
      <c r="I6047" t="str">
        <f t="shared" si="189"/>
        <v>Pum1_3644</v>
      </c>
      <c r="J6047" s="3">
        <v>0</v>
      </c>
      <c r="K6047" s="3">
        <v>0</v>
      </c>
      <c r="L6047" s="3">
        <v>3636</v>
      </c>
      <c r="M6047" s="3">
        <v>8</v>
      </c>
      <c r="N6047" s="3">
        <v>0</v>
      </c>
    </row>
    <row r="6048" spans="1:14" x14ac:dyDescent="0.2">
      <c r="A6048" s="5" t="str">
        <f>HYPERLINK("http://www.ncbi.nlm.nih.gov/protein/227430388","Pum1")</f>
        <v>Pum1</v>
      </c>
      <c r="B6048" s="4"/>
      <c r="C6048" s="3">
        <v>0</v>
      </c>
      <c r="D6048" s="3">
        <v>0</v>
      </c>
      <c r="E6048" s="3">
        <v>3636</v>
      </c>
      <c r="F6048" s="3">
        <v>8</v>
      </c>
      <c r="G6048" s="3">
        <v>0</v>
      </c>
      <c r="H6048" s="2">
        <f t="shared" si="188"/>
        <v>3644</v>
      </c>
      <c r="I6048" t="str">
        <f t="shared" si="189"/>
        <v>Pum1_3644</v>
      </c>
      <c r="J6048" s="3">
        <v>0</v>
      </c>
      <c r="K6048" s="3">
        <v>0</v>
      </c>
      <c r="L6048" s="3">
        <v>3636</v>
      </c>
      <c r="M6048" s="3">
        <v>8</v>
      </c>
      <c r="N6048" s="3">
        <v>0</v>
      </c>
    </row>
    <row r="6049" spans="1:14" x14ac:dyDescent="0.2">
      <c r="A6049" s="5" t="str">
        <f>HYPERLINK("http://www.ncbi.nlm.nih.gov/protein/237649081;237649070","Pum2")</f>
        <v>Pum2</v>
      </c>
      <c r="B6049" s="4"/>
      <c r="C6049" s="3">
        <v>0</v>
      </c>
      <c r="D6049" s="3">
        <v>0</v>
      </c>
      <c r="E6049" s="3">
        <v>9728</v>
      </c>
      <c r="F6049" s="3">
        <v>0</v>
      </c>
      <c r="G6049" s="3">
        <v>0</v>
      </c>
      <c r="H6049" s="2">
        <f t="shared" si="188"/>
        <v>9728</v>
      </c>
      <c r="I6049" t="str">
        <f t="shared" si="189"/>
        <v>Pum2_9728</v>
      </c>
      <c r="J6049" s="3">
        <v>0</v>
      </c>
      <c r="K6049" s="3">
        <v>0</v>
      </c>
      <c r="L6049" s="3">
        <v>9728</v>
      </c>
      <c r="M6049" s="3">
        <v>0</v>
      </c>
      <c r="N6049" s="3">
        <v>0</v>
      </c>
    </row>
    <row r="6050" spans="1:14" x14ac:dyDescent="0.2">
      <c r="A6050" s="5" t="str">
        <f>HYPERLINK("http://www.ncbi.nlm.nih.gov/protein/237649085;237649083","Pum2")</f>
        <v>Pum2</v>
      </c>
      <c r="B6050" s="4"/>
      <c r="C6050" s="3">
        <v>0</v>
      </c>
      <c r="D6050" s="3">
        <v>0</v>
      </c>
      <c r="E6050" s="3">
        <v>12045</v>
      </c>
      <c r="F6050" s="3">
        <v>0</v>
      </c>
      <c r="G6050" s="3">
        <v>0</v>
      </c>
      <c r="H6050" s="2">
        <f t="shared" si="188"/>
        <v>12045</v>
      </c>
      <c r="I6050" t="str">
        <f t="shared" si="189"/>
        <v>Pum2_12045</v>
      </c>
      <c r="J6050" s="3">
        <v>0</v>
      </c>
      <c r="K6050" s="3">
        <v>0</v>
      </c>
      <c r="L6050" s="3">
        <v>12045</v>
      </c>
      <c r="M6050" s="3">
        <v>0</v>
      </c>
      <c r="N6050" s="3">
        <v>0</v>
      </c>
    </row>
    <row r="6051" spans="1:14" x14ac:dyDescent="0.2">
      <c r="A6051" s="5" t="str">
        <f>HYPERLINK("http://www.ncbi.nlm.nih.gov/protein/237649087","Pum2")</f>
        <v>Pum2</v>
      </c>
      <c r="B6051" s="4"/>
      <c r="C6051" s="3">
        <v>0</v>
      </c>
      <c r="D6051" s="3">
        <v>0</v>
      </c>
      <c r="E6051" s="3">
        <v>12012</v>
      </c>
      <c r="F6051" s="3">
        <v>0</v>
      </c>
      <c r="G6051" s="3">
        <v>0</v>
      </c>
      <c r="H6051" s="2">
        <f t="shared" si="188"/>
        <v>12012</v>
      </c>
      <c r="I6051" t="str">
        <f t="shared" si="189"/>
        <v>Pum2_12012</v>
      </c>
      <c r="J6051" s="3">
        <v>0</v>
      </c>
      <c r="K6051" s="3">
        <v>0</v>
      </c>
      <c r="L6051" s="3">
        <v>12012</v>
      </c>
      <c r="M6051" s="3">
        <v>0</v>
      </c>
      <c r="N6051" s="3">
        <v>0</v>
      </c>
    </row>
    <row r="6052" spans="1:14" x14ac:dyDescent="0.2">
      <c r="A6052" s="5" t="str">
        <f>HYPERLINK("http://www.ncbi.nlm.nih.gov/protein/6679573","Pura")</f>
        <v>Pura</v>
      </c>
      <c r="B6052" s="4"/>
      <c r="C6052" s="3">
        <v>1831</v>
      </c>
      <c r="D6052" s="3">
        <v>1943</v>
      </c>
      <c r="E6052" s="3">
        <v>9340</v>
      </c>
      <c r="F6052" s="3">
        <v>17599</v>
      </c>
      <c r="G6052" s="3">
        <v>0</v>
      </c>
      <c r="H6052" s="2">
        <f t="shared" si="188"/>
        <v>30713</v>
      </c>
      <c r="I6052" t="str">
        <f t="shared" si="189"/>
        <v>Pura_30713</v>
      </c>
      <c r="J6052" s="3">
        <v>1831</v>
      </c>
      <c r="K6052" s="3">
        <v>1943</v>
      </c>
      <c r="L6052" s="3">
        <v>9340</v>
      </c>
      <c r="M6052" s="3">
        <v>17599</v>
      </c>
      <c r="N6052" s="3">
        <v>0</v>
      </c>
    </row>
    <row r="6053" spans="1:14" x14ac:dyDescent="0.2">
      <c r="A6053" s="5" t="str">
        <f>HYPERLINK("http://www.ncbi.nlm.nih.gov/protein/6755252","Purb")</f>
        <v>Purb</v>
      </c>
      <c r="B6053" s="4"/>
      <c r="C6053" s="3">
        <v>20759</v>
      </c>
      <c r="D6053" s="3">
        <v>415</v>
      </c>
      <c r="E6053" s="3">
        <v>37994</v>
      </c>
      <c r="F6053" s="3">
        <v>59280</v>
      </c>
      <c r="G6053" s="3">
        <v>71015</v>
      </c>
      <c r="H6053" s="2">
        <f t="shared" si="188"/>
        <v>189463</v>
      </c>
      <c r="I6053" t="str">
        <f t="shared" si="189"/>
        <v>Purb_189463</v>
      </c>
      <c r="J6053" s="3">
        <v>20759</v>
      </c>
      <c r="K6053" s="3">
        <v>415</v>
      </c>
      <c r="L6053" s="3">
        <v>37994</v>
      </c>
      <c r="M6053" s="3">
        <v>59280</v>
      </c>
      <c r="N6053" s="3">
        <v>71015</v>
      </c>
    </row>
    <row r="6054" spans="1:14" x14ac:dyDescent="0.2">
      <c r="A6054" s="5" t="str">
        <f>HYPERLINK("http://www.ncbi.nlm.nih.gov/protein/70906468","Pus1")</f>
        <v>Pus1</v>
      </c>
      <c r="B6054" s="4"/>
      <c r="C6054" s="3">
        <v>0</v>
      </c>
      <c r="D6054" s="3">
        <v>1144</v>
      </c>
      <c r="E6054" s="3">
        <v>1438</v>
      </c>
      <c r="F6054" s="3">
        <v>2431</v>
      </c>
      <c r="G6054" s="3">
        <v>22308</v>
      </c>
      <c r="H6054" s="2">
        <f t="shared" si="188"/>
        <v>27321</v>
      </c>
      <c r="I6054" t="str">
        <f t="shared" si="189"/>
        <v>Pus1_27321</v>
      </c>
      <c r="J6054" s="3">
        <v>0</v>
      </c>
      <c r="K6054" s="3">
        <v>1144</v>
      </c>
      <c r="L6054" s="3">
        <v>1438</v>
      </c>
      <c r="M6054" s="3">
        <v>2431</v>
      </c>
      <c r="N6054" s="3">
        <v>22308</v>
      </c>
    </row>
    <row r="6055" spans="1:14" x14ac:dyDescent="0.2">
      <c r="A6055" s="5" t="str">
        <f>HYPERLINK("http://www.ncbi.nlm.nih.gov/protein/70906470","Pus1")</f>
        <v>Pus1</v>
      </c>
      <c r="B6055" s="4"/>
      <c r="C6055" s="3">
        <v>0</v>
      </c>
      <c r="D6055" s="3">
        <v>1144</v>
      </c>
      <c r="E6055" s="3">
        <v>1438</v>
      </c>
      <c r="F6055" s="3">
        <v>2431</v>
      </c>
      <c r="G6055" s="3">
        <v>23604</v>
      </c>
      <c r="H6055" s="2">
        <f t="shared" si="188"/>
        <v>28617</v>
      </c>
      <c r="I6055" t="str">
        <f t="shared" si="189"/>
        <v>Pus1_28617</v>
      </c>
      <c r="J6055" s="3">
        <v>0</v>
      </c>
      <c r="K6055" s="3">
        <v>1144</v>
      </c>
      <c r="L6055" s="3">
        <v>1438</v>
      </c>
      <c r="M6055" s="3">
        <v>2431</v>
      </c>
      <c r="N6055" s="3">
        <v>23604</v>
      </c>
    </row>
    <row r="6056" spans="1:14" x14ac:dyDescent="0.2">
      <c r="A6056" s="5" t="str">
        <f>HYPERLINK("http://www.ncbi.nlm.nih.gov/protein/70906472","Pus1")</f>
        <v>Pus1</v>
      </c>
      <c r="B6056" s="4"/>
      <c r="C6056" s="3">
        <v>0</v>
      </c>
      <c r="D6056" s="3">
        <v>1144</v>
      </c>
      <c r="E6056" s="3">
        <v>1438</v>
      </c>
      <c r="F6056" s="3">
        <v>2431</v>
      </c>
      <c r="G6056" s="3">
        <v>23604</v>
      </c>
      <c r="H6056" s="2">
        <f t="shared" si="188"/>
        <v>28617</v>
      </c>
      <c r="I6056" t="str">
        <f t="shared" si="189"/>
        <v>Pus1_28617</v>
      </c>
      <c r="J6056" s="3">
        <v>0</v>
      </c>
      <c r="K6056" s="3">
        <v>1144</v>
      </c>
      <c r="L6056" s="3">
        <v>1438</v>
      </c>
      <c r="M6056" s="3">
        <v>2431</v>
      </c>
      <c r="N6056" s="3">
        <v>23604</v>
      </c>
    </row>
    <row r="6057" spans="1:14" x14ac:dyDescent="0.2">
      <c r="A6057" s="5" t="str">
        <f>HYPERLINK("http://www.ncbi.nlm.nih.gov/protein/68342034","Pus10")</f>
        <v>Pus10</v>
      </c>
      <c r="B6057" s="4"/>
      <c r="C6057" s="3">
        <v>0</v>
      </c>
      <c r="D6057" s="3">
        <v>0</v>
      </c>
      <c r="E6057" s="3">
        <v>0</v>
      </c>
      <c r="F6057" s="3">
        <v>0</v>
      </c>
      <c r="G6057" s="3">
        <v>2003</v>
      </c>
      <c r="H6057" s="2">
        <f t="shared" si="188"/>
        <v>2003</v>
      </c>
      <c r="I6057" t="str">
        <f t="shared" si="189"/>
        <v>Pus10_2003</v>
      </c>
      <c r="J6057" s="3">
        <v>0</v>
      </c>
      <c r="K6057" s="3">
        <v>0</v>
      </c>
      <c r="L6057" s="3">
        <v>0</v>
      </c>
      <c r="M6057" s="3">
        <v>0</v>
      </c>
      <c r="N6057" s="3">
        <v>2003</v>
      </c>
    </row>
    <row r="6058" spans="1:14" x14ac:dyDescent="0.2">
      <c r="A6058" s="5" t="str">
        <f>HYPERLINK("http://www.ncbi.nlm.nih.gov/protein/89111935","Pus7")</f>
        <v>Pus7</v>
      </c>
      <c r="B6058" s="4"/>
      <c r="C6058" s="3">
        <v>0</v>
      </c>
      <c r="D6058" s="3">
        <v>384</v>
      </c>
      <c r="E6058" s="3">
        <v>452</v>
      </c>
      <c r="F6058" s="3">
        <v>32775</v>
      </c>
      <c r="G6058" s="3">
        <v>11138</v>
      </c>
      <c r="H6058" s="2">
        <f t="shared" si="188"/>
        <v>44749</v>
      </c>
      <c r="I6058" t="str">
        <f t="shared" si="189"/>
        <v>Pus7_44749</v>
      </c>
      <c r="J6058" s="3">
        <v>0</v>
      </c>
      <c r="K6058" s="3">
        <v>384</v>
      </c>
      <c r="L6058" s="3">
        <v>452</v>
      </c>
      <c r="M6058" s="3">
        <v>32775</v>
      </c>
      <c r="N6058" s="3">
        <v>11138</v>
      </c>
    </row>
    <row r="6059" spans="1:14" x14ac:dyDescent="0.2">
      <c r="A6059" s="5" t="str">
        <f>HYPERLINK("http://www.ncbi.nlm.nih.gov/protein/27369583","Pus7l")</f>
        <v>Pus7l</v>
      </c>
      <c r="B6059" s="4"/>
      <c r="C6059" s="3">
        <v>0</v>
      </c>
      <c r="D6059" s="3">
        <v>0</v>
      </c>
      <c r="E6059" s="3">
        <v>0</v>
      </c>
      <c r="F6059" s="3">
        <v>0</v>
      </c>
      <c r="G6059" s="3">
        <v>2035</v>
      </c>
      <c r="H6059" s="2">
        <f t="shared" si="188"/>
        <v>2035</v>
      </c>
      <c r="I6059" t="str">
        <f t="shared" si="189"/>
        <v>Pus7l_2035</v>
      </c>
      <c r="J6059" s="3">
        <v>0</v>
      </c>
      <c r="K6059" s="3">
        <v>0</v>
      </c>
      <c r="L6059" s="3">
        <v>0</v>
      </c>
      <c r="M6059" s="3">
        <v>0</v>
      </c>
      <c r="N6059" s="3">
        <v>2035</v>
      </c>
    </row>
    <row r="6060" spans="1:14" x14ac:dyDescent="0.2">
      <c r="A6060" s="5" t="str">
        <f>HYPERLINK("http://www.ncbi.nlm.nih.gov/protein/241896974","Pusl1")</f>
        <v>Pusl1</v>
      </c>
      <c r="B6060" s="4"/>
      <c r="C6060" s="3">
        <v>0</v>
      </c>
      <c r="D6060" s="3">
        <v>67</v>
      </c>
      <c r="E6060" s="3">
        <v>0</v>
      </c>
      <c r="F6060" s="3">
        <v>0</v>
      </c>
      <c r="G6060" s="3">
        <v>0</v>
      </c>
      <c r="H6060" s="2">
        <f t="shared" si="188"/>
        <v>67</v>
      </c>
      <c r="I6060" t="str">
        <f t="shared" si="189"/>
        <v>Pusl1_67</v>
      </c>
      <c r="J6060" s="3">
        <v>0</v>
      </c>
      <c r="K6060" s="3">
        <v>67</v>
      </c>
      <c r="L6060" s="3">
        <v>0</v>
      </c>
      <c r="M6060" s="3">
        <v>0</v>
      </c>
      <c r="N6060" s="3">
        <v>0</v>
      </c>
    </row>
    <row r="6061" spans="1:14" x14ac:dyDescent="0.2">
      <c r="A6061" s="5" t="str">
        <f>HYPERLINK("http://www.ncbi.nlm.nih.gov/protein/228480273","Pvrl2")</f>
        <v>Pvrl2</v>
      </c>
      <c r="B6061" s="4"/>
      <c r="C6061" s="3">
        <v>0</v>
      </c>
      <c r="D6061" s="3">
        <v>21</v>
      </c>
      <c r="E6061" s="3">
        <v>0</v>
      </c>
      <c r="F6061" s="3">
        <v>0</v>
      </c>
      <c r="G6061" s="3">
        <v>0</v>
      </c>
      <c r="H6061" s="2">
        <f t="shared" si="188"/>
        <v>21</v>
      </c>
      <c r="I6061" t="str">
        <f t="shared" si="189"/>
        <v>Pvrl2_21</v>
      </c>
      <c r="J6061" s="3">
        <v>0</v>
      </c>
      <c r="K6061" s="3">
        <v>21</v>
      </c>
      <c r="L6061" s="3">
        <v>0</v>
      </c>
      <c r="M6061" s="3">
        <v>0</v>
      </c>
      <c r="N6061" s="3">
        <v>0</v>
      </c>
    </row>
    <row r="6062" spans="1:14" x14ac:dyDescent="0.2">
      <c r="A6062" s="5" t="str">
        <f>HYPERLINK("http://www.ncbi.nlm.nih.gov/protein/170014682","Pvrl4")</f>
        <v>Pvrl4</v>
      </c>
      <c r="B6062" s="4"/>
      <c r="C6062" s="3">
        <v>0</v>
      </c>
      <c r="D6062" s="3">
        <v>0</v>
      </c>
      <c r="E6062" s="3">
        <v>0</v>
      </c>
      <c r="F6062" s="3">
        <v>0</v>
      </c>
      <c r="G6062" s="3">
        <v>1810</v>
      </c>
      <c r="H6062" s="2">
        <f t="shared" si="188"/>
        <v>1810</v>
      </c>
      <c r="I6062" t="str">
        <f t="shared" si="189"/>
        <v>Pvrl4_1810</v>
      </c>
      <c r="J6062" s="3">
        <v>0</v>
      </c>
      <c r="K6062" s="3">
        <v>0</v>
      </c>
      <c r="L6062" s="3">
        <v>0</v>
      </c>
      <c r="M6062" s="3">
        <v>0</v>
      </c>
      <c r="N6062" s="3">
        <v>1810</v>
      </c>
    </row>
    <row r="6063" spans="1:14" x14ac:dyDescent="0.2">
      <c r="A6063" s="5" t="str">
        <f>HYPERLINK("http://www.ncbi.nlm.nih.gov/protein/170014686","Pvrl4")</f>
        <v>Pvrl4</v>
      </c>
      <c r="B6063" s="4"/>
      <c r="C6063" s="3">
        <v>0</v>
      </c>
      <c r="D6063" s="3">
        <v>0</v>
      </c>
      <c r="E6063" s="3">
        <v>0</v>
      </c>
      <c r="F6063" s="3">
        <v>0</v>
      </c>
      <c r="G6063" s="3">
        <v>1810</v>
      </c>
      <c r="H6063" s="2">
        <f t="shared" si="188"/>
        <v>1810</v>
      </c>
      <c r="I6063" t="str">
        <f t="shared" si="189"/>
        <v>Pvrl4_1810</v>
      </c>
      <c r="J6063" s="3">
        <v>0</v>
      </c>
      <c r="K6063" s="3">
        <v>0</v>
      </c>
      <c r="L6063" s="3">
        <v>0</v>
      </c>
      <c r="M6063" s="3">
        <v>0</v>
      </c>
      <c r="N6063" s="3">
        <v>1810</v>
      </c>
    </row>
    <row r="6064" spans="1:14" x14ac:dyDescent="0.2">
      <c r="A6064" s="5" t="str">
        <f>HYPERLINK("http://www.ncbi.nlm.nih.gov/protein/284005509","Pwp1")</f>
        <v>Pwp1</v>
      </c>
      <c r="B6064" s="4"/>
      <c r="C6064" s="3">
        <v>0</v>
      </c>
      <c r="D6064" s="3">
        <v>0</v>
      </c>
      <c r="E6064" s="3">
        <v>702</v>
      </c>
      <c r="F6064" s="3">
        <v>0</v>
      </c>
      <c r="G6064" s="3">
        <v>2046</v>
      </c>
      <c r="H6064" s="2">
        <f t="shared" si="188"/>
        <v>2748</v>
      </c>
      <c r="I6064" t="str">
        <f t="shared" si="189"/>
        <v>Pwp1_2748</v>
      </c>
      <c r="J6064" s="3">
        <v>0</v>
      </c>
      <c r="K6064" s="3">
        <v>0</v>
      </c>
      <c r="L6064" s="3">
        <v>702</v>
      </c>
      <c r="M6064" s="3">
        <v>0</v>
      </c>
      <c r="N6064" s="3">
        <v>2046</v>
      </c>
    </row>
    <row r="6065" spans="1:14" x14ac:dyDescent="0.2">
      <c r="A6065" s="5" t="str">
        <f>HYPERLINK("http://www.ncbi.nlm.nih.gov/protein/407262659","Pwp2")</f>
        <v>Pwp2</v>
      </c>
      <c r="B6065" s="4"/>
      <c r="C6065" s="3">
        <v>0</v>
      </c>
      <c r="D6065" s="3">
        <v>0</v>
      </c>
      <c r="E6065" s="3">
        <v>123</v>
      </c>
      <c r="F6065" s="3">
        <v>57</v>
      </c>
      <c r="G6065" s="3">
        <v>0</v>
      </c>
      <c r="H6065" s="2">
        <f t="shared" si="188"/>
        <v>180</v>
      </c>
      <c r="I6065" t="str">
        <f t="shared" si="189"/>
        <v>Pwp2_180</v>
      </c>
      <c r="J6065" s="3">
        <v>0</v>
      </c>
      <c r="K6065" s="3">
        <v>0</v>
      </c>
      <c r="L6065" s="3">
        <v>123</v>
      </c>
      <c r="M6065" s="3">
        <v>57</v>
      </c>
      <c r="N6065" s="3">
        <v>0</v>
      </c>
    </row>
    <row r="6066" spans="1:14" x14ac:dyDescent="0.2">
      <c r="A6066" s="5" t="str">
        <f>HYPERLINK("http://www.ncbi.nlm.nih.gov/protein/407262661","Pwp2")</f>
        <v>Pwp2</v>
      </c>
      <c r="B6066" s="4"/>
      <c r="C6066" s="3">
        <v>0</v>
      </c>
      <c r="D6066" s="3">
        <v>0</v>
      </c>
      <c r="E6066" s="3">
        <v>123</v>
      </c>
      <c r="F6066" s="3">
        <v>57</v>
      </c>
      <c r="G6066" s="3">
        <v>0</v>
      </c>
      <c r="H6066" s="2">
        <f t="shared" si="188"/>
        <v>180</v>
      </c>
      <c r="I6066" t="str">
        <f t="shared" si="189"/>
        <v>Pwp2_180</v>
      </c>
      <c r="J6066" s="3">
        <v>0</v>
      </c>
      <c r="K6066" s="3">
        <v>0</v>
      </c>
      <c r="L6066" s="3">
        <v>123</v>
      </c>
      <c r="M6066" s="3">
        <v>57</v>
      </c>
      <c r="N6066" s="3">
        <v>0</v>
      </c>
    </row>
    <row r="6067" spans="1:14" x14ac:dyDescent="0.2">
      <c r="A6067" s="5" t="str">
        <f>HYPERLINK("http://www.ncbi.nlm.nih.gov/protein/268370173","Pxdn")</f>
        <v>Pxdn</v>
      </c>
      <c r="B6067" s="4"/>
      <c r="C6067" s="3">
        <v>0</v>
      </c>
      <c r="D6067" s="3">
        <v>50</v>
      </c>
      <c r="E6067" s="3">
        <v>53</v>
      </c>
      <c r="F6067" s="3">
        <v>0</v>
      </c>
      <c r="G6067" s="3">
        <v>0</v>
      </c>
      <c r="H6067" s="2">
        <f t="shared" si="188"/>
        <v>103</v>
      </c>
      <c r="I6067" t="str">
        <f t="shared" si="189"/>
        <v>Pxdn_103</v>
      </c>
      <c r="J6067" s="3">
        <v>0</v>
      </c>
      <c r="K6067" s="3">
        <v>50</v>
      </c>
      <c r="L6067" s="3">
        <v>53</v>
      </c>
      <c r="M6067" s="3">
        <v>0</v>
      </c>
      <c r="N6067" s="3">
        <v>0</v>
      </c>
    </row>
    <row r="6068" spans="1:14" x14ac:dyDescent="0.2">
      <c r="A6068" s="5" t="str">
        <f>HYPERLINK("http://www.ncbi.nlm.nih.gov/protein/254692828","Pxk")</f>
        <v>Pxk</v>
      </c>
      <c r="B6068" s="4"/>
      <c r="C6068" s="3">
        <v>0</v>
      </c>
      <c r="D6068" s="3">
        <v>200</v>
      </c>
      <c r="E6068" s="3">
        <v>309</v>
      </c>
      <c r="F6068" s="3">
        <v>0</v>
      </c>
      <c r="G6068" s="3">
        <v>0</v>
      </c>
      <c r="H6068" s="2">
        <f t="shared" si="188"/>
        <v>509</v>
      </c>
      <c r="I6068" t="str">
        <f t="shared" si="189"/>
        <v>Pxk_509</v>
      </c>
      <c r="J6068" s="3">
        <v>0</v>
      </c>
      <c r="K6068" s="3">
        <v>200</v>
      </c>
      <c r="L6068" s="3">
        <v>309</v>
      </c>
      <c r="M6068" s="3">
        <v>0</v>
      </c>
      <c r="N6068" s="3">
        <v>0</v>
      </c>
    </row>
    <row r="6069" spans="1:14" x14ac:dyDescent="0.2">
      <c r="A6069" s="5" t="str">
        <f>HYPERLINK("http://www.ncbi.nlm.nih.gov/protein/72535128","Pxk")</f>
        <v>Pxk</v>
      </c>
      <c r="B6069" s="4"/>
      <c r="C6069" s="3">
        <v>0</v>
      </c>
      <c r="D6069" s="3">
        <v>200</v>
      </c>
      <c r="E6069" s="3">
        <v>139</v>
      </c>
      <c r="F6069" s="3">
        <v>0</v>
      </c>
      <c r="G6069" s="3">
        <v>0</v>
      </c>
      <c r="H6069" s="2">
        <f t="shared" si="188"/>
        <v>339</v>
      </c>
      <c r="I6069" t="str">
        <f t="shared" si="189"/>
        <v>Pxk_339</v>
      </c>
      <c r="J6069" s="3">
        <v>0</v>
      </c>
      <c r="K6069" s="3">
        <v>200</v>
      </c>
      <c r="L6069" s="3">
        <v>139</v>
      </c>
      <c r="M6069" s="3">
        <v>0</v>
      </c>
      <c r="N6069" s="3">
        <v>0</v>
      </c>
    </row>
    <row r="6070" spans="1:14" x14ac:dyDescent="0.2">
      <c r="A6070" s="5" t="str">
        <f>HYPERLINK("http://www.ncbi.nlm.nih.gov/protein/10946966","Pxmp4")</f>
        <v>Pxmp4</v>
      </c>
      <c r="B6070" s="4"/>
      <c r="C6070" s="3">
        <v>128</v>
      </c>
      <c r="D6070" s="3">
        <v>459</v>
      </c>
      <c r="E6070" s="3">
        <v>120</v>
      </c>
      <c r="F6070" s="3">
        <v>4355</v>
      </c>
      <c r="G6070" s="3">
        <v>0</v>
      </c>
      <c r="H6070" s="2">
        <f t="shared" si="188"/>
        <v>5062</v>
      </c>
      <c r="I6070" t="str">
        <f t="shared" si="189"/>
        <v>Pxmp4_5062</v>
      </c>
      <c r="J6070" s="3">
        <v>128</v>
      </c>
      <c r="K6070" s="3">
        <v>459</v>
      </c>
      <c r="L6070" s="3">
        <v>120</v>
      </c>
      <c r="M6070" s="3">
        <v>4355</v>
      </c>
      <c r="N6070" s="3">
        <v>0</v>
      </c>
    </row>
    <row r="6071" spans="1:14" x14ac:dyDescent="0.2">
      <c r="A6071" s="5" t="str">
        <f>HYPERLINK("http://www.ncbi.nlm.nih.gov/protein/114326502","Pxn")</f>
        <v>Pxn</v>
      </c>
      <c r="B6071" s="4"/>
      <c r="C6071" s="3">
        <v>0</v>
      </c>
      <c r="D6071" s="3">
        <v>0</v>
      </c>
      <c r="E6071" s="3">
        <v>44</v>
      </c>
      <c r="F6071" s="3">
        <v>0</v>
      </c>
      <c r="G6071" s="3">
        <v>10035</v>
      </c>
      <c r="H6071" s="2">
        <f t="shared" si="188"/>
        <v>10079</v>
      </c>
      <c r="I6071" t="str">
        <f t="shared" si="189"/>
        <v>Pxn_10079</v>
      </c>
      <c r="J6071" s="3">
        <v>0</v>
      </c>
      <c r="K6071" s="3">
        <v>0</v>
      </c>
      <c r="L6071" s="3">
        <v>44</v>
      </c>
      <c r="M6071" s="3">
        <v>0</v>
      </c>
      <c r="N6071" s="3">
        <v>10035</v>
      </c>
    </row>
    <row r="6072" spans="1:14" x14ac:dyDescent="0.2">
      <c r="A6072" s="5" t="str">
        <f>HYPERLINK("http://www.ncbi.nlm.nih.gov/protein/21281693","Pxn")</f>
        <v>Pxn</v>
      </c>
      <c r="B6072" s="4"/>
      <c r="C6072" s="3">
        <v>0</v>
      </c>
      <c r="D6072" s="3">
        <v>0</v>
      </c>
      <c r="E6072" s="3">
        <v>44</v>
      </c>
      <c r="F6072" s="3">
        <v>0</v>
      </c>
      <c r="G6072" s="3">
        <v>9885</v>
      </c>
      <c r="H6072" s="2">
        <f t="shared" si="188"/>
        <v>9929</v>
      </c>
      <c r="I6072" t="str">
        <f t="shared" si="189"/>
        <v>Pxn_9929</v>
      </c>
      <c r="J6072" s="3">
        <v>0</v>
      </c>
      <c r="K6072" s="3">
        <v>0</v>
      </c>
      <c r="L6072" s="3">
        <v>44</v>
      </c>
      <c r="M6072" s="3">
        <v>0</v>
      </c>
      <c r="N6072" s="3">
        <v>9885</v>
      </c>
    </row>
    <row r="6073" spans="1:14" x14ac:dyDescent="0.2">
      <c r="A6073" s="5" t="str">
        <f>HYPERLINK("http://www.ncbi.nlm.nih.gov/protein/21450149","Pycr1")</f>
        <v>Pycr1</v>
      </c>
      <c r="B6073" s="4"/>
      <c r="C6073" s="3">
        <v>181339</v>
      </c>
      <c r="D6073" s="3">
        <v>10964</v>
      </c>
      <c r="E6073" s="3">
        <v>8464</v>
      </c>
      <c r="F6073" s="3">
        <v>4731</v>
      </c>
      <c r="G6073" s="3">
        <v>129</v>
      </c>
      <c r="H6073" s="2">
        <f t="shared" si="188"/>
        <v>205627</v>
      </c>
      <c r="I6073" t="str">
        <f t="shared" si="189"/>
        <v>Pycr1_205627</v>
      </c>
      <c r="J6073" s="3">
        <v>181339</v>
      </c>
      <c r="K6073" s="3">
        <v>10964</v>
      </c>
      <c r="L6073" s="3">
        <v>8464</v>
      </c>
      <c r="M6073" s="3">
        <v>4731</v>
      </c>
      <c r="N6073" s="3">
        <v>129</v>
      </c>
    </row>
    <row r="6074" spans="1:14" x14ac:dyDescent="0.2">
      <c r="A6074" s="5" t="str">
        <f>HYPERLINK("http://www.ncbi.nlm.nih.gov/protein/19526878","Pycr2")</f>
        <v>Pycr2</v>
      </c>
      <c r="B6074" s="4"/>
      <c r="C6074" s="3">
        <v>533218</v>
      </c>
      <c r="D6074" s="3">
        <v>63878</v>
      </c>
      <c r="E6074" s="3">
        <v>12353</v>
      </c>
      <c r="F6074" s="3">
        <v>14202</v>
      </c>
      <c r="G6074" s="3">
        <v>129</v>
      </c>
      <c r="H6074" s="2">
        <f t="shared" si="188"/>
        <v>623780</v>
      </c>
      <c r="I6074" t="str">
        <f t="shared" si="189"/>
        <v>Pycr2_623780</v>
      </c>
      <c r="J6074" s="3">
        <v>533218</v>
      </c>
      <c r="K6074" s="3">
        <v>63878</v>
      </c>
      <c r="L6074" s="3">
        <v>12353</v>
      </c>
      <c r="M6074" s="3">
        <v>14202</v>
      </c>
      <c r="N6074" s="3">
        <v>129</v>
      </c>
    </row>
    <row r="6075" spans="1:14" x14ac:dyDescent="0.2">
      <c r="A6075" s="5" t="str">
        <f>HYPERLINK("http://www.ncbi.nlm.nih.gov/protein/119508439","Pycrl")</f>
        <v>Pycrl</v>
      </c>
      <c r="B6075" s="4"/>
      <c r="C6075" s="3">
        <v>0</v>
      </c>
      <c r="D6075" s="3">
        <v>58</v>
      </c>
      <c r="E6075" s="3">
        <v>1447</v>
      </c>
      <c r="F6075" s="3">
        <v>22813</v>
      </c>
      <c r="G6075" s="3">
        <v>38126</v>
      </c>
      <c r="H6075" s="2">
        <f t="shared" si="188"/>
        <v>62444</v>
      </c>
      <c r="I6075" t="str">
        <f t="shared" si="189"/>
        <v>Pycrl_62444</v>
      </c>
      <c r="J6075" s="3">
        <v>0</v>
      </c>
      <c r="K6075" s="3">
        <v>58</v>
      </c>
      <c r="L6075" s="3">
        <v>1447</v>
      </c>
      <c r="M6075" s="3">
        <v>22813</v>
      </c>
      <c r="N6075" s="3">
        <v>38126</v>
      </c>
    </row>
    <row r="6076" spans="1:14" x14ac:dyDescent="0.2">
      <c r="A6076" s="5" t="str">
        <f>HYPERLINK("http://www.ncbi.nlm.nih.gov/protein/24418919","Pygb")</f>
        <v>Pygb</v>
      </c>
      <c r="B6076" s="4"/>
      <c r="C6076" s="3">
        <v>12173</v>
      </c>
      <c r="D6076" s="3">
        <v>17792</v>
      </c>
      <c r="E6076" s="3">
        <v>44596</v>
      </c>
      <c r="F6076" s="3">
        <v>348959</v>
      </c>
      <c r="G6076" s="3">
        <v>442356</v>
      </c>
      <c r="H6076" s="2">
        <f t="shared" si="188"/>
        <v>865876</v>
      </c>
      <c r="I6076" t="str">
        <f t="shared" si="189"/>
        <v>Pygb_865876</v>
      </c>
      <c r="J6076" s="3">
        <v>12173</v>
      </c>
      <c r="K6076" s="3">
        <v>17792</v>
      </c>
      <c r="L6076" s="3">
        <v>44596</v>
      </c>
      <c r="M6076" s="3">
        <v>348959</v>
      </c>
      <c r="N6076" s="3">
        <v>442356</v>
      </c>
    </row>
    <row r="6077" spans="1:14" x14ac:dyDescent="0.2">
      <c r="A6077" s="5" t="str">
        <f>HYPERLINK("http://www.ncbi.nlm.nih.gov/protein/268836255","Pygl")</f>
        <v>Pygl</v>
      </c>
      <c r="B6077" s="4"/>
      <c r="C6077" s="3">
        <v>0</v>
      </c>
      <c r="D6077" s="3">
        <v>2334</v>
      </c>
      <c r="E6077" s="3">
        <v>7630</v>
      </c>
      <c r="F6077" s="3">
        <v>58560</v>
      </c>
      <c r="G6077" s="3">
        <v>102768</v>
      </c>
      <c r="H6077" s="2">
        <f t="shared" si="188"/>
        <v>171292</v>
      </c>
      <c r="I6077" t="str">
        <f t="shared" si="189"/>
        <v>Pygl_171292</v>
      </c>
      <c r="J6077" s="3">
        <v>0</v>
      </c>
      <c r="K6077" s="3">
        <v>2334</v>
      </c>
      <c r="L6077" s="3">
        <v>7630</v>
      </c>
      <c r="M6077" s="3">
        <v>58560</v>
      </c>
      <c r="N6077" s="3">
        <v>102768</v>
      </c>
    </row>
    <row r="6078" spans="1:14" x14ac:dyDescent="0.2">
      <c r="A6078" s="5" t="str">
        <f>HYPERLINK("http://www.ncbi.nlm.nih.gov/protein/6755256","Pygm")</f>
        <v>Pygm</v>
      </c>
      <c r="B6078" s="4"/>
      <c r="C6078" s="3">
        <v>0</v>
      </c>
      <c r="D6078" s="3">
        <v>2179</v>
      </c>
      <c r="E6078" s="3">
        <v>11464</v>
      </c>
      <c r="F6078" s="3">
        <v>94551</v>
      </c>
      <c r="G6078" s="3">
        <v>204862</v>
      </c>
      <c r="H6078" s="2">
        <f t="shared" si="188"/>
        <v>313056</v>
      </c>
      <c r="I6078" t="str">
        <f t="shared" si="189"/>
        <v>Pygm_313056</v>
      </c>
      <c r="J6078" s="3">
        <v>0</v>
      </c>
      <c r="K6078" s="3">
        <v>2179</v>
      </c>
      <c r="L6078" s="3">
        <v>11464</v>
      </c>
      <c r="M6078" s="3">
        <v>94551</v>
      </c>
      <c r="N6078" s="3">
        <v>204862</v>
      </c>
    </row>
    <row r="6079" spans="1:14" x14ac:dyDescent="0.2">
      <c r="A6079" s="5" t="str">
        <f>HYPERLINK("http://www.ncbi.nlm.nih.gov/protein/269954677","Qars")</f>
        <v>Qars</v>
      </c>
      <c r="B6079" s="4"/>
      <c r="C6079" s="3">
        <v>0</v>
      </c>
      <c r="D6079" s="3">
        <v>3002</v>
      </c>
      <c r="E6079" s="3">
        <v>6835</v>
      </c>
      <c r="F6079" s="3">
        <v>460536</v>
      </c>
      <c r="G6079" s="3">
        <v>12444</v>
      </c>
      <c r="H6079" s="2">
        <f t="shared" si="188"/>
        <v>482817</v>
      </c>
      <c r="I6079" t="str">
        <f t="shared" si="189"/>
        <v>Qars_482817</v>
      </c>
      <c r="J6079" s="3">
        <v>0</v>
      </c>
      <c r="K6079" s="3">
        <v>3002</v>
      </c>
      <c r="L6079" s="3">
        <v>6835</v>
      </c>
      <c r="M6079" s="3">
        <v>460536</v>
      </c>
      <c r="N6079" s="3">
        <v>12444</v>
      </c>
    </row>
    <row r="6080" spans="1:14" x14ac:dyDescent="0.2">
      <c r="A6080" s="5" t="str">
        <f>HYPERLINK("http://www.ncbi.nlm.nih.gov/protein/269954679","Qars")</f>
        <v>Qars</v>
      </c>
      <c r="B6080" s="4"/>
      <c r="C6080" s="3">
        <v>0</v>
      </c>
      <c r="D6080" s="3">
        <v>2505</v>
      </c>
      <c r="E6080" s="3">
        <v>4409</v>
      </c>
      <c r="F6080" s="3">
        <v>328429</v>
      </c>
      <c r="G6080" s="3">
        <v>9157</v>
      </c>
      <c r="H6080" s="2">
        <f t="shared" si="188"/>
        <v>344500</v>
      </c>
      <c r="I6080" t="str">
        <f t="shared" si="189"/>
        <v>Qars_344500</v>
      </c>
      <c r="J6080" s="3">
        <v>0</v>
      </c>
      <c r="K6080" s="3">
        <v>2505</v>
      </c>
      <c r="L6080" s="3">
        <v>4409</v>
      </c>
      <c r="M6080" s="3">
        <v>328429</v>
      </c>
      <c r="N6080" s="3">
        <v>9157</v>
      </c>
    </row>
    <row r="6081" spans="1:14" x14ac:dyDescent="0.2">
      <c r="A6081" s="5" t="str">
        <f>HYPERLINK("http://www.ncbi.nlm.nih.gov/protein/21312520","Qdpr")</f>
        <v>Qdpr</v>
      </c>
      <c r="B6081" s="4"/>
      <c r="C6081" s="3">
        <v>0</v>
      </c>
      <c r="D6081" s="3">
        <v>743</v>
      </c>
      <c r="E6081" s="3">
        <v>686</v>
      </c>
      <c r="F6081" s="3">
        <v>4142</v>
      </c>
      <c r="G6081" s="3">
        <v>90806</v>
      </c>
      <c r="H6081" s="2">
        <f t="shared" si="188"/>
        <v>96377</v>
      </c>
      <c r="I6081" t="str">
        <f t="shared" si="189"/>
        <v>Qdpr_96377</v>
      </c>
      <c r="J6081" s="3">
        <v>0</v>
      </c>
      <c r="K6081" s="3">
        <v>743</v>
      </c>
      <c r="L6081" s="3">
        <v>686</v>
      </c>
      <c r="M6081" s="3">
        <v>4142</v>
      </c>
      <c r="N6081" s="3">
        <v>90806</v>
      </c>
    </row>
    <row r="6082" spans="1:14" x14ac:dyDescent="0.2">
      <c r="A6082" s="5" t="str">
        <f>HYPERLINK("http://www.ncbi.nlm.nih.gov/protein/11527388","Qk")</f>
        <v>Qk</v>
      </c>
      <c r="B6082" s="4"/>
      <c r="C6082" s="3">
        <v>0</v>
      </c>
      <c r="D6082" s="3">
        <v>0</v>
      </c>
      <c r="E6082" s="3">
        <v>938</v>
      </c>
      <c r="F6082" s="3">
        <v>1130</v>
      </c>
      <c r="G6082" s="3">
        <v>0</v>
      </c>
      <c r="H6082" s="2">
        <f t="shared" ref="H6082:H6145" si="190">SUM(C6082:G6082)</f>
        <v>2068</v>
      </c>
      <c r="I6082" t="str">
        <f t="shared" ref="I6082:I6145" si="191">A6082&amp;"_"&amp;H6082</f>
        <v>Qk_2068</v>
      </c>
      <c r="J6082" s="3">
        <v>0</v>
      </c>
      <c r="K6082" s="3">
        <v>0</v>
      </c>
      <c r="L6082" s="3">
        <v>938</v>
      </c>
      <c r="M6082" s="3">
        <v>1130</v>
      </c>
      <c r="N6082" s="3">
        <v>0</v>
      </c>
    </row>
    <row r="6083" spans="1:14" x14ac:dyDescent="0.2">
      <c r="A6083" s="5" t="str">
        <f>HYPERLINK("http://www.ncbi.nlm.nih.gov/protein/226958438","Qk")</f>
        <v>Qk</v>
      </c>
      <c r="B6083" s="4"/>
      <c r="C6083" s="3">
        <v>0</v>
      </c>
      <c r="D6083" s="3">
        <v>0</v>
      </c>
      <c r="E6083" s="3">
        <v>938</v>
      </c>
      <c r="F6083" s="3">
        <v>1130</v>
      </c>
      <c r="G6083" s="3">
        <v>0</v>
      </c>
      <c r="H6083" s="2">
        <f t="shared" si="190"/>
        <v>2068</v>
      </c>
      <c r="I6083" t="str">
        <f t="shared" si="191"/>
        <v>Qk_2068</v>
      </c>
      <c r="J6083" s="3">
        <v>0</v>
      </c>
      <c r="K6083" s="3">
        <v>0</v>
      </c>
      <c r="L6083" s="3">
        <v>938</v>
      </c>
      <c r="M6083" s="3">
        <v>1130</v>
      </c>
      <c r="N6083" s="3">
        <v>0</v>
      </c>
    </row>
    <row r="6084" spans="1:14" x14ac:dyDescent="0.2">
      <c r="A6084" s="5" t="str">
        <f>HYPERLINK("http://www.ncbi.nlm.nih.gov/protein/226958440","Qk")</f>
        <v>Qk</v>
      </c>
      <c r="B6084" s="4"/>
      <c r="C6084" s="3">
        <v>0</v>
      </c>
      <c r="D6084" s="3">
        <v>0</v>
      </c>
      <c r="E6084" s="3">
        <v>938</v>
      </c>
      <c r="F6084" s="3">
        <v>1130</v>
      </c>
      <c r="G6084" s="3">
        <v>0</v>
      </c>
      <c r="H6084" s="2">
        <f t="shared" si="190"/>
        <v>2068</v>
      </c>
      <c r="I6084" t="str">
        <f t="shared" si="191"/>
        <v>Qk_2068</v>
      </c>
      <c r="J6084" s="3">
        <v>0</v>
      </c>
      <c r="K6084" s="3">
        <v>0</v>
      </c>
      <c r="L6084" s="3">
        <v>938</v>
      </c>
      <c r="M6084" s="3">
        <v>1130</v>
      </c>
      <c r="N6084" s="3">
        <v>0</v>
      </c>
    </row>
    <row r="6085" spans="1:14" x14ac:dyDescent="0.2">
      <c r="A6085" s="5" t="str">
        <f>HYPERLINK("http://www.ncbi.nlm.nih.gov/protein/166295181","Qrich1")</f>
        <v>Qrich1</v>
      </c>
      <c r="B6085" s="4"/>
      <c r="C6085" s="3">
        <v>0</v>
      </c>
      <c r="D6085" s="3">
        <v>0</v>
      </c>
      <c r="E6085" s="3">
        <v>852</v>
      </c>
      <c r="F6085" s="3">
        <v>0</v>
      </c>
      <c r="G6085" s="3">
        <v>118</v>
      </c>
      <c r="H6085" s="2">
        <f t="shared" si="190"/>
        <v>970</v>
      </c>
      <c r="I6085" t="str">
        <f t="shared" si="191"/>
        <v>Qrich1_970</v>
      </c>
      <c r="J6085" s="3">
        <v>0</v>
      </c>
      <c r="K6085" s="3">
        <v>0</v>
      </c>
      <c r="L6085" s="3">
        <v>852</v>
      </c>
      <c r="M6085" s="3">
        <v>0</v>
      </c>
      <c r="N6085" s="3">
        <v>118</v>
      </c>
    </row>
    <row r="6086" spans="1:14" x14ac:dyDescent="0.2">
      <c r="A6086" s="5" t="str">
        <f>HYPERLINK("http://www.ncbi.nlm.nih.gov/protein/124486688","Qrsl1")</f>
        <v>Qrsl1</v>
      </c>
      <c r="B6086" s="4"/>
      <c r="C6086" s="3">
        <v>0</v>
      </c>
      <c r="D6086" s="3">
        <v>1434</v>
      </c>
      <c r="E6086" s="3">
        <v>0</v>
      </c>
      <c r="F6086" s="3">
        <v>0</v>
      </c>
      <c r="G6086" s="3">
        <v>0</v>
      </c>
      <c r="H6086" s="2">
        <f t="shared" si="190"/>
        <v>1434</v>
      </c>
      <c r="I6086" t="str">
        <f t="shared" si="191"/>
        <v>Qrsl1_1434</v>
      </c>
      <c r="J6086" s="3">
        <v>0</v>
      </c>
      <c r="K6086" s="3">
        <v>1434</v>
      </c>
      <c r="L6086" s="3">
        <v>0</v>
      </c>
      <c r="M6086" s="3">
        <v>0</v>
      </c>
      <c r="N6086" s="3">
        <v>0</v>
      </c>
    </row>
    <row r="6087" spans="1:14" x14ac:dyDescent="0.2">
      <c r="A6087" s="5" t="str">
        <f>HYPERLINK("http://www.ncbi.nlm.nih.gov/protein/158186691","Qtrt1")</f>
        <v>Qtrt1</v>
      </c>
      <c r="B6087" s="4"/>
      <c r="C6087" s="3">
        <v>0</v>
      </c>
      <c r="D6087" s="3">
        <v>0</v>
      </c>
      <c r="E6087" s="3">
        <v>0</v>
      </c>
      <c r="F6087" s="3">
        <v>0</v>
      </c>
      <c r="G6087" s="3">
        <v>12155</v>
      </c>
      <c r="H6087" s="2">
        <f t="shared" si="190"/>
        <v>12155</v>
      </c>
      <c r="I6087" t="str">
        <f t="shared" si="191"/>
        <v>Qtrt1_12155</v>
      </c>
      <c r="J6087" s="3">
        <v>0</v>
      </c>
      <c r="K6087" s="3">
        <v>0</v>
      </c>
      <c r="L6087" s="3">
        <v>0</v>
      </c>
      <c r="M6087" s="3">
        <v>0</v>
      </c>
      <c r="N6087" s="3">
        <v>12155</v>
      </c>
    </row>
    <row r="6088" spans="1:14" x14ac:dyDescent="0.2">
      <c r="A6088" s="5" t="str">
        <f>HYPERLINK("http://www.ncbi.nlm.nih.gov/protein/54144622","Qtrtd1")</f>
        <v>Qtrtd1</v>
      </c>
      <c r="B6088" s="4"/>
      <c r="C6088" s="3">
        <v>0</v>
      </c>
      <c r="D6088" s="3">
        <v>0</v>
      </c>
      <c r="E6088" s="3">
        <v>0</v>
      </c>
      <c r="F6088" s="3">
        <v>0</v>
      </c>
      <c r="G6088" s="3">
        <v>1328</v>
      </c>
      <c r="H6088" s="2">
        <f t="shared" si="190"/>
        <v>1328</v>
      </c>
      <c r="I6088" t="str">
        <f t="shared" si="191"/>
        <v>Qtrtd1_1328</v>
      </c>
      <c r="J6088" s="3">
        <v>0</v>
      </c>
      <c r="K6088" s="3">
        <v>0</v>
      </c>
      <c r="L6088" s="3">
        <v>0</v>
      </c>
      <c r="M6088" s="3">
        <v>0</v>
      </c>
      <c r="N6088" s="3">
        <v>1328</v>
      </c>
    </row>
    <row r="6089" spans="1:14" x14ac:dyDescent="0.2">
      <c r="A6089" s="5" t="str">
        <f>HYPERLINK("http://www.ncbi.nlm.nih.gov/protein/225579031","R3hcc1")</f>
        <v>R3hcc1</v>
      </c>
      <c r="B6089" s="4"/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2">
        <f t="shared" si="190"/>
        <v>0</v>
      </c>
      <c r="I6089" t="str">
        <f t="shared" si="191"/>
        <v>R3hcc1_0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</row>
    <row r="6090" spans="1:14" x14ac:dyDescent="0.2">
      <c r="A6090" s="5" t="str">
        <f>HYPERLINK("http://www.ncbi.nlm.nih.gov/protein/50845430","R3hdm1")</f>
        <v>R3hdm1</v>
      </c>
      <c r="B6090" s="4"/>
      <c r="C6090" s="3">
        <v>0</v>
      </c>
      <c r="D6090" s="3">
        <v>0</v>
      </c>
      <c r="E6090" s="3">
        <v>0</v>
      </c>
      <c r="F6090" s="3">
        <v>0</v>
      </c>
      <c r="G6090" s="3">
        <v>332</v>
      </c>
      <c r="H6090" s="2">
        <f t="shared" si="190"/>
        <v>332</v>
      </c>
      <c r="I6090" t="str">
        <f t="shared" si="191"/>
        <v>R3hdm1_332</v>
      </c>
      <c r="J6090" s="3">
        <v>0</v>
      </c>
      <c r="K6090" s="3">
        <v>0</v>
      </c>
      <c r="L6090" s="3">
        <v>0</v>
      </c>
      <c r="M6090" s="3">
        <v>0</v>
      </c>
      <c r="N6090" s="3">
        <v>332</v>
      </c>
    </row>
    <row r="6091" spans="1:14" x14ac:dyDescent="0.2">
      <c r="A6091" s="5" t="str">
        <f>HYPERLINK("http://www.ncbi.nlm.nih.gov/protein/150010587","R3hdml")</f>
        <v>R3hdml</v>
      </c>
      <c r="B6091" s="4"/>
      <c r="C6091" s="3">
        <v>0</v>
      </c>
      <c r="D6091" s="3">
        <v>0</v>
      </c>
      <c r="E6091" s="3">
        <v>300</v>
      </c>
      <c r="F6091" s="3">
        <v>1915</v>
      </c>
      <c r="G6091" s="3">
        <v>0</v>
      </c>
      <c r="H6091" s="2">
        <f t="shared" si="190"/>
        <v>2215</v>
      </c>
      <c r="I6091" t="str">
        <f t="shared" si="191"/>
        <v>R3hdml_2215</v>
      </c>
      <c r="J6091" s="3">
        <v>0</v>
      </c>
      <c r="K6091" s="3">
        <v>0</v>
      </c>
      <c r="L6091" s="3">
        <v>300</v>
      </c>
      <c r="M6091" s="3">
        <v>1915</v>
      </c>
      <c r="N6091" s="3">
        <v>0</v>
      </c>
    </row>
    <row r="6092" spans="1:14" x14ac:dyDescent="0.2">
      <c r="A6092" s="5" t="str">
        <f>HYPERLINK("http://www.ncbi.nlm.nih.gov/protein/6679587","Rab1")</f>
        <v>Rab1</v>
      </c>
      <c r="B6092" s="4"/>
      <c r="C6092" s="3">
        <v>575871</v>
      </c>
      <c r="D6092" s="3">
        <v>125113</v>
      </c>
      <c r="E6092" s="3">
        <v>51210</v>
      </c>
      <c r="F6092" s="3">
        <v>51815</v>
      </c>
      <c r="G6092" s="3">
        <v>86190</v>
      </c>
      <c r="H6092" s="2">
        <f t="shared" si="190"/>
        <v>890199</v>
      </c>
      <c r="I6092" t="str">
        <f t="shared" si="191"/>
        <v>Rab1_890199</v>
      </c>
      <c r="J6092" s="3">
        <v>575871</v>
      </c>
      <c r="K6092" s="3">
        <v>125113</v>
      </c>
      <c r="L6092" s="3">
        <v>51210</v>
      </c>
      <c r="M6092" s="3">
        <v>51815</v>
      </c>
      <c r="N6092" s="3">
        <v>86190</v>
      </c>
    </row>
    <row r="6093" spans="1:14" x14ac:dyDescent="0.2">
      <c r="A6093" s="5" t="str">
        <f>HYPERLINK("http://www.ncbi.nlm.nih.gov/protein/7710086","Rab10")</f>
        <v>Rab10</v>
      </c>
      <c r="B6093" s="4"/>
      <c r="C6093" s="3">
        <v>575102</v>
      </c>
      <c r="D6093" s="3">
        <v>73725</v>
      </c>
      <c r="E6093" s="3">
        <v>68485</v>
      </c>
      <c r="F6093" s="3">
        <v>43048</v>
      </c>
      <c r="G6093" s="3">
        <v>59331</v>
      </c>
      <c r="H6093" s="2">
        <f t="shared" si="190"/>
        <v>819691</v>
      </c>
      <c r="I6093" t="str">
        <f t="shared" si="191"/>
        <v>Rab10_819691</v>
      </c>
      <c r="J6093" s="3">
        <v>575102</v>
      </c>
      <c r="K6093" s="3">
        <v>73725</v>
      </c>
      <c r="L6093" s="3">
        <v>68485</v>
      </c>
      <c r="M6093" s="3">
        <v>43048</v>
      </c>
      <c r="N6093" s="3">
        <v>59331</v>
      </c>
    </row>
    <row r="6094" spans="1:14" x14ac:dyDescent="0.2">
      <c r="A6094" s="5" t="str">
        <f>HYPERLINK("http://www.ncbi.nlm.nih.gov/protein/31980840","Rab11a")</f>
        <v>Rab11a</v>
      </c>
      <c r="B6094" s="4"/>
      <c r="C6094" s="3">
        <v>168031</v>
      </c>
      <c r="D6094" s="3">
        <v>67907</v>
      </c>
      <c r="E6094" s="3">
        <v>109816</v>
      </c>
      <c r="F6094" s="3">
        <v>77476</v>
      </c>
      <c r="G6094" s="3">
        <v>61665</v>
      </c>
      <c r="H6094" s="2">
        <f t="shared" si="190"/>
        <v>484895</v>
      </c>
      <c r="I6094" t="str">
        <f t="shared" si="191"/>
        <v>Rab11a_484895</v>
      </c>
      <c r="J6094" s="3">
        <v>168031</v>
      </c>
      <c r="K6094" s="3">
        <v>67907</v>
      </c>
      <c r="L6094" s="3">
        <v>109816</v>
      </c>
      <c r="M6094" s="3">
        <v>77476</v>
      </c>
      <c r="N6094" s="3">
        <v>61665</v>
      </c>
    </row>
    <row r="6095" spans="1:14" x14ac:dyDescent="0.2">
      <c r="A6095" s="5" t="str">
        <f>HYPERLINK("http://www.ncbi.nlm.nih.gov/protein/6679583","Rab11b")</f>
        <v>Rab11b</v>
      </c>
      <c r="B6095" s="4"/>
      <c r="C6095" s="3">
        <v>168031</v>
      </c>
      <c r="D6095" s="3">
        <v>67573</v>
      </c>
      <c r="E6095" s="3">
        <v>110590</v>
      </c>
      <c r="F6095" s="3">
        <v>74358</v>
      </c>
      <c r="G6095" s="3">
        <v>61665</v>
      </c>
      <c r="H6095" s="2">
        <f t="shared" si="190"/>
        <v>482217</v>
      </c>
      <c r="I6095" t="str">
        <f t="shared" si="191"/>
        <v>Rab11b_482217</v>
      </c>
      <c r="J6095" s="3">
        <v>168031</v>
      </c>
      <c r="K6095" s="3">
        <v>67573</v>
      </c>
      <c r="L6095" s="3">
        <v>110590</v>
      </c>
      <c r="M6095" s="3">
        <v>74358</v>
      </c>
      <c r="N6095" s="3">
        <v>61665</v>
      </c>
    </row>
    <row r="6096" spans="1:14" x14ac:dyDescent="0.2">
      <c r="A6096" s="5" t="str">
        <f>HYPERLINK("http://www.ncbi.nlm.nih.gov/protein/124249097","Rab11fip1")</f>
        <v>Rab11fip1</v>
      </c>
      <c r="B6096" s="4"/>
      <c r="C6096" s="3">
        <v>0</v>
      </c>
      <c r="D6096" s="3">
        <v>0</v>
      </c>
      <c r="E6096" s="3">
        <v>47</v>
      </c>
      <c r="F6096" s="3">
        <v>0</v>
      </c>
      <c r="G6096" s="3">
        <v>0</v>
      </c>
      <c r="H6096" s="2">
        <f t="shared" si="190"/>
        <v>47</v>
      </c>
      <c r="I6096" t="str">
        <f t="shared" si="191"/>
        <v>Rab11fip1_47</v>
      </c>
      <c r="J6096" s="3">
        <v>0</v>
      </c>
      <c r="K6096" s="3">
        <v>0</v>
      </c>
      <c r="L6096" s="3">
        <v>47</v>
      </c>
      <c r="M6096" s="3">
        <v>0</v>
      </c>
      <c r="N6096" s="3">
        <v>0</v>
      </c>
    </row>
    <row r="6097" spans="1:14" x14ac:dyDescent="0.2">
      <c r="A6097" s="5" t="str">
        <f>HYPERLINK("http://www.ncbi.nlm.nih.gov/protein/297206826","Rab11fip1")</f>
        <v>Rab11fip1</v>
      </c>
      <c r="B6097" s="4"/>
      <c r="C6097" s="3">
        <v>0</v>
      </c>
      <c r="D6097" s="3">
        <v>0</v>
      </c>
      <c r="E6097" s="3">
        <v>47</v>
      </c>
      <c r="F6097" s="3">
        <v>0</v>
      </c>
      <c r="G6097" s="3">
        <v>0</v>
      </c>
      <c r="H6097" s="2">
        <f t="shared" si="190"/>
        <v>47</v>
      </c>
      <c r="I6097" t="str">
        <f t="shared" si="191"/>
        <v>Rab11fip1_47</v>
      </c>
      <c r="J6097" s="3">
        <v>0</v>
      </c>
      <c r="K6097" s="3">
        <v>0</v>
      </c>
      <c r="L6097" s="3">
        <v>47</v>
      </c>
      <c r="M6097" s="3">
        <v>0</v>
      </c>
      <c r="N6097" s="3">
        <v>0</v>
      </c>
    </row>
    <row r="6098" spans="1:14" x14ac:dyDescent="0.2">
      <c r="A6098" s="5" t="str">
        <f>HYPERLINK("http://www.ncbi.nlm.nih.gov/protein/256773180","Rab11fip2")</f>
        <v>Rab11fip2</v>
      </c>
      <c r="B6098" s="4"/>
      <c r="C6098" s="3">
        <v>0</v>
      </c>
      <c r="D6098" s="3">
        <v>0</v>
      </c>
      <c r="E6098" s="3">
        <v>4</v>
      </c>
      <c r="F6098" s="3">
        <v>0</v>
      </c>
      <c r="G6098" s="3">
        <v>0</v>
      </c>
      <c r="H6098" s="2">
        <f t="shared" si="190"/>
        <v>4</v>
      </c>
      <c r="I6098" t="str">
        <f t="shared" si="191"/>
        <v>Rab11fip2_4</v>
      </c>
      <c r="J6098" s="3">
        <v>0</v>
      </c>
      <c r="K6098" s="3">
        <v>0</v>
      </c>
      <c r="L6098" s="3">
        <v>4</v>
      </c>
      <c r="M6098" s="3">
        <v>0</v>
      </c>
      <c r="N6098" s="3">
        <v>0</v>
      </c>
    </row>
    <row r="6099" spans="1:14" x14ac:dyDescent="0.2">
      <c r="A6099" s="5" t="str">
        <f>HYPERLINK("http://www.ncbi.nlm.nih.gov/protein/256773182","Rab11fip2")</f>
        <v>Rab11fip2</v>
      </c>
      <c r="B6099" s="4"/>
      <c r="C6099" s="3">
        <v>0</v>
      </c>
      <c r="D6099" s="3">
        <v>0</v>
      </c>
      <c r="E6099" s="3">
        <v>4</v>
      </c>
      <c r="F6099" s="3">
        <v>0</v>
      </c>
      <c r="G6099" s="3">
        <v>0</v>
      </c>
      <c r="H6099" s="2">
        <f t="shared" si="190"/>
        <v>4</v>
      </c>
      <c r="I6099" t="str">
        <f t="shared" si="191"/>
        <v>Rab11fip2_4</v>
      </c>
      <c r="J6099" s="3">
        <v>0</v>
      </c>
      <c r="K6099" s="3">
        <v>0</v>
      </c>
      <c r="L6099" s="3">
        <v>4</v>
      </c>
      <c r="M6099" s="3">
        <v>0</v>
      </c>
      <c r="N6099" s="3">
        <v>0</v>
      </c>
    </row>
    <row r="6100" spans="1:14" x14ac:dyDescent="0.2">
      <c r="A6100" s="5" t="str">
        <f>HYPERLINK("http://www.ncbi.nlm.nih.gov/protein/106507168","Rab12")</f>
        <v>Rab12</v>
      </c>
      <c r="B6100" s="4"/>
      <c r="C6100" s="3">
        <v>389534</v>
      </c>
      <c r="D6100" s="3">
        <v>38581</v>
      </c>
      <c r="E6100" s="3">
        <v>16724</v>
      </c>
      <c r="F6100" s="3">
        <v>13588</v>
      </c>
      <c r="G6100" s="3">
        <v>23518</v>
      </c>
      <c r="H6100" s="2">
        <f t="shared" si="190"/>
        <v>481945</v>
      </c>
      <c r="I6100" t="str">
        <f t="shared" si="191"/>
        <v>Rab12_481945</v>
      </c>
      <c r="J6100" s="3">
        <v>389534</v>
      </c>
      <c r="K6100" s="3">
        <v>38581</v>
      </c>
      <c r="L6100" s="3">
        <v>16724</v>
      </c>
      <c r="M6100" s="3">
        <v>13588</v>
      </c>
      <c r="N6100" s="3">
        <v>23518</v>
      </c>
    </row>
    <row r="6101" spans="1:14" x14ac:dyDescent="0.2">
      <c r="A6101" s="5" t="str">
        <f>HYPERLINK("http://www.ncbi.nlm.nih.gov/protein/21311975","Rab13")</f>
        <v>Rab13</v>
      </c>
      <c r="B6101" s="4"/>
      <c r="C6101" s="3">
        <v>118678</v>
      </c>
      <c r="D6101" s="3">
        <v>30513</v>
      </c>
      <c r="E6101" s="3">
        <v>27379</v>
      </c>
      <c r="F6101" s="3">
        <v>17804</v>
      </c>
      <c r="G6101" s="3">
        <v>30533</v>
      </c>
      <c r="H6101" s="2">
        <f t="shared" si="190"/>
        <v>224907</v>
      </c>
      <c r="I6101" t="str">
        <f t="shared" si="191"/>
        <v>Rab13_224907</v>
      </c>
      <c r="J6101" s="3">
        <v>118678</v>
      </c>
      <c r="K6101" s="3">
        <v>30513</v>
      </c>
      <c r="L6101" s="3">
        <v>27379</v>
      </c>
      <c r="M6101" s="3">
        <v>17804</v>
      </c>
      <c r="N6101" s="3">
        <v>30533</v>
      </c>
    </row>
    <row r="6102" spans="1:14" x14ac:dyDescent="0.2">
      <c r="A6102" s="5" t="str">
        <f>HYPERLINK("http://www.ncbi.nlm.nih.gov/protein/18390323","Rab14")</f>
        <v>Rab14</v>
      </c>
      <c r="B6102" s="4"/>
      <c r="C6102" s="3">
        <v>504770</v>
      </c>
      <c r="D6102" s="3">
        <v>63060</v>
      </c>
      <c r="E6102" s="3">
        <v>60931</v>
      </c>
      <c r="F6102" s="3">
        <v>46453</v>
      </c>
      <c r="G6102" s="3">
        <v>41617</v>
      </c>
      <c r="H6102" s="2">
        <f t="shared" si="190"/>
        <v>716831</v>
      </c>
      <c r="I6102" t="str">
        <f t="shared" si="191"/>
        <v>Rab14_716831</v>
      </c>
      <c r="J6102" s="3">
        <v>504770</v>
      </c>
      <c r="K6102" s="3">
        <v>63060</v>
      </c>
      <c r="L6102" s="3">
        <v>60931</v>
      </c>
      <c r="M6102" s="3">
        <v>46453</v>
      </c>
      <c r="N6102" s="3">
        <v>41617</v>
      </c>
    </row>
    <row r="6103" spans="1:14" x14ac:dyDescent="0.2">
      <c r="A6103" s="5" t="str">
        <f>HYPERLINK("http://www.ncbi.nlm.nih.gov/protein/165377074","Rab15")</f>
        <v>Rab15</v>
      </c>
      <c r="B6103" s="4"/>
      <c r="C6103" s="3">
        <v>505667</v>
      </c>
      <c r="D6103" s="3">
        <v>58766</v>
      </c>
      <c r="E6103" s="3">
        <v>26782</v>
      </c>
      <c r="F6103" s="3">
        <v>29894</v>
      </c>
      <c r="G6103" s="3">
        <v>53997</v>
      </c>
      <c r="H6103" s="2">
        <f t="shared" si="190"/>
        <v>675106</v>
      </c>
      <c r="I6103" t="str">
        <f t="shared" si="191"/>
        <v>Rab15_675106</v>
      </c>
      <c r="J6103" s="3">
        <v>505667</v>
      </c>
      <c r="K6103" s="3">
        <v>58766</v>
      </c>
      <c r="L6103" s="3">
        <v>26782</v>
      </c>
      <c r="M6103" s="3">
        <v>29894</v>
      </c>
      <c r="N6103" s="3">
        <v>53997</v>
      </c>
    </row>
    <row r="6104" spans="1:14" x14ac:dyDescent="0.2">
      <c r="A6104" s="5" t="str">
        <f>HYPERLINK("http://www.ncbi.nlm.nih.gov/protein/229577224","Rab17")</f>
        <v>Rab17</v>
      </c>
      <c r="B6104" s="4"/>
      <c r="C6104" s="3">
        <v>0</v>
      </c>
      <c r="D6104" s="3">
        <v>1129</v>
      </c>
      <c r="E6104" s="3">
        <v>2094</v>
      </c>
      <c r="F6104" s="3">
        <v>164</v>
      </c>
      <c r="G6104" s="3">
        <v>0</v>
      </c>
      <c r="H6104" s="2">
        <f t="shared" si="190"/>
        <v>3387</v>
      </c>
      <c r="I6104" t="str">
        <f t="shared" si="191"/>
        <v>Rab17_3387</v>
      </c>
      <c r="J6104" s="3">
        <v>0</v>
      </c>
      <c r="K6104" s="3">
        <v>1129</v>
      </c>
      <c r="L6104" s="3">
        <v>2094</v>
      </c>
      <c r="M6104" s="3">
        <v>164</v>
      </c>
      <c r="N6104" s="3">
        <v>0</v>
      </c>
    </row>
    <row r="6105" spans="1:14" x14ac:dyDescent="0.2">
      <c r="A6105" s="5" t="str">
        <f>HYPERLINK("http://www.ncbi.nlm.nih.gov/protein/510936915","Rab18")</f>
        <v>Rab18</v>
      </c>
      <c r="B6105" s="4"/>
      <c r="C6105" s="3">
        <v>30589</v>
      </c>
      <c r="D6105" s="3">
        <v>0</v>
      </c>
      <c r="E6105" s="3">
        <v>0</v>
      </c>
      <c r="F6105" s="3">
        <v>0</v>
      </c>
      <c r="G6105" s="3">
        <v>0</v>
      </c>
      <c r="H6105" s="2">
        <f t="shared" si="190"/>
        <v>30589</v>
      </c>
      <c r="I6105" t="str">
        <f t="shared" si="191"/>
        <v>Rab18_30589</v>
      </c>
      <c r="J6105" s="3">
        <v>30589</v>
      </c>
      <c r="K6105" s="3">
        <v>0</v>
      </c>
      <c r="L6105" s="3">
        <v>0</v>
      </c>
      <c r="M6105" s="3">
        <v>0</v>
      </c>
      <c r="N6105" s="3">
        <v>0</v>
      </c>
    </row>
    <row r="6106" spans="1:14" x14ac:dyDescent="0.2">
      <c r="A6106" s="5" t="str">
        <f>HYPERLINK("http://www.ncbi.nlm.nih.gov/protein/30841008","Rab18")</f>
        <v>Rab18</v>
      </c>
      <c r="B6106" s="4"/>
      <c r="C6106" s="3">
        <v>31852</v>
      </c>
      <c r="D6106" s="3">
        <v>10488</v>
      </c>
      <c r="E6106" s="3">
        <v>9266</v>
      </c>
      <c r="F6106" s="3">
        <v>5894</v>
      </c>
      <c r="G6106" s="3">
        <v>2292</v>
      </c>
      <c r="H6106" s="2">
        <f t="shared" si="190"/>
        <v>59792</v>
      </c>
      <c r="I6106" t="str">
        <f t="shared" si="191"/>
        <v>Rab18_59792</v>
      </c>
      <c r="J6106" s="3">
        <v>31852</v>
      </c>
      <c r="K6106" s="3">
        <v>10488</v>
      </c>
      <c r="L6106" s="3">
        <v>9266</v>
      </c>
      <c r="M6106" s="3">
        <v>5894</v>
      </c>
      <c r="N6106" s="3">
        <v>2292</v>
      </c>
    </row>
    <row r="6107" spans="1:14" x14ac:dyDescent="0.2">
      <c r="A6107" s="5" t="str">
        <f>HYPERLINK("http://www.ncbi.nlm.nih.gov/protein/33859608","Rab19")</f>
        <v>Rab19</v>
      </c>
      <c r="B6107" s="4"/>
      <c r="C6107" s="3">
        <v>0</v>
      </c>
      <c r="D6107" s="3">
        <v>432</v>
      </c>
      <c r="E6107" s="3">
        <v>378</v>
      </c>
      <c r="F6107" s="3">
        <v>0</v>
      </c>
      <c r="G6107" s="3">
        <v>0</v>
      </c>
      <c r="H6107" s="2">
        <f t="shared" si="190"/>
        <v>810</v>
      </c>
      <c r="I6107" t="str">
        <f t="shared" si="191"/>
        <v>Rab19_810</v>
      </c>
      <c r="J6107" s="3">
        <v>0</v>
      </c>
      <c r="K6107" s="3">
        <v>432</v>
      </c>
      <c r="L6107" s="3">
        <v>378</v>
      </c>
      <c r="M6107" s="3">
        <v>0</v>
      </c>
      <c r="N6107" s="3">
        <v>0</v>
      </c>
    </row>
    <row r="6108" spans="1:14" x14ac:dyDescent="0.2">
      <c r="A6108" s="5" t="str">
        <f>HYPERLINK("http://www.ncbi.nlm.nih.gov/protein/21313162","Rab1b")</f>
        <v>Rab1b</v>
      </c>
      <c r="B6108" s="4"/>
      <c r="C6108" s="3">
        <v>640509</v>
      </c>
      <c r="D6108" s="3">
        <v>125280</v>
      </c>
      <c r="E6108" s="3">
        <v>59064</v>
      </c>
      <c r="F6108" s="3">
        <v>75045</v>
      </c>
      <c r="G6108" s="3">
        <v>86083</v>
      </c>
      <c r="H6108" s="2">
        <f t="shared" si="190"/>
        <v>985981</v>
      </c>
      <c r="I6108" t="str">
        <f t="shared" si="191"/>
        <v>Rab1b_985981</v>
      </c>
      <c r="J6108" s="3">
        <v>640509</v>
      </c>
      <c r="K6108" s="3">
        <v>125280</v>
      </c>
      <c r="L6108" s="3">
        <v>59064</v>
      </c>
      <c r="M6108" s="3">
        <v>75045</v>
      </c>
      <c r="N6108" s="3">
        <v>86083</v>
      </c>
    </row>
    <row r="6109" spans="1:14" x14ac:dyDescent="0.2">
      <c r="A6109" s="5" t="str">
        <f>HYPERLINK("http://www.ncbi.nlm.nih.gov/protein/45593126","Rab20")</f>
        <v>Rab20</v>
      </c>
      <c r="B6109" s="4"/>
      <c r="C6109" s="3">
        <v>0</v>
      </c>
      <c r="D6109" s="3">
        <v>967</v>
      </c>
      <c r="E6109" s="3">
        <v>193</v>
      </c>
      <c r="F6109" s="3">
        <v>0</v>
      </c>
      <c r="G6109" s="3">
        <v>0</v>
      </c>
      <c r="H6109" s="2">
        <f t="shared" si="190"/>
        <v>1160</v>
      </c>
      <c r="I6109" t="str">
        <f t="shared" si="191"/>
        <v>Rab20_1160</v>
      </c>
      <c r="J6109" s="3">
        <v>0</v>
      </c>
      <c r="K6109" s="3">
        <v>967</v>
      </c>
      <c r="L6109" s="3">
        <v>193</v>
      </c>
      <c r="M6109" s="3">
        <v>0</v>
      </c>
      <c r="N6109" s="3">
        <v>0</v>
      </c>
    </row>
    <row r="6110" spans="1:14" x14ac:dyDescent="0.2">
      <c r="A6110" s="5" t="str">
        <f>HYPERLINK("http://www.ncbi.nlm.nih.gov/protein/33859751","Rab21")</f>
        <v>Rab21</v>
      </c>
      <c r="B6110" s="4"/>
      <c r="C6110" s="3">
        <v>13858</v>
      </c>
      <c r="D6110" s="3">
        <v>8290</v>
      </c>
      <c r="E6110" s="3">
        <v>13189</v>
      </c>
      <c r="F6110" s="3">
        <v>9847</v>
      </c>
      <c r="G6110" s="3">
        <v>10806</v>
      </c>
      <c r="H6110" s="2">
        <f t="shared" si="190"/>
        <v>55990</v>
      </c>
      <c r="I6110" t="str">
        <f t="shared" si="191"/>
        <v>Rab21_55990</v>
      </c>
      <c r="J6110" s="3">
        <v>13858</v>
      </c>
      <c r="K6110" s="3">
        <v>8290</v>
      </c>
      <c r="L6110" s="3">
        <v>13189</v>
      </c>
      <c r="M6110" s="3">
        <v>9847</v>
      </c>
      <c r="N6110" s="3">
        <v>10806</v>
      </c>
    </row>
    <row r="6111" spans="1:14" x14ac:dyDescent="0.2">
      <c r="A6111" s="5" t="str">
        <f>HYPERLINK("http://www.ncbi.nlm.nih.gov/protein/148747177","Rab22a")</f>
        <v>Rab22a</v>
      </c>
      <c r="B6111" s="4"/>
      <c r="C6111" s="3">
        <v>732</v>
      </c>
      <c r="D6111" s="3">
        <v>1442</v>
      </c>
      <c r="E6111" s="3">
        <v>2404</v>
      </c>
      <c r="F6111" s="3">
        <v>2218</v>
      </c>
      <c r="G6111" s="3">
        <v>2088</v>
      </c>
      <c r="H6111" s="2">
        <f t="shared" si="190"/>
        <v>8884</v>
      </c>
      <c r="I6111" t="str">
        <f t="shared" si="191"/>
        <v>Rab22a_8884</v>
      </c>
      <c r="J6111" s="3">
        <v>732</v>
      </c>
      <c r="K6111" s="3">
        <v>1442</v>
      </c>
      <c r="L6111" s="3">
        <v>2404</v>
      </c>
      <c r="M6111" s="3">
        <v>2218</v>
      </c>
      <c r="N6111" s="3">
        <v>2088</v>
      </c>
    </row>
    <row r="6112" spans="1:14" x14ac:dyDescent="0.2">
      <c r="A6112" s="5" t="str">
        <f>HYPERLINK("http://www.ncbi.nlm.nih.gov/protein/31543565","Rab23")</f>
        <v>Rab23</v>
      </c>
      <c r="B6112" s="4"/>
      <c r="C6112" s="3">
        <v>0</v>
      </c>
      <c r="D6112" s="3">
        <v>816</v>
      </c>
      <c r="E6112" s="3">
        <v>1163</v>
      </c>
      <c r="F6112" s="3">
        <v>0</v>
      </c>
      <c r="G6112" s="3">
        <v>0</v>
      </c>
      <c r="H6112" s="2">
        <f t="shared" si="190"/>
        <v>1979</v>
      </c>
      <c r="I6112" t="str">
        <f t="shared" si="191"/>
        <v>Rab23_1979</v>
      </c>
      <c r="J6112" s="3">
        <v>0</v>
      </c>
      <c r="K6112" s="3">
        <v>816</v>
      </c>
      <c r="L6112" s="3">
        <v>1163</v>
      </c>
      <c r="M6112" s="3">
        <v>0</v>
      </c>
      <c r="N6112" s="3">
        <v>0</v>
      </c>
    </row>
    <row r="6113" spans="1:14" x14ac:dyDescent="0.2">
      <c r="A6113" s="5" t="str">
        <f>HYPERLINK("http://www.ncbi.nlm.nih.gov/protein/6679591","Rab24")</f>
        <v>Rab24</v>
      </c>
      <c r="B6113" s="4"/>
      <c r="C6113" s="3">
        <v>0</v>
      </c>
      <c r="D6113" s="3">
        <v>2793</v>
      </c>
      <c r="E6113" s="3">
        <v>477</v>
      </c>
      <c r="F6113" s="3">
        <v>0</v>
      </c>
      <c r="G6113" s="3">
        <v>1499</v>
      </c>
      <c r="H6113" s="2">
        <f t="shared" si="190"/>
        <v>4769</v>
      </c>
      <c r="I6113" t="str">
        <f t="shared" si="191"/>
        <v>Rab24_4769</v>
      </c>
      <c r="J6113" s="3">
        <v>0</v>
      </c>
      <c r="K6113" s="3">
        <v>2793</v>
      </c>
      <c r="L6113" s="3">
        <v>477</v>
      </c>
      <c r="M6113" s="3">
        <v>0</v>
      </c>
      <c r="N6113" s="3">
        <v>1499</v>
      </c>
    </row>
    <row r="6114" spans="1:14" x14ac:dyDescent="0.2">
      <c r="A6114" s="5" t="str">
        <f>HYPERLINK("http://www.ncbi.nlm.nih.gov/protein/31980838","Rab25")</f>
        <v>Rab25</v>
      </c>
      <c r="B6114" s="4"/>
      <c r="C6114" s="3">
        <v>2142</v>
      </c>
      <c r="D6114" s="3">
        <v>7158</v>
      </c>
      <c r="E6114" s="3">
        <v>33343</v>
      </c>
      <c r="F6114" s="3">
        <v>23705</v>
      </c>
      <c r="G6114" s="3">
        <v>9349</v>
      </c>
      <c r="H6114" s="2">
        <f t="shared" si="190"/>
        <v>75697</v>
      </c>
      <c r="I6114" t="str">
        <f t="shared" si="191"/>
        <v>Rab25_75697</v>
      </c>
      <c r="J6114" s="3">
        <v>2142</v>
      </c>
      <c r="K6114" s="3">
        <v>7158</v>
      </c>
      <c r="L6114" s="3">
        <v>33343</v>
      </c>
      <c r="M6114" s="3">
        <v>23705</v>
      </c>
      <c r="N6114" s="3">
        <v>9349</v>
      </c>
    </row>
    <row r="6115" spans="1:14" x14ac:dyDescent="0.2">
      <c r="A6115" s="5" t="str">
        <f>HYPERLINK("http://www.ncbi.nlm.nih.gov/protein/254939698","Rab26")</f>
        <v>Rab26</v>
      </c>
      <c r="B6115" s="4"/>
      <c r="C6115" s="3">
        <v>389534</v>
      </c>
      <c r="D6115" s="3">
        <v>38341</v>
      </c>
      <c r="E6115" s="3">
        <v>7303</v>
      </c>
      <c r="F6115" s="3">
        <v>13408</v>
      </c>
      <c r="G6115" s="3">
        <v>23518</v>
      </c>
      <c r="H6115" s="2">
        <f t="shared" si="190"/>
        <v>472104</v>
      </c>
      <c r="I6115" t="str">
        <f t="shared" si="191"/>
        <v>Rab26_472104</v>
      </c>
      <c r="J6115" s="3">
        <v>389534</v>
      </c>
      <c r="K6115" s="3">
        <v>38341</v>
      </c>
      <c r="L6115" s="3">
        <v>7303</v>
      </c>
      <c r="M6115" s="3">
        <v>13408</v>
      </c>
      <c r="N6115" s="3">
        <v>23518</v>
      </c>
    </row>
    <row r="6116" spans="1:14" x14ac:dyDescent="0.2">
      <c r="A6116" s="5" t="str">
        <f>HYPERLINK("http://www.ncbi.nlm.nih.gov/protein/13128964","Rab27a")</f>
        <v>Rab27a</v>
      </c>
      <c r="B6116" s="4"/>
      <c r="C6116" s="3">
        <v>0</v>
      </c>
      <c r="D6116" s="3">
        <v>891</v>
      </c>
      <c r="E6116" s="3">
        <v>1412</v>
      </c>
      <c r="F6116" s="3">
        <v>0</v>
      </c>
      <c r="G6116" s="3">
        <v>0</v>
      </c>
      <c r="H6116" s="2">
        <f t="shared" si="190"/>
        <v>2303</v>
      </c>
      <c r="I6116" t="str">
        <f t="shared" si="191"/>
        <v>Rab27a_2303</v>
      </c>
      <c r="J6116" s="3">
        <v>0</v>
      </c>
      <c r="K6116" s="3">
        <v>891</v>
      </c>
      <c r="L6116" s="3">
        <v>1412</v>
      </c>
      <c r="M6116" s="3">
        <v>0</v>
      </c>
      <c r="N6116" s="3">
        <v>0</v>
      </c>
    </row>
    <row r="6117" spans="1:14" x14ac:dyDescent="0.2">
      <c r="A6117" s="5" t="str">
        <f>HYPERLINK("http://www.ncbi.nlm.nih.gov/protein/127138858","Rab27b")</f>
        <v>Rab27b</v>
      </c>
      <c r="B6117" s="4"/>
      <c r="C6117" s="3">
        <v>0</v>
      </c>
      <c r="D6117" s="3">
        <v>376</v>
      </c>
      <c r="E6117" s="3">
        <v>1990</v>
      </c>
      <c r="F6117" s="3">
        <v>131</v>
      </c>
      <c r="G6117" s="3">
        <v>0</v>
      </c>
      <c r="H6117" s="2">
        <f t="shared" si="190"/>
        <v>2497</v>
      </c>
      <c r="I6117" t="str">
        <f t="shared" si="191"/>
        <v>Rab27b_2497</v>
      </c>
      <c r="J6117" s="3">
        <v>0</v>
      </c>
      <c r="K6117" s="3">
        <v>376</v>
      </c>
      <c r="L6117" s="3">
        <v>1990</v>
      </c>
      <c r="M6117" s="3">
        <v>131</v>
      </c>
      <c r="N6117" s="3">
        <v>0</v>
      </c>
    </row>
    <row r="6118" spans="1:14" x14ac:dyDescent="0.2">
      <c r="A6118" s="5" t="str">
        <f>HYPERLINK("http://www.ncbi.nlm.nih.gov/protein/58037191","Rab28")</f>
        <v>Rab28</v>
      </c>
      <c r="B6118" s="4"/>
      <c r="C6118" s="3">
        <v>0</v>
      </c>
      <c r="D6118" s="3">
        <v>0</v>
      </c>
      <c r="E6118" s="3">
        <v>0</v>
      </c>
      <c r="F6118" s="3">
        <v>0</v>
      </c>
      <c r="G6118" s="3">
        <v>4102</v>
      </c>
      <c r="H6118" s="2">
        <f t="shared" si="190"/>
        <v>4102</v>
      </c>
      <c r="I6118" t="str">
        <f t="shared" si="191"/>
        <v>Rab28_4102</v>
      </c>
      <c r="J6118" s="3">
        <v>0</v>
      </c>
      <c r="K6118" s="3">
        <v>0</v>
      </c>
      <c r="L6118" s="3">
        <v>0</v>
      </c>
      <c r="M6118" s="3">
        <v>0</v>
      </c>
      <c r="N6118" s="3">
        <v>4102</v>
      </c>
    </row>
    <row r="6119" spans="1:14" x14ac:dyDescent="0.2">
      <c r="A6119" s="5" t="str">
        <f>HYPERLINK("http://www.ncbi.nlm.nih.gov/protein/10946940","Rab2a")</f>
        <v>Rab2a</v>
      </c>
      <c r="B6119" s="4"/>
      <c r="C6119" s="3">
        <v>78752</v>
      </c>
      <c r="D6119" s="3">
        <v>35699</v>
      </c>
      <c r="E6119" s="3">
        <v>25005</v>
      </c>
      <c r="F6119" s="3">
        <v>16551</v>
      </c>
      <c r="G6119" s="3">
        <v>13258</v>
      </c>
      <c r="H6119" s="2">
        <f t="shared" si="190"/>
        <v>169265</v>
      </c>
      <c r="I6119" t="str">
        <f t="shared" si="191"/>
        <v>Rab2a_169265</v>
      </c>
      <c r="J6119" s="3">
        <v>78752</v>
      </c>
      <c r="K6119" s="3">
        <v>35699</v>
      </c>
      <c r="L6119" s="3">
        <v>25005</v>
      </c>
      <c r="M6119" s="3">
        <v>16551</v>
      </c>
      <c r="N6119" s="3">
        <v>13258</v>
      </c>
    </row>
    <row r="6120" spans="1:14" x14ac:dyDescent="0.2">
      <c r="A6120" s="5" t="str">
        <f>HYPERLINK("http://www.ncbi.nlm.nih.gov/protein/30525051","Rab2b")</f>
        <v>Rab2b</v>
      </c>
      <c r="B6120" s="4"/>
      <c r="C6120" s="3">
        <v>29546</v>
      </c>
      <c r="D6120" s="3">
        <v>15525</v>
      </c>
      <c r="E6120" s="3">
        <v>10514</v>
      </c>
      <c r="F6120" s="3">
        <v>7981</v>
      </c>
      <c r="G6120" s="3">
        <v>4037</v>
      </c>
      <c r="H6120" s="2">
        <f t="shared" si="190"/>
        <v>67603</v>
      </c>
      <c r="I6120" t="str">
        <f t="shared" si="191"/>
        <v>Rab2b_67603</v>
      </c>
      <c r="J6120" s="3">
        <v>29546</v>
      </c>
      <c r="K6120" s="3">
        <v>15525</v>
      </c>
      <c r="L6120" s="3">
        <v>10514</v>
      </c>
      <c r="M6120" s="3">
        <v>7981</v>
      </c>
      <c r="N6120" s="3">
        <v>4037</v>
      </c>
    </row>
    <row r="6121" spans="1:14" x14ac:dyDescent="0.2">
      <c r="A6121" s="5" t="str">
        <f>HYPERLINK("http://www.ncbi.nlm.nih.gov/protein/31560778","Rab30")</f>
        <v>Rab30</v>
      </c>
      <c r="B6121" s="4"/>
      <c r="C6121" s="3">
        <v>389534</v>
      </c>
      <c r="D6121" s="3">
        <v>38341</v>
      </c>
      <c r="E6121" s="3">
        <v>7388</v>
      </c>
      <c r="F6121" s="3">
        <v>13408</v>
      </c>
      <c r="G6121" s="3">
        <v>23518</v>
      </c>
      <c r="H6121" s="2">
        <f t="shared" si="190"/>
        <v>472189</v>
      </c>
      <c r="I6121" t="str">
        <f t="shared" si="191"/>
        <v>Rab30_472189</v>
      </c>
      <c r="J6121" s="3">
        <v>389534</v>
      </c>
      <c r="K6121" s="3">
        <v>38341</v>
      </c>
      <c r="L6121" s="3">
        <v>7388</v>
      </c>
      <c r="M6121" s="3">
        <v>13408</v>
      </c>
      <c r="N6121" s="3">
        <v>23518</v>
      </c>
    </row>
    <row r="6122" spans="1:14" x14ac:dyDescent="0.2">
      <c r="A6122" s="5" t="str">
        <f>HYPERLINK("http://www.ncbi.nlm.nih.gov/protein/225579124","Rab31")</f>
        <v>Rab31</v>
      </c>
      <c r="B6122" s="4"/>
      <c r="C6122" s="3">
        <v>732</v>
      </c>
      <c r="D6122" s="3">
        <v>1311</v>
      </c>
      <c r="E6122" s="3">
        <v>2556</v>
      </c>
      <c r="F6122" s="3">
        <v>1179</v>
      </c>
      <c r="G6122" s="3">
        <v>2088</v>
      </c>
      <c r="H6122" s="2">
        <f t="shared" si="190"/>
        <v>7866</v>
      </c>
      <c r="I6122" t="str">
        <f t="shared" si="191"/>
        <v>Rab31_7866</v>
      </c>
      <c r="J6122" s="3">
        <v>732</v>
      </c>
      <c r="K6122" s="3">
        <v>1311</v>
      </c>
      <c r="L6122" s="3">
        <v>2556</v>
      </c>
      <c r="M6122" s="3">
        <v>1179</v>
      </c>
      <c r="N6122" s="3">
        <v>2088</v>
      </c>
    </row>
    <row r="6123" spans="1:14" x14ac:dyDescent="0.2">
      <c r="A6123" s="5" t="str">
        <f>HYPERLINK("http://www.ncbi.nlm.nih.gov/protein/13385896","Rab32")</f>
        <v>Rab32</v>
      </c>
      <c r="B6123" s="4"/>
      <c r="C6123" s="3">
        <v>0</v>
      </c>
      <c r="D6123" s="3">
        <v>355</v>
      </c>
      <c r="E6123" s="3">
        <v>142</v>
      </c>
      <c r="F6123" s="3">
        <v>0</v>
      </c>
      <c r="G6123" s="3">
        <v>0</v>
      </c>
      <c r="H6123" s="2">
        <f t="shared" si="190"/>
        <v>497</v>
      </c>
      <c r="I6123" t="str">
        <f t="shared" si="191"/>
        <v>Rab32_497</v>
      </c>
      <c r="J6123" s="3">
        <v>0</v>
      </c>
      <c r="K6123" s="3">
        <v>355</v>
      </c>
      <c r="L6123" s="3">
        <v>142</v>
      </c>
      <c r="M6123" s="3">
        <v>0</v>
      </c>
      <c r="N6123" s="3">
        <v>0</v>
      </c>
    </row>
    <row r="6124" spans="1:14" x14ac:dyDescent="0.2">
      <c r="A6124" s="5" t="str">
        <f>HYPERLINK("http://www.ncbi.nlm.nih.gov/protein/6755260","Rab33a")</f>
        <v>Rab33a</v>
      </c>
      <c r="B6124" s="4"/>
      <c r="C6124" s="3">
        <v>0</v>
      </c>
      <c r="D6124" s="3">
        <v>0</v>
      </c>
      <c r="E6124" s="3">
        <v>323</v>
      </c>
      <c r="F6124" s="3">
        <v>0</v>
      </c>
      <c r="G6124" s="3">
        <v>0</v>
      </c>
      <c r="H6124" s="2">
        <f t="shared" si="190"/>
        <v>323</v>
      </c>
      <c r="I6124" t="str">
        <f t="shared" si="191"/>
        <v>Rab33a_323</v>
      </c>
      <c r="J6124" s="3">
        <v>0</v>
      </c>
      <c r="K6124" s="3">
        <v>0</v>
      </c>
      <c r="L6124" s="3">
        <v>323</v>
      </c>
      <c r="M6124" s="3">
        <v>0</v>
      </c>
      <c r="N6124" s="3">
        <v>0</v>
      </c>
    </row>
    <row r="6125" spans="1:14" x14ac:dyDescent="0.2">
      <c r="A6125" s="5" t="str">
        <f>HYPERLINK("http://www.ncbi.nlm.nih.gov/protein/8394133","Rab33b")</f>
        <v>Rab33b</v>
      </c>
      <c r="B6125" s="4"/>
      <c r="C6125" s="3">
        <v>389534</v>
      </c>
      <c r="D6125" s="3">
        <v>38341</v>
      </c>
      <c r="E6125" s="3">
        <v>16489</v>
      </c>
      <c r="F6125" s="3">
        <v>13408</v>
      </c>
      <c r="G6125" s="3">
        <v>23518</v>
      </c>
      <c r="H6125" s="2">
        <f t="shared" si="190"/>
        <v>481290</v>
      </c>
      <c r="I6125" t="str">
        <f t="shared" si="191"/>
        <v>Rab33b_481290</v>
      </c>
      <c r="J6125" s="3">
        <v>389534</v>
      </c>
      <c r="K6125" s="3">
        <v>38341</v>
      </c>
      <c r="L6125" s="3">
        <v>16489</v>
      </c>
      <c r="M6125" s="3">
        <v>13408</v>
      </c>
      <c r="N6125" s="3">
        <v>23518</v>
      </c>
    </row>
    <row r="6126" spans="1:14" x14ac:dyDescent="0.2">
      <c r="A6126" s="5" t="str">
        <f>HYPERLINK("http://www.ncbi.nlm.nih.gov/protein/31560774","Rab34")</f>
        <v>Rab34</v>
      </c>
      <c r="B6126" s="4"/>
      <c r="C6126" s="3">
        <v>0</v>
      </c>
      <c r="D6126" s="3">
        <v>63</v>
      </c>
      <c r="E6126" s="3">
        <v>70</v>
      </c>
      <c r="F6126" s="3">
        <v>0</v>
      </c>
      <c r="G6126" s="3">
        <v>0</v>
      </c>
      <c r="H6126" s="2">
        <f t="shared" si="190"/>
        <v>133</v>
      </c>
      <c r="I6126" t="str">
        <f t="shared" si="191"/>
        <v>Rab34_133</v>
      </c>
      <c r="J6126" s="3">
        <v>0</v>
      </c>
      <c r="K6126" s="3">
        <v>63</v>
      </c>
      <c r="L6126" s="3">
        <v>70</v>
      </c>
      <c r="M6126" s="3">
        <v>0</v>
      </c>
      <c r="N6126" s="3">
        <v>0</v>
      </c>
    </row>
    <row r="6127" spans="1:14" x14ac:dyDescent="0.2">
      <c r="A6127" s="5" t="str">
        <f>HYPERLINK("http://www.ncbi.nlm.nih.gov/protein/37718983","Rab35")</f>
        <v>Rab35</v>
      </c>
      <c r="B6127" s="4"/>
      <c r="C6127" s="3">
        <v>510189</v>
      </c>
      <c r="D6127" s="3">
        <v>74071</v>
      </c>
      <c r="E6127" s="3">
        <v>38820</v>
      </c>
      <c r="F6127" s="3">
        <v>30860</v>
      </c>
      <c r="G6127" s="3">
        <v>53997</v>
      </c>
      <c r="H6127" s="2">
        <f t="shared" si="190"/>
        <v>707937</v>
      </c>
      <c r="I6127" t="str">
        <f t="shared" si="191"/>
        <v>Rab35_707937</v>
      </c>
      <c r="J6127" s="3">
        <v>510189</v>
      </c>
      <c r="K6127" s="3">
        <v>74071</v>
      </c>
      <c r="L6127" s="3">
        <v>38820</v>
      </c>
      <c r="M6127" s="3">
        <v>30860</v>
      </c>
      <c r="N6127" s="3">
        <v>53997</v>
      </c>
    </row>
    <row r="6128" spans="1:14" x14ac:dyDescent="0.2">
      <c r="A6128" s="5" t="str">
        <f>HYPERLINK("http://www.ncbi.nlm.nih.gov/protein/254939625","Rab37")</f>
        <v>Rab37</v>
      </c>
      <c r="B6128" s="4"/>
      <c r="C6128" s="3">
        <v>389534</v>
      </c>
      <c r="D6128" s="3">
        <v>38341</v>
      </c>
      <c r="E6128" s="3">
        <v>7303</v>
      </c>
      <c r="F6128" s="3">
        <v>13408</v>
      </c>
      <c r="G6128" s="3">
        <v>23518</v>
      </c>
      <c r="H6128" s="2">
        <f t="shared" si="190"/>
        <v>472104</v>
      </c>
      <c r="I6128" t="str">
        <f t="shared" si="191"/>
        <v>Rab37_472104</v>
      </c>
      <c r="J6128" s="3">
        <v>389534</v>
      </c>
      <c r="K6128" s="3">
        <v>38341</v>
      </c>
      <c r="L6128" s="3">
        <v>7303</v>
      </c>
      <c r="M6128" s="3">
        <v>13408</v>
      </c>
      <c r="N6128" s="3">
        <v>23518</v>
      </c>
    </row>
    <row r="6129" spans="1:14" x14ac:dyDescent="0.2">
      <c r="A6129" s="5" t="str">
        <f>HYPERLINK("http://www.ncbi.nlm.nih.gov/protein/254939635","Rab37")</f>
        <v>Rab37</v>
      </c>
      <c r="B6129" s="4"/>
      <c r="C6129" s="3">
        <v>389534</v>
      </c>
      <c r="D6129" s="3">
        <v>38341</v>
      </c>
      <c r="E6129" s="3">
        <v>7303</v>
      </c>
      <c r="F6129" s="3">
        <v>13408</v>
      </c>
      <c r="G6129" s="3">
        <v>23518</v>
      </c>
      <c r="H6129" s="2">
        <f t="shared" si="190"/>
        <v>472104</v>
      </c>
      <c r="I6129" t="str">
        <f t="shared" si="191"/>
        <v>Rab37_472104</v>
      </c>
      <c r="J6129" s="3">
        <v>389534</v>
      </c>
      <c r="K6129" s="3">
        <v>38341</v>
      </c>
      <c r="L6129" s="3">
        <v>7303</v>
      </c>
      <c r="M6129" s="3">
        <v>13408</v>
      </c>
      <c r="N6129" s="3">
        <v>23518</v>
      </c>
    </row>
    <row r="6130" spans="1:14" x14ac:dyDescent="0.2">
      <c r="A6130" s="5" t="str">
        <f>HYPERLINK("http://www.ncbi.nlm.nih.gov/protein/21105857","Rab38")</f>
        <v>Rab38</v>
      </c>
      <c r="B6130" s="4"/>
      <c r="C6130" s="3">
        <v>0</v>
      </c>
      <c r="D6130" s="3">
        <v>355</v>
      </c>
      <c r="E6130" s="3">
        <v>119</v>
      </c>
      <c r="F6130" s="3">
        <v>0</v>
      </c>
      <c r="G6130" s="3">
        <v>0</v>
      </c>
      <c r="H6130" s="2">
        <f t="shared" si="190"/>
        <v>474</v>
      </c>
      <c r="I6130" t="str">
        <f t="shared" si="191"/>
        <v>Rab38_474</v>
      </c>
      <c r="J6130" s="3">
        <v>0</v>
      </c>
      <c r="K6130" s="3">
        <v>355</v>
      </c>
      <c r="L6130" s="3">
        <v>119</v>
      </c>
      <c r="M6130" s="3">
        <v>0</v>
      </c>
      <c r="N6130" s="3">
        <v>0</v>
      </c>
    </row>
    <row r="6131" spans="1:14" x14ac:dyDescent="0.2">
      <c r="A6131" s="5" t="str">
        <f>HYPERLINK("http://www.ncbi.nlm.nih.gov/protein/30425356","Rab39")</f>
        <v>Rab39</v>
      </c>
      <c r="B6131" s="4"/>
      <c r="C6131" s="3">
        <v>389534</v>
      </c>
      <c r="D6131" s="3">
        <v>38341</v>
      </c>
      <c r="E6131" s="3">
        <v>7303</v>
      </c>
      <c r="F6131" s="3">
        <v>13408</v>
      </c>
      <c r="G6131" s="3">
        <v>23518</v>
      </c>
      <c r="H6131" s="2">
        <f t="shared" si="190"/>
        <v>472104</v>
      </c>
      <c r="I6131" t="str">
        <f t="shared" si="191"/>
        <v>Rab39_472104</v>
      </c>
      <c r="J6131" s="3">
        <v>389534</v>
      </c>
      <c r="K6131" s="3">
        <v>38341</v>
      </c>
      <c r="L6131" s="3">
        <v>7303</v>
      </c>
      <c r="M6131" s="3">
        <v>13408</v>
      </c>
      <c r="N6131" s="3">
        <v>23518</v>
      </c>
    </row>
    <row r="6132" spans="1:14" x14ac:dyDescent="0.2">
      <c r="A6132" s="5" t="str">
        <f>HYPERLINK("http://www.ncbi.nlm.nih.gov/protein/30424726","Rab39b")</f>
        <v>Rab39b</v>
      </c>
      <c r="B6132" s="4"/>
      <c r="C6132" s="3">
        <v>389534</v>
      </c>
      <c r="D6132" s="3">
        <v>38341</v>
      </c>
      <c r="E6132" s="3">
        <v>7303</v>
      </c>
      <c r="F6132" s="3">
        <v>13408</v>
      </c>
      <c r="G6132" s="3">
        <v>23518</v>
      </c>
      <c r="H6132" s="2">
        <f t="shared" si="190"/>
        <v>472104</v>
      </c>
      <c r="I6132" t="str">
        <f t="shared" si="191"/>
        <v>Rab39b_472104</v>
      </c>
      <c r="J6132" s="3">
        <v>389534</v>
      </c>
      <c r="K6132" s="3">
        <v>38341</v>
      </c>
      <c r="L6132" s="3">
        <v>7303</v>
      </c>
      <c r="M6132" s="3">
        <v>13408</v>
      </c>
      <c r="N6132" s="3">
        <v>23518</v>
      </c>
    </row>
    <row r="6133" spans="1:14" x14ac:dyDescent="0.2">
      <c r="A6133" s="5" t="str">
        <f>HYPERLINK("http://www.ncbi.nlm.nih.gov/protein/261862303","Rab3a")</f>
        <v>Rab3a</v>
      </c>
      <c r="B6133" s="4"/>
      <c r="C6133" s="3">
        <v>389534</v>
      </c>
      <c r="D6133" s="3">
        <v>42026</v>
      </c>
      <c r="E6133" s="3">
        <v>19104</v>
      </c>
      <c r="F6133" s="3">
        <v>13408</v>
      </c>
      <c r="G6133" s="3">
        <v>24439</v>
      </c>
      <c r="H6133" s="2">
        <f t="shared" si="190"/>
        <v>488511</v>
      </c>
      <c r="I6133" t="str">
        <f t="shared" si="191"/>
        <v>Rab3a_488511</v>
      </c>
      <c r="J6133" s="3">
        <v>389534</v>
      </c>
      <c r="K6133" s="3">
        <v>42026</v>
      </c>
      <c r="L6133" s="3">
        <v>19104</v>
      </c>
      <c r="M6133" s="3">
        <v>13408</v>
      </c>
      <c r="N6133" s="3">
        <v>24439</v>
      </c>
    </row>
    <row r="6134" spans="1:14" x14ac:dyDescent="0.2">
      <c r="A6134" s="5" t="str">
        <f>HYPERLINK("http://www.ncbi.nlm.nih.gov/protein/12963723","Rab3b")</f>
        <v>Rab3b</v>
      </c>
      <c r="B6134" s="4"/>
      <c r="C6134" s="3">
        <v>389534</v>
      </c>
      <c r="D6134" s="3">
        <v>41208</v>
      </c>
      <c r="E6134" s="3">
        <v>18666</v>
      </c>
      <c r="F6134" s="3">
        <v>13408</v>
      </c>
      <c r="G6134" s="3">
        <v>23518</v>
      </c>
      <c r="H6134" s="2">
        <f t="shared" si="190"/>
        <v>486334</v>
      </c>
      <c r="I6134" t="str">
        <f t="shared" si="191"/>
        <v>Rab3b_486334</v>
      </c>
      <c r="J6134" s="3">
        <v>389534</v>
      </c>
      <c r="K6134" s="3">
        <v>41208</v>
      </c>
      <c r="L6134" s="3">
        <v>18666</v>
      </c>
      <c r="M6134" s="3">
        <v>13408</v>
      </c>
      <c r="N6134" s="3">
        <v>23518</v>
      </c>
    </row>
    <row r="6135" spans="1:14" x14ac:dyDescent="0.2">
      <c r="A6135" s="5" t="str">
        <f>HYPERLINK("http://www.ncbi.nlm.nih.gov/protein/13470090","Rab3c")</f>
        <v>Rab3c</v>
      </c>
      <c r="B6135" s="4"/>
      <c r="C6135" s="3">
        <v>389534</v>
      </c>
      <c r="D6135" s="3">
        <v>40552</v>
      </c>
      <c r="E6135" s="3">
        <v>18899</v>
      </c>
      <c r="F6135" s="3">
        <v>13408</v>
      </c>
      <c r="G6135" s="3">
        <v>23518</v>
      </c>
      <c r="H6135" s="2">
        <f t="shared" si="190"/>
        <v>485911</v>
      </c>
      <c r="I6135" t="str">
        <f t="shared" si="191"/>
        <v>Rab3c_485911</v>
      </c>
      <c r="J6135" s="3">
        <v>389534</v>
      </c>
      <c r="K6135" s="3">
        <v>40552</v>
      </c>
      <c r="L6135" s="3">
        <v>18899</v>
      </c>
      <c r="M6135" s="3">
        <v>13408</v>
      </c>
      <c r="N6135" s="3">
        <v>23518</v>
      </c>
    </row>
    <row r="6136" spans="1:14" x14ac:dyDescent="0.2">
      <c r="A6136" s="5" t="str">
        <f>HYPERLINK("http://www.ncbi.nlm.nih.gov/protein/15042957","Rab3d")</f>
        <v>Rab3d</v>
      </c>
      <c r="B6136" s="4"/>
      <c r="C6136" s="3">
        <v>407291</v>
      </c>
      <c r="D6136" s="3">
        <v>42408</v>
      </c>
      <c r="E6136" s="3">
        <v>21978</v>
      </c>
      <c r="F6136" s="3">
        <v>13637</v>
      </c>
      <c r="G6136" s="3">
        <v>23518</v>
      </c>
      <c r="H6136" s="2">
        <f t="shared" si="190"/>
        <v>508832</v>
      </c>
      <c r="I6136" t="str">
        <f t="shared" si="191"/>
        <v>Rab3d_508832</v>
      </c>
      <c r="J6136" s="3">
        <v>407291</v>
      </c>
      <c r="K6136" s="3">
        <v>42408</v>
      </c>
      <c r="L6136" s="3">
        <v>21978</v>
      </c>
      <c r="M6136" s="3">
        <v>13637</v>
      </c>
      <c r="N6136" s="3">
        <v>23518</v>
      </c>
    </row>
    <row r="6137" spans="1:14" x14ac:dyDescent="0.2">
      <c r="A6137" s="5" t="str">
        <f>HYPERLINK("http://www.ncbi.nlm.nih.gov/protein/158966667","Rab3gap1")</f>
        <v>Rab3gap1</v>
      </c>
      <c r="B6137" s="4"/>
      <c r="C6137" s="3">
        <v>0</v>
      </c>
      <c r="D6137" s="3">
        <v>0</v>
      </c>
      <c r="E6137" s="3">
        <v>427</v>
      </c>
      <c r="F6137" s="3">
        <v>4093</v>
      </c>
      <c r="G6137" s="3">
        <v>2870</v>
      </c>
      <c r="H6137" s="2">
        <f t="shared" si="190"/>
        <v>7390</v>
      </c>
      <c r="I6137" t="str">
        <f t="shared" si="191"/>
        <v>Rab3gap1_7390</v>
      </c>
      <c r="J6137" s="3">
        <v>0</v>
      </c>
      <c r="K6137" s="3">
        <v>0</v>
      </c>
      <c r="L6137" s="3">
        <v>427</v>
      </c>
      <c r="M6137" s="3">
        <v>4093</v>
      </c>
      <c r="N6137" s="3">
        <v>2870</v>
      </c>
    </row>
    <row r="6138" spans="1:14" x14ac:dyDescent="0.2">
      <c r="A6138" s="5" t="str">
        <f>HYPERLINK("http://www.ncbi.nlm.nih.gov/protein/255003810","Rab3gap2")</f>
        <v>Rab3gap2</v>
      </c>
      <c r="B6138" s="4"/>
      <c r="C6138" s="3">
        <v>0</v>
      </c>
      <c r="D6138" s="3">
        <v>0</v>
      </c>
      <c r="E6138" s="3">
        <v>1798</v>
      </c>
      <c r="F6138" s="3">
        <v>7842</v>
      </c>
      <c r="G6138" s="3">
        <v>5933</v>
      </c>
      <c r="H6138" s="2">
        <f t="shared" si="190"/>
        <v>15573</v>
      </c>
      <c r="I6138" t="str">
        <f t="shared" si="191"/>
        <v>Rab3gap2_15573</v>
      </c>
      <c r="J6138" s="3">
        <v>0</v>
      </c>
      <c r="K6138" s="3">
        <v>0</v>
      </c>
      <c r="L6138" s="3">
        <v>1798</v>
      </c>
      <c r="M6138" s="3">
        <v>7842</v>
      </c>
      <c r="N6138" s="3">
        <v>5933</v>
      </c>
    </row>
    <row r="6139" spans="1:14" x14ac:dyDescent="0.2">
      <c r="A6139" s="5" t="str">
        <f>HYPERLINK("http://www.ncbi.nlm.nih.gov/protein/51556219","Rab3ip")</f>
        <v>Rab3ip</v>
      </c>
      <c r="B6139" s="4"/>
      <c r="C6139" s="3">
        <v>0</v>
      </c>
      <c r="D6139" s="3">
        <v>321</v>
      </c>
      <c r="E6139" s="3">
        <v>757</v>
      </c>
      <c r="F6139" s="3">
        <v>491</v>
      </c>
      <c r="G6139" s="3">
        <v>11663</v>
      </c>
      <c r="H6139" s="2">
        <f t="shared" si="190"/>
        <v>13232</v>
      </c>
      <c r="I6139" t="str">
        <f t="shared" si="191"/>
        <v>Rab3ip_13232</v>
      </c>
      <c r="J6139" s="3">
        <v>0</v>
      </c>
      <c r="K6139" s="3">
        <v>321</v>
      </c>
      <c r="L6139" s="3">
        <v>757</v>
      </c>
      <c r="M6139" s="3">
        <v>491</v>
      </c>
      <c r="N6139" s="3">
        <v>11663</v>
      </c>
    </row>
    <row r="6140" spans="1:14" x14ac:dyDescent="0.2">
      <c r="A6140" s="5" t="str">
        <f>HYPERLINK("http://www.ncbi.nlm.nih.gov/protein/253970492","Rab40b")</f>
        <v>Rab40b</v>
      </c>
      <c r="B6140" s="4"/>
      <c r="C6140" s="3">
        <v>29894</v>
      </c>
      <c r="D6140" s="3">
        <v>4296</v>
      </c>
      <c r="E6140" s="3">
        <v>18251</v>
      </c>
      <c r="F6140" s="3">
        <v>4355</v>
      </c>
      <c r="G6140" s="3">
        <v>82046</v>
      </c>
      <c r="H6140" s="2">
        <f t="shared" si="190"/>
        <v>138842</v>
      </c>
      <c r="I6140" t="str">
        <f t="shared" si="191"/>
        <v>Rab40b_138842</v>
      </c>
      <c r="J6140" s="3">
        <v>29894</v>
      </c>
      <c r="K6140" s="3">
        <v>4296</v>
      </c>
      <c r="L6140" s="3">
        <v>18251</v>
      </c>
      <c r="M6140" s="3">
        <v>4355</v>
      </c>
      <c r="N6140" s="3">
        <v>82046</v>
      </c>
    </row>
    <row r="6141" spans="1:14" x14ac:dyDescent="0.2">
      <c r="A6141" s="5" t="str">
        <f>HYPERLINK("http://www.ncbi.nlm.nih.gov/protein/86476069","Rab43")</f>
        <v>Rab43</v>
      </c>
      <c r="B6141" s="4"/>
      <c r="C6141" s="3">
        <v>389534</v>
      </c>
      <c r="D6141" s="3">
        <v>38341</v>
      </c>
      <c r="E6141" s="3">
        <v>7303</v>
      </c>
      <c r="F6141" s="3">
        <v>13408</v>
      </c>
      <c r="G6141" s="3">
        <v>23518</v>
      </c>
      <c r="H6141" s="2">
        <f t="shared" si="190"/>
        <v>472104</v>
      </c>
      <c r="I6141" t="str">
        <f t="shared" si="191"/>
        <v>Rab43_472104</v>
      </c>
      <c r="J6141" s="3">
        <v>389534</v>
      </c>
      <c r="K6141" s="3">
        <v>38341</v>
      </c>
      <c r="L6141" s="3">
        <v>7303</v>
      </c>
      <c r="M6141" s="3">
        <v>13408</v>
      </c>
      <c r="N6141" s="3">
        <v>23518</v>
      </c>
    </row>
    <row r="6142" spans="1:14" x14ac:dyDescent="0.2">
      <c r="A6142" s="5" t="str">
        <f>HYPERLINK("http://www.ncbi.nlm.nih.gov/protein/171184402","Rab4a")</f>
        <v>Rab4a</v>
      </c>
      <c r="B6142" s="4"/>
      <c r="C6142" s="3">
        <v>389534</v>
      </c>
      <c r="D6142" s="3">
        <v>39682</v>
      </c>
      <c r="E6142" s="3">
        <v>19079</v>
      </c>
      <c r="F6142" s="3">
        <v>16420</v>
      </c>
      <c r="G6142" s="3">
        <v>24054</v>
      </c>
      <c r="H6142" s="2">
        <f t="shared" si="190"/>
        <v>488769</v>
      </c>
      <c r="I6142" t="str">
        <f t="shared" si="191"/>
        <v>Rab4a_488769</v>
      </c>
      <c r="J6142" s="3">
        <v>389534</v>
      </c>
      <c r="K6142" s="3">
        <v>39682</v>
      </c>
      <c r="L6142" s="3">
        <v>19079</v>
      </c>
      <c r="M6142" s="3">
        <v>16420</v>
      </c>
      <c r="N6142" s="3">
        <v>24054</v>
      </c>
    </row>
    <row r="6143" spans="1:14" x14ac:dyDescent="0.2">
      <c r="A6143" s="5" t="str">
        <f>HYPERLINK("http://www.ncbi.nlm.nih.gov/protein/21313012","Rab4b")</f>
        <v>Rab4b</v>
      </c>
      <c r="B6143" s="4"/>
      <c r="C6143" s="3">
        <v>389534</v>
      </c>
      <c r="D6143" s="3">
        <v>39018</v>
      </c>
      <c r="E6143" s="3">
        <v>18128</v>
      </c>
      <c r="F6143" s="3">
        <v>17697</v>
      </c>
      <c r="G6143" s="3">
        <v>23518</v>
      </c>
      <c r="H6143" s="2">
        <f t="shared" si="190"/>
        <v>487895</v>
      </c>
      <c r="I6143" t="str">
        <f t="shared" si="191"/>
        <v>Rab4b_487895</v>
      </c>
      <c r="J6143" s="3">
        <v>389534</v>
      </c>
      <c r="K6143" s="3">
        <v>39018</v>
      </c>
      <c r="L6143" s="3">
        <v>18128</v>
      </c>
      <c r="M6143" s="3">
        <v>17697</v>
      </c>
      <c r="N6143" s="3">
        <v>23518</v>
      </c>
    </row>
    <row r="6144" spans="1:14" x14ac:dyDescent="0.2">
      <c r="A6144" s="5" t="str">
        <f>HYPERLINK("http://www.ncbi.nlm.nih.gov/protein/13385374","Rab5a")</f>
        <v>Rab5a</v>
      </c>
      <c r="B6144" s="4"/>
      <c r="C6144" s="3">
        <v>116316</v>
      </c>
      <c r="D6144" s="3">
        <v>24839</v>
      </c>
      <c r="E6144" s="3">
        <v>57260</v>
      </c>
      <c r="F6144" s="3">
        <v>66180</v>
      </c>
      <c r="G6144" s="3">
        <v>72739</v>
      </c>
      <c r="H6144" s="2">
        <f t="shared" si="190"/>
        <v>337334</v>
      </c>
      <c r="I6144" t="str">
        <f t="shared" si="191"/>
        <v>Rab5a_337334</v>
      </c>
      <c r="J6144" s="3">
        <v>116316</v>
      </c>
      <c r="K6144" s="3">
        <v>24839</v>
      </c>
      <c r="L6144" s="3">
        <v>57260</v>
      </c>
      <c r="M6144" s="3">
        <v>66180</v>
      </c>
      <c r="N6144" s="3">
        <v>72739</v>
      </c>
    </row>
    <row r="6145" spans="1:14" x14ac:dyDescent="0.2">
      <c r="A6145" s="5" t="str">
        <f>HYPERLINK("http://www.ncbi.nlm.nih.gov/protein/28916687","Rab5b")</f>
        <v>Rab5b</v>
      </c>
      <c r="B6145" s="4"/>
      <c r="C6145" s="3">
        <v>112490</v>
      </c>
      <c r="D6145" s="3">
        <v>23495</v>
      </c>
      <c r="E6145" s="3">
        <v>50918</v>
      </c>
      <c r="F6145" s="3">
        <v>37302</v>
      </c>
      <c r="G6145" s="3">
        <v>64782</v>
      </c>
      <c r="H6145" s="2">
        <f t="shared" si="190"/>
        <v>288987</v>
      </c>
      <c r="I6145" t="str">
        <f t="shared" si="191"/>
        <v>Rab5b_288987</v>
      </c>
      <c r="J6145" s="3">
        <v>112490</v>
      </c>
      <c r="K6145" s="3">
        <v>23495</v>
      </c>
      <c r="L6145" s="3">
        <v>50918</v>
      </c>
      <c r="M6145" s="3">
        <v>37302</v>
      </c>
      <c r="N6145" s="3">
        <v>64782</v>
      </c>
    </row>
    <row r="6146" spans="1:14" x14ac:dyDescent="0.2">
      <c r="A6146" s="5" t="str">
        <f>HYPERLINK("http://www.ncbi.nlm.nih.gov/protein/113866024","Rab5c")</f>
        <v>Rab5c</v>
      </c>
      <c r="B6146" s="4"/>
      <c r="C6146" s="3">
        <v>172040</v>
      </c>
      <c r="D6146" s="3">
        <v>23597</v>
      </c>
      <c r="E6146" s="3">
        <v>54029</v>
      </c>
      <c r="F6146" s="3">
        <v>51323</v>
      </c>
      <c r="G6146" s="3">
        <v>91695</v>
      </c>
      <c r="H6146" s="2">
        <f t="shared" ref="H6146:H6209" si="192">SUM(C6146:G6146)</f>
        <v>392684</v>
      </c>
      <c r="I6146" t="str">
        <f t="shared" ref="I6146:I6209" si="193">A6146&amp;"_"&amp;H6146</f>
        <v>Rab5c_392684</v>
      </c>
      <c r="J6146" s="3">
        <v>172040</v>
      </c>
      <c r="K6146" s="3">
        <v>23597</v>
      </c>
      <c r="L6146" s="3">
        <v>54029</v>
      </c>
      <c r="M6146" s="3">
        <v>51323</v>
      </c>
      <c r="N6146" s="3">
        <v>91695</v>
      </c>
    </row>
    <row r="6147" spans="1:14" x14ac:dyDescent="0.2">
      <c r="A6147" s="5" t="str">
        <f>HYPERLINK("http://www.ncbi.nlm.nih.gov/protein/13195674","Rab6a")</f>
        <v>Rab6a</v>
      </c>
      <c r="B6147" s="4"/>
      <c r="C6147" s="3">
        <v>402622</v>
      </c>
      <c r="D6147" s="3">
        <v>54895</v>
      </c>
      <c r="E6147" s="3">
        <v>43279</v>
      </c>
      <c r="F6147" s="3">
        <v>21594</v>
      </c>
      <c r="G6147" s="3">
        <v>32182</v>
      </c>
      <c r="H6147" s="2">
        <f t="shared" si="192"/>
        <v>554572</v>
      </c>
      <c r="I6147" t="str">
        <f t="shared" si="193"/>
        <v>Rab6a_554572</v>
      </c>
      <c r="J6147" s="3">
        <v>402622</v>
      </c>
      <c r="K6147" s="3">
        <v>54895</v>
      </c>
      <c r="L6147" s="3">
        <v>43279</v>
      </c>
      <c r="M6147" s="3">
        <v>21594</v>
      </c>
      <c r="N6147" s="3">
        <v>32182</v>
      </c>
    </row>
    <row r="6148" spans="1:14" x14ac:dyDescent="0.2">
      <c r="A6148" s="5" t="str">
        <f>HYPERLINK("http://www.ncbi.nlm.nih.gov/protein/254750706","Rab6a")</f>
        <v>Rab6a</v>
      </c>
      <c r="B6148" s="4"/>
      <c r="C6148" s="3">
        <v>402622</v>
      </c>
      <c r="D6148" s="3">
        <v>54895</v>
      </c>
      <c r="E6148" s="3">
        <v>43279</v>
      </c>
      <c r="F6148" s="3">
        <v>21594</v>
      </c>
      <c r="G6148" s="3">
        <v>32182</v>
      </c>
      <c r="H6148" s="2">
        <f t="shared" si="192"/>
        <v>554572</v>
      </c>
      <c r="I6148" t="str">
        <f t="shared" si="193"/>
        <v>Rab6a_554572</v>
      </c>
      <c r="J6148" s="3">
        <v>402622</v>
      </c>
      <c r="K6148" s="3">
        <v>54895</v>
      </c>
      <c r="L6148" s="3">
        <v>43279</v>
      </c>
      <c r="M6148" s="3">
        <v>21594</v>
      </c>
      <c r="N6148" s="3">
        <v>32182</v>
      </c>
    </row>
    <row r="6149" spans="1:14" x14ac:dyDescent="0.2">
      <c r="A6149" s="5" t="str">
        <f>HYPERLINK("http://www.ncbi.nlm.nih.gov/protein/30424655","Rab6b")</f>
        <v>Rab6b</v>
      </c>
      <c r="B6149" s="4"/>
      <c r="C6149" s="3">
        <v>392774</v>
      </c>
      <c r="D6149" s="3">
        <v>43118</v>
      </c>
      <c r="E6149" s="3">
        <v>30923</v>
      </c>
      <c r="F6149" s="3">
        <v>41304</v>
      </c>
      <c r="G6149" s="3">
        <v>112857</v>
      </c>
      <c r="H6149" s="2">
        <f t="shared" si="192"/>
        <v>620976</v>
      </c>
      <c r="I6149" t="str">
        <f t="shared" si="193"/>
        <v>Rab6b_620976</v>
      </c>
      <c r="J6149" s="3">
        <v>392774</v>
      </c>
      <c r="K6149" s="3">
        <v>43118</v>
      </c>
      <c r="L6149" s="3">
        <v>30923</v>
      </c>
      <c r="M6149" s="3">
        <v>41304</v>
      </c>
      <c r="N6149" s="3">
        <v>112857</v>
      </c>
    </row>
    <row r="6150" spans="1:14" x14ac:dyDescent="0.2">
      <c r="A6150" s="5" t="str">
        <f>HYPERLINK("http://www.ncbi.nlm.nih.gov/protein/148747526","Rab7")</f>
        <v>Rab7</v>
      </c>
      <c r="B6150" s="4"/>
      <c r="C6150" s="3">
        <v>210043</v>
      </c>
      <c r="D6150" s="3">
        <v>139868</v>
      </c>
      <c r="E6150" s="3">
        <v>139293</v>
      </c>
      <c r="F6150" s="3">
        <v>69266</v>
      </c>
      <c r="G6150" s="3">
        <v>63411</v>
      </c>
      <c r="H6150" s="2">
        <f t="shared" si="192"/>
        <v>621881</v>
      </c>
      <c r="I6150" t="str">
        <f t="shared" si="193"/>
        <v>Rab7_621881</v>
      </c>
      <c r="J6150" s="3">
        <v>210043</v>
      </c>
      <c r="K6150" s="3">
        <v>139868</v>
      </c>
      <c r="L6150" s="3">
        <v>139293</v>
      </c>
      <c r="M6150" s="3">
        <v>69266</v>
      </c>
      <c r="N6150" s="3">
        <v>63411</v>
      </c>
    </row>
    <row r="6151" spans="1:14" x14ac:dyDescent="0.2">
      <c r="A6151" s="5" t="str">
        <f>HYPERLINK("http://www.ncbi.nlm.nih.gov/protein/229608951","Rab7l1")</f>
        <v>Rab7l1</v>
      </c>
      <c r="B6151" s="4"/>
      <c r="C6151" s="3">
        <v>0</v>
      </c>
      <c r="D6151" s="3">
        <v>365</v>
      </c>
      <c r="E6151" s="3">
        <v>142</v>
      </c>
      <c r="F6151" s="3">
        <v>0</v>
      </c>
      <c r="G6151" s="3">
        <v>0</v>
      </c>
      <c r="H6151" s="2">
        <f t="shared" si="192"/>
        <v>507</v>
      </c>
      <c r="I6151" t="str">
        <f t="shared" si="193"/>
        <v>Rab7l1_507</v>
      </c>
      <c r="J6151" s="3">
        <v>0</v>
      </c>
      <c r="K6151" s="3">
        <v>365</v>
      </c>
      <c r="L6151" s="3">
        <v>142</v>
      </c>
      <c r="M6151" s="3">
        <v>0</v>
      </c>
      <c r="N6151" s="3">
        <v>0</v>
      </c>
    </row>
    <row r="6152" spans="1:14" x14ac:dyDescent="0.2">
      <c r="A6152" s="5" t="str">
        <f>HYPERLINK("http://www.ncbi.nlm.nih.gov/protein/38372905","Rab8a")</f>
        <v>Rab8a</v>
      </c>
      <c r="B6152" s="4"/>
      <c r="C6152" s="3">
        <v>555826</v>
      </c>
      <c r="D6152" s="3">
        <v>61861</v>
      </c>
      <c r="E6152" s="3">
        <v>44488</v>
      </c>
      <c r="F6152" s="3">
        <v>32734</v>
      </c>
      <c r="G6152" s="3">
        <v>54201</v>
      </c>
      <c r="H6152" s="2">
        <f t="shared" si="192"/>
        <v>749110</v>
      </c>
      <c r="I6152" t="str">
        <f t="shared" si="193"/>
        <v>Rab8a_749110</v>
      </c>
      <c r="J6152" s="3">
        <v>555826</v>
      </c>
      <c r="K6152" s="3">
        <v>61861</v>
      </c>
      <c r="L6152" s="3">
        <v>44488</v>
      </c>
      <c r="M6152" s="3">
        <v>32734</v>
      </c>
      <c r="N6152" s="3">
        <v>54201</v>
      </c>
    </row>
    <row r="6153" spans="1:14" x14ac:dyDescent="0.2">
      <c r="A6153" s="5" t="str">
        <f>HYPERLINK("http://www.ncbi.nlm.nih.gov/protein/27734154","Rab8b")</f>
        <v>Rab8b</v>
      </c>
      <c r="B6153" s="4"/>
      <c r="C6153" s="3">
        <v>506656</v>
      </c>
      <c r="D6153" s="3">
        <v>61371</v>
      </c>
      <c r="E6153" s="3">
        <v>37326</v>
      </c>
      <c r="F6153" s="3">
        <v>30393</v>
      </c>
      <c r="G6153" s="3">
        <v>53997</v>
      </c>
      <c r="H6153" s="2">
        <f t="shared" si="192"/>
        <v>689743</v>
      </c>
      <c r="I6153" t="str">
        <f t="shared" si="193"/>
        <v>Rab8b_689743</v>
      </c>
      <c r="J6153" s="3">
        <v>506656</v>
      </c>
      <c r="K6153" s="3">
        <v>61371</v>
      </c>
      <c r="L6153" s="3">
        <v>37326</v>
      </c>
      <c r="M6153" s="3">
        <v>30393</v>
      </c>
      <c r="N6153" s="3">
        <v>53997</v>
      </c>
    </row>
    <row r="6154" spans="1:14" x14ac:dyDescent="0.2">
      <c r="A6154" s="5" t="str">
        <f>HYPERLINK("http://www.ncbi.nlm.nih.gov/protein/9790227","Rab9")</f>
        <v>Rab9</v>
      </c>
      <c r="B6154" s="4"/>
      <c r="C6154" s="3">
        <v>238</v>
      </c>
      <c r="D6154" s="3">
        <v>8496</v>
      </c>
      <c r="E6154" s="3">
        <v>4934</v>
      </c>
      <c r="F6154" s="3">
        <v>2341</v>
      </c>
      <c r="G6154" s="3">
        <v>386</v>
      </c>
      <c r="H6154" s="2">
        <f t="shared" si="192"/>
        <v>16395</v>
      </c>
      <c r="I6154" t="str">
        <f t="shared" si="193"/>
        <v>Rab9_16395</v>
      </c>
      <c r="J6154" s="3">
        <v>238</v>
      </c>
      <c r="K6154" s="3">
        <v>8496</v>
      </c>
      <c r="L6154" s="3">
        <v>4934</v>
      </c>
      <c r="M6154" s="3">
        <v>2341</v>
      </c>
      <c r="N6154" s="3">
        <v>386</v>
      </c>
    </row>
    <row r="6155" spans="1:14" x14ac:dyDescent="0.2">
      <c r="A6155" s="5" t="str">
        <f>HYPERLINK("http://www.ncbi.nlm.nih.gov/protein/28892801","Rab9b")</f>
        <v>Rab9b</v>
      </c>
      <c r="B6155" s="4"/>
      <c r="C6155" s="3">
        <v>0</v>
      </c>
      <c r="D6155" s="3">
        <v>0</v>
      </c>
      <c r="E6155" s="3">
        <v>72</v>
      </c>
      <c r="F6155" s="3">
        <v>0</v>
      </c>
      <c r="G6155" s="3">
        <v>268</v>
      </c>
      <c r="H6155" s="2">
        <f t="shared" si="192"/>
        <v>340</v>
      </c>
      <c r="I6155" t="str">
        <f t="shared" si="193"/>
        <v>Rab9b_340</v>
      </c>
      <c r="J6155" s="3">
        <v>0</v>
      </c>
      <c r="K6155" s="3">
        <v>0</v>
      </c>
      <c r="L6155" s="3">
        <v>72</v>
      </c>
      <c r="M6155" s="3">
        <v>0</v>
      </c>
      <c r="N6155" s="3">
        <v>268</v>
      </c>
    </row>
    <row r="6156" spans="1:14" x14ac:dyDescent="0.2">
      <c r="A6156" s="5" t="str">
        <f>HYPERLINK("http://www.ncbi.nlm.nih.gov/protein/33859558","Rabac1")</f>
        <v>Rabac1</v>
      </c>
      <c r="B6156" s="4"/>
      <c r="C6156" s="3">
        <v>0</v>
      </c>
      <c r="D6156" s="3">
        <v>2478</v>
      </c>
      <c r="E6156" s="3">
        <v>97</v>
      </c>
      <c r="F6156" s="3">
        <v>1604</v>
      </c>
      <c r="G6156" s="3">
        <v>0</v>
      </c>
      <c r="H6156" s="2">
        <f t="shared" si="192"/>
        <v>4179</v>
      </c>
      <c r="I6156" t="str">
        <f t="shared" si="193"/>
        <v>Rabac1_4179</v>
      </c>
      <c r="J6156" s="3">
        <v>0</v>
      </c>
      <c r="K6156" s="3">
        <v>2478</v>
      </c>
      <c r="L6156" s="3">
        <v>97</v>
      </c>
      <c r="M6156" s="3">
        <v>1604</v>
      </c>
      <c r="N6156" s="3">
        <v>0</v>
      </c>
    </row>
    <row r="6157" spans="1:14" x14ac:dyDescent="0.2">
      <c r="A6157" s="5" t="str">
        <f>HYPERLINK("http://www.ncbi.nlm.nih.gov/protein/238231439","Rabep1")</f>
        <v>Rabep1</v>
      </c>
      <c r="B6157" s="4"/>
      <c r="C6157" s="3">
        <v>0</v>
      </c>
      <c r="D6157" s="3">
        <v>0</v>
      </c>
      <c r="E6157" s="3">
        <v>0</v>
      </c>
      <c r="F6157" s="3">
        <v>0</v>
      </c>
      <c r="G6157" s="3">
        <v>8064</v>
      </c>
      <c r="H6157" s="2">
        <f t="shared" si="192"/>
        <v>8064</v>
      </c>
      <c r="I6157" t="str">
        <f t="shared" si="193"/>
        <v>Rabep1_8064</v>
      </c>
      <c r="J6157" s="3">
        <v>0</v>
      </c>
      <c r="K6157" s="3">
        <v>0</v>
      </c>
      <c r="L6157" s="3">
        <v>0</v>
      </c>
      <c r="M6157" s="3">
        <v>0</v>
      </c>
      <c r="N6157" s="3">
        <v>8064</v>
      </c>
    </row>
    <row r="6158" spans="1:14" x14ac:dyDescent="0.2">
      <c r="A6158" s="5" t="str">
        <f>HYPERLINK("http://www.ncbi.nlm.nih.gov/protein/140970573","Rabep2")</f>
        <v>Rabep2</v>
      </c>
      <c r="B6158" s="4"/>
      <c r="C6158" s="3">
        <v>0</v>
      </c>
      <c r="D6158" s="3">
        <v>0</v>
      </c>
      <c r="E6158" s="3">
        <v>301</v>
      </c>
      <c r="F6158" s="3">
        <v>33</v>
      </c>
      <c r="G6158" s="3">
        <v>26710</v>
      </c>
      <c r="H6158" s="2">
        <f t="shared" si="192"/>
        <v>27044</v>
      </c>
      <c r="I6158" t="str">
        <f t="shared" si="193"/>
        <v>Rabep2_27044</v>
      </c>
      <c r="J6158" s="3">
        <v>0</v>
      </c>
      <c r="K6158" s="3">
        <v>0</v>
      </c>
      <c r="L6158" s="3">
        <v>301</v>
      </c>
      <c r="M6158" s="3">
        <v>33</v>
      </c>
      <c r="N6158" s="3">
        <v>26710</v>
      </c>
    </row>
    <row r="6159" spans="1:14" x14ac:dyDescent="0.2">
      <c r="A6159" s="5" t="str">
        <f>HYPERLINK("http://www.ncbi.nlm.nih.gov/protein/76880489","Rabgap1")</f>
        <v>Rabgap1</v>
      </c>
      <c r="B6159" s="4"/>
      <c r="C6159" s="3">
        <v>0</v>
      </c>
      <c r="D6159" s="3">
        <v>766</v>
      </c>
      <c r="E6159" s="3">
        <v>1586</v>
      </c>
      <c r="F6159" s="3">
        <v>1711</v>
      </c>
      <c r="G6159" s="3">
        <v>28659</v>
      </c>
      <c r="H6159" s="2">
        <f t="shared" si="192"/>
        <v>32722</v>
      </c>
      <c r="I6159" t="str">
        <f t="shared" si="193"/>
        <v>Rabgap1_32722</v>
      </c>
      <c r="J6159" s="3">
        <v>0</v>
      </c>
      <c r="K6159" s="3">
        <v>766</v>
      </c>
      <c r="L6159" s="3">
        <v>1586</v>
      </c>
      <c r="M6159" s="3">
        <v>1711</v>
      </c>
      <c r="N6159" s="3">
        <v>28659</v>
      </c>
    </row>
    <row r="6160" spans="1:14" x14ac:dyDescent="0.2">
      <c r="A6160" s="5" t="str">
        <f>HYPERLINK("http://www.ncbi.nlm.nih.gov/protein/76880498","Rabgap1")</f>
        <v>Rabgap1</v>
      </c>
      <c r="B6160" s="4"/>
      <c r="C6160" s="3">
        <v>0</v>
      </c>
      <c r="D6160" s="3">
        <v>668</v>
      </c>
      <c r="E6160" s="3">
        <v>1267</v>
      </c>
      <c r="F6160" s="3">
        <v>1711</v>
      </c>
      <c r="G6160" s="3">
        <v>17339</v>
      </c>
      <c r="H6160" s="2">
        <f t="shared" si="192"/>
        <v>20985</v>
      </c>
      <c r="I6160" t="str">
        <f t="shared" si="193"/>
        <v>Rabgap1_20985</v>
      </c>
      <c r="J6160" s="3">
        <v>0</v>
      </c>
      <c r="K6160" s="3">
        <v>668</v>
      </c>
      <c r="L6160" s="3">
        <v>1267</v>
      </c>
      <c r="M6160" s="3">
        <v>1711</v>
      </c>
      <c r="N6160" s="3">
        <v>17339</v>
      </c>
    </row>
    <row r="6161" spans="1:14" x14ac:dyDescent="0.2">
      <c r="A6161" s="5" t="str">
        <f>HYPERLINK("http://www.ncbi.nlm.nih.gov/protein/229577255","Rabgap1l")</f>
        <v>Rabgap1l</v>
      </c>
      <c r="B6161" s="4"/>
      <c r="C6161" s="3">
        <v>0</v>
      </c>
      <c r="D6161" s="3">
        <v>0</v>
      </c>
      <c r="E6161" s="3">
        <v>0</v>
      </c>
      <c r="F6161" s="3">
        <v>0</v>
      </c>
      <c r="G6161" s="3">
        <v>75</v>
      </c>
      <c r="H6161" s="2">
        <f t="shared" si="192"/>
        <v>75</v>
      </c>
      <c r="I6161" t="str">
        <f t="shared" si="193"/>
        <v>Rabgap1l_75</v>
      </c>
      <c r="J6161" s="3">
        <v>0</v>
      </c>
      <c r="K6161" s="3">
        <v>0</v>
      </c>
      <c r="L6161" s="3">
        <v>0</v>
      </c>
      <c r="M6161" s="3">
        <v>0</v>
      </c>
      <c r="N6161" s="3">
        <v>75</v>
      </c>
    </row>
    <row r="6162" spans="1:14" x14ac:dyDescent="0.2">
      <c r="A6162" s="5" t="str">
        <f>HYPERLINK("http://www.ncbi.nlm.nih.gov/protein/84490375","Rabgap1l")</f>
        <v>Rabgap1l</v>
      </c>
      <c r="B6162" s="4"/>
      <c r="C6162" s="3">
        <v>0</v>
      </c>
      <c r="D6162" s="3">
        <v>0</v>
      </c>
      <c r="E6162" s="3">
        <v>0</v>
      </c>
      <c r="F6162" s="3">
        <v>0</v>
      </c>
      <c r="G6162" s="3">
        <v>1960</v>
      </c>
      <c r="H6162" s="2">
        <f t="shared" si="192"/>
        <v>1960</v>
      </c>
      <c r="I6162" t="str">
        <f t="shared" si="193"/>
        <v>Rabgap1l_1960</v>
      </c>
      <c r="J6162" s="3">
        <v>0</v>
      </c>
      <c r="K6162" s="3">
        <v>0</v>
      </c>
      <c r="L6162" s="3">
        <v>0</v>
      </c>
      <c r="M6162" s="3">
        <v>0</v>
      </c>
      <c r="N6162" s="3">
        <v>1960</v>
      </c>
    </row>
    <row r="6163" spans="1:14" x14ac:dyDescent="0.2">
      <c r="A6163" s="5" t="str">
        <f>HYPERLINK("http://www.ncbi.nlm.nih.gov/protein/312261269;9910316","Rabgef1")</f>
        <v>Rabgef1</v>
      </c>
      <c r="B6163" s="4"/>
      <c r="C6163" s="3">
        <v>0</v>
      </c>
      <c r="D6163" s="3">
        <v>0</v>
      </c>
      <c r="E6163" s="3">
        <v>97</v>
      </c>
      <c r="F6163" s="3">
        <v>0</v>
      </c>
      <c r="G6163" s="3">
        <v>1585</v>
      </c>
      <c r="H6163" s="2">
        <f t="shared" si="192"/>
        <v>1682</v>
      </c>
      <c r="I6163" t="str">
        <f t="shared" si="193"/>
        <v>Rabgef1_1682</v>
      </c>
      <c r="J6163" s="3">
        <v>0</v>
      </c>
      <c r="K6163" s="3">
        <v>0</v>
      </c>
      <c r="L6163" s="3">
        <v>97</v>
      </c>
      <c r="M6163" s="3">
        <v>0</v>
      </c>
      <c r="N6163" s="3">
        <v>1585</v>
      </c>
    </row>
    <row r="6164" spans="1:14" x14ac:dyDescent="0.2">
      <c r="A6164" s="5" t="str">
        <f>HYPERLINK("http://www.ncbi.nlm.nih.gov/protein/9507023","Rabggta")</f>
        <v>Rabggta</v>
      </c>
      <c r="B6164" s="4"/>
      <c r="C6164" s="3">
        <v>0</v>
      </c>
      <c r="D6164" s="3">
        <v>0</v>
      </c>
      <c r="E6164" s="3">
        <v>2400</v>
      </c>
      <c r="F6164" s="3">
        <v>0</v>
      </c>
      <c r="G6164" s="3">
        <v>23047</v>
      </c>
      <c r="H6164" s="2">
        <f t="shared" si="192"/>
        <v>25447</v>
      </c>
      <c r="I6164" t="str">
        <f t="shared" si="193"/>
        <v>Rabggta_25447</v>
      </c>
      <c r="J6164" s="3">
        <v>0</v>
      </c>
      <c r="K6164" s="3">
        <v>0</v>
      </c>
      <c r="L6164" s="3">
        <v>2400</v>
      </c>
      <c r="M6164" s="3">
        <v>0</v>
      </c>
      <c r="N6164" s="3">
        <v>23047</v>
      </c>
    </row>
    <row r="6165" spans="1:14" x14ac:dyDescent="0.2">
      <c r="A6165" s="5" t="str">
        <f>HYPERLINK("http://www.ncbi.nlm.nih.gov/protein/254553291","Rabggtb")</f>
        <v>Rabggtb</v>
      </c>
      <c r="B6165" s="4"/>
      <c r="C6165" s="3">
        <v>0</v>
      </c>
      <c r="D6165" s="3">
        <v>242</v>
      </c>
      <c r="E6165" s="3">
        <v>174</v>
      </c>
      <c r="F6165" s="3">
        <v>0</v>
      </c>
      <c r="G6165" s="3">
        <v>33553</v>
      </c>
      <c r="H6165" s="2">
        <f t="shared" si="192"/>
        <v>33969</v>
      </c>
      <c r="I6165" t="str">
        <f t="shared" si="193"/>
        <v>Rabggtb_33969</v>
      </c>
      <c r="J6165" s="3">
        <v>0</v>
      </c>
      <c r="K6165" s="3">
        <v>242</v>
      </c>
      <c r="L6165" s="3">
        <v>174</v>
      </c>
      <c r="M6165" s="3">
        <v>0</v>
      </c>
      <c r="N6165" s="3">
        <v>33553</v>
      </c>
    </row>
    <row r="6166" spans="1:14" x14ac:dyDescent="0.2">
      <c r="A6166" s="5" t="str">
        <f>HYPERLINK("http://www.ncbi.nlm.nih.gov/protein/254553293","Rabggtb")</f>
        <v>Rabggtb</v>
      </c>
      <c r="B6166" s="4"/>
      <c r="C6166" s="3">
        <v>0</v>
      </c>
      <c r="D6166" s="3">
        <v>242</v>
      </c>
      <c r="E6166" s="3">
        <v>174</v>
      </c>
      <c r="F6166" s="3">
        <v>0</v>
      </c>
      <c r="G6166" s="3">
        <v>33553</v>
      </c>
      <c r="H6166" s="2">
        <f t="shared" si="192"/>
        <v>33969</v>
      </c>
      <c r="I6166" t="str">
        <f t="shared" si="193"/>
        <v>Rabggtb_33969</v>
      </c>
      <c r="J6166" s="3">
        <v>0</v>
      </c>
      <c r="K6166" s="3">
        <v>242</v>
      </c>
      <c r="L6166" s="3">
        <v>174</v>
      </c>
      <c r="M6166" s="3">
        <v>0</v>
      </c>
      <c r="N6166" s="3">
        <v>33553</v>
      </c>
    </row>
    <row r="6167" spans="1:14" x14ac:dyDescent="0.2">
      <c r="A6167" s="5" t="str">
        <f>HYPERLINK("http://www.ncbi.nlm.nih.gov/protein/254553295","Rabggtb")</f>
        <v>Rabggtb</v>
      </c>
      <c r="B6167" s="4"/>
      <c r="C6167" s="3">
        <v>0</v>
      </c>
      <c r="D6167" s="3">
        <v>242</v>
      </c>
      <c r="E6167" s="3">
        <v>61</v>
      </c>
      <c r="F6167" s="3">
        <v>0</v>
      </c>
      <c r="G6167" s="3">
        <v>10003</v>
      </c>
      <c r="H6167" s="2">
        <f t="shared" si="192"/>
        <v>10306</v>
      </c>
      <c r="I6167" t="str">
        <f t="shared" si="193"/>
        <v>Rabggtb_10306</v>
      </c>
      <c r="J6167" s="3">
        <v>0</v>
      </c>
      <c r="K6167" s="3">
        <v>242</v>
      </c>
      <c r="L6167" s="3">
        <v>61</v>
      </c>
      <c r="M6167" s="3">
        <v>0</v>
      </c>
      <c r="N6167" s="3">
        <v>10003</v>
      </c>
    </row>
    <row r="6168" spans="1:14" x14ac:dyDescent="0.2">
      <c r="A6168" s="5" t="str">
        <f>HYPERLINK("http://www.ncbi.nlm.nih.gov/protein/21704004","Rabif")</f>
        <v>Rabif</v>
      </c>
      <c r="B6168" s="4"/>
      <c r="C6168" s="3">
        <v>0</v>
      </c>
      <c r="D6168" s="3">
        <v>0</v>
      </c>
      <c r="E6168" s="3">
        <v>0</v>
      </c>
      <c r="F6168" s="3">
        <v>0</v>
      </c>
      <c r="G6168" s="3">
        <v>1060</v>
      </c>
      <c r="H6168" s="2">
        <f t="shared" si="192"/>
        <v>1060</v>
      </c>
      <c r="I6168" t="str">
        <f t="shared" si="193"/>
        <v>Rabif_1060</v>
      </c>
      <c r="J6168" s="3">
        <v>0</v>
      </c>
      <c r="K6168" s="3">
        <v>0</v>
      </c>
      <c r="L6168" s="3">
        <v>0</v>
      </c>
      <c r="M6168" s="3">
        <v>0</v>
      </c>
      <c r="N6168" s="3">
        <v>1060</v>
      </c>
    </row>
    <row r="6169" spans="1:14" x14ac:dyDescent="0.2">
      <c r="A6169" s="5" t="str">
        <f>HYPERLINK("http://www.ncbi.nlm.nih.gov/protein/146134336","Rabl2")</f>
        <v>Rabl2</v>
      </c>
      <c r="B6169" s="4"/>
      <c r="C6169" s="3">
        <v>0</v>
      </c>
      <c r="D6169" s="3">
        <v>0</v>
      </c>
      <c r="E6169" s="3">
        <v>37</v>
      </c>
      <c r="F6169" s="3">
        <v>16</v>
      </c>
      <c r="G6169" s="3">
        <v>996</v>
      </c>
      <c r="H6169" s="2">
        <f t="shared" si="192"/>
        <v>1049</v>
      </c>
      <c r="I6169" t="str">
        <f t="shared" si="193"/>
        <v>Rabl2_1049</v>
      </c>
      <c r="J6169" s="3">
        <v>0</v>
      </c>
      <c r="K6169" s="3">
        <v>0</v>
      </c>
      <c r="L6169" s="3">
        <v>37</v>
      </c>
      <c r="M6169" s="3">
        <v>16</v>
      </c>
      <c r="N6169" s="3">
        <v>996</v>
      </c>
    </row>
    <row r="6170" spans="1:14" x14ac:dyDescent="0.2">
      <c r="A6170" s="5" t="str">
        <f>HYPERLINK("http://www.ncbi.nlm.nih.gov/protein/21313026","Rabl5")</f>
        <v>Rabl5</v>
      </c>
      <c r="B6170" s="4"/>
      <c r="C6170" s="3">
        <v>0</v>
      </c>
      <c r="D6170" s="3">
        <v>0</v>
      </c>
      <c r="E6170" s="3">
        <v>98</v>
      </c>
      <c r="F6170" s="3">
        <v>196</v>
      </c>
      <c r="G6170" s="3">
        <v>4155</v>
      </c>
      <c r="H6170" s="2">
        <f t="shared" si="192"/>
        <v>4449</v>
      </c>
      <c r="I6170" t="str">
        <f t="shared" si="193"/>
        <v>Rabl5_4449</v>
      </c>
      <c r="J6170" s="3">
        <v>0</v>
      </c>
      <c r="K6170" s="3">
        <v>0</v>
      </c>
      <c r="L6170" s="3">
        <v>98</v>
      </c>
      <c r="M6170" s="3">
        <v>196</v>
      </c>
      <c r="N6170" s="3">
        <v>4155</v>
      </c>
    </row>
    <row r="6171" spans="1:14" x14ac:dyDescent="0.2">
      <c r="A6171" s="5" t="str">
        <f>HYPERLINK("http://www.ncbi.nlm.nih.gov/protein/112181302","Rabl6")</f>
        <v>Rabl6</v>
      </c>
      <c r="B6171" s="4"/>
      <c r="C6171" s="3">
        <v>696</v>
      </c>
      <c r="D6171" s="3">
        <v>286</v>
      </c>
      <c r="E6171" s="3">
        <v>199</v>
      </c>
      <c r="F6171" s="3">
        <v>4805</v>
      </c>
      <c r="G6171" s="3">
        <v>1467</v>
      </c>
      <c r="H6171" s="2">
        <f t="shared" si="192"/>
        <v>7453</v>
      </c>
      <c r="I6171" t="str">
        <f t="shared" si="193"/>
        <v>Rabl6_7453</v>
      </c>
      <c r="J6171" s="3">
        <v>696</v>
      </c>
      <c r="K6171" s="3">
        <v>286</v>
      </c>
      <c r="L6171" s="3">
        <v>199</v>
      </c>
      <c r="M6171" s="3">
        <v>4805</v>
      </c>
      <c r="N6171" s="3">
        <v>1467</v>
      </c>
    </row>
    <row r="6172" spans="1:14" x14ac:dyDescent="0.2">
      <c r="A6172" s="5" t="str">
        <f>HYPERLINK("http://www.ncbi.nlm.nih.gov/protein/45592934","Rac1")</f>
        <v>Rac1</v>
      </c>
      <c r="B6172" s="4"/>
      <c r="C6172" s="3">
        <v>50927</v>
      </c>
      <c r="D6172" s="3">
        <v>48650</v>
      </c>
      <c r="E6172" s="3">
        <v>115711</v>
      </c>
      <c r="F6172" s="3">
        <v>427434</v>
      </c>
      <c r="G6172" s="3">
        <v>126597</v>
      </c>
      <c r="H6172" s="2">
        <f t="shared" si="192"/>
        <v>769319</v>
      </c>
      <c r="I6172" t="str">
        <f t="shared" si="193"/>
        <v>Rac1_769319</v>
      </c>
      <c r="J6172" s="3">
        <v>50927</v>
      </c>
      <c r="K6172" s="3">
        <v>48650</v>
      </c>
      <c r="L6172" s="3">
        <v>115711</v>
      </c>
      <c r="M6172" s="3">
        <v>427434</v>
      </c>
      <c r="N6172" s="3">
        <v>126597</v>
      </c>
    </row>
    <row r="6173" spans="1:14" x14ac:dyDescent="0.2">
      <c r="A6173" s="5" t="str">
        <f>HYPERLINK("http://www.ncbi.nlm.nih.gov/protein/6679601","Rac2")</f>
        <v>Rac2</v>
      </c>
      <c r="B6173" s="4"/>
      <c r="C6173" s="3">
        <v>44813</v>
      </c>
      <c r="D6173" s="3">
        <v>36696</v>
      </c>
      <c r="E6173" s="3">
        <v>88105</v>
      </c>
      <c r="F6173" s="3">
        <v>219627</v>
      </c>
      <c r="G6173" s="3">
        <v>111786</v>
      </c>
      <c r="H6173" s="2">
        <f t="shared" si="192"/>
        <v>501027</v>
      </c>
      <c r="I6173" t="str">
        <f t="shared" si="193"/>
        <v>Rac2_501027</v>
      </c>
      <c r="J6173" s="3">
        <v>44813</v>
      </c>
      <c r="K6173" s="3">
        <v>36696</v>
      </c>
      <c r="L6173" s="3">
        <v>88105</v>
      </c>
      <c r="M6173" s="3">
        <v>219627</v>
      </c>
      <c r="N6173" s="3">
        <v>111786</v>
      </c>
    </row>
    <row r="6174" spans="1:14" x14ac:dyDescent="0.2">
      <c r="A6174" s="5" t="str">
        <f>HYPERLINK("http://www.ncbi.nlm.nih.gov/protein/18875380","Rac3")</f>
        <v>Rac3</v>
      </c>
      <c r="B6174" s="4"/>
      <c r="C6174" s="3">
        <v>44813</v>
      </c>
      <c r="D6174" s="3">
        <v>36918</v>
      </c>
      <c r="E6174" s="3">
        <v>88685</v>
      </c>
      <c r="F6174" s="3">
        <v>321177</v>
      </c>
      <c r="G6174" s="3">
        <v>112910</v>
      </c>
      <c r="H6174" s="2">
        <f t="shared" si="192"/>
        <v>604503</v>
      </c>
      <c r="I6174" t="str">
        <f t="shared" si="193"/>
        <v>Rac3_604503</v>
      </c>
      <c r="J6174" s="3">
        <v>44813</v>
      </c>
      <c r="K6174" s="3">
        <v>36918</v>
      </c>
      <c r="L6174" s="3">
        <v>88685</v>
      </c>
      <c r="M6174" s="3">
        <v>321177</v>
      </c>
      <c r="N6174" s="3">
        <v>112910</v>
      </c>
    </row>
    <row r="6175" spans="1:14" x14ac:dyDescent="0.2">
      <c r="A6175" s="5" t="str">
        <f>HYPERLINK("http://www.ncbi.nlm.nih.gov/protein/6755266","Racgap1")</f>
        <v>Racgap1</v>
      </c>
      <c r="B6175" s="4"/>
      <c r="C6175" s="3">
        <v>0</v>
      </c>
      <c r="D6175" s="3">
        <v>192</v>
      </c>
      <c r="E6175" s="3">
        <v>119</v>
      </c>
      <c r="F6175" s="3">
        <v>0</v>
      </c>
      <c r="G6175" s="3">
        <v>0</v>
      </c>
      <c r="H6175" s="2">
        <f t="shared" si="192"/>
        <v>311</v>
      </c>
      <c r="I6175" t="str">
        <f t="shared" si="193"/>
        <v>Racgap1_311</v>
      </c>
      <c r="J6175" s="3">
        <v>0</v>
      </c>
      <c r="K6175" s="3">
        <v>192</v>
      </c>
      <c r="L6175" s="3">
        <v>119</v>
      </c>
      <c r="M6175" s="3">
        <v>0</v>
      </c>
      <c r="N6175" s="3">
        <v>0</v>
      </c>
    </row>
    <row r="6176" spans="1:14" x14ac:dyDescent="0.2">
      <c r="A6176" s="5" t="str">
        <f>HYPERLINK("http://www.ncbi.nlm.nih.gov/protein/84872189","Rad1")</f>
        <v>Rad1</v>
      </c>
      <c r="B6176" s="4"/>
      <c r="C6176" s="3">
        <v>0</v>
      </c>
      <c r="D6176" s="3">
        <v>0</v>
      </c>
      <c r="E6176" s="3">
        <v>0</v>
      </c>
      <c r="F6176" s="3">
        <v>0</v>
      </c>
      <c r="G6176" s="3">
        <v>1467</v>
      </c>
      <c r="H6176" s="2">
        <f t="shared" si="192"/>
        <v>1467</v>
      </c>
      <c r="I6176" t="str">
        <f t="shared" si="193"/>
        <v>Rad1_1467</v>
      </c>
      <c r="J6176" s="3">
        <v>0</v>
      </c>
      <c r="K6176" s="3">
        <v>0</v>
      </c>
      <c r="L6176" s="3">
        <v>0</v>
      </c>
      <c r="M6176" s="3">
        <v>0</v>
      </c>
      <c r="N6176" s="3">
        <v>1467</v>
      </c>
    </row>
    <row r="6177" spans="1:14" x14ac:dyDescent="0.2">
      <c r="A6177" s="5" t="str">
        <f>HYPERLINK("http://www.ncbi.nlm.nih.gov/protein/254692855","Rad21")</f>
        <v>Rad21</v>
      </c>
      <c r="B6177" s="4"/>
      <c r="C6177" s="3">
        <v>5638</v>
      </c>
      <c r="D6177" s="3">
        <v>0</v>
      </c>
      <c r="E6177" s="3">
        <v>572</v>
      </c>
      <c r="F6177" s="3">
        <v>25</v>
      </c>
      <c r="G6177" s="3">
        <v>0</v>
      </c>
      <c r="H6177" s="2">
        <f t="shared" si="192"/>
        <v>6235</v>
      </c>
      <c r="I6177" t="str">
        <f t="shared" si="193"/>
        <v>Rad21_6235</v>
      </c>
      <c r="J6177" s="3">
        <v>5638</v>
      </c>
      <c r="K6177" s="3">
        <v>0</v>
      </c>
      <c r="L6177" s="3">
        <v>572</v>
      </c>
      <c r="M6177" s="3">
        <v>25</v>
      </c>
      <c r="N6177" s="3">
        <v>0</v>
      </c>
    </row>
    <row r="6178" spans="1:14" x14ac:dyDescent="0.2">
      <c r="A6178" s="5" t="str">
        <f>HYPERLINK("http://www.ncbi.nlm.nih.gov/protein/34447211","Rad23a")</f>
        <v>Rad23a</v>
      </c>
      <c r="B6178" s="4"/>
      <c r="C6178" s="3">
        <v>0</v>
      </c>
      <c r="D6178" s="3">
        <v>152</v>
      </c>
      <c r="E6178" s="3">
        <v>0</v>
      </c>
      <c r="F6178" s="3">
        <v>0</v>
      </c>
      <c r="G6178" s="3">
        <v>19823</v>
      </c>
      <c r="H6178" s="2">
        <f t="shared" si="192"/>
        <v>19975</v>
      </c>
      <c r="I6178" t="str">
        <f t="shared" si="193"/>
        <v>Rad23a_19975</v>
      </c>
      <c r="J6178" s="3">
        <v>0</v>
      </c>
      <c r="K6178" s="3">
        <v>152</v>
      </c>
      <c r="L6178" s="3">
        <v>0</v>
      </c>
      <c r="M6178" s="3">
        <v>0</v>
      </c>
      <c r="N6178" s="3">
        <v>19823</v>
      </c>
    </row>
    <row r="6179" spans="1:14" x14ac:dyDescent="0.2">
      <c r="A6179" s="5" t="str">
        <f>HYPERLINK("http://www.ncbi.nlm.nih.gov/protein/171906578","Rad23b")</f>
        <v>Rad23b</v>
      </c>
      <c r="B6179" s="4"/>
      <c r="C6179" s="3">
        <v>458</v>
      </c>
      <c r="D6179" s="3">
        <v>58</v>
      </c>
      <c r="E6179" s="3">
        <v>1598</v>
      </c>
      <c r="F6179" s="3">
        <v>4150</v>
      </c>
      <c r="G6179" s="3">
        <v>95390</v>
      </c>
      <c r="H6179" s="2">
        <f t="shared" si="192"/>
        <v>101654</v>
      </c>
      <c r="I6179" t="str">
        <f t="shared" si="193"/>
        <v>Rad23b_101654</v>
      </c>
      <c r="J6179" s="3">
        <v>458</v>
      </c>
      <c r="K6179" s="3">
        <v>58</v>
      </c>
      <c r="L6179" s="3">
        <v>1598</v>
      </c>
      <c r="M6179" s="3">
        <v>4150</v>
      </c>
      <c r="N6179" s="3">
        <v>95390</v>
      </c>
    </row>
    <row r="6180" spans="1:14" x14ac:dyDescent="0.2">
      <c r="A6180" s="5" t="str">
        <f>HYPERLINK("http://www.ncbi.nlm.nih.gov/protein/153945822","Rad50")</f>
        <v>Rad50</v>
      </c>
      <c r="B6180" s="4"/>
      <c r="C6180" s="3">
        <v>293</v>
      </c>
      <c r="D6180" s="3">
        <v>0</v>
      </c>
      <c r="E6180" s="3">
        <v>15</v>
      </c>
      <c r="F6180" s="3">
        <v>1220</v>
      </c>
      <c r="G6180" s="3">
        <v>10902</v>
      </c>
      <c r="H6180" s="2">
        <f t="shared" si="192"/>
        <v>12430</v>
      </c>
      <c r="I6180" t="str">
        <f t="shared" si="193"/>
        <v>Rad50_12430</v>
      </c>
      <c r="J6180" s="3">
        <v>293</v>
      </c>
      <c r="K6180" s="3">
        <v>0</v>
      </c>
      <c r="L6180" s="3">
        <v>15</v>
      </c>
      <c r="M6180" s="3">
        <v>1220</v>
      </c>
      <c r="N6180" s="3">
        <v>10902</v>
      </c>
    </row>
    <row r="6181" spans="1:14" x14ac:dyDescent="0.2">
      <c r="A6181" s="5" t="str">
        <f>HYPERLINK("http://www.ncbi.nlm.nih.gov/protein/6755276","Rad51")</f>
        <v>Rad51</v>
      </c>
      <c r="B6181" s="4"/>
      <c r="C6181" s="3">
        <v>0</v>
      </c>
      <c r="D6181" s="3">
        <v>0</v>
      </c>
      <c r="E6181" s="3">
        <v>0</v>
      </c>
      <c r="F6181" s="3">
        <v>0</v>
      </c>
      <c r="G6181" s="3">
        <v>3491</v>
      </c>
      <c r="H6181" s="2">
        <f t="shared" si="192"/>
        <v>3491</v>
      </c>
      <c r="I6181" t="str">
        <f t="shared" si="193"/>
        <v>Rad51_3491</v>
      </c>
      <c r="J6181" s="3">
        <v>0</v>
      </c>
      <c r="K6181" s="3">
        <v>0</v>
      </c>
      <c r="L6181" s="3">
        <v>0</v>
      </c>
      <c r="M6181" s="3">
        <v>0</v>
      </c>
      <c r="N6181" s="3">
        <v>3491</v>
      </c>
    </row>
    <row r="6182" spans="1:14" x14ac:dyDescent="0.2">
      <c r="A6182" s="5" t="str">
        <f>HYPERLINK("http://www.ncbi.nlm.nih.gov/protein/110626102","Rad51ap1")</f>
        <v>Rad51ap1</v>
      </c>
      <c r="B6182" s="4"/>
      <c r="C6182" s="3">
        <v>0</v>
      </c>
      <c r="D6182" s="3">
        <v>0</v>
      </c>
      <c r="E6182" s="3">
        <v>0</v>
      </c>
      <c r="F6182" s="3">
        <v>0</v>
      </c>
      <c r="G6182" s="3">
        <v>118</v>
      </c>
      <c r="H6182" s="2">
        <f t="shared" si="192"/>
        <v>118</v>
      </c>
      <c r="I6182" t="str">
        <f t="shared" si="193"/>
        <v>Rad51ap1_118</v>
      </c>
      <c r="J6182" s="3">
        <v>0</v>
      </c>
      <c r="K6182" s="3">
        <v>0</v>
      </c>
      <c r="L6182" s="3">
        <v>0</v>
      </c>
      <c r="M6182" s="3">
        <v>0</v>
      </c>
      <c r="N6182" s="3">
        <v>118</v>
      </c>
    </row>
    <row r="6183" spans="1:14" x14ac:dyDescent="0.2">
      <c r="A6183" s="5" t="str">
        <f>HYPERLINK("http://www.ncbi.nlm.nih.gov/protein/31982072","Rad51b")</f>
        <v>Rad51b</v>
      </c>
      <c r="B6183" s="4"/>
      <c r="C6183" s="3">
        <v>0</v>
      </c>
      <c r="D6183" s="3">
        <v>159</v>
      </c>
      <c r="E6183" s="3">
        <v>1487</v>
      </c>
      <c r="F6183" s="3">
        <v>0</v>
      </c>
      <c r="G6183" s="3">
        <v>0</v>
      </c>
      <c r="H6183" s="2">
        <f t="shared" si="192"/>
        <v>1646</v>
      </c>
      <c r="I6183" t="str">
        <f t="shared" si="193"/>
        <v>Rad51b_1646</v>
      </c>
      <c r="J6183" s="3">
        <v>0</v>
      </c>
      <c r="K6183" s="3">
        <v>159</v>
      </c>
      <c r="L6183" s="3">
        <v>1487</v>
      </c>
      <c r="M6183" s="3">
        <v>0</v>
      </c>
      <c r="N6183" s="3">
        <v>0</v>
      </c>
    </row>
    <row r="6184" spans="1:14" x14ac:dyDescent="0.2">
      <c r="A6184" s="5" t="str">
        <f>HYPERLINK("http://www.ncbi.nlm.nih.gov/protein/16716605","Rad51c")</f>
        <v>Rad51c</v>
      </c>
      <c r="B6184" s="4"/>
      <c r="C6184" s="3">
        <v>0</v>
      </c>
      <c r="D6184" s="3">
        <v>0</v>
      </c>
      <c r="E6184" s="3">
        <v>0</v>
      </c>
      <c r="F6184" s="3">
        <v>0</v>
      </c>
      <c r="G6184" s="3">
        <v>600</v>
      </c>
      <c r="H6184" s="2">
        <f t="shared" si="192"/>
        <v>600</v>
      </c>
      <c r="I6184" t="str">
        <f t="shared" si="193"/>
        <v>Rad51c_600</v>
      </c>
      <c r="J6184" s="3">
        <v>0</v>
      </c>
      <c r="K6184" s="3">
        <v>0</v>
      </c>
      <c r="L6184" s="3">
        <v>0</v>
      </c>
      <c r="M6184" s="3">
        <v>0</v>
      </c>
      <c r="N6184" s="3">
        <v>600</v>
      </c>
    </row>
    <row r="6185" spans="1:14" x14ac:dyDescent="0.2">
      <c r="A6185" s="5" t="str">
        <f>HYPERLINK("http://www.ncbi.nlm.nih.gov/protein/6755278","Rad51d")</f>
        <v>Rad51d</v>
      </c>
      <c r="B6185" s="4"/>
      <c r="C6185" s="3">
        <v>0</v>
      </c>
      <c r="D6185" s="3">
        <v>0</v>
      </c>
      <c r="E6185" s="3">
        <v>0</v>
      </c>
      <c r="F6185" s="3">
        <v>131</v>
      </c>
      <c r="G6185" s="3">
        <v>86</v>
      </c>
      <c r="H6185" s="2">
        <f t="shared" si="192"/>
        <v>217</v>
      </c>
      <c r="I6185" t="str">
        <f t="shared" si="193"/>
        <v>Rad51d_217</v>
      </c>
      <c r="J6185" s="3">
        <v>0</v>
      </c>
      <c r="K6185" s="3">
        <v>0</v>
      </c>
      <c r="L6185" s="3">
        <v>0</v>
      </c>
      <c r="M6185" s="3">
        <v>131</v>
      </c>
      <c r="N6185" s="3">
        <v>86</v>
      </c>
    </row>
    <row r="6186" spans="1:14" x14ac:dyDescent="0.2">
      <c r="A6186" s="5" t="str">
        <f>HYPERLINK("http://www.ncbi.nlm.nih.gov/protein/126090612","Rad54l2")</f>
        <v>Rad54l2</v>
      </c>
      <c r="B6186" s="4"/>
      <c r="C6186" s="3">
        <v>0</v>
      </c>
      <c r="D6186" s="3">
        <v>0</v>
      </c>
      <c r="E6186" s="3">
        <v>0</v>
      </c>
      <c r="F6186" s="3">
        <v>0</v>
      </c>
      <c r="G6186" s="3">
        <v>86</v>
      </c>
      <c r="H6186" s="2">
        <f t="shared" si="192"/>
        <v>86</v>
      </c>
      <c r="I6186" t="str">
        <f t="shared" si="193"/>
        <v>Rad54l2_86</v>
      </c>
      <c r="J6186" s="3">
        <v>0</v>
      </c>
      <c r="K6186" s="3">
        <v>0</v>
      </c>
      <c r="L6186" s="3">
        <v>0</v>
      </c>
      <c r="M6186" s="3">
        <v>0</v>
      </c>
      <c r="N6186" s="3">
        <v>86</v>
      </c>
    </row>
    <row r="6187" spans="1:14" x14ac:dyDescent="0.2">
      <c r="A6187" s="5" t="str">
        <f>HYPERLINK("http://www.ncbi.nlm.nih.gov/protein/28201956","Rae1")</f>
        <v>Rae1</v>
      </c>
      <c r="B6187" s="4"/>
      <c r="C6187" s="3">
        <v>2215</v>
      </c>
      <c r="D6187" s="3">
        <v>1238</v>
      </c>
      <c r="E6187" s="3">
        <v>3121</v>
      </c>
      <c r="F6187" s="3">
        <v>1383</v>
      </c>
      <c r="G6187" s="3">
        <v>4016</v>
      </c>
      <c r="H6187" s="2">
        <f t="shared" si="192"/>
        <v>11973</v>
      </c>
      <c r="I6187" t="str">
        <f t="shared" si="193"/>
        <v>Rae1_11973</v>
      </c>
      <c r="J6187" s="3">
        <v>2215</v>
      </c>
      <c r="K6187" s="3">
        <v>1238</v>
      </c>
      <c r="L6187" s="3">
        <v>3121</v>
      </c>
      <c r="M6187" s="3">
        <v>1383</v>
      </c>
      <c r="N6187" s="3">
        <v>4016</v>
      </c>
    </row>
    <row r="6188" spans="1:14" x14ac:dyDescent="0.2">
      <c r="A6188" s="5" t="str">
        <f>HYPERLINK("http://www.ncbi.nlm.nih.gov/protein/6679617","Raet1a")</f>
        <v>Raet1a</v>
      </c>
      <c r="B6188" s="4"/>
      <c r="C6188" s="3">
        <v>0</v>
      </c>
      <c r="D6188" s="3">
        <v>0</v>
      </c>
      <c r="E6188" s="3">
        <v>171</v>
      </c>
      <c r="F6188" s="3">
        <v>0</v>
      </c>
      <c r="G6188" s="3">
        <v>0</v>
      </c>
      <c r="H6188" s="2">
        <f t="shared" si="192"/>
        <v>171</v>
      </c>
      <c r="I6188" t="str">
        <f t="shared" si="193"/>
        <v>Raet1a_171</v>
      </c>
      <c r="J6188" s="3">
        <v>0</v>
      </c>
      <c r="K6188" s="3">
        <v>0</v>
      </c>
      <c r="L6188" s="3">
        <v>171</v>
      </c>
      <c r="M6188" s="3">
        <v>0</v>
      </c>
      <c r="N6188" s="3">
        <v>0</v>
      </c>
    </row>
    <row r="6189" spans="1:14" x14ac:dyDescent="0.2">
      <c r="A6189" s="5" t="str">
        <f>HYPERLINK("http://www.ncbi.nlm.nih.gov/protein/6679619","Raet1b")</f>
        <v>Raet1b</v>
      </c>
      <c r="B6189" s="4"/>
      <c r="C6189" s="3">
        <v>0</v>
      </c>
      <c r="D6189" s="3">
        <v>0</v>
      </c>
      <c r="E6189" s="3">
        <v>171</v>
      </c>
      <c r="F6189" s="3">
        <v>0</v>
      </c>
      <c r="G6189" s="3">
        <v>0</v>
      </c>
      <c r="H6189" s="2">
        <f t="shared" si="192"/>
        <v>171</v>
      </c>
      <c r="I6189" t="str">
        <f t="shared" si="193"/>
        <v>Raet1b_171</v>
      </c>
      <c r="J6189" s="3">
        <v>0</v>
      </c>
      <c r="K6189" s="3">
        <v>0</v>
      </c>
      <c r="L6189" s="3">
        <v>171</v>
      </c>
      <c r="M6189" s="3">
        <v>0</v>
      </c>
      <c r="N6189" s="3">
        <v>0</v>
      </c>
    </row>
    <row r="6190" spans="1:14" x14ac:dyDescent="0.2">
      <c r="A6190" s="5" t="str">
        <f>HYPERLINK("http://www.ncbi.nlm.nih.gov/protein/6679621","Raet1c")</f>
        <v>Raet1c</v>
      </c>
      <c r="B6190" s="4"/>
      <c r="C6190" s="3">
        <v>0</v>
      </c>
      <c r="D6190" s="3">
        <v>0</v>
      </c>
      <c r="E6190" s="3">
        <v>171</v>
      </c>
      <c r="F6190" s="3">
        <v>0</v>
      </c>
      <c r="G6190" s="3">
        <v>0</v>
      </c>
      <c r="H6190" s="2">
        <f t="shared" si="192"/>
        <v>171</v>
      </c>
      <c r="I6190" t="str">
        <f t="shared" si="193"/>
        <v>Raet1c_171</v>
      </c>
      <c r="J6190" s="3">
        <v>0</v>
      </c>
      <c r="K6190" s="3">
        <v>0</v>
      </c>
      <c r="L6190" s="3">
        <v>171</v>
      </c>
      <c r="M6190" s="3">
        <v>0</v>
      </c>
      <c r="N6190" s="3">
        <v>0</v>
      </c>
    </row>
    <row r="6191" spans="1:14" x14ac:dyDescent="0.2">
      <c r="A6191" s="5" t="str">
        <f>HYPERLINK("http://www.ncbi.nlm.nih.gov/protein/9910522","Raet1d")</f>
        <v>Raet1d</v>
      </c>
      <c r="B6191" s="4"/>
      <c r="C6191" s="3">
        <v>0</v>
      </c>
      <c r="D6191" s="3">
        <v>0</v>
      </c>
      <c r="E6191" s="3">
        <v>171</v>
      </c>
      <c r="F6191" s="3">
        <v>0</v>
      </c>
      <c r="G6191" s="3">
        <v>0</v>
      </c>
      <c r="H6191" s="2">
        <f t="shared" si="192"/>
        <v>171</v>
      </c>
      <c r="I6191" t="str">
        <f t="shared" si="193"/>
        <v>Raet1d_171</v>
      </c>
      <c r="J6191" s="3">
        <v>0</v>
      </c>
      <c r="K6191" s="3">
        <v>0</v>
      </c>
      <c r="L6191" s="3">
        <v>171</v>
      </c>
      <c r="M6191" s="3">
        <v>0</v>
      </c>
      <c r="N6191" s="3">
        <v>0</v>
      </c>
    </row>
    <row r="6192" spans="1:14" x14ac:dyDescent="0.2">
      <c r="A6192" s="5" t="str">
        <f>HYPERLINK("http://www.ncbi.nlm.nih.gov/protein/38016148","Raet1e")</f>
        <v>Raet1e</v>
      </c>
      <c r="B6192" s="4"/>
      <c r="C6192" s="3">
        <v>0</v>
      </c>
      <c r="D6192" s="3">
        <v>0</v>
      </c>
      <c r="E6192" s="3">
        <v>171</v>
      </c>
      <c r="F6192" s="3">
        <v>0</v>
      </c>
      <c r="G6192" s="3">
        <v>0</v>
      </c>
      <c r="H6192" s="2">
        <f t="shared" si="192"/>
        <v>171</v>
      </c>
      <c r="I6192" t="str">
        <f t="shared" si="193"/>
        <v>Raet1e_171</v>
      </c>
      <c r="J6192" s="3">
        <v>0</v>
      </c>
      <c r="K6192" s="3">
        <v>0</v>
      </c>
      <c r="L6192" s="3">
        <v>171</v>
      </c>
      <c r="M6192" s="3">
        <v>0</v>
      </c>
      <c r="N6192" s="3">
        <v>0</v>
      </c>
    </row>
    <row r="6193" spans="1:14" x14ac:dyDescent="0.2">
      <c r="A6193" s="5" t="str">
        <f>HYPERLINK("http://www.ncbi.nlm.nih.gov/protein/18497290","Raf1")</f>
        <v>Raf1</v>
      </c>
      <c r="B6193" s="4"/>
      <c r="C6193" s="3">
        <v>0</v>
      </c>
      <c r="D6193" s="3">
        <v>0</v>
      </c>
      <c r="E6193" s="3">
        <v>63</v>
      </c>
      <c r="F6193" s="3">
        <v>2562</v>
      </c>
      <c r="G6193" s="3">
        <v>0</v>
      </c>
      <c r="H6193" s="2">
        <f t="shared" si="192"/>
        <v>2625</v>
      </c>
      <c r="I6193" t="str">
        <f t="shared" si="193"/>
        <v>Raf1_2625</v>
      </c>
      <c r="J6193" s="3">
        <v>0</v>
      </c>
      <c r="K6193" s="3">
        <v>0</v>
      </c>
      <c r="L6193" s="3">
        <v>63</v>
      </c>
      <c r="M6193" s="3">
        <v>2562</v>
      </c>
      <c r="N6193" s="3">
        <v>0</v>
      </c>
    </row>
    <row r="6194" spans="1:14" x14ac:dyDescent="0.2">
      <c r="A6194" s="5" t="str">
        <f>HYPERLINK("http://www.ncbi.nlm.nih.gov/protein/13507620","Rai14")</f>
        <v>Rai14</v>
      </c>
      <c r="B6194" s="4"/>
      <c r="C6194" s="3">
        <v>366</v>
      </c>
      <c r="D6194" s="3">
        <v>0</v>
      </c>
      <c r="E6194" s="3">
        <v>337</v>
      </c>
      <c r="F6194" s="3">
        <v>0</v>
      </c>
      <c r="G6194" s="3">
        <v>0</v>
      </c>
      <c r="H6194" s="2">
        <f t="shared" si="192"/>
        <v>703</v>
      </c>
      <c r="I6194" t="str">
        <f t="shared" si="193"/>
        <v>Rai14_703</v>
      </c>
      <c r="J6194" s="3">
        <v>366</v>
      </c>
      <c r="K6194" s="3">
        <v>0</v>
      </c>
      <c r="L6194" s="3">
        <v>337</v>
      </c>
      <c r="M6194" s="3">
        <v>0</v>
      </c>
      <c r="N6194" s="3">
        <v>0</v>
      </c>
    </row>
    <row r="6195" spans="1:14" x14ac:dyDescent="0.2">
      <c r="A6195" s="5" t="str">
        <f>HYPERLINK("http://www.ncbi.nlm.nih.gov/protein/34328471","Rala")</f>
        <v>Rala</v>
      </c>
      <c r="B6195" s="4"/>
      <c r="C6195" s="3">
        <v>41664</v>
      </c>
      <c r="D6195" s="3">
        <v>40702</v>
      </c>
      <c r="E6195" s="3">
        <v>57345</v>
      </c>
      <c r="F6195" s="3">
        <v>17157</v>
      </c>
      <c r="G6195" s="3">
        <v>0</v>
      </c>
      <c r="H6195" s="2">
        <f t="shared" si="192"/>
        <v>156868</v>
      </c>
      <c r="I6195" t="str">
        <f t="shared" si="193"/>
        <v>Rala_156868</v>
      </c>
      <c r="J6195" s="3">
        <v>41664</v>
      </c>
      <c r="K6195" s="3">
        <v>40702</v>
      </c>
      <c r="L6195" s="3">
        <v>57345</v>
      </c>
      <c r="M6195" s="3">
        <v>17157</v>
      </c>
      <c r="N6195" s="3">
        <v>0</v>
      </c>
    </row>
    <row r="6196" spans="1:14" x14ac:dyDescent="0.2">
      <c r="A6196" s="5" t="str">
        <f>HYPERLINK("http://www.ncbi.nlm.nih.gov/protein/11612509","Ralb")</f>
        <v>Ralb</v>
      </c>
      <c r="B6196" s="4"/>
      <c r="C6196" s="3">
        <v>38790</v>
      </c>
      <c r="D6196" s="3">
        <v>44291</v>
      </c>
      <c r="E6196" s="3">
        <v>67589</v>
      </c>
      <c r="F6196" s="3">
        <v>24409</v>
      </c>
      <c r="G6196" s="3">
        <v>0</v>
      </c>
      <c r="H6196" s="2">
        <f t="shared" si="192"/>
        <v>175079</v>
      </c>
      <c r="I6196" t="str">
        <f t="shared" si="193"/>
        <v>Ralb_175079</v>
      </c>
      <c r="J6196" s="3">
        <v>38790</v>
      </c>
      <c r="K6196" s="3">
        <v>44291</v>
      </c>
      <c r="L6196" s="3">
        <v>67589</v>
      </c>
      <c r="M6196" s="3">
        <v>24409</v>
      </c>
      <c r="N6196" s="3">
        <v>0</v>
      </c>
    </row>
    <row r="6197" spans="1:14" x14ac:dyDescent="0.2">
      <c r="A6197" s="5" t="str">
        <f>HYPERLINK("http://www.ncbi.nlm.nih.gov/protein/163310721","Ralgapa1")</f>
        <v>Ralgapa1</v>
      </c>
      <c r="B6197" s="4"/>
      <c r="C6197" s="3">
        <v>0</v>
      </c>
      <c r="D6197" s="3">
        <v>0</v>
      </c>
      <c r="E6197" s="3">
        <v>263</v>
      </c>
      <c r="F6197" s="3">
        <v>0</v>
      </c>
      <c r="G6197" s="3">
        <v>0</v>
      </c>
      <c r="H6197" s="2">
        <f t="shared" si="192"/>
        <v>263</v>
      </c>
      <c r="I6197" t="str">
        <f t="shared" si="193"/>
        <v>Ralgapa1_263</v>
      </c>
      <c r="J6197" s="3">
        <v>0</v>
      </c>
      <c r="K6197" s="3">
        <v>0</v>
      </c>
      <c r="L6197" s="3">
        <v>263</v>
      </c>
      <c r="M6197" s="3">
        <v>0</v>
      </c>
      <c r="N6197" s="3">
        <v>0</v>
      </c>
    </row>
    <row r="6198" spans="1:14" x14ac:dyDescent="0.2">
      <c r="A6198" s="5" t="str">
        <f>HYPERLINK("http://www.ncbi.nlm.nih.gov/protein/51230692","Ralgapa1")</f>
        <v>Ralgapa1</v>
      </c>
      <c r="B6198" s="4"/>
      <c r="C6198" s="3">
        <v>0</v>
      </c>
      <c r="D6198" s="3">
        <v>0</v>
      </c>
      <c r="E6198" s="3">
        <v>263</v>
      </c>
      <c r="F6198" s="3">
        <v>0</v>
      </c>
      <c r="G6198" s="3">
        <v>0</v>
      </c>
      <c r="H6198" s="2">
        <f t="shared" si="192"/>
        <v>263</v>
      </c>
      <c r="I6198" t="str">
        <f t="shared" si="193"/>
        <v>Ralgapa1_263</v>
      </c>
      <c r="J6198" s="3">
        <v>0</v>
      </c>
      <c r="K6198" s="3">
        <v>0</v>
      </c>
      <c r="L6198" s="3">
        <v>263</v>
      </c>
      <c r="M6198" s="3">
        <v>0</v>
      </c>
      <c r="N6198" s="3">
        <v>0</v>
      </c>
    </row>
    <row r="6199" spans="1:14" x14ac:dyDescent="0.2">
      <c r="A6199" s="5" t="str">
        <f>HYPERLINK("http://www.ncbi.nlm.nih.gov/protein/158187505","Ralgapa2")</f>
        <v>Ralgapa2</v>
      </c>
      <c r="B6199" s="4"/>
      <c r="C6199" s="3">
        <v>0</v>
      </c>
      <c r="D6199" s="3">
        <v>0</v>
      </c>
      <c r="E6199" s="3">
        <v>149</v>
      </c>
      <c r="F6199" s="3">
        <v>15061</v>
      </c>
      <c r="G6199" s="3">
        <v>0</v>
      </c>
      <c r="H6199" s="2">
        <f t="shared" si="192"/>
        <v>15210</v>
      </c>
      <c r="I6199" t="str">
        <f t="shared" si="193"/>
        <v>Ralgapa2_15210</v>
      </c>
      <c r="J6199" s="3">
        <v>0</v>
      </c>
      <c r="K6199" s="3">
        <v>0</v>
      </c>
      <c r="L6199" s="3">
        <v>149</v>
      </c>
      <c r="M6199" s="3">
        <v>15061</v>
      </c>
      <c r="N6199" s="3">
        <v>0</v>
      </c>
    </row>
    <row r="6200" spans="1:14" x14ac:dyDescent="0.2">
      <c r="A6200" s="5" t="str">
        <f>HYPERLINK("http://www.ncbi.nlm.nih.gov/protein/124487299","Ralgapb")</f>
        <v>Ralgapb</v>
      </c>
      <c r="B6200" s="4"/>
      <c r="C6200" s="3">
        <v>0</v>
      </c>
      <c r="D6200" s="3">
        <v>0</v>
      </c>
      <c r="E6200" s="3">
        <v>272</v>
      </c>
      <c r="F6200" s="3">
        <v>336</v>
      </c>
      <c r="G6200" s="3">
        <v>0</v>
      </c>
      <c r="H6200" s="2">
        <f t="shared" si="192"/>
        <v>608</v>
      </c>
      <c r="I6200" t="str">
        <f t="shared" si="193"/>
        <v>Ralgapb_608</v>
      </c>
      <c r="J6200" s="3">
        <v>0</v>
      </c>
      <c r="K6200" s="3">
        <v>0</v>
      </c>
      <c r="L6200" s="3">
        <v>272</v>
      </c>
      <c r="M6200" s="3">
        <v>336</v>
      </c>
      <c r="N6200" s="3">
        <v>0</v>
      </c>
    </row>
    <row r="6201" spans="1:14" x14ac:dyDescent="0.2">
      <c r="A6201" s="5" t="str">
        <f>HYPERLINK("http://www.ncbi.nlm.nih.gov/protein/213417784;213417775","Raly")</f>
        <v>Raly</v>
      </c>
      <c r="B6201" s="4"/>
      <c r="C6201" s="3">
        <v>113241</v>
      </c>
      <c r="D6201" s="3">
        <v>0</v>
      </c>
      <c r="E6201" s="3">
        <v>7713</v>
      </c>
      <c r="F6201" s="3">
        <v>0</v>
      </c>
      <c r="G6201" s="3">
        <v>0</v>
      </c>
      <c r="H6201" s="2">
        <f t="shared" si="192"/>
        <v>120954</v>
      </c>
      <c r="I6201" t="str">
        <f t="shared" si="193"/>
        <v>Raly_120954</v>
      </c>
      <c r="J6201" s="3">
        <v>113241</v>
      </c>
      <c r="K6201" s="3">
        <v>0</v>
      </c>
      <c r="L6201" s="3">
        <v>7713</v>
      </c>
      <c r="M6201" s="3">
        <v>0</v>
      </c>
      <c r="N6201" s="3">
        <v>0</v>
      </c>
    </row>
    <row r="6202" spans="1:14" x14ac:dyDescent="0.2">
      <c r="A6202" s="5" t="str">
        <f>HYPERLINK("http://www.ncbi.nlm.nih.gov/protein/213417775","Raly")</f>
        <v>Raly</v>
      </c>
      <c r="B6202" s="4"/>
      <c r="C6202" s="3">
        <v>0</v>
      </c>
      <c r="D6202" s="3">
        <v>1219</v>
      </c>
      <c r="E6202" s="3">
        <v>0</v>
      </c>
      <c r="F6202" s="3">
        <v>12025</v>
      </c>
      <c r="G6202" s="3">
        <v>0</v>
      </c>
      <c r="H6202" s="2">
        <f t="shared" si="192"/>
        <v>13244</v>
      </c>
      <c r="I6202" t="str">
        <f t="shared" si="193"/>
        <v>Raly_13244</v>
      </c>
      <c r="J6202" s="3">
        <v>0</v>
      </c>
      <c r="K6202" s="3">
        <v>1219</v>
      </c>
      <c r="L6202" s="3">
        <v>0</v>
      </c>
      <c r="M6202" s="3">
        <v>12025</v>
      </c>
      <c r="N6202" s="3">
        <v>0</v>
      </c>
    </row>
    <row r="6203" spans="1:14" x14ac:dyDescent="0.2">
      <c r="A6203" s="5" t="str">
        <f>HYPERLINK("http://www.ncbi.nlm.nih.gov/protein/213417812","Raly")</f>
        <v>Raly</v>
      </c>
      <c r="B6203" s="4"/>
      <c r="C6203" s="3">
        <v>113241</v>
      </c>
      <c r="D6203" s="3">
        <v>1219</v>
      </c>
      <c r="E6203" s="3">
        <v>7713</v>
      </c>
      <c r="F6203" s="3">
        <v>12025</v>
      </c>
      <c r="G6203" s="3">
        <v>0</v>
      </c>
      <c r="H6203" s="2">
        <f t="shared" si="192"/>
        <v>134198</v>
      </c>
      <c r="I6203" t="str">
        <f t="shared" si="193"/>
        <v>Raly_134198</v>
      </c>
      <c r="J6203" s="3">
        <v>113241</v>
      </c>
      <c r="K6203" s="3">
        <v>1219</v>
      </c>
      <c r="L6203" s="3">
        <v>7713</v>
      </c>
      <c r="M6203" s="3">
        <v>12025</v>
      </c>
      <c r="N6203" s="3">
        <v>0</v>
      </c>
    </row>
    <row r="6204" spans="1:14" x14ac:dyDescent="0.2">
      <c r="A6204" s="5" t="str">
        <f>HYPERLINK("http://www.ncbi.nlm.nih.gov/protein/153792001","Ranbp1")</f>
        <v>Ranbp1</v>
      </c>
      <c r="B6204" s="4"/>
      <c r="C6204" s="3">
        <v>10984</v>
      </c>
      <c r="D6204" s="3">
        <v>7968</v>
      </c>
      <c r="E6204" s="3">
        <v>20159</v>
      </c>
      <c r="F6204" s="3">
        <v>21667</v>
      </c>
      <c r="G6204" s="3">
        <v>219288</v>
      </c>
      <c r="H6204" s="2">
        <f t="shared" si="192"/>
        <v>280066</v>
      </c>
      <c r="I6204" t="str">
        <f t="shared" si="193"/>
        <v>Ranbp1_280066</v>
      </c>
      <c r="J6204" s="3">
        <v>10984</v>
      </c>
      <c r="K6204" s="3">
        <v>7968</v>
      </c>
      <c r="L6204" s="3">
        <v>20159</v>
      </c>
      <c r="M6204" s="3">
        <v>21667</v>
      </c>
      <c r="N6204" s="3">
        <v>219288</v>
      </c>
    </row>
    <row r="6205" spans="1:14" x14ac:dyDescent="0.2">
      <c r="A6205" s="5" t="str">
        <f>HYPERLINK("http://www.ncbi.nlm.nih.gov/protein/40804757","Ranbp10")</f>
        <v>Ranbp10</v>
      </c>
      <c r="B6205" s="4"/>
      <c r="C6205" s="3">
        <v>0</v>
      </c>
      <c r="D6205" s="3">
        <v>0</v>
      </c>
      <c r="E6205" s="3">
        <v>0</v>
      </c>
      <c r="F6205" s="3">
        <v>5730</v>
      </c>
      <c r="G6205" s="3">
        <v>0</v>
      </c>
      <c r="H6205" s="2">
        <f t="shared" si="192"/>
        <v>5730</v>
      </c>
      <c r="I6205" t="str">
        <f t="shared" si="193"/>
        <v>Ranbp10_5730</v>
      </c>
      <c r="J6205" s="3">
        <v>0</v>
      </c>
      <c r="K6205" s="3">
        <v>0</v>
      </c>
      <c r="L6205" s="3">
        <v>0</v>
      </c>
      <c r="M6205" s="3">
        <v>5730</v>
      </c>
      <c r="N6205" s="3">
        <v>0</v>
      </c>
    </row>
    <row r="6206" spans="1:14" x14ac:dyDescent="0.2">
      <c r="A6206" s="5" t="str">
        <f>HYPERLINK("http://www.ncbi.nlm.nih.gov/protein/153792534","Ranbp2")</f>
        <v>Ranbp2</v>
      </c>
      <c r="B6206" s="4"/>
      <c r="C6206" s="3">
        <v>5364</v>
      </c>
      <c r="D6206" s="3">
        <v>90</v>
      </c>
      <c r="E6206" s="3">
        <v>20</v>
      </c>
      <c r="F6206" s="3">
        <v>2578</v>
      </c>
      <c r="G6206" s="3">
        <v>6672</v>
      </c>
      <c r="H6206" s="2">
        <f t="shared" si="192"/>
        <v>14724</v>
      </c>
      <c r="I6206" t="str">
        <f t="shared" si="193"/>
        <v>Ranbp2_14724</v>
      </c>
      <c r="J6206" s="3">
        <v>5364</v>
      </c>
      <c r="K6206" s="3">
        <v>90</v>
      </c>
      <c r="L6206" s="3">
        <v>20</v>
      </c>
      <c r="M6206" s="3">
        <v>2578</v>
      </c>
      <c r="N6206" s="3">
        <v>6672</v>
      </c>
    </row>
    <row r="6207" spans="1:14" x14ac:dyDescent="0.2">
      <c r="A6207" s="5" t="str">
        <f>HYPERLINK("http://www.ncbi.nlm.nih.gov/protein/357197128","Ranbp3")</f>
        <v>Ranbp3</v>
      </c>
      <c r="B6207" s="4"/>
      <c r="C6207" s="3">
        <v>0</v>
      </c>
      <c r="D6207" s="3">
        <v>138</v>
      </c>
      <c r="E6207" s="3">
        <v>1316</v>
      </c>
      <c r="F6207" s="3">
        <v>123</v>
      </c>
      <c r="G6207" s="3">
        <v>31957</v>
      </c>
      <c r="H6207" s="2">
        <f t="shared" si="192"/>
        <v>33534</v>
      </c>
      <c r="I6207" t="str">
        <f t="shared" si="193"/>
        <v>Ranbp3_33534</v>
      </c>
      <c r="J6207" s="3">
        <v>0</v>
      </c>
      <c r="K6207" s="3">
        <v>138</v>
      </c>
      <c r="L6207" s="3">
        <v>1316</v>
      </c>
      <c r="M6207" s="3">
        <v>123</v>
      </c>
      <c r="N6207" s="3">
        <v>31957</v>
      </c>
    </row>
    <row r="6208" spans="1:14" x14ac:dyDescent="0.2">
      <c r="A6208" s="5" t="str">
        <f>HYPERLINK("http://www.ncbi.nlm.nih.gov/protein/357197131","Ranbp3")</f>
        <v>Ranbp3</v>
      </c>
      <c r="B6208" s="4"/>
      <c r="C6208" s="3">
        <v>0</v>
      </c>
      <c r="D6208" s="3">
        <v>138</v>
      </c>
      <c r="E6208" s="3">
        <v>1316</v>
      </c>
      <c r="F6208" s="3">
        <v>123</v>
      </c>
      <c r="G6208" s="3">
        <v>31957</v>
      </c>
      <c r="H6208" s="2">
        <f t="shared" si="192"/>
        <v>33534</v>
      </c>
      <c r="I6208" t="str">
        <f t="shared" si="193"/>
        <v>Ranbp3_33534</v>
      </c>
      <c r="J6208" s="3">
        <v>0</v>
      </c>
      <c r="K6208" s="3">
        <v>138</v>
      </c>
      <c r="L6208" s="3">
        <v>1316</v>
      </c>
      <c r="M6208" s="3">
        <v>123</v>
      </c>
      <c r="N6208" s="3">
        <v>31957</v>
      </c>
    </row>
    <row r="6209" spans="1:14" x14ac:dyDescent="0.2">
      <c r="A6209" s="5" t="str">
        <f>HYPERLINK("http://www.ncbi.nlm.nih.gov/protein/83523744","Ranbp3")</f>
        <v>Ranbp3</v>
      </c>
      <c r="B6209" s="4"/>
      <c r="C6209" s="3">
        <v>0</v>
      </c>
      <c r="D6209" s="3">
        <v>138</v>
      </c>
      <c r="E6209" s="3">
        <v>1316</v>
      </c>
      <c r="F6209" s="3">
        <v>123</v>
      </c>
      <c r="G6209" s="3">
        <v>31957</v>
      </c>
      <c r="H6209" s="2">
        <f t="shared" si="192"/>
        <v>33534</v>
      </c>
      <c r="I6209" t="str">
        <f t="shared" si="193"/>
        <v>Ranbp3_33534</v>
      </c>
      <c r="J6209" s="3">
        <v>0</v>
      </c>
      <c r="K6209" s="3">
        <v>138</v>
      </c>
      <c r="L6209" s="3">
        <v>1316</v>
      </c>
      <c r="M6209" s="3">
        <v>123</v>
      </c>
      <c r="N6209" s="3">
        <v>31957</v>
      </c>
    </row>
    <row r="6210" spans="1:14" x14ac:dyDescent="0.2">
      <c r="A6210" s="5" t="str">
        <f>HYPERLINK("http://www.ncbi.nlm.nih.gov/protein/53850664","Ranbp6")</f>
        <v>Ranbp6</v>
      </c>
      <c r="B6210" s="4"/>
      <c r="C6210" s="3">
        <v>0</v>
      </c>
      <c r="D6210" s="3">
        <v>0</v>
      </c>
      <c r="E6210" s="3">
        <v>2082</v>
      </c>
      <c r="F6210" s="3">
        <v>0</v>
      </c>
      <c r="G6210" s="3">
        <v>0</v>
      </c>
      <c r="H6210" s="2">
        <f t="shared" ref="H6210:H6273" si="194">SUM(C6210:G6210)</f>
        <v>2082</v>
      </c>
      <c r="I6210" t="str">
        <f t="shared" ref="I6210:I6273" si="195">A6210&amp;"_"&amp;H6210</f>
        <v>Ranbp6_2082</v>
      </c>
      <c r="J6210" s="3">
        <v>0</v>
      </c>
      <c r="K6210" s="3">
        <v>0</v>
      </c>
      <c r="L6210" s="3">
        <v>2082</v>
      </c>
      <c r="M6210" s="3">
        <v>0</v>
      </c>
      <c r="N6210" s="3">
        <v>0</v>
      </c>
    </row>
    <row r="6211" spans="1:14" x14ac:dyDescent="0.2">
      <c r="A6211" s="5" t="str">
        <f>HYPERLINK("http://www.ncbi.nlm.nih.gov/protein/161353515","Ranbp9")</f>
        <v>Ranbp9</v>
      </c>
      <c r="B6211" s="4"/>
      <c r="C6211" s="3">
        <v>0</v>
      </c>
      <c r="D6211" s="3">
        <v>0</v>
      </c>
      <c r="E6211" s="3">
        <v>19</v>
      </c>
      <c r="F6211" s="3">
        <v>10510</v>
      </c>
      <c r="G6211" s="3">
        <v>0</v>
      </c>
      <c r="H6211" s="2">
        <f t="shared" si="194"/>
        <v>10529</v>
      </c>
      <c r="I6211" t="str">
        <f t="shared" si="195"/>
        <v>Ranbp9_10529</v>
      </c>
      <c r="J6211" s="3">
        <v>0</v>
      </c>
      <c r="K6211" s="3">
        <v>0</v>
      </c>
      <c r="L6211" s="3">
        <v>19</v>
      </c>
      <c r="M6211" s="3">
        <v>10510</v>
      </c>
      <c r="N6211" s="3">
        <v>0</v>
      </c>
    </row>
    <row r="6212" spans="1:14" x14ac:dyDescent="0.2">
      <c r="A6212" s="5" t="str">
        <f>HYPERLINK("http://www.ncbi.nlm.nih.gov/protein/226051567","Rangap1")</f>
        <v>Rangap1</v>
      </c>
      <c r="B6212" s="4"/>
      <c r="C6212" s="3">
        <v>26342</v>
      </c>
      <c r="D6212" s="3">
        <v>706</v>
      </c>
      <c r="E6212" s="3">
        <v>3282</v>
      </c>
      <c r="F6212" s="3">
        <v>47935</v>
      </c>
      <c r="G6212" s="3">
        <v>14651</v>
      </c>
      <c r="H6212" s="2">
        <f t="shared" si="194"/>
        <v>92916</v>
      </c>
      <c r="I6212" t="str">
        <f t="shared" si="195"/>
        <v>Rangap1_92916</v>
      </c>
      <c r="J6212" s="3">
        <v>26342</v>
      </c>
      <c r="K6212" s="3">
        <v>706</v>
      </c>
      <c r="L6212" s="3">
        <v>3282</v>
      </c>
      <c r="M6212" s="3">
        <v>47935</v>
      </c>
      <c r="N6212" s="3">
        <v>14651</v>
      </c>
    </row>
    <row r="6213" spans="1:14" x14ac:dyDescent="0.2">
      <c r="A6213" s="5" t="str">
        <f>HYPERLINK("http://www.ncbi.nlm.nih.gov/protein/21704066","Rap1a")</f>
        <v>Rap1a</v>
      </c>
      <c r="B6213" s="4"/>
      <c r="C6213" s="3">
        <v>94935</v>
      </c>
      <c r="D6213" s="3">
        <v>29735</v>
      </c>
      <c r="E6213" s="3">
        <v>87470</v>
      </c>
      <c r="F6213" s="3">
        <v>35615</v>
      </c>
      <c r="G6213" s="3">
        <v>8535</v>
      </c>
      <c r="H6213" s="2">
        <f t="shared" si="194"/>
        <v>256290</v>
      </c>
      <c r="I6213" t="str">
        <f t="shared" si="195"/>
        <v>Rap1a_256290</v>
      </c>
      <c r="J6213" s="3">
        <v>94935</v>
      </c>
      <c r="K6213" s="3">
        <v>29735</v>
      </c>
      <c r="L6213" s="3">
        <v>87470</v>
      </c>
      <c r="M6213" s="3">
        <v>35615</v>
      </c>
      <c r="N6213" s="3">
        <v>8535</v>
      </c>
    </row>
    <row r="6214" spans="1:14" x14ac:dyDescent="0.2">
      <c r="A6214" s="5" t="str">
        <f>HYPERLINK("http://www.ncbi.nlm.nih.gov/protein/33859753","Rap1b")</f>
        <v>Rap1b</v>
      </c>
      <c r="B6214" s="4"/>
      <c r="C6214" s="3">
        <v>99200</v>
      </c>
      <c r="D6214" s="3">
        <v>29169</v>
      </c>
      <c r="E6214" s="3">
        <v>89760</v>
      </c>
      <c r="F6214" s="3">
        <v>40469</v>
      </c>
      <c r="G6214" s="3">
        <v>8407</v>
      </c>
      <c r="H6214" s="2">
        <f t="shared" si="194"/>
        <v>267005</v>
      </c>
      <c r="I6214" t="str">
        <f t="shared" si="195"/>
        <v>Rap1b_267005</v>
      </c>
      <c r="J6214" s="3">
        <v>99200</v>
      </c>
      <c r="K6214" s="3">
        <v>29169</v>
      </c>
      <c r="L6214" s="3">
        <v>89760</v>
      </c>
      <c r="M6214" s="3">
        <v>40469</v>
      </c>
      <c r="N6214" s="3">
        <v>8407</v>
      </c>
    </row>
    <row r="6215" spans="1:14" x14ac:dyDescent="0.2">
      <c r="A6215" s="5" t="str">
        <f>HYPERLINK("http://www.ncbi.nlm.nih.gov/protein/100818161","Rap1gds1")</f>
        <v>Rap1gds1</v>
      </c>
      <c r="B6215" s="4"/>
      <c r="C6215" s="3">
        <v>0</v>
      </c>
      <c r="D6215" s="3">
        <v>0</v>
      </c>
      <c r="E6215" s="3">
        <v>345</v>
      </c>
      <c r="F6215" s="3">
        <v>0</v>
      </c>
      <c r="G6215" s="3">
        <v>32739</v>
      </c>
      <c r="H6215" s="2">
        <f t="shared" si="194"/>
        <v>33084</v>
      </c>
      <c r="I6215" t="str">
        <f t="shared" si="195"/>
        <v>Rap1gds1_33084</v>
      </c>
      <c r="J6215" s="3">
        <v>0</v>
      </c>
      <c r="K6215" s="3">
        <v>0</v>
      </c>
      <c r="L6215" s="3">
        <v>345</v>
      </c>
      <c r="M6215" s="3">
        <v>0</v>
      </c>
      <c r="N6215" s="3">
        <v>32739</v>
      </c>
    </row>
    <row r="6216" spans="1:14" x14ac:dyDescent="0.2">
      <c r="A6216" s="5" t="str">
        <f>HYPERLINK("http://www.ncbi.nlm.nih.gov/protein/100818462","Rap1gds1")</f>
        <v>Rap1gds1</v>
      </c>
      <c r="B6216" s="4"/>
      <c r="C6216" s="3">
        <v>0</v>
      </c>
      <c r="D6216" s="3">
        <v>0</v>
      </c>
      <c r="E6216" s="3">
        <v>345</v>
      </c>
      <c r="F6216" s="3">
        <v>0</v>
      </c>
      <c r="G6216" s="3">
        <v>29280</v>
      </c>
      <c r="H6216" s="2">
        <f t="shared" si="194"/>
        <v>29625</v>
      </c>
      <c r="I6216" t="str">
        <f t="shared" si="195"/>
        <v>Rap1gds1_29625</v>
      </c>
      <c r="J6216" s="3">
        <v>0</v>
      </c>
      <c r="K6216" s="3">
        <v>0</v>
      </c>
      <c r="L6216" s="3">
        <v>345</v>
      </c>
      <c r="M6216" s="3">
        <v>0</v>
      </c>
      <c r="N6216" s="3">
        <v>29280</v>
      </c>
    </row>
    <row r="6217" spans="1:14" x14ac:dyDescent="0.2">
      <c r="A6217" s="5" t="str">
        <f>HYPERLINK("http://www.ncbi.nlm.nih.gov/protein/40254160","Rap2a")</f>
        <v>Rap2a</v>
      </c>
      <c r="B6217" s="4"/>
      <c r="C6217" s="3">
        <v>0</v>
      </c>
      <c r="D6217" s="3">
        <v>2119</v>
      </c>
      <c r="E6217" s="3">
        <v>4927</v>
      </c>
      <c r="F6217" s="3">
        <v>0</v>
      </c>
      <c r="G6217" s="3">
        <v>0</v>
      </c>
      <c r="H6217" s="2">
        <f t="shared" si="194"/>
        <v>7046</v>
      </c>
      <c r="I6217" t="str">
        <f t="shared" si="195"/>
        <v>Rap2a_7046</v>
      </c>
      <c r="J6217" s="3">
        <v>0</v>
      </c>
      <c r="K6217" s="3">
        <v>2119</v>
      </c>
      <c r="L6217" s="3">
        <v>4927</v>
      </c>
      <c r="M6217" s="3">
        <v>0</v>
      </c>
      <c r="N6217" s="3">
        <v>0</v>
      </c>
    </row>
    <row r="6218" spans="1:14" x14ac:dyDescent="0.2">
      <c r="A6218" s="5" t="str">
        <f>HYPERLINK("http://www.ncbi.nlm.nih.gov/protein/13386338","Rap2b")</f>
        <v>Rap2b</v>
      </c>
      <c r="B6218" s="4"/>
      <c r="C6218" s="3">
        <v>586</v>
      </c>
      <c r="D6218" s="3">
        <v>2887</v>
      </c>
      <c r="E6218" s="3">
        <v>6070</v>
      </c>
      <c r="F6218" s="3">
        <v>352</v>
      </c>
      <c r="G6218" s="3">
        <v>0</v>
      </c>
      <c r="H6218" s="2">
        <f t="shared" si="194"/>
        <v>9895</v>
      </c>
      <c r="I6218" t="str">
        <f t="shared" si="195"/>
        <v>Rap2b_9895</v>
      </c>
      <c r="J6218" s="3">
        <v>586</v>
      </c>
      <c r="K6218" s="3">
        <v>2887</v>
      </c>
      <c r="L6218" s="3">
        <v>6070</v>
      </c>
      <c r="M6218" s="3">
        <v>352</v>
      </c>
      <c r="N6218" s="3">
        <v>0</v>
      </c>
    </row>
    <row r="6219" spans="1:14" x14ac:dyDescent="0.2">
      <c r="A6219" s="5" t="str">
        <f>HYPERLINK("http://www.ncbi.nlm.nih.gov/protein/27369539","Rap2c")</f>
        <v>Rap2c</v>
      </c>
      <c r="B6219" s="4"/>
      <c r="C6219" s="3">
        <v>0</v>
      </c>
      <c r="D6219" s="3">
        <v>3816</v>
      </c>
      <c r="E6219" s="3">
        <v>5343</v>
      </c>
      <c r="F6219" s="3">
        <v>1817</v>
      </c>
      <c r="G6219" s="3">
        <v>2560</v>
      </c>
      <c r="H6219" s="2">
        <f t="shared" si="194"/>
        <v>13536</v>
      </c>
      <c r="I6219" t="str">
        <f t="shared" si="195"/>
        <v>Rap2c_13536</v>
      </c>
      <c r="J6219" s="3">
        <v>0</v>
      </c>
      <c r="K6219" s="3">
        <v>3816</v>
      </c>
      <c r="L6219" s="3">
        <v>5343</v>
      </c>
      <c r="M6219" s="3">
        <v>1817</v>
      </c>
      <c r="N6219" s="3">
        <v>2560</v>
      </c>
    </row>
    <row r="6220" spans="1:14" x14ac:dyDescent="0.2">
      <c r="A6220" s="5" t="str">
        <f>HYPERLINK("http://www.ncbi.nlm.nih.gov/protein/323637461","Rapgef4")</f>
        <v>Rapgef4</v>
      </c>
      <c r="B6220" s="4"/>
      <c r="C6220" s="3">
        <v>0</v>
      </c>
      <c r="D6220" s="3">
        <v>708</v>
      </c>
      <c r="E6220" s="3">
        <v>3521</v>
      </c>
      <c r="F6220" s="3">
        <v>0</v>
      </c>
      <c r="G6220" s="3">
        <v>0</v>
      </c>
      <c r="H6220" s="2">
        <f t="shared" si="194"/>
        <v>4229</v>
      </c>
      <c r="I6220" t="str">
        <f t="shared" si="195"/>
        <v>Rapgef4_4229</v>
      </c>
      <c r="J6220" s="3">
        <v>0</v>
      </c>
      <c r="K6220" s="3">
        <v>708</v>
      </c>
      <c r="L6220" s="3">
        <v>3521</v>
      </c>
      <c r="M6220" s="3">
        <v>0</v>
      </c>
      <c r="N6220" s="3">
        <v>0</v>
      </c>
    </row>
    <row r="6221" spans="1:14" x14ac:dyDescent="0.2">
      <c r="A6221" s="5" t="str">
        <f>HYPERLINK("http://www.ncbi.nlm.nih.gov/protein/323637463","Rapgef4")</f>
        <v>Rapgef4</v>
      </c>
      <c r="B6221" s="4"/>
      <c r="C6221" s="3">
        <v>0</v>
      </c>
      <c r="D6221" s="3">
        <v>708</v>
      </c>
      <c r="E6221" s="3">
        <v>3521</v>
      </c>
      <c r="F6221" s="3">
        <v>0</v>
      </c>
      <c r="G6221" s="3">
        <v>0</v>
      </c>
      <c r="H6221" s="2">
        <f t="shared" si="194"/>
        <v>4229</v>
      </c>
      <c r="I6221" t="str">
        <f t="shared" si="195"/>
        <v>Rapgef4_4229</v>
      </c>
      <c r="J6221" s="3">
        <v>0</v>
      </c>
      <c r="K6221" s="3">
        <v>708</v>
      </c>
      <c r="L6221" s="3">
        <v>3521</v>
      </c>
      <c r="M6221" s="3">
        <v>0</v>
      </c>
      <c r="N6221" s="3">
        <v>0</v>
      </c>
    </row>
    <row r="6222" spans="1:14" x14ac:dyDescent="0.2">
      <c r="A6222" s="5" t="str">
        <f>HYPERLINK("http://www.ncbi.nlm.nih.gov/protein/9790087","Rapgef4")</f>
        <v>Rapgef4</v>
      </c>
      <c r="B6222" s="4"/>
      <c r="C6222" s="3">
        <v>0</v>
      </c>
      <c r="D6222" s="3">
        <v>708</v>
      </c>
      <c r="E6222" s="3">
        <v>3521</v>
      </c>
      <c r="F6222" s="3">
        <v>0</v>
      </c>
      <c r="G6222" s="3">
        <v>0</v>
      </c>
      <c r="H6222" s="2">
        <f t="shared" si="194"/>
        <v>4229</v>
      </c>
      <c r="I6222" t="str">
        <f t="shared" si="195"/>
        <v>Rapgef4_4229</v>
      </c>
      <c r="J6222" s="3">
        <v>0</v>
      </c>
      <c r="K6222" s="3">
        <v>708</v>
      </c>
      <c r="L6222" s="3">
        <v>3521</v>
      </c>
      <c r="M6222" s="3">
        <v>0</v>
      </c>
      <c r="N6222" s="3">
        <v>0</v>
      </c>
    </row>
    <row r="6223" spans="1:14" x14ac:dyDescent="0.2">
      <c r="A6223" s="5" t="str">
        <f>HYPERLINK("http://www.ncbi.nlm.nih.gov/protein/124257963","Rapgefl1")</f>
        <v>Rapgefl1</v>
      </c>
      <c r="B6223" s="4"/>
      <c r="C6223" s="3">
        <v>0</v>
      </c>
      <c r="D6223" s="3">
        <v>708</v>
      </c>
      <c r="E6223" s="3">
        <v>3521</v>
      </c>
      <c r="F6223" s="3">
        <v>0</v>
      </c>
      <c r="G6223" s="3">
        <v>0</v>
      </c>
      <c r="H6223" s="2">
        <f t="shared" si="194"/>
        <v>4229</v>
      </c>
      <c r="I6223" t="str">
        <f t="shared" si="195"/>
        <v>Rapgefl1_4229</v>
      </c>
      <c r="J6223" s="3">
        <v>0</v>
      </c>
      <c r="K6223" s="3">
        <v>708</v>
      </c>
      <c r="L6223" s="3">
        <v>3521</v>
      </c>
      <c r="M6223" s="3">
        <v>0</v>
      </c>
      <c r="N6223" s="3">
        <v>0</v>
      </c>
    </row>
    <row r="6224" spans="1:14" x14ac:dyDescent="0.2">
      <c r="A6224" s="5" t="str">
        <f>HYPERLINK("http://www.ncbi.nlm.nih.gov/protein/262118273","Rars")</f>
        <v>Rars</v>
      </c>
      <c r="B6224" s="4"/>
      <c r="C6224" s="3">
        <v>3277</v>
      </c>
      <c r="D6224" s="3">
        <v>25100</v>
      </c>
      <c r="E6224" s="3">
        <v>29642</v>
      </c>
      <c r="F6224" s="3">
        <v>814897</v>
      </c>
      <c r="G6224" s="3">
        <v>27716</v>
      </c>
      <c r="H6224" s="2">
        <f t="shared" si="194"/>
        <v>900632</v>
      </c>
      <c r="I6224" t="str">
        <f t="shared" si="195"/>
        <v>Rars_900632</v>
      </c>
      <c r="J6224" s="3">
        <v>3277</v>
      </c>
      <c r="K6224" s="3">
        <v>25100</v>
      </c>
      <c r="L6224" s="3">
        <v>29642</v>
      </c>
      <c r="M6224" s="3">
        <v>814897</v>
      </c>
      <c r="N6224" s="3">
        <v>27716</v>
      </c>
    </row>
    <row r="6225" spans="1:14" x14ac:dyDescent="0.2">
      <c r="A6225" s="5" t="str">
        <f>HYPERLINK("http://www.ncbi.nlm.nih.gov/protein/240120047","Rars2")</f>
        <v>Rars2</v>
      </c>
      <c r="B6225" s="4"/>
      <c r="C6225" s="3">
        <v>0</v>
      </c>
      <c r="D6225" s="3">
        <v>111</v>
      </c>
      <c r="E6225" s="3">
        <v>0</v>
      </c>
      <c r="F6225" s="3">
        <v>0</v>
      </c>
      <c r="G6225" s="3">
        <v>0</v>
      </c>
      <c r="H6225" s="2">
        <f t="shared" si="194"/>
        <v>111</v>
      </c>
      <c r="I6225" t="str">
        <f t="shared" si="195"/>
        <v>Rars2_111</v>
      </c>
      <c r="J6225" s="3">
        <v>0</v>
      </c>
      <c r="K6225" s="3">
        <v>111</v>
      </c>
      <c r="L6225" s="3">
        <v>0</v>
      </c>
      <c r="M6225" s="3">
        <v>0</v>
      </c>
      <c r="N6225" s="3">
        <v>0</v>
      </c>
    </row>
    <row r="6226" spans="1:14" x14ac:dyDescent="0.2">
      <c r="A6226" s="5" t="str">
        <f>HYPERLINK("http://www.ncbi.nlm.nih.gov/protein/164663773","Rasa1")</f>
        <v>Rasa1</v>
      </c>
      <c r="B6226" s="4"/>
      <c r="C6226" s="3">
        <v>0</v>
      </c>
      <c r="D6226" s="3">
        <v>0</v>
      </c>
      <c r="E6226" s="3">
        <v>91</v>
      </c>
      <c r="F6226" s="3">
        <v>0</v>
      </c>
      <c r="G6226" s="3">
        <v>7636</v>
      </c>
      <c r="H6226" s="2">
        <f t="shared" si="194"/>
        <v>7727</v>
      </c>
      <c r="I6226" t="str">
        <f t="shared" si="195"/>
        <v>Rasa1_7727</v>
      </c>
      <c r="J6226" s="3">
        <v>0</v>
      </c>
      <c r="K6226" s="3">
        <v>0</v>
      </c>
      <c r="L6226" s="3">
        <v>91</v>
      </c>
      <c r="M6226" s="3">
        <v>0</v>
      </c>
      <c r="N6226" s="3">
        <v>7636</v>
      </c>
    </row>
    <row r="6227" spans="1:14" x14ac:dyDescent="0.2">
      <c r="A6227" s="5" t="str">
        <f>HYPERLINK("http://www.ncbi.nlm.nih.gov/protein/31980729","Rasal1")</f>
        <v>Rasal1</v>
      </c>
      <c r="B6227" s="4"/>
      <c r="C6227" s="3">
        <v>2343</v>
      </c>
      <c r="D6227" s="3">
        <v>0</v>
      </c>
      <c r="E6227" s="3">
        <v>0</v>
      </c>
      <c r="F6227" s="3">
        <v>0</v>
      </c>
      <c r="G6227" s="3">
        <v>0</v>
      </c>
      <c r="H6227" s="2">
        <f t="shared" si="194"/>
        <v>2343</v>
      </c>
      <c r="I6227" t="str">
        <f t="shared" si="195"/>
        <v>Rasal1_2343</v>
      </c>
      <c r="J6227" s="3">
        <v>2343</v>
      </c>
      <c r="K6227" s="3">
        <v>0</v>
      </c>
      <c r="L6227" s="3">
        <v>0</v>
      </c>
      <c r="M6227" s="3">
        <v>0</v>
      </c>
      <c r="N6227" s="3">
        <v>0</v>
      </c>
    </row>
    <row r="6228" spans="1:14" x14ac:dyDescent="0.2">
      <c r="A6228" s="5" t="str">
        <f>HYPERLINK("http://www.ncbi.nlm.nih.gov/protein/530537198","Rasal1")</f>
        <v>Rasal1</v>
      </c>
      <c r="B6228" s="4"/>
      <c r="C6228" s="3">
        <v>2343</v>
      </c>
      <c r="D6228" s="3">
        <v>0</v>
      </c>
      <c r="E6228" s="3">
        <v>0</v>
      </c>
      <c r="F6228" s="3">
        <v>0</v>
      </c>
      <c r="G6228" s="3">
        <v>0</v>
      </c>
      <c r="H6228" s="2">
        <f t="shared" si="194"/>
        <v>2343</v>
      </c>
      <c r="I6228" t="str">
        <f t="shared" si="195"/>
        <v>Rasal1_2343</v>
      </c>
      <c r="J6228" s="3">
        <v>2343</v>
      </c>
      <c r="K6228" s="3">
        <v>0</v>
      </c>
      <c r="L6228" s="3">
        <v>0</v>
      </c>
      <c r="M6228" s="3">
        <v>0</v>
      </c>
      <c r="N6228" s="3">
        <v>0</v>
      </c>
    </row>
    <row r="6229" spans="1:14" x14ac:dyDescent="0.2">
      <c r="A6229" s="5" t="str">
        <f>HYPERLINK("http://www.ncbi.nlm.nih.gov/protein/6677677","Rasl2-9")</f>
        <v>Rasl2-9</v>
      </c>
      <c r="B6229" s="4"/>
      <c r="C6229" s="3">
        <v>201458</v>
      </c>
      <c r="D6229" s="3">
        <v>16792</v>
      </c>
      <c r="E6229" s="3">
        <v>26587</v>
      </c>
      <c r="F6229" s="3">
        <v>55253</v>
      </c>
      <c r="G6229" s="3">
        <v>189526</v>
      </c>
      <c r="H6229" s="2">
        <f t="shared" si="194"/>
        <v>489616</v>
      </c>
      <c r="I6229" t="str">
        <f t="shared" si="195"/>
        <v>Rasl2-9_489616</v>
      </c>
      <c r="J6229" s="3">
        <v>201458</v>
      </c>
      <c r="K6229" s="3">
        <v>16792</v>
      </c>
      <c r="L6229" s="3">
        <v>26587</v>
      </c>
      <c r="M6229" s="3">
        <v>55253</v>
      </c>
      <c r="N6229" s="3">
        <v>189526</v>
      </c>
    </row>
    <row r="6230" spans="1:14" x14ac:dyDescent="0.2">
      <c r="A6230" s="5" t="str">
        <f>HYPERLINK("http://www.ncbi.nlm.nih.gov/protein/110431380","Rassf6")</f>
        <v>Rassf6</v>
      </c>
      <c r="B6230" s="4"/>
      <c r="C6230" s="3">
        <v>0</v>
      </c>
      <c r="D6230" s="3">
        <v>0</v>
      </c>
      <c r="E6230" s="3">
        <v>83</v>
      </c>
      <c r="F6230" s="3">
        <v>1342</v>
      </c>
      <c r="G6230" s="3">
        <v>8653</v>
      </c>
      <c r="H6230" s="2">
        <f t="shared" si="194"/>
        <v>10078</v>
      </c>
      <c r="I6230" t="str">
        <f t="shared" si="195"/>
        <v>Rassf6_10078</v>
      </c>
      <c r="J6230" s="3">
        <v>0</v>
      </c>
      <c r="K6230" s="3">
        <v>0</v>
      </c>
      <c r="L6230" s="3">
        <v>83</v>
      </c>
      <c r="M6230" s="3">
        <v>1342</v>
      </c>
      <c r="N6230" s="3">
        <v>8653</v>
      </c>
    </row>
    <row r="6231" spans="1:14" x14ac:dyDescent="0.2">
      <c r="A6231" s="5" t="str">
        <f>HYPERLINK("http://www.ncbi.nlm.nih.gov/protein/29789209","Raver1")</f>
        <v>Raver1</v>
      </c>
      <c r="B6231" s="4"/>
      <c r="C6231" s="3">
        <v>5199</v>
      </c>
      <c r="D6231" s="3">
        <v>2578</v>
      </c>
      <c r="E6231" s="3">
        <v>3812</v>
      </c>
      <c r="F6231" s="3">
        <v>0</v>
      </c>
      <c r="G6231" s="3">
        <v>0</v>
      </c>
      <c r="H6231" s="2">
        <f t="shared" si="194"/>
        <v>11589</v>
      </c>
      <c r="I6231" t="str">
        <f t="shared" si="195"/>
        <v>Raver1_11589</v>
      </c>
      <c r="J6231" s="3">
        <v>5199</v>
      </c>
      <c r="K6231" s="3">
        <v>2578</v>
      </c>
      <c r="L6231" s="3">
        <v>3812</v>
      </c>
      <c r="M6231" s="3">
        <v>0</v>
      </c>
      <c r="N6231" s="3">
        <v>0</v>
      </c>
    </row>
    <row r="6232" spans="1:14" x14ac:dyDescent="0.2">
      <c r="A6232" s="5" t="str">
        <f>HYPERLINK("http://www.ncbi.nlm.nih.gov/protein/226693374","Rb1cc1")</f>
        <v>Rb1cc1</v>
      </c>
      <c r="B6232" s="4"/>
      <c r="C6232" s="3">
        <v>0</v>
      </c>
      <c r="D6232" s="3">
        <v>0</v>
      </c>
      <c r="E6232" s="3">
        <v>0</v>
      </c>
      <c r="F6232" s="3">
        <v>0</v>
      </c>
      <c r="G6232" s="3">
        <v>343</v>
      </c>
      <c r="H6232" s="2">
        <f t="shared" si="194"/>
        <v>343</v>
      </c>
      <c r="I6232" t="str">
        <f t="shared" si="195"/>
        <v>Rb1cc1_343</v>
      </c>
      <c r="J6232" s="3">
        <v>0</v>
      </c>
      <c r="K6232" s="3">
        <v>0</v>
      </c>
      <c r="L6232" s="3">
        <v>0</v>
      </c>
      <c r="M6232" s="3">
        <v>0</v>
      </c>
      <c r="N6232" s="3">
        <v>343</v>
      </c>
    </row>
    <row r="6233" spans="1:14" x14ac:dyDescent="0.2">
      <c r="A6233" s="5" t="str">
        <f>HYPERLINK("http://www.ncbi.nlm.nih.gov/protein/47059484","Rbbp4")</f>
        <v>Rbbp4</v>
      </c>
      <c r="B6233" s="4"/>
      <c r="C6233" s="3">
        <v>113955</v>
      </c>
      <c r="D6233" s="3">
        <v>8319</v>
      </c>
      <c r="E6233" s="3">
        <v>11718</v>
      </c>
      <c r="F6233" s="3">
        <v>34363</v>
      </c>
      <c r="G6233" s="3">
        <v>108016</v>
      </c>
      <c r="H6233" s="2">
        <f t="shared" si="194"/>
        <v>276371</v>
      </c>
      <c r="I6233" t="str">
        <f t="shared" si="195"/>
        <v>Rbbp4_276371</v>
      </c>
      <c r="J6233" s="3">
        <v>113955</v>
      </c>
      <c r="K6233" s="3">
        <v>8319</v>
      </c>
      <c r="L6233" s="3">
        <v>11718</v>
      </c>
      <c r="M6233" s="3">
        <v>34363</v>
      </c>
      <c r="N6233" s="3">
        <v>108016</v>
      </c>
    </row>
    <row r="6234" spans="1:14" x14ac:dyDescent="0.2">
      <c r="A6234" s="5" t="str">
        <f>HYPERLINK("http://www.ncbi.nlm.nih.gov/protein/164450487","Rbbp5")</f>
        <v>Rbbp5</v>
      </c>
      <c r="B6234" s="4"/>
      <c r="C6234" s="3">
        <v>1117</v>
      </c>
      <c r="D6234" s="3">
        <v>0</v>
      </c>
      <c r="E6234" s="3">
        <v>0</v>
      </c>
      <c r="F6234" s="3">
        <v>1662</v>
      </c>
      <c r="G6234" s="3">
        <v>54</v>
      </c>
      <c r="H6234" s="2">
        <f t="shared" si="194"/>
        <v>2833</v>
      </c>
      <c r="I6234" t="str">
        <f t="shared" si="195"/>
        <v>Rbbp5_2833</v>
      </c>
      <c r="J6234" s="3">
        <v>1117</v>
      </c>
      <c r="K6234" s="3">
        <v>0</v>
      </c>
      <c r="L6234" s="3">
        <v>0</v>
      </c>
      <c r="M6234" s="3">
        <v>1662</v>
      </c>
      <c r="N6234" s="3">
        <v>54</v>
      </c>
    </row>
    <row r="6235" spans="1:14" x14ac:dyDescent="0.2">
      <c r="A6235" s="5" t="str">
        <f>HYPERLINK("http://www.ncbi.nlm.nih.gov/protein/163937858","Rbbp6")</f>
        <v>Rbbp6</v>
      </c>
      <c r="B6235" s="4"/>
      <c r="C6235" s="3">
        <v>0</v>
      </c>
      <c r="D6235" s="3">
        <v>326</v>
      </c>
      <c r="E6235" s="3">
        <v>91</v>
      </c>
      <c r="F6235" s="3">
        <v>0</v>
      </c>
      <c r="G6235" s="3">
        <v>0</v>
      </c>
      <c r="H6235" s="2">
        <f t="shared" si="194"/>
        <v>417</v>
      </c>
      <c r="I6235" t="str">
        <f t="shared" si="195"/>
        <v>Rbbp6_417</v>
      </c>
      <c r="J6235" s="3">
        <v>0</v>
      </c>
      <c r="K6235" s="3">
        <v>326</v>
      </c>
      <c r="L6235" s="3">
        <v>91</v>
      </c>
      <c r="M6235" s="3">
        <v>0</v>
      </c>
      <c r="N6235" s="3">
        <v>0</v>
      </c>
    </row>
    <row r="6236" spans="1:14" x14ac:dyDescent="0.2">
      <c r="A6236" s="5" t="str">
        <f>HYPERLINK("http://www.ncbi.nlm.nih.gov/protein/157909799","Rbbp7")</f>
        <v>Rbbp7</v>
      </c>
      <c r="B6236" s="4"/>
      <c r="C6236" s="3">
        <v>115328</v>
      </c>
      <c r="D6236" s="3">
        <v>7978</v>
      </c>
      <c r="E6236" s="3">
        <v>8740</v>
      </c>
      <c r="F6236" s="3">
        <v>37424</v>
      </c>
      <c r="G6236" s="3">
        <v>103411</v>
      </c>
      <c r="H6236" s="2">
        <f t="shared" si="194"/>
        <v>272881</v>
      </c>
      <c r="I6236" t="str">
        <f t="shared" si="195"/>
        <v>Rbbp7_272881</v>
      </c>
      <c r="J6236" s="3">
        <v>115328</v>
      </c>
      <c r="K6236" s="3">
        <v>7978</v>
      </c>
      <c r="L6236" s="3">
        <v>8740</v>
      </c>
      <c r="M6236" s="3">
        <v>37424</v>
      </c>
      <c r="N6236" s="3">
        <v>103411</v>
      </c>
    </row>
    <row r="6237" spans="1:14" x14ac:dyDescent="0.2">
      <c r="A6237" s="5" t="str">
        <f>HYPERLINK("http://www.ncbi.nlm.nih.gov/protein/86439977","Rbbp9")</f>
        <v>Rbbp9</v>
      </c>
      <c r="B6237" s="4"/>
      <c r="C6237" s="3">
        <v>0</v>
      </c>
      <c r="D6237" s="3">
        <v>960</v>
      </c>
      <c r="E6237" s="3">
        <v>768</v>
      </c>
      <c r="F6237" s="3">
        <v>769</v>
      </c>
      <c r="G6237" s="3">
        <v>22651</v>
      </c>
      <c r="H6237" s="2">
        <f t="shared" si="194"/>
        <v>25148</v>
      </c>
      <c r="I6237" t="str">
        <f t="shared" si="195"/>
        <v>Rbbp9_25148</v>
      </c>
      <c r="J6237" s="3">
        <v>0</v>
      </c>
      <c r="K6237" s="3">
        <v>960</v>
      </c>
      <c r="L6237" s="3">
        <v>768</v>
      </c>
      <c r="M6237" s="3">
        <v>769</v>
      </c>
      <c r="N6237" s="3">
        <v>22651</v>
      </c>
    </row>
    <row r="6238" spans="1:14" x14ac:dyDescent="0.2">
      <c r="A6238" s="5" t="str">
        <f>HYPERLINK("http://www.ncbi.nlm.nih.gov/protein/145046239","Rbck1")</f>
        <v>Rbck1</v>
      </c>
      <c r="B6238" s="4"/>
      <c r="C6238" s="3">
        <v>0</v>
      </c>
      <c r="D6238" s="3">
        <v>17</v>
      </c>
      <c r="E6238" s="3">
        <v>0</v>
      </c>
      <c r="F6238" s="3">
        <v>0</v>
      </c>
      <c r="G6238" s="3">
        <v>600</v>
      </c>
      <c r="H6238" s="2">
        <f t="shared" si="194"/>
        <v>617</v>
      </c>
      <c r="I6238" t="str">
        <f t="shared" si="195"/>
        <v>Rbck1_617</v>
      </c>
      <c r="J6238" s="3">
        <v>0</v>
      </c>
      <c r="K6238" s="3">
        <v>17</v>
      </c>
      <c r="L6238" s="3">
        <v>0</v>
      </c>
      <c r="M6238" s="3">
        <v>0</v>
      </c>
      <c r="N6238" s="3">
        <v>600</v>
      </c>
    </row>
    <row r="6239" spans="1:14" x14ac:dyDescent="0.2">
      <c r="A6239" s="5" t="str">
        <f>HYPERLINK("http://www.ncbi.nlm.nih.gov/protein/213417847","Rbl1")</f>
        <v>Rbl1</v>
      </c>
      <c r="B6239" s="4"/>
      <c r="C6239" s="3">
        <v>0</v>
      </c>
      <c r="D6239" s="3">
        <v>0</v>
      </c>
      <c r="E6239" s="3">
        <v>44</v>
      </c>
      <c r="F6239" s="3">
        <v>2300</v>
      </c>
      <c r="G6239" s="3">
        <v>321</v>
      </c>
      <c r="H6239" s="2">
        <f t="shared" si="194"/>
        <v>2665</v>
      </c>
      <c r="I6239" t="str">
        <f t="shared" si="195"/>
        <v>Rbl1_2665</v>
      </c>
      <c r="J6239" s="3">
        <v>0</v>
      </c>
      <c r="K6239" s="3">
        <v>0</v>
      </c>
      <c r="L6239" s="3">
        <v>44</v>
      </c>
      <c r="M6239" s="3">
        <v>2300</v>
      </c>
      <c r="N6239" s="3">
        <v>321</v>
      </c>
    </row>
    <row r="6240" spans="1:14" x14ac:dyDescent="0.2">
      <c r="A6240" s="5" t="str">
        <f>HYPERLINK("http://www.ncbi.nlm.nih.gov/protein/213417872","Rbl1")</f>
        <v>Rbl1</v>
      </c>
      <c r="B6240" s="4"/>
      <c r="C6240" s="3">
        <v>0</v>
      </c>
      <c r="D6240" s="3">
        <v>0</v>
      </c>
      <c r="E6240" s="3">
        <v>34</v>
      </c>
      <c r="F6240" s="3">
        <v>2300</v>
      </c>
      <c r="G6240" s="3">
        <v>321</v>
      </c>
      <c r="H6240" s="2">
        <f t="shared" si="194"/>
        <v>2655</v>
      </c>
      <c r="I6240" t="str">
        <f t="shared" si="195"/>
        <v>Rbl1_2655</v>
      </c>
      <c r="J6240" s="3">
        <v>0</v>
      </c>
      <c r="K6240" s="3">
        <v>0</v>
      </c>
      <c r="L6240" s="3">
        <v>34</v>
      </c>
      <c r="M6240" s="3">
        <v>2300</v>
      </c>
      <c r="N6240" s="3">
        <v>321</v>
      </c>
    </row>
    <row r="6241" spans="1:14" x14ac:dyDescent="0.2">
      <c r="A6241" s="5" t="str">
        <f>HYPERLINK("http://www.ncbi.nlm.nih.gov/protein/21704124","Rbm10")</f>
        <v>Rbm10</v>
      </c>
      <c r="B6241" s="4"/>
      <c r="C6241" s="3">
        <v>622</v>
      </c>
      <c r="D6241" s="3">
        <v>0</v>
      </c>
      <c r="E6241" s="3">
        <v>0</v>
      </c>
      <c r="F6241" s="3">
        <v>0</v>
      </c>
      <c r="G6241" s="3">
        <v>0</v>
      </c>
      <c r="H6241" s="2">
        <f t="shared" si="194"/>
        <v>622</v>
      </c>
      <c r="I6241" t="str">
        <f t="shared" si="195"/>
        <v>Rbm10_622</v>
      </c>
      <c r="J6241" s="3">
        <v>622</v>
      </c>
      <c r="K6241" s="3">
        <v>0</v>
      </c>
      <c r="L6241" s="3">
        <v>0</v>
      </c>
      <c r="M6241" s="3">
        <v>0</v>
      </c>
      <c r="N6241" s="3">
        <v>0</v>
      </c>
    </row>
    <row r="6242" spans="1:14" x14ac:dyDescent="0.2">
      <c r="A6242" s="5" t="str">
        <f>HYPERLINK("http://www.ncbi.nlm.nih.gov/protein/269847193","Rbm10")</f>
        <v>Rbm10</v>
      </c>
      <c r="B6242" s="4"/>
      <c r="C6242" s="3">
        <v>622</v>
      </c>
      <c r="D6242" s="3">
        <v>0</v>
      </c>
      <c r="E6242" s="3">
        <v>0</v>
      </c>
      <c r="F6242" s="3">
        <v>0</v>
      </c>
      <c r="G6242" s="3">
        <v>0</v>
      </c>
      <c r="H6242" s="2">
        <f t="shared" si="194"/>
        <v>622</v>
      </c>
      <c r="I6242" t="str">
        <f t="shared" si="195"/>
        <v>Rbm10_622</v>
      </c>
      <c r="J6242" s="3">
        <v>622</v>
      </c>
      <c r="K6242" s="3">
        <v>0</v>
      </c>
      <c r="L6242" s="3">
        <v>0</v>
      </c>
      <c r="M6242" s="3">
        <v>0</v>
      </c>
      <c r="N6242" s="3">
        <v>0</v>
      </c>
    </row>
    <row r="6243" spans="1:14" x14ac:dyDescent="0.2">
      <c r="A6243" s="5" t="str">
        <f>HYPERLINK("http://www.ncbi.nlm.nih.gov/protein/269847199","Rbm10")</f>
        <v>Rbm10</v>
      </c>
      <c r="B6243" s="4"/>
      <c r="C6243" s="3">
        <v>622</v>
      </c>
      <c r="D6243" s="3">
        <v>0</v>
      </c>
      <c r="E6243" s="3">
        <v>0</v>
      </c>
      <c r="F6243" s="3">
        <v>0</v>
      </c>
      <c r="G6243" s="3">
        <v>0</v>
      </c>
      <c r="H6243" s="2">
        <f t="shared" si="194"/>
        <v>622</v>
      </c>
      <c r="I6243" t="str">
        <f t="shared" si="195"/>
        <v>Rbm10_622</v>
      </c>
      <c r="J6243" s="3">
        <v>622</v>
      </c>
      <c r="K6243" s="3">
        <v>0</v>
      </c>
      <c r="L6243" s="3">
        <v>0</v>
      </c>
      <c r="M6243" s="3">
        <v>0</v>
      </c>
      <c r="N6243" s="3">
        <v>0</v>
      </c>
    </row>
    <row r="6244" spans="1:14" x14ac:dyDescent="0.2">
      <c r="A6244" s="5" t="str">
        <f>HYPERLINK("http://www.ncbi.nlm.nih.gov/protein/114155120","Rbm12")</f>
        <v>Rbm12</v>
      </c>
      <c r="B6244" s="4"/>
      <c r="C6244" s="3">
        <v>0</v>
      </c>
      <c r="D6244" s="3">
        <v>0</v>
      </c>
      <c r="E6244" s="3">
        <v>923</v>
      </c>
      <c r="F6244" s="3">
        <v>0</v>
      </c>
      <c r="G6244" s="3">
        <v>12905</v>
      </c>
      <c r="H6244" s="2">
        <f t="shared" si="194"/>
        <v>13828</v>
      </c>
      <c r="I6244" t="str">
        <f t="shared" si="195"/>
        <v>Rbm12_13828</v>
      </c>
      <c r="J6244" s="3">
        <v>0</v>
      </c>
      <c r="K6244" s="3">
        <v>0</v>
      </c>
      <c r="L6244" s="3">
        <v>923</v>
      </c>
      <c r="M6244" s="3">
        <v>0</v>
      </c>
      <c r="N6244" s="3">
        <v>12905</v>
      </c>
    </row>
    <row r="6245" spans="1:14" x14ac:dyDescent="0.2">
      <c r="A6245" s="5" t="str">
        <f>HYPERLINK("http://www.ncbi.nlm.nih.gov/protein/86262142","Rbm14")</f>
        <v>Rbm14</v>
      </c>
      <c r="B6245" s="4"/>
      <c r="C6245" s="3">
        <v>105351</v>
      </c>
      <c r="D6245" s="3">
        <v>3743</v>
      </c>
      <c r="E6245" s="3">
        <v>13242</v>
      </c>
      <c r="F6245" s="3">
        <v>0</v>
      </c>
      <c r="G6245" s="3">
        <v>0</v>
      </c>
      <c r="H6245" s="2">
        <f t="shared" si="194"/>
        <v>122336</v>
      </c>
      <c r="I6245" t="str">
        <f t="shared" si="195"/>
        <v>Rbm14_122336</v>
      </c>
      <c r="J6245" s="3">
        <v>105351</v>
      </c>
      <c r="K6245" s="3">
        <v>3743</v>
      </c>
      <c r="L6245" s="3">
        <v>13242</v>
      </c>
      <c r="M6245" s="3">
        <v>0</v>
      </c>
      <c r="N6245" s="3">
        <v>0</v>
      </c>
    </row>
    <row r="6246" spans="1:14" x14ac:dyDescent="0.2">
      <c r="A6246" s="5" t="str">
        <f>HYPERLINK("http://www.ncbi.nlm.nih.gov/protein/124249066","Rbm15")</f>
        <v>Rbm15</v>
      </c>
      <c r="B6246" s="4"/>
      <c r="C6246" s="3">
        <v>2636</v>
      </c>
      <c r="D6246" s="3">
        <v>0</v>
      </c>
      <c r="E6246" s="3">
        <v>25</v>
      </c>
      <c r="F6246" s="3">
        <v>0</v>
      </c>
      <c r="G6246" s="3">
        <v>0</v>
      </c>
      <c r="H6246" s="2">
        <f t="shared" si="194"/>
        <v>2661</v>
      </c>
      <c r="I6246" t="str">
        <f t="shared" si="195"/>
        <v>Rbm15_2661</v>
      </c>
      <c r="J6246" s="3">
        <v>2636</v>
      </c>
      <c r="K6246" s="3">
        <v>0</v>
      </c>
      <c r="L6246" s="3">
        <v>25</v>
      </c>
      <c r="M6246" s="3">
        <v>0</v>
      </c>
      <c r="N6246" s="3">
        <v>0</v>
      </c>
    </row>
    <row r="6247" spans="1:14" x14ac:dyDescent="0.2">
      <c r="A6247" s="5" t="str">
        <f>HYPERLINK("http://www.ncbi.nlm.nih.gov/protein/22779924","Rbm17")</f>
        <v>Rbm17</v>
      </c>
      <c r="B6247" s="4"/>
      <c r="C6247" s="3">
        <v>0</v>
      </c>
      <c r="D6247" s="3">
        <v>0</v>
      </c>
      <c r="E6247" s="3">
        <v>2366</v>
      </c>
      <c r="F6247" s="3">
        <v>0</v>
      </c>
      <c r="G6247" s="3">
        <v>0</v>
      </c>
      <c r="H6247" s="2">
        <f t="shared" si="194"/>
        <v>2366</v>
      </c>
      <c r="I6247" t="str">
        <f t="shared" si="195"/>
        <v>Rbm17_2366</v>
      </c>
      <c r="J6247" s="3">
        <v>0</v>
      </c>
      <c r="K6247" s="3">
        <v>0</v>
      </c>
      <c r="L6247" s="3">
        <v>2366</v>
      </c>
      <c r="M6247" s="3">
        <v>0</v>
      </c>
      <c r="N6247" s="3">
        <v>0</v>
      </c>
    </row>
    <row r="6248" spans="1:14" x14ac:dyDescent="0.2">
      <c r="A6248" s="5" t="str">
        <f>HYPERLINK("http://www.ncbi.nlm.nih.gov/protein/30794154","Rbm19")</f>
        <v>Rbm19</v>
      </c>
      <c r="B6248" s="4"/>
      <c r="C6248" s="3">
        <v>0</v>
      </c>
      <c r="D6248" s="3">
        <v>0</v>
      </c>
      <c r="E6248" s="3">
        <v>784</v>
      </c>
      <c r="F6248" s="3">
        <v>0</v>
      </c>
      <c r="G6248" s="3">
        <v>0</v>
      </c>
      <c r="H6248" s="2">
        <f t="shared" si="194"/>
        <v>784</v>
      </c>
      <c r="I6248" t="str">
        <f t="shared" si="195"/>
        <v>Rbm19_784</v>
      </c>
      <c r="J6248" s="3">
        <v>0</v>
      </c>
      <c r="K6248" s="3">
        <v>0</v>
      </c>
      <c r="L6248" s="3">
        <v>784</v>
      </c>
      <c r="M6248" s="3">
        <v>0</v>
      </c>
      <c r="N6248" s="3">
        <v>0</v>
      </c>
    </row>
    <row r="6249" spans="1:14" x14ac:dyDescent="0.2">
      <c r="A6249" s="5" t="str">
        <f>HYPERLINK("http://www.ncbi.nlm.nih.gov/protein/110625591","Rbm22")</f>
        <v>Rbm22</v>
      </c>
      <c r="B6249" s="4"/>
      <c r="C6249" s="3">
        <v>0</v>
      </c>
      <c r="D6249" s="3">
        <v>0</v>
      </c>
      <c r="E6249" s="3">
        <v>479</v>
      </c>
      <c r="F6249" s="3">
        <v>0</v>
      </c>
      <c r="G6249" s="3">
        <v>0</v>
      </c>
      <c r="H6249" s="2">
        <f t="shared" si="194"/>
        <v>479</v>
      </c>
      <c r="I6249" t="str">
        <f t="shared" si="195"/>
        <v>Rbm22_479</v>
      </c>
      <c r="J6249" s="3">
        <v>0</v>
      </c>
      <c r="K6249" s="3">
        <v>0</v>
      </c>
      <c r="L6249" s="3">
        <v>479</v>
      </c>
      <c r="M6249" s="3">
        <v>0</v>
      </c>
      <c r="N6249" s="3">
        <v>0</v>
      </c>
    </row>
    <row r="6250" spans="1:14" x14ac:dyDescent="0.2">
      <c r="A6250" s="5" t="str">
        <f>HYPERLINK("http://www.ncbi.nlm.nih.gov/protein/161353449","Rbm25")</f>
        <v>Rbm25</v>
      </c>
      <c r="B6250" s="4"/>
      <c r="C6250" s="3">
        <v>26251</v>
      </c>
      <c r="D6250" s="3">
        <v>820</v>
      </c>
      <c r="E6250" s="3">
        <v>1184</v>
      </c>
      <c r="F6250" s="3">
        <v>0</v>
      </c>
      <c r="G6250" s="3">
        <v>64</v>
      </c>
      <c r="H6250" s="2">
        <f t="shared" si="194"/>
        <v>28319</v>
      </c>
      <c r="I6250" t="str">
        <f t="shared" si="195"/>
        <v>Rbm25_28319</v>
      </c>
      <c r="J6250" s="3">
        <v>26251</v>
      </c>
      <c r="K6250" s="3">
        <v>820</v>
      </c>
      <c r="L6250" s="3">
        <v>1184</v>
      </c>
      <c r="M6250" s="3">
        <v>0</v>
      </c>
      <c r="N6250" s="3">
        <v>64</v>
      </c>
    </row>
    <row r="6251" spans="1:14" x14ac:dyDescent="0.2">
      <c r="A6251" s="5" t="str">
        <f>HYPERLINK("http://www.ncbi.nlm.nih.gov/protein/123701991","Rbm26")</f>
        <v>Rbm26</v>
      </c>
      <c r="B6251" s="4"/>
      <c r="C6251" s="3">
        <v>110</v>
      </c>
      <c r="D6251" s="3">
        <v>0</v>
      </c>
      <c r="E6251" s="3">
        <v>230</v>
      </c>
      <c r="F6251" s="3">
        <v>0</v>
      </c>
      <c r="G6251" s="3">
        <v>0</v>
      </c>
      <c r="H6251" s="2">
        <f t="shared" si="194"/>
        <v>340</v>
      </c>
      <c r="I6251" t="str">
        <f t="shared" si="195"/>
        <v>Rbm26_340</v>
      </c>
      <c r="J6251" s="3">
        <v>110</v>
      </c>
      <c r="K6251" s="3">
        <v>0</v>
      </c>
      <c r="L6251" s="3">
        <v>230</v>
      </c>
      <c r="M6251" s="3">
        <v>0</v>
      </c>
      <c r="N6251" s="3">
        <v>0</v>
      </c>
    </row>
    <row r="6252" spans="1:14" x14ac:dyDescent="0.2">
      <c r="A6252" s="5" t="str">
        <f>HYPERLINK("http://www.ncbi.nlm.nih.gov/protein/166235127","Rbm28")</f>
        <v>Rbm28</v>
      </c>
      <c r="B6252" s="4"/>
      <c r="C6252" s="3">
        <v>0</v>
      </c>
      <c r="D6252" s="3">
        <v>0</v>
      </c>
      <c r="E6252" s="3">
        <v>1320</v>
      </c>
      <c r="F6252" s="3">
        <v>3102</v>
      </c>
      <c r="G6252" s="3">
        <v>0</v>
      </c>
      <c r="H6252" s="2">
        <f t="shared" si="194"/>
        <v>4422</v>
      </c>
      <c r="I6252" t="str">
        <f t="shared" si="195"/>
        <v>Rbm28_4422</v>
      </c>
      <c r="J6252" s="3">
        <v>0</v>
      </c>
      <c r="K6252" s="3">
        <v>0</v>
      </c>
      <c r="L6252" s="3">
        <v>1320</v>
      </c>
      <c r="M6252" s="3">
        <v>3102</v>
      </c>
      <c r="N6252" s="3">
        <v>0</v>
      </c>
    </row>
    <row r="6253" spans="1:14" x14ac:dyDescent="0.2">
      <c r="A6253" s="5" t="str">
        <f>HYPERLINK("http://www.ncbi.nlm.nih.gov/protein/261862339","Rbm3")</f>
        <v>Rbm3</v>
      </c>
      <c r="B6253" s="4"/>
      <c r="C6253" s="3">
        <v>18050</v>
      </c>
      <c r="D6253" s="3">
        <v>159</v>
      </c>
      <c r="E6253" s="3">
        <v>7375</v>
      </c>
      <c r="F6253" s="3">
        <v>2341</v>
      </c>
      <c r="G6253" s="3">
        <v>1210</v>
      </c>
      <c r="H6253" s="2">
        <f t="shared" si="194"/>
        <v>29135</v>
      </c>
      <c r="I6253" t="str">
        <f t="shared" si="195"/>
        <v>Rbm3_29135</v>
      </c>
      <c r="J6253" s="3">
        <v>18050</v>
      </c>
      <c r="K6253" s="3">
        <v>159</v>
      </c>
      <c r="L6253" s="3">
        <v>7375</v>
      </c>
      <c r="M6253" s="3">
        <v>2341</v>
      </c>
      <c r="N6253" s="3">
        <v>1210</v>
      </c>
    </row>
    <row r="6254" spans="1:14" x14ac:dyDescent="0.2">
      <c r="A6254" s="5" t="str">
        <f>HYPERLINK("http://www.ncbi.nlm.nih.gov/protein/37497112","Rbm3")</f>
        <v>Rbm3</v>
      </c>
      <c r="B6254" s="4"/>
      <c r="C6254" s="3">
        <v>3368</v>
      </c>
      <c r="D6254" s="3">
        <v>159</v>
      </c>
      <c r="E6254" s="3">
        <v>7053</v>
      </c>
      <c r="F6254" s="3">
        <v>3258</v>
      </c>
      <c r="G6254" s="3">
        <v>1167</v>
      </c>
      <c r="H6254" s="2">
        <f t="shared" si="194"/>
        <v>15005</v>
      </c>
      <c r="I6254" t="str">
        <f t="shared" si="195"/>
        <v>Rbm3_15005</v>
      </c>
      <c r="J6254" s="3">
        <v>3368</v>
      </c>
      <c r="K6254" s="3">
        <v>159</v>
      </c>
      <c r="L6254" s="3">
        <v>7053</v>
      </c>
      <c r="M6254" s="3">
        <v>3258</v>
      </c>
      <c r="N6254" s="3">
        <v>1167</v>
      </c>
    </row>
    <row r="6255" spans="1:14" x14ac:dyDescent="0.2">
      <c r="A6255" s="5" t="str">
        <f>HYPERLINK("http://www.ncbi.nlm.nih.gov/protein/294610680","Rbm31y")</f>
        <v>Rbm31y</v>
      </c>
      <c r="B6255" s="4"/>
      <c r="C6255" s="3">
        <v>76775</v>
      </c>
      <c r="D6255" s="3">
        <v>820</v>
      </c>
      <c r="E6255" s="3">
        <v>17168</v>
      </c>
      <c r="F6255" s="3">
        <v>3544</v>
      </c>
      <c r="G6255" s="3">
        <v>7775</v>
      </c>
      <c r="H6255" s="2">
        <f t="shared" si="194"/>
        <v>106082</v>
      </c>
      <c r="I6255" t="str">
        <f t="shared" si="195"/>
        <v>Rbm31y_106082</v>
      </c>
      <c r="J6255" s="3">
        <v>76775</v>
      </c>
      <c r="K6255" s="3">
        <v>820</v>
      </c>
      <c r="L6255" s="3">
        <v>17168</v>
      </c>
      <c r="M6255" s="3">
        <v>3544</v>
      </c>
      <c r="N6255" s="3">
        <v>7775</v>
      </c>
    </row>
    <row r="6256" spans="1:14" x14ac:dyDescent="0.2">
      <c r="A6256" s="5" t="str">
        <f>HYPERLINK("http://www.ncbi.nlm.nih.gov/protein/145966792","Rbm33")</f>
        <v>Rbm33</v>
      </c>
      <c r="B6256" s="4"/>
      <c r="C6256" s="3">
        <v>0</v>
      </c>
      <c r="D6256" s="3">
        <v>0</v>
      </c>
      <c r="E6256" s="3">
        <v>0</v>
      </c>
      <c r="F6256" s="3">
        <v>213</v>
      </c>
      <c r="G6256" s="3">
        <v>0</v>
      </c>
      <c r="H6256" s="2">
        <f t="shared" si="194"/>
        <v>213</v>
      </c>
      <c r="I6256" t="str">
        <f t="shared" si="195"/>
        <v>Rbm33_213</v>
      </c>
      <c r="J6256" s="3">
        <v>0</v>
      </c>
      <c r="K6256" s="3">
        <v>0</v>
      </c>
      <c r="L6256" s="3">
        <v>0</v>
      </c>
      <c r="M6256" s="3">
        <v>213</v>
      </c>
      <c r="N6256" s="3">
        <v>0</v>
      </c>
    </row>
    <row r="6257" spans="1:14" x14ac:dyDescent="0.2">
      <c r="A6257" s="5" t="str">
        <f>HYPERLINK("http://www.ncbi.nlm.nih.gov/protein/42794007","Rbm34")</f>
        <v>Rbm34</v>
      </c>
      <c r="B6257" s="4"/>
      <c r="C6257" s="3">
        <v>0</v>
      </c>
      <c r="D6257" s="3">
        <v>0</v>
      </c>
      <c r="E6257" s="3">
        <v>94</v>
      </c>
      <c r="F6257" s="3">
        <v>0</v>
      </c>
      <c r="G6257" s="3">
        <v>0</v>
      </c>
      <c r="H6257" s="2">
        <f t="shared" si="194"/>
        <v>94</v>
      </c>
      <c r="I6257" t="str">
        <f t="shared" si="195"/>
        <v>Rbm34_94</v>
      </c>
      <c r="J6257" s="3">
        <v>0</v>
      </c>
      <c r="K6257" s="3">
        <v>0</v>
      </c>
      <c r="L6257" s="3">
        <v>94</v>
      </c>
      <c r="M6257" s="3">
        <v>0</v>
      </c>
      <c r="N6257" s="3">
        <v>0</v>
      </c>
    </row>
    <row r="6258" spans="1:14" x14ac:dyDescent="0.2">
      <c r="A6258" s="5" t="str">
        <f>HYPERLINK("http://www.ncbi.nlm.nih.gov/protein/118403314","Rbm39")</f>
        <v>Rbm39</v>
      </c>
      <c r="B6258" s="4"/>
      <c r="C6258" s="3">
        <v>25921</v>
      </c>
      <c r="D6258" s="3">
        <v>8659</v>
      </c>
      <c r="E6258" s="3">
        <v>10128</v>
      </c>
      <c r="F6258" s="3">
        <v>8881</v>
      </c>
      <c r="G6258" s="3">
        <v>0</v>
      </c>
      <c r="H6258" s="2">
        <f t="shared" si="194"/>
        <v>53589</v>
      </c>
      <c r="I6258" t="str">
        <f t="shared" si="195"/>
        <v>Rbm39_53589</v>
      </c>
      <c r="J6258" s="3">
        <v>25921</v>
      </c>
      <c r="K6258" s="3">
        <v>8659</v>
      </c>
      <c r="L6258" s="3">
        <v>10128</v>
      </c>
      <c r="M6258" s="3">
        <v>8881</v>
      </c>
      <c r="N6258" s="3">
        <v>0</v>
      </c>
    </row>
    <row r="6259" spans="1:14" x14ac:dyDescent="0.2">
      <c r="A6259" s="5" t="str">
        <f>HYPERLINK("http://www.ncbi.nlm.nih.gov/protein/86262144","Rbm4")</f>
        <v>Rbm4</v>
      </c>
      <c r="B6259" s="4"/>
      <c r="C6259" s="3">
        <v>0</v>
      </c>
      <c r="D6259" s="3">
        <v>0</v>
      </c>
      <c r="E6259" s="3">
        <v>255</v>
      </c>
      <c r="F6259" s="3">
        <v>106</v>
      </c>
      <c r="G6259" s="3">
        <v>0</v>
      </c>
      <c r="H6259" s="2">
        <f t="shared" si="194"/>
        <v>361</v>
      </c>
      <c r="I6259" t="str">
        <f t="shared" si="195"/>
        <v>Rbm4_361</v>
      </c>
      <c r="J6259" s="3">
        <v>0</v>
      </c>
      <c r="K6259" s="3">
        <v>0</v>
      </c>
      <c r="L6259" s="3">
        <v>255</v>
      </c>
      <c r="M6259" s="3">
        <v>106</v>
      </c>
      <c r="N6259" s="3">
        <v>0</v>
      </c>
    </row>
    <row r="6260" spans="1:14" x14ac:dyDescent="0.2">
      <c r="A6260" s="5" t="str">
        <f>HYPERLINK("http://www.ncbi.nlm.nih.gov/protein/224922828","Rbm42")</f>
        <v>Rbm42</v>
      </c>
      <c r="B6260" s="4"/>
      <c r="C6260" s="3">
        <v>0</v>
      </c>
      <c r="D6260" s="3">
        <v>0</v>
      </c>
      <c r="E6260" s="3">
        <v>66</v>
      </c>
      <c r="F6260" s="3">
        <v>450</v>
      </c>
      <c r="G6260" s="3">
        <v>0</v>
      </c>
      <c r="H6260" s="2">
        <f t="shared" si="194"/>
        <v>516</v>
      </c>
      <c r="I6260" t="str">
        <f t="shared" si="195"/>
        <v>Rbm42_516</v>
      </c>
      <c r="J6260" s="3">
        <v>0</v>
      </c>
      <c r="K6260" s="3">
        <v>0</v>
      </c>
      <c r="L6260" s="3">
        <v>66</v>
      </c>
      <c r="M6260" s="3">
        <v>450</v>
      </c>
      <c r="N6260" s="3">
        <v>0</v>
      </c>
    </row>
    <row r="6261" spans="1:14" x14ac:dyDescent="0.2">
      <c r="A6261" s="5" t="str">
        <f>HYPERLINK("http://www.ncbi.nlm.nih.gov/protein/461496486","Rbm46")</f>
        <v>Rbm46</v>
      </c>
      <c r="B6261" s="4"/>
      <c r="C6261" s="3">
        <v>0</v>
      </c>
      <c r="D6261" s="3">
        <v>0</v>
      </c>
      <c r="E6261" s="3">
        <v>1207</v>
      </c>
      <c r="F6261" s="3">
        <v>0</v>
      </c>
      <c r="G6261" s="3">
        <v>0</v>
      </c>
      <c r="H6261" s="2">
        <f t="shared" si="194"/>
        <v>1207</v>
      </c>
      <c r="I6261" t="str">
        <f t="shared" si="195"/>
        <v>Rbm46_1207</v>
      </c>
      <c r="J6261" s="3">
        <v>0</v>
      </c>
      <c r="K6261" s="3">
        <v>0</v>
      </c>
      <c r="L6261" s="3">
        <v>1207</v>
      </c>
      <c r="M6261" s="3">
        <v>0</v>
      </c>
      <c r="N6261" s="3">
        <v>0</v>
      </c>
    </row>
    <row r="6262" spans="1:14" x14ac:dyDescent="0.2">
      <c r="A6262" s="5" t="str">
        <f>HYPERLINK("http://www.ncbi.nlm.nih.gov/protein/226423939","Rbm46")</f>
        <v>Rbm46</v>
      </c>
      <c r="B6262" s="4"/>
      <c r="C6262" s="3">
        <v>0</v>
      </c>
      <c r="D6262" s="3">
        <v>0</v>
      </c>
      <c r="E6262" s="3">
        <v>2406</v>
      </c>
      <c r="F6262" s="3">
        <v>1375</v>
      </c>
      <c r="G6262" s="3">
        <v>0</v>
      </c>
      <c r="H6262" s="2">
        <f t="shared" si="194"/>
        <v>3781</v>
      </c>
      <c r="I6262" t="str">
        <f t="shared" si="195"/>
        <v>Rbm46_3781</v>
      </c>
      <c r="J6262" s="3">
        <v>0</v>
      </c>
      <c r="K6262" s="3">
        <v>0</v>
      </c>
      <c r="L6262" s="3">
        <v>2406</v>
      </c>
      <c r="M6262" s="3">
        <v>1375</v>
      </c>
      <c r="N6262" s="3">
        <v>0</v>
      </c>
    </row>
    <row r="6263" spans="1:14" x14ac:dyDescent="0.2">
      <c r="A6263" s="5" t="str">
        <f>HYPERLINK("http://www.ncbi.nlm.nih.gov/protein/188497698","Rbm47")</f>
        <v>Rbm47</v>
      </c>
      <c r="B6263" s="4"/>
      <c r="C6263" s="3">
        <v>8695</v>
      </c>
      <c r="D6263" s="3">
        <v>4054</v>
      </c>
      <c r="E6263" s="3">
        <v>25118</v>
      </c>
      <c r="F6263" s="3">
        <v>25948</v>
      </c>
      <c r="G6263" s="3">
        <v>0</v>
      </c>
      <c r="H6263" s="2">
        <f t="shared" si="194"/>
        <v>63815</v>
      </c>
      <c r="I6263" t="str">
        <f t="shared" si="195"/>
        <v>Rbm47_63815</v>
      </c>
      <c r="J6263" s="3">
        <v>8695</v>
      </c>
      <c r="K6263" s="3">
        <v>4054</v>
      </c>
      <c r="L6263" s="3">
        <v>25118</v>
      </c>
      <c r="M6263" s="3">
        <v>25948</v>
      </c>
      <c r="N6263" s="3">
        <v>0</v>
      </c>
    </row>
    <row r="6264" spans="1:14" x14ac:dyDescent="0.2">
      <c r="A6264" s="5" t="str">
        <f>HYPERLINK("http://www.ncbi.nlm.nih.gov/protein/27754120","Rbm4b")</f>
        <v>Rbm4b</v>
      </c>
      <c r="B6264" s="4"/>
      <c r="C6264" s="3">
        <v>0</v>
      </c>
      <c r="D6264" s="3">
        <v>0</v>
      </c>
      <c r="E6264" s="3">
        <v>255</v>
      </c>
      <c r="F6264" s="3">
        <v>106</v>
      </c>
      <c r="G6264" s="3">
        <v>0</v>
      </c>
      <c r="H6264" s="2">
        <f t="shared" si="194"/>
        <v>361</v>
      </c>
      <c r="I6264" t="str">
        <f t="shared" si="195"/>
        <v>Rbm4b_361</v>
      </c>
      <c r="J6264" s="3">
        <v>0</v>
      </c>
      <c r="K6264" s="3">
        <v>0</v>
      </c>
      <c r="L6264" s="3">
        <v>255</v>
      </c>
      <c r="M6264" s="3">
        <v>106</v>
      </c>
      <c r="N6264" s="3">
        <v>0</v>
      </c>
    </row>
    <row r="6265" spans="1:14" x14ac:dyDescent="0.2">
      <c r="A6265" s="5" t="str">
        <f>HYPERLINK("http://www.ncbi.nlm.nih.gov/protein/22507333","Rbm5")</f>
        <v>Rbm5</v>
      </c>
      <c r="B6265" s="4"/>
      <c r="C6265" s="3">
        <v>1995</v>
      </c>
      <c r="D6265" s="3">
        <v>0</v>
      </c>
      <c r="E6265" s="3">
        <v>186</v>
      </c>
      <c r="F6265" s="3">
        <v>0</v>
      </c>
      <c r="G6265" s="3">
        <v>0</v>
      </c>
      <c r="H6265" s="2">
        <f t="shared" si="194"/>
        <v>2181</v>
      </c>
      <c r="I6265" t="str">
        <f t="shared" si="195"/>
        <v>Rbm5_2181</v>
      </c>
      <c r="J6265" s="3">
        <v>1995</v>
      </c>
      <c r="K6265" s="3">
        <v>0</v>
      </c>
      <c r="L6265" s="3">
        <v>186</v>
      </c>
      <c r="M6265" s="3">
        <v>0</v>
      </c>
      <c r="N6265" s="3">
        <v>0</v>
      </c>
    </row>
    <row r="6266" spans="1:14" x14ac:dyDescent="0.2">
      <c r="A6266" s="5" t="str">
        <f>HYPERLINK("http://www.ncbi.nlm.nih.gov/protein/27753952","Rbm7")</f>
        <v>Rbm7</v>
      </c>
      <c r="B6266" s="4"/>
      <c r="C6266" s="3">
        <v>0</v>
      </c>
      <c r="D6266" s="3">
        <v>0</v>
      </c>
      <c r="E6266" s="3">
        <v>0</v>
      </c>
      <c r="F6266" s="3">
        <v>2963</v>
      </c>
      <c r="G6266" s="3">
        <v>0</v>
      </c>
      <c r="H6266" s="2">
        <f t="shared" si="194"/>
        <v>2963</v>
      </c>
      <c r="I6266" t="str">
        <f t="shared" si="195"/>
        <v>Rbm7_2963</v>
      </c>
      <c r="J6266" s="3">
        <v>0</v>
      </c>
      <c r="K6266" s="3">
        <v>0</v>
      </c>
      <c r="L6266" s="3">
        <v>0</v>
      </c>
      <c r="M6266" s="3">
        <v>2963</v>
      </c>
      <c r="N6266" s="3">
        <v>0</v>
      </c>
    </row>
    <row r="6267" spans="1:14" x14ac:dyDescent="0.2">
      <c r="A6267" s="5" t="str">
        <f>HYPERLINK("http://www.ncbi.nlm.nih.gov/protein/162287294","Rbm8a")</f>
        <v>Rbm8a</v>
      </c>
      <c r="B6267" s="4"/>
      <c r="C6267" s="3">
        <v>3936</v>
      </c>
      <c r="D6267" s="3">
        <v>2455</v>
      </c>
      <c r="E6267" s="3">
        <v>8638</v>
      </c>
      <c r="F6267" s="3">
        <v>14963</v>
      </c>
      <c r="G6267" s="3">
        <v>13419</v>
      </c>
      <c r="H6267" s="2">
        <f t="shared" si="194"/>
        <v>43411</v>
      </c>
      <c r="I6267" t="str">
        <f t="shared" si="195"/>
        <v>Rbm8a_43411</v>
      </c>
      <c r="J6267" s="3">
        <v>3936</v>
      </c>
      <c r="K6267" s="3">
        <v>2455</v>
      </c>
      <c r="L6267" s="3">
        <v>8638</v>
      </c>
      <c r="M6267" s="3">
        <v>14963</v>
      </c>
      <c r="N6267" s="3">
        <v>13419</v>
      </c>
    </row>
    <row r="6268" spans="1:14" x14ac:dyDescent="0.2">
      <c r="A6268" s="5" t="str">
        <f>HYPERLINK("http://www.ncbi.nlm.nih.gov/protein/162287296","Rbm8a")</f>
        <v>Rbm8a</v>
      </c>
      <c r="B6268" s="4"/>
      <c r="C6268" s="3">
        <v>3936</v>
      </c>
      <c r="D6268" s="3">
        <v>2455</v>
      </c>
      <c r="E6268" s="3">
        <v>8771</v>
      </c>
      <c r="F6268" s="3">
        <v>14963</v>
      </c>
      <c r="G6268" s="3">
        <v>13419</v>
      </c>
      <c r="H6268" s="2">
        <f t="shared" si="194"/>
        <v>43544</v>
      </c>
      <c r="I6268" t="str">
        <f t="shared" si="195"/>
        <v>Rbm8a_43544</v>
      </c>
      <c r="J6268" s="3">
        <v>3936</v>
      </c>
      <c r="K6268" s="3">
        <v>2455</v>
      </c>
      <c r="L6268" s="3">
        <v>8771</v>
      </c>
      <c r="M6268" s="3">
        <v>14963</v>
      </c>
      <c r="N6268" s="3">
        <v>13419</v>
      </c>
    </row>
    <row r="6269" spans="1:14" x14ac:dyDescent="0.2">
      <c r="A6269" s="5" t="str">
        <f>HYPERLINK("http://www.ncbi.nlm.nih.gov/protein/213513165","Rbms1")</f>
        <v>Rbms1</v>
      </c>
      <c r="B6269" s="4"/>
      <c r="C6269" s="3">
        <v>0</v>
      </c>
      <c r="D6269" s="3">
        <v>242</v>
      </c>
      <c r="E6269" s="3">
        <v>2641</v>
      </c>
      <c r="F6269" s="3">
        <v>1989</v>
      </c>
      <c r="G6269" s="3">
        <v>6447</v>
      </c>
      <c r="H6269" s="2">
        <f t="shared" si="194"/>
        <v>11319</v>
      </c>
      <c r="I6269" t="str">
        <f t="shared" si="195"/>
        <v>Rbms1_11319</v>
      </c>
      <c r="J6269" s="3">
        <v>0</v>
      </c>
      <c r="K6269" s="3">
        <v>242</v>
      </c>
      <c r="L6269" s="3">
        <v>2641</v>
      </c>
      <c r="M6269" s="3">
        <v>1989</v>
      </c>
      <c r="N6269" s="3">
        <v>6447</v>
      </c>
    </row>
    <row r="6270" spans="1:14" x14ac:dyDescent="0.2">
      <c r="A6270" s="5" t="str">
        <f>HYPERLINK("http://www.ncbi.nlm.nih.gov/protein/213513185","Rbms1")</f>
        <v>Rbms1</v>
      </c>
      <c r="B6270" s="4"/>
      <c r="C6270" s="3">
        <v>0</v>
      </c>
      <c r="D6270" s="3">
        <v>242</v>
      </c>
      <c r="E6270" s="3">
        <v>2641</v>
      </c>
      <c r="F6270" s="3">
        <v>1989</v>
      </c>
      <c r="G6270" s="3">
        <v>6447</v>
      </c>
      <c r="H6270" s="2">
        <f t="shared" si="194"/>
        <v>11319</v>
      </c>
      <c r="I6270" t="str">
        <f t="shared" si="195"/>
        <v>Rbms1_11319</v>
      </c>
      <c r="J6270" s="3">
        <v>0</v>
      </c>
      <c r="K6270" s="3">
        <v>242</v>
      </c>
      <c r="L6270" s="3">
        <v>2641</v>
      </c>
      <c r="M6270" s="3">
        <v>1989</v>
      </c>
      <c r="N6270" s="3">
        <v>6447</v>
      </c>
    </row>
    <row r="6271" spans="1:14" x14ac:dyDescent="0.2">
      <c r="A6271" s="5" t="str">
        <f>HYPERLINK("http://www.ncbi.nlm.nih.gov/protein/213513205","Rbms1")</f>
        <v>Rbms1</v>
      </c>
      <c r="B6271" s="4"/>
      <c r="C6271" s="3">
        <v>0</v>
      </c>
      <c r="D6271" s="3">
        <v>242</v>
      </c>
      <c r="E6271" s="3">
        <v>2641</v>
      </c>
      <c r="F6271" s="3">
        <v>1989</v>
      </c>
      <c r="G6271" s="3">
        <v>6447</v>
      </c>
      <c r="H6271" s="2">
        <f t="shared" si="194"/>
        <v>11319</v>
      </c>
      <c r="I6271" t="str">
        <f t="shared" si="195"/>
        <v>Rbms1_11319</v>
      </c>
      <c r="J6271" s="3">
        <v>0</v>
      </c>
      <c r="K6271" s="3">
        <v>242</v>
      </c>
      <c r="L6271" s="3">
        <v>2641</v>
      </c>
      <c r="M6271" s="3">
        <v>1989</v>
      </c>
      <c r="N6271" s="3">
        <v>6447</v>
      </c>
    </row>
    <row r="6272" spans="1:14" x14ac:dyDescent="0.2">
      <c r="A6272" s="5" t="str">
        <f>HYPERLINK("http://www.ncbi.nlm.nih.gov/protein/84872203","Rbms2")</f>
        <v>Rbms2</v>
      </c>
      <c r="B6272" s="4"/>
      <c r="C6272" s="3">
        <v>0</v>
      </c>
      <c r="D6272" s="3">
        <v>259</v>
      </c>
      <c r="E6272" s="3">
        <v>2870</v>
      </c>
      <c r="F6272" s="3">
        <v>0</v>
      </c>
      <c r="G6272" s="3">
        <v>0</v>
      </c>
      <c r="H6272" s="2">
        <f t="shared" si="194"/>
        <v>3129</v>
      </c>
      <c r="I6272" t="str">
        <f t="shared" si="195"/>
        <v>Rbms2_3129</v>
      </c>
      <c r="J6272" s="3">
        <v>0</v>
      </c>
      <c r="K6272" s="3">
        <v>259</v>
      </c>
      <c r="L6272" s="3">
        <v>2870</v>
      </c>
      <c r="M6272" s="3">
        <v>0</v>
      </c>
      <c r="N6272" s="3">
        <v>0</v>
      </c>
    </row>
    <row r="6273" spans="1:14" x14ac:dyDescent="0.2">
      <c r="A6273" s="5" t="str">
        <f>HYPERLINK("http://www.ncbi.nlm.nih.gov/protein/84872207","Rbms2")</f>
        <v>Rbms2</v>
      </c>
      <c r="B6273" s="4"/>
      <c r="C6273" s="3">
        <v>0</v>
      </c>
      <c r="D6273" s="3">
        <v>259</v>
      </c>
      <c r="E6273" s="3">
        <v>2728</v>
      </c>
      <c r="F6273" s="3">
        <v>0</v>
      </c>
      <c r="G6273" s="3">
        <v>0</v>
      </c>
      <c r="H6273" s="2">
        <f t="shared" si="194"/>
        <v>2987</v>
      </c>
      <c r="I6273" t="str">
        <f t="shared" si="195"/>
        <v>Rbms2_2987</v>
      </c>
      <c r="J6273" s="3">
        <v>0</v>
      </c>
      <c r="K6273" s="3">
        <v>259</v>
      </c>
      <c r="L6273" s="3">
        <v>2728</v>
      </c>
      <c r="M6273" s="3">
        <v>0</v>
      </c>
      <c r="N6273" s="3">
        <v>0</v>
      </c>
    </row>
    <row r="6274" spans="1:14" x14ac:dyDescent="0.2">
      <c r="A6274" s="5" t="str">
        <f>HYPERLINK("http://www.ncbi.nlm.nih.gov/protein/148747313","Rbms3")</f>
        <v>Rbms3</v>
      </c>
      <c r="B6274" s="4"/>
      <c r="C6274" s="3">
        <v>0</v>
      </c>
      <c r="D6274" s="3">
        <v>242</v>
      </c>
      <c r="E6274" s="3">
        <v>1699</v>
      </c>
      <c r="F6274" s="3">
        <v>1989</v>
      </c>
      <c r="G6274" s="3">
        <v>6447</v>
      </c>
      <c r="H6274" s="2">
        <f t="shared" ref="H6274:H6337" si="196">SUM(C6274:G6274)</f>
        <v>10377</v>
      </c>
      <c r="I6274" t="str">
        <f t="shared" ref="I6274:I6337" si="197">A6274&amp;"_"&amp;H6274</f>
        <v>Rbms3_10377</v>
      </c>
      <c r="J6274" s="3">
        <v>0</v>
      </c>
      <c r="K6274" s="3">
        <v>242</v>
      </c>
      <c r="L6274" s="3">
        <v>1699</v>
      </c>
      <c r="M6274" s="3">
        <v>1989</v>
      </c>
      <c r="N6274" s="3">
        <v>6447</v>
      </c>
    </row>
    <row r="6275" spans="1:14" x14ac:dyDescent="0.2">
      <c r="A6275" s="5" t="str">
        <f>HYPERLINK("http://www.ncbi.nlm.nih.gov/protein/287324565","Rbms3")</f>
        <v>Rbms3</v>
      </c>
      <c r="B6275" s="4"/>
      <c r="C6275" s="3">
        <v>0</v>
      </c>
      <c r="D6275" s="3">
        <v>242</v>
      </c>
      <c r="E6275" s="3">
        <v>1699</v>
      </c>
      <c r="F6275" s="3">
        <v>1989</v>
      </c>
      <c r="G6275" s="3">
        <v>6447</v>
      </c>
      <c r="H6275" s="2">
        <f t="shared" si="196"/>
        <v>10377</v>
      </c>
      <c r="I6275" t="str">
        <f t="shared" si="197"/>
        <v>Rbms3_10377</v>
      </c>
      <c r="J6275" s="3">
        <v>0</v>
      </c>
      <c r="K6275" s="3">
        <v>242</v>
      </c>
      <c r="L6275" s="3">
        <v>1699</v>
      </c>
      <c r="M6275" s="3">
        <v>1989</v>
      </c>
      <c r="N6275" s="3">
        <v>6447</v>
      </c>
    </row>
    <row r="6276" spans="1:14" x14ac:dyDescent="0.2">
      <c r="A6276" s="5" t="str">
        <f>HYPERLINK("http://www.ncbi.nlm.nih.gov/protein/287324670","Rbms3")</f>
        <v>Rbms3</v>
      </c>
      <c r="B6276" s="4"/>
      <c r="C6276" s="3">
        <v>0</v>
      </c>
      <c r="D6276" s="3">
        <v>242</v>
      </c>
      <c r="E6276" s="3">
        <v>1699</v>
      </c>
      <c r="F6276" s="3">
        <v>1989</v>
      </c>
      <c r="G6276" s="3">
        <v>6447</v>
      </c>
      <c r="H6276" s="2">
        <f t="shared" si="196"/>
        <v>10377</v>
      </c>
      <c r="I6276" t="str">
        <f t="shared" si="197"/>
        <v>Rbms3_10377</v>
      </c>
      <c r="J6276" s="3">
        <v>0</v>
      </c>
      <c r="K6276" s="3">
        <v>242</v>
      </c>
      <c r="L6276" s="3">
        <v>1699</v>
      </c>
      <c r="M6276" s="3">
        <v>1989</v>
      </c>
      <c r="N6276" s="3">
        <v>6447</v>
      </c>
    </row>
    <row r="6277" spans="1:14" x14ac:dyDescent="0.2">
      <c r="A6277" s="5" t="str">
        <f>HYPERLINK("http://www.ncbi.nlm.nih.gov/protein/287324761","Rbms3")</f>
        <v>Rbms3</v>
      </c>
      <c r="B6277" s="4"/>
      <c r="C6277" s="3">
        <v>0</v>
      </c>
      <c r="D6277" s="3">
        <v>242</v>
      </c>
      <c r="E6277" s="3">
        <v>1699</v>
      </c>
      <c r="F6277" s="3">
        <v>1989</v>
      </c>
      <c r="G6277" s="3">
        <v>6447</v>
      </c>
      <c r="H6277" s="2">
        <f t="shared" si="196"/>
        <v>10377</v>
      </c>
      <c r="I6277" t="str">
        <f t="shared" si="197"/>
        <v>Rbms3_10377</v>
      </c>
      <c r="J6277" s="3">
        <v>0</v>
      </c>
      <c r="K6277" s="3">
        <v>242</v>
      </c>
      <c r="L6277" s="3">
        <v>1699</v>
      </c>
      <c r="M6277" s="3">
        <v>1989</v>
      </c>
      <c r="N6277" s="3">
        <v>6447</v>
      </c>
    </row>
    <row r="6278" spans="1:14" x14ac:dyDescent="0.2">
      <c r="A6278" s="5" t="str">
        <f>HYPERLINK("http://www.ncbi.nlm.nih.gov/protein/287324845","Rbms3")</f>
        <v>Rbms3</v>
      </c>
      <c r="B6278" s="4"/>
      <c r="C6278" s="3">
        <v>0</v>
      </c>
      <c r="D6278" s="3">
        <v>242</v>
      </c>
      <c r="E6278" s="3">
        <v>1699</v>
      </c>
      <c r="F6278" s="3">
        <v>1989</v>
      </c>
      <c r="G6278" s="3">
        <v>6447</v>
      </c>
      <c r="H6278" s="2">
        <f t="shared" si="196"/>
        <v>10377</v>
      </c>
      <c r="I6278" t="str">
        <f t="shared" si="197"/>
        <v>Rbms3_10377</v>
      </c>
      <c r="J6278" s="3">
        <v>0</v>
      </c>
      <c r="K6278" s="3">
        <v>242</v>
      </c>
      <c r="L6278" s="3">
        <v>1699</v>
      </c>
      <c r="M6278" s="3">
        <v>1989</v>
      </c>
      <c r="N6278" s="3">
        <v>6447</v>
      </c>
    </row>
    <row r="6279" spans="1:14" x14ac:dyDescent="0.2">
      <c r="A6279" s="5" t="str">
        <f>HYPERLINK("http://www.ncbi.nlm.nih.gov/protein/287324984","Rbms3")</f>
        <v>Rbms3</v>
      </c>
      <c r="B6279" s="4"/>
      <c r="C6279" s="3">
        <v>0</v>
      </c>
      <c r="D6279" s="3">
        <v>242</v>
      </c>
      <c r="E6279" s="3">
        <v>1699</v>
      </c>
      <c r="F6279" s="3">
        <v>1989</v>
      </c>
      <c r="G6279" s="3">
        <v>6447</v>
      </c>
      <c r="H6279" s="2">
        <f t="shared" si="196"/>
        <v>10377</v>
      </c>
      <c r="I6279" t="str">
        <f t="shared" si="197"/>
        <v>Rbms3_10377</v>
      </c>
      <c r="J6279" s="3">
        <v>0</v>
      </c>
      <c r="K6279" s="3">
        <v>242</v>
      </c>
      <c r="L6279" s="3">
        <v>1699</v>
      </c>
      <c r="M6279" s="3">
        <v>1989</v>
      </c>
      <c r="N6279" s="3">
        <v>6447</v>
      </c>
    </row>
    <row r="6280" spans="1:14" x14ac:dyDescent="0.2">
      <c r="A6280" s="5" t="str">
        <f>HYPERLINK("http://www.ncbi.nlm.nih.gov/protein/6755296","Rbmx")</f>
        <v>Rbmx</v>
      </c>
      <c r="B6280" s="4"/>
      <c r="C6280" s="3">
        <v>251580</v>
      </c>
      <c r="D6280" s="3">
        <v>4200</v>
      </c>
      <c r="E6280" s="3">
        <v>6984</v>
      </c>
      <c r="F6280" s="3">
        <v>4216</v>
      </c>
      <c r="G6280" s="3">
        <v>193</v>
      </c>
      <c r="H6280" s="2">
        <f t="shared" si="196"/>
        <v>267173</v>
      </c>
      <c r="I6280" t="str">
        <f t="shared" si="197"/>
        <v>Rbmx_267173</v>
      </c>
      <c r="J6280" s="3">
        <v>251580</v>
      </c>
      <c r="K6280" s="3">
        <v>4200</v>
      </c>
      <c r="L6280" s="3">
        <v>6984</v>
      </c>
      <c r="M6280" s="3">
        <v>4216</v>
      </c>
      <c r="N6280" s="3">
        <v>193</v>
      </c>
    </row>
    <row r="6281" spans="1:14" x14ac:dyDescent="0.2">
      <c r="A6281" s="5" t="str">
        <f>HYPERLINK("http://www.ncbi.nlm.nih.gov/protein/27734072","Rbmx2")</f>
        <v>Rbmx2</v>
      </c>
      <c r="B6281" s="4"/>
      <c r="C6281" s="3">
        <v>0</v>
      </c>
      <c r="D6281" s="3">
        <v>0</v>
      </c>
      <c r="E6281" s="3">
        <v>0</v>
      </c>
      <c r="F6281" s="3">
        <v>270</v>
      </c>
      <c r="G6281" s="3">
        <v>0</v>
      </c>
      <c r="H6281" s="2">
        <f t="shared" si="196"/>
        <v>270</v>
      </c>
      <c r="I6281" t="str">
        <f t="shared" si="197"/>
        <v>Rbmx2_270</v>
      </c>
      <c r="J6281" s="3">
        <v>0</v>
      </c>
      <c r="K6281" s="3">
        <v>0</v>
      </c>
      <c r="L6281" s="3">
        <v>0</v>
      </c>
      <c r="M6281" s="3">
        <v>270</v>
      </c>
      <c r="N6281" s="3">
        <v>0</v>
      </c>
    </row>
    <row r="6282" spans="1:14" x14ac:dyDescent="0.2">
      <c r="A6282" s="5" t="str">
        <f>HYPERLINK("http://www.ncbi.nlm.nih.gov/protein/83699420","Rbmxl1")</f>
        <v>Rbmxl1</v>
      </c>
      <c r="B6282" s="4"/>
      <c r="C6282" s="3">
        <v>259598</v>
      </c>
      <c r="D6282" s="3">
        <v>0</v>
      </c>
      <c r="E6282" s="3">
        <v>0</v>
      </c>
      <c r="F6282" s="3">
        <v>0</v>
      </c>
      <c r="G6282" s="3">
        <v>0</v>
      </c>
      <c r="H6282" s="2">
        <f t="shared" si="196"/>
        <v>259598</v>
      </c>
      <c r="I6282" t="str">
        <f t="shared" si="197"/>
        <v>Rbmxl1_259598</v>
      </c>
      <c r="J6282" s="3">
        <v>259598</v>
      </c>
      <c r="K6282" s="3">
        <v>0</v>
      </c>
      <c r="L6282" s="3">
        <v>0</v>
      </c>
      <c r="M6282" s="3">
        <v>0</v>
      </c>
      <c r="N6282" s="3">
        <v>0</v>
      </c>
    </row>
    <row r="6283" spans="1:14" x14ac:dyDescent="0.2">
      <c r="A6283" s="5" t="str">
        <f>HYPERLINK("http://www.ncbi.nlm.nih.gov/protein/83699420;355390287","Rbmxl1")</f>
        <v>Rbmxl1</v>
      </c>
      <c r="B6283" s="4"/>
      <c r="C6283" s="3">
        <v>0</v>
      </c>
      <c r="D6283" s="3">
        <v>0</v>
      </c>
      <c r="E6283" s="3">
        <v>7115</v>
      </c>
      <c r="F6283" s="3">
        <v>0</v>
      </c>
      <c r="G6283" s="3">
        <v>0</v>
      </c>
      <c r="H6283" s="2">
        <f t="shared" si="196"/>
        <v>7115</v>
      </c>
      <c r="I6283" t="str">
        <f t="shared" si="197"/>
        <v>Rbmxl1_7115</v>
      </c>
      <c r="J6283" s="3">
        <v>0</v>
      </c>
      <c r="K6283" s="3">
        <v>0</v>
      </c>
      <c r="L6283" s="3">
        <v>7115</v>
      </c>
      <c r="M6283" s="3">
        <v>0</v>
      </c>
      <c r="N6283" s="3">
        <v>0</v>
      </c>
    </row>
    <row r="6284" spans="1:14" x14ac:dyDescent="0.2">
      <c r="A6284" s="5" t="str">
        <f>HYPERLINK("http://www.ncbi.nlm.nih.gov/protein/355390287;83699420","Rbmxl1")</f>
        <v>Rbmxl1</v>
      </c>
      <c r="B6284" s="4"/>
      <c r="C6284" s="3">
        <v>0</v>
      </c>
      <c r="D6284" s="3">
        <v>4200</v>
      </c>
      <c r="E6284" s="3">
        <v>0</v>
      </c>
      <c r="F6284" s="3">
        <v>4216</v>
      </c>
      <c r="G6284" s="3">
        <v>193</v>
      </c>
      <c r="H6284" s="2">
        <f t="shared" si="196"/>
        <v>8609</v>
      </c>
      <c r="I6284" t="str">
        <f t="shared" si="197"/>
        <v>Rbmxl1_8609</v>
      </c>
      <c r="J6284" s="3">
        <v>0</v>
      </c>
      <c r="K6284" s="3">
        <v>4200</v>
      </c>
      <c r="L6284" s="3">
        <v>0</v>
      </c>
      <c r="M6284" s="3">
        <v>4216</v>
      </c>
      <c r="N6284" s="3">
        <v>193</v>
      </c>
    </row>
    <row r="6285" spans="1:14" x14ac:dyDescent="0.2">
      <c r="A6285" s="5" t="str">
        <f>HYPERLINK("http://www.ncbi.nlm.nih.gov/protein/6755300","Rbp1")</f>
        <v>Rbp1</v>
      </c>
      <c r="B6285" s="4"/>
      <c r="C6285" s="3">
        <v>0</v>
      </c>
      <c r="D6285" s="3">
        <v>0</v>
      </c>
      <c r="E6285" s="3">
        <v>345</v>
      </c>
      <c r="F6285" s="3">
        <v>0</v>
      </c>
      <c r="G6285" s="3">
        <v>0</v>
      </c>
      <c r="H6285" s="2">
        <f t="shared" si="196"/>
        <v>345</v>
      </c>
      <c r="I6285" t="str">
        <f t="shared" si="197"/>
        <v>Rbp1_345</v>
      </c>
      <c r="J6285" s="3">
        <v>0</v>
      </c>
      <c r="K6285" s="3">
        <v>0</v>
      </c>
      <c r="L6285" s="3">
        <v>345</v>
      </c>
      <c r="M6285" s="3">
        <v>0</v>
      </c>
      <c r="N6285" s="3">
        <v>0</v>
      </c>
    </row>
    <row r="6286" spans="1:14" x14ac:dyDescent="0.2">
      <c r="A6286" s="5" t="str">
        <f>HYPERLINK("http://www.ncbi.nlm.nih.gov/protein/555290065","Rbpms")</f>
        <v>Rbpms</v>
      </c>
      <c r="B6286" s="4"/>
      <c r="C6286" s="3">
        <v>513</v>
      </c>
      <c r="D6286" s="3">
        <v>0</v>
      </c>
      <c r="E6286" s="3">
        <v>0</v>
      </c>
      <c r="F6286" s="3">
        <v>0</v>
      </c>
      <c r="G6286" s="3">
        <v>0</v>
      </c>
      <c r="H6286" s="2">
        <f t="shared" si="196"/>
        <v>513</v>
      </c>
      <c r="I6286" t="str">
        <f t="shared" si="197"/>
        <v>Rbpms_513</v>
      </c>
      <c r="J6286" s="3">
        <v>513</v>
      </c>
      <c r="K6286" s="3">
        <v>0</v>
      </c>
      <c r="L6286" s="3">
        <v>0</v>
      </c>
      <c r="M6286" s="3">
        <v>0</v>
      </c>
      <c r="N6286" s="3">
        <v>0</v>
      </c>
    </row>
    <row r="6287" spans="1:14" x14ac:dyDescent="0.2">
      <c r="A6287" s="5" t="str">
        <f>HYPERLINK("http://www.ncbi.nlm.nih.gov/protein/111185961;33342267","Rbpms")</f>
        <v>Rbpms</v>
      </c>
      <c r="B6287" s="4"/>
      <c r="C6287" s="3">
        <v>0</v>
      </c>
      <c r="D6287" s="3">
        <v>0</v>
      </c>
      <c r="E6287" s="3">
        <v>2802</v>
      </c>
      <c r="F6287" s="3">
        <v>0</v>
      </c>
      <c r="G6287" s="3">
        <v>0</v>
      </c>
      <c r="H6287" s="2">
        <f t="shared" si="196"/>
        <v>2802</v>
      </c>
      <c r="I6287" t="str">
        <f t="shared" si="197"/>
        <v>Rbpms_2802</v>
      </c>
      <c r="J6287" s="3">
        <v>0</v>
      </c>
      <c r="K6287" s="3">
        <v>0</v>
      </c>
      <c r="L6287" s="3">
        <v>2802</v>
      </c>
      <c r="M6287" s="3">
        <v>0</v>
      </c>
      <c r="N6287" s="3">
        <v>0</v>
      </c>
    </row>
    <row r="6288" spans="1:14" x14ac:dyDescent="0.2">
      <c r="A6288" s="5" t="str">
        <f>HYPERLINK("http://www.ncbi.nlm.nih.gov/protein/33342267","Rbpms")</f>
        <v>Rbpms</v>
      </c>
      <c r="B6288" s="4"/>
      <c r="C6288" s="3">
        <v>513</v>
      </c>
      <c r="D6288" s="3">
        <v>1837</v>
      </c>
      <c r="E6288" s="3">
        <v>0</v>
      </c>
      <c r="F6288" s="3">
        <v>3454</v>
      </c>
      <c r="G6288" s="3">
        <v>31700</v>
      </c>
      <c r="H6288" s="2">
        <f t="shared" si="196"/>
        <v>37504</v>
      </c>
      <c r="I6288" t="str">
        <f t="shared" si="197"/>
        <v>Rbpms_37504</v>
      </c>
      <c r="J6288" s="3">
        <v>513</v>
      </c>
      <c r="K6288" s="3">
        <v>1837</v>
      </c>
      <c r="L6288" s="3">
        <v>0</v>
      </c>
      <c r="M6288" s="3">
        <v>3454</v>
      </c>
      <c r="N6288" s="3">
        <v>31700</v>
      </c>
    </row>
    <row r="6289" spans="1:14" x14ac:dyDescent="0.2">
      <c r="A6289" s="5" t="str">
        <f>HYPERLINK("http://www.ncbi.nlm.nih.gov/protein/111185959","Rbpms")</f>
        <v>Rbpms</v>
      </c>
      <c r="B6289" s="4"/>
      <c r="C6289" s="3">
        <v>513</v>
      </c>
      <c r="D6289" s="3">
        <v>1837</v>
      </c>
      <c r="E6289" s="3">
        <v>2802</v>
      </c>
      <c r="F6289" s="3">
        <v>3454</v>
      </c>
      <c r="G6289" s="3">
        <v>31700</v>
      </c>
      <c r="H6289" s="2">
        <f t="shared" si="196"/>
        <v>40306</v>
      </c>
      <c r="I6289" t="str">
        <f t="shared" si="197"/>
        <v>Rbpms_40306</v>
      </c>
      <c r="J6289" s="3">
        <v>513</v>
      </c>
      <c r="K6289" s="3">
        <v>1837</v>
      </c>
      <c r="L6289" s="3">
        <v>2802</v>
      </c>
      <c r="M6289" s="3">
        <v>3454</v>
      </c>
      <c r="N6289" s="3">
        <v>31700</v>
      </c>
    </row>
    <row r="6290" spans="1:14" x14ac:dyDescent="0.2">
      <c r="A6290" s="5" t="str">
        <f>HYPERLINK("http://www.ncbi.nlm.nih.gov/protein/155030209","Rc3h2")</f>
        <v>Rc3h2</v>
      </c>
      <c r="B6290" s="4"/>
      <c r="C6290" s="3">
        <v>0</v>
      </c>
      <c r="D6290" s="3">
        <v>0</v>
      </c>
      <c r="E6290" s="3">
        <v>165</v>
      </c>
      <c r="F6290" s="3">
        <v>0</v>
      </c>
      <c r="G6290" s="3">
        <v>0</v>
      </c>
      <c r="H6290" s="2">
        <f t="shared" si="196"/>
        <v>165</v>
      </c>
      <c r="I6290" t="str">
        <f t="shared" si="197"/>
        <v>Rc3h2_165</v>
      </c>
      <c r="J6290" s="3">
        <v>0</v>
      </c>
      <c r="K6290" s="3">
        <v>0</v>
      </c>
      <c r="L6290" s="3">
        <v>165</v>
      </c>
      <c r="M6290" s="3">
        <v>0</v>
      </c>
      <c r="N6290" s="3">
        <v>0</v>
      </c>
    </row>
    <row r="6291" spans="1:14" x14ac:dyDescent="0.2">
      <c r="A6291" s="5" t="str">
        <f>HYPERLINK("http://www.ncbi.nlm.nih.gov/protein/169808411","Rcbtb1")</f>
        <v>Rcbtb1</v>
      </c>
      <c r="B6291" s="4"/>
      <c r="C6291" s="3">
        <v>0</v>
      </c>
      <c r="D6291" s="3">
        <v>0</v>
      </c>
      <c r="E6291" s="3">
        <v>0</v>
      </c>
      <c r="F6291" s="3">
        <v>8</v>
      </c>
      <c r="G6291" s="3">
        <v>0</v>
      </c>
      <c r="H6291" s="2">
        <f t="shared" si="196"/>
        <v>8</v>
      </c>
      <c r="I6291" t="str">
        <f t="shared" si="197"/>
        <v>Rcbtb1_8</v>
      </c>
      <c r="J6291" s="3">
        <v>0</v>
      </c>
      <c r="K6291" s="3">
        <v>0</v>
      </c>
      <c r="L6291" s="3">
        <v>0</v>
      </c>
      <c r="M6291" s="3">
        <v>8</v>
      </c>
      <c r="N6291" s="3">
        <v>0</v>
      </c>
    </row>
    <row r="6292" spans="1:14" x14ac:dyDescent="0.2">
      <c r="A6292" s="5" t="str">
        <f>HYPERLINK("http://www.ncbi.nlm.nih.gov/protein/33239431","Rcc2")</f>
        <v>Rcc2</v>
      </c>
      <c r="B6292" s="4"/>
      <c r="C6292" s="3">
        <v>1355</v>
      </c>
      <c r="D6292" s="3">
        <v>854</v>
      </c>
      <c r="E6292" s="3">
        <v>10025</v>
      </c>
      <c r="F6292" s="3">
        <v>16584</v>
      </c>
      <c r="G6292" s="3">
        <v>20841</v>
      </c>
      <c r="H6292" s="2">
        <f t="shared" si="196"/>
        <v>49659</v>
      </c>
      <c r="I6292" t="str">
        <f t="shared" si="197"/>
        <v>Rcc2_49659</v>
      </c>
      <c r="J6292" s="3">
        <v>1355</v>
      </c>
      <c r="K6292" s="3">
        <v>854</v>
      </c>
      <c r="L6292" s="3">
        <v>10025</v>
      </c>
      <c r="M6292" s="3">
        <v>16584</v>
      </c>
      <c r="N6292" s="3">
        <v>20841</v>
      </c>
    </row>
    <row r="6293" spans="1:14" x14ac:dyDescent="0.2">
      <c r="A6293" s="5" t="str">
        <f>HYPERLINK("http://www.ncbi.nlm.nih.gov/protein/12963507","Rce1")</f>
        <v>Rce1</v>
      </c>
      <c r="B6293" s="4"/>
      <c r="C6293" s="3">
        <v>0</v>
      </c>
      <c r="D6293" s="3">
        <v>8</v>
      </c>
      <c r="E6293" s="3">
        <v>0</v>
      </c>
      <c r="F6293" s="3">
        <v>0</v>
      </c>
      <c r="G6293" s="3">
        <v>0</v>
      </c>
      <c r="H6293" s="2">
        <f t="shared" si="196"/>
        <v>8</v>
      </c>
      <c r="I6293" t="str">
        <f t="shared" si="197"/>
        <v>Rce1_8</v>
      </c>
      <c r="J6293" s="3">
        <v>0</v>
      </c>
      <c r="K6293" s="3">
        <v>8</v>
      </c>
      <c r="L6293" s="3">
        <v>0</v>
      </c>
      <c r="M6293" s="3">
        <v>0</v>
      </c>
      <c r="N6293" s="3">
        <v>0</v>
      </c>
    </row>
    <row r="6294" spans="1:14" x14ac:dyDescent="0.2">
      <c r="A6294" s="5" t="str">
        <f>HYPERLINK("http://www.ncbi.nlm.nih.gov/protein/13386058","Rchy1")</f>
        <v>Rchy1</v>
      </c>
      <c r="B6294" s="4"/>
      <c r="C6294" s="3">
        <v>0</v>
      </c>
      <c r="D6294" s="3">
        <v>2</v>
      </c>
      <c r="E6294" s="3">
        <v>32</v>
      </c>
      <c r="F6294" s="3">
        <v>0</v>
      </c>
      <c r="G6294" s="3">
        <v>1307</v>
      </c>
      <c r="H6294" s="2">
        <f t="shared" si="196"/>
        <v>1341</v>
      </c>
      <c r="I6294" t="str">
        <f t="shared" si="197"/>
        <v>Rchy1_1341</v>
      </c>
      <c r="J6294" s="3">
        <v>0</v>
      </c>
      <c r="K6294" s="3">
        <v>2</v>
      </c>
      <c r="L6294" s="3">
        <v>32</v>
      </c>
      <c r="M6294" s="3">
        <v>0</v>
      </c>
      <c r="N6294" s="3">
        <v>1307</v>
      </c>
    </row>
    <row r="6295" spans="1:14" x14ac:dyDescent="0.2">
      <c r="A6295" s="5" t="str">
        <f>HYPERLINK("http://www.ncbi.nlm.nih.gov/protein/422398909","Rchy1")</f>
        <v>Rchy1</v>
      </c>
      <c r="B6295" s="4"/>
      <c r="C6295" s="3">
        <v>0</v>
      </c>
      <c r="D6295" s="3">
        <v>2</v>
      </c>
      <c r="E6295" s="3">
        <v>32</v>
      </c>
      <c r="F6295" s="3">
        <v>0</v>
      </c>
      <c r="G6295" s="3">
        <v>1307</v>
      </c>
      <c r="H6295" s="2">
        <f t="shared" si="196"/>
        <v>1341</v>
      </c>
      <c r="I6295" t="str">
        <f t="shared" si="197"/>
        <v>Rchy1_1341</v>
      </c>
      <c r="J6295" s="3">
        <v>0</v>
      </c>
      <c r="K6295" s="3">
        <v>2</v>
      </c>
      <c r="L6295" s="3">
        <v>32</v>
      </c>
      <c r="M6295" s="3">
        <v>0</v>
      </c>
      <c r="N6295" s="3">
        <v>1307</v>
      </c>
    </row>
    <row r="6296" spans="1:14" x14ac:dyDescent="0.2">
      <c r="A6296" s="5" t="str">
        <f>HYPERLINK("http://www.ncbi.nlm.nih.gov/protein/506949339","Rcn2")</f>
        <v>Rcn2</v>
      </c>
      <c r="B6296" s="4"/>
      <c r="C6296" s="3">
        <v>1739</v>
      </c>
      <c r="D6296" s="3">
        <v>0</v>
      </c>
      <c r="E6296" s="3">
        <v>0</v>
      </c>
      <c r="F6296" s="3">
        <v>0</v>
      </c>
      <c r="G6296" s="3">
        <v>0</v>
      </c>
      <c r="H6296" s="2">
        <f t="shared" si="196"/>
        <v>1739</v>
      </c>
      <c r="I6296" t="str">
        <f t="shared" si="197"/>
        <v>Rcn2_1739</v>
      </c>
      <c r="J6296" s="3">
        <v>1739</v>
      </c>
      <c r="K6296" s="3">
        <v>0</v>
      </c>
      <c r="L6296" s="3">
        <v>0</v>
      </c>
      <c r="M6296" s="3">
        <v>0</v>
      </c>
      <c r="N6296" s="3">
        <v>0</v>
      </c>
    </row>
    <row r="6297" spans="1:14" x14ac:dyDescent="0.2">
      <c r="A6297" s="5" t="str">
        <f>HYPERLINK("http://www.ncbi.nlm.nih.gov/protein/114205428","Rcn2")</f>
        <v>Rcn2</v>
      </c>
      <c r="B6297" s="4"/>
      <c r="C6297" s="3">
        <v>2325</v>
      </c>
      <c r="D6297" s="3">
        <v>2705</v>
      </c>
      <c r="E6297" s="3">
        <v>219</v>
      </c>
      <c r="F6297" s="3">
        <v>0</v>
      </c>
      <c r="G6297" s="3">
        <v>0</v>
      </c>
      <c r="H6297" s="2">
        <f t="shared" si="196"/>
        <v>5249</v>
      </c>
      <c r="I6297" t="str">
        <f t="shared" si="197"/>
        <v>Rcn2_5249</v>
      </c>
      <c r="J6297" s="3">
        <v>2325</v>
      </c>
      <c r="K6297" s="3">
        <v>2705</v>
      </c>
      <c r="L6297" s="3">
        <v>219</v>
      </c>
      <c r="M6297" s="3">
        <v>0</v>
      </c>
      <c r="N6297" s="3">
        <v>0</v>
      </c>
    </row>
    <row r="6298" spans="1:14" x14ac:dyDescent="0.2">
      <c r="A6298" s="5" t="str">
        <f>HYPERLINK("http://www.ncbi.nlm.nih.gov/protein/39930559","Rcor1")</f>
        <v>Rcor1</v>
      </c>
      <c r="B6298" s="4"/>
      <c r="C6298" s="3">
        <v>0</v>
      </c>
      <c r="D6298" s="3">
        <v>0</v>
      </c>
      <c r="E6298" s="3">
        <v>0</v>
      </c>
      <c r="F6298" s="3">
        <v>1261</v>
      </c>
      <c r="G6298" s="3">
        <v>0</v>
      </c>
      <c r="H6298" s="2">
        <f t="shared" si="196"/>
        <v>1261</v>
      </c>
      <c r="I6298" t="str">
        <f t="shared" si="197"/>
        <v>Rcor1_1261</v>
      </c>
      <c r="J6298" s="3">
        <v>0</v>
      </c>
      <c r="K6298" s="3">
        <v>0</v>
      </c>
      <c r="L6298" s="3">
        <v>0</v>
      </c>
      <c r="M6298" s="3">
        <v>1261</v>
      </c>
      <c r="N6298" s="3">
        <v>0</v>
      </c>
    </row>
    <row r="6299" spans="1:14" x14ac:dyDescent="0.2">
      <c r="A6299" s="5" t="str">
        <f>HYPERLINK("http://www.ncbi.nlm.nih.gov/protein/57634523","Rcor3")</f>
        <v>Rcor3</v>
      </c>
      <c r="B6299" s="4"/>
      <c r="C6299" s="3">
        <v>0</v>
      </c>
      <c r="D6299" s="3">
        <v>0</v>
      </c>
      <c r="E6299" s="3">
        <v>0</v>
      </c>
      <c r="F6299" s="3">
        <v>311</v>
      </c>
      <c r="G6299" s="3">
        <v>0</v>
      </c>
      <c r="H6299" s="2">
        <f t="shared" si="196"/>
        <v>311</v>
      </c>
      <c r="I6299" t="str">
        <f t="shared" si="197"/>
        <v>Rcor3_311</v>
      </c>
      <c r="J6299" s="3">
        <v>0</v>
      </c>
      <c r="K6299" s="3">
        <v>0</v>
      </c>
      <c r="L6299" s="3">
        <v>0</v>
      </c>
      <c r="M6299" s="3">
        <v>311</v>
      </c>
      <c r="N6299" s="3">
        <v>0</v>
      </c>
    </row>
    <row r="6300" spans="1:14" x14ac:dyDescent="0.2">
      <c r="A6300" s="5" t="str">
        <f>HYPERLINK("http://www.ncbi.nlm.nih.gov/protein/25141231","Rdh10")</f>
        <v>Rdh10</v>
      </c>
      <c r="B6300" s="4"/>
      <c r="C6300" s="3">
        <v>0</v>
      </c>
      <c r="D6300" s="3">
        <v>301</v>
      </c>
      <c r="E6300" s="3">
        <v>2505</v>
      </c>
      <c r="F6300" s="3">
        <v>0</v>
      </c>
      <c r="G6300" s="3">
        <v>0</v>
      </c>
      <c r="H6300" s="2">
        <f t="shared" si="196"/>
        <v>2806</v>
      </c>
      <c r="I6300" t="str">
        <f t="shared" si="197"/>
        <v>Rdh10_2806</v>
      </c>
      <c r="J6300" s="3">
        <v>0</v>
      </c>
      <c r="K6300" s="3">
        <v>301</v>
      </c>
      <c r="L6300" s="3">
        <v>2505</v>
      </c>
      <c r="M6300" s="3">
        <v>0</v>
      </c>
      <c r="N6300" s="3">
        <v>0</v>
      </c>
    </row>
    <row r="6301" spans="1:14" x14ac:dyDescent="0.2">
      <c r="A6301" s="5" t="str">
        <f>HYPERLINK("http://www.ncbi.nlm.nih.gov/protein/19482172","Rdh11")</f>
        <v>Rdh11</v>
      </c>
      <c r="B6301" s="4"/>
      <c r="C6301" s="3">
        <v>10837</v>
      </c>
      <c r="D6301" s="3">
        <v>5056</v>
      </c>
      <c r="E6301" s="3">
        <v>4029</v>
      </c>
      <c r="F6301" s="3">
        <v>426</v>
      </c>
      <c r="G6301" s="3">
        <v>0</v>
      </c>
      <c r="H6301" s="2">
        <f t="shared" si="196"/>
        <v>20348</v>
      </c>
      <c r="I6301" t="str">
        <f t="shared" si="197"/>
        <v>Rdh11_20348</v>
      </c>
      <c r="J6301" s="3">
        <v>10837</v>
      </c>
      <c r="K6301" s="3">
        <v>5056</v>
      </c>
      <c r="L6301" s="3">
        <v>4029</v>
      </c>
      <c r="M6301" s="3">
        <v>426</v>
      </c>
      <c r="N6301" s="3">
        <v>0</v>
      </c>
    </row>
    <row r="6302" spans="1:14" x14ac:dyDescent="0.2">
      <c r="A6302" s="5" t="str">
        <f>HYPERLINK("http://www.ncbi.nlm.nih.gov/protein/58037513","Rdh12")</f>
        <v>Rdh12</v>
      </c>
      <c r="B6302" s="4"/>
      <c r="C6302" s="3">
        <v>0</v>
      </c>
      <c r="D6302" s="3">
        <v>620</v>
      </c>
      <c r="E6302" s="3">
        <v>407</v>
      </c>
      <c r="F6302" s="3">
        <v>0</v>
      </c>
      <c r="G6302" s="3">
        <v>0</v>
      </c>
      <c r="H6302" s="2">
        <f t="shared" si="196"/>
        <v>1027</v>
      </c>
      <c r="I6302" t="str">
        <f t="shared" si="197"/>
        <v>Rdh12_1027</v>
      </c>
      <c r="J6302" s="3">
        <v>0</v>
      </c>
      <c r="K6302" s="3">
        <v>620</v>
      </c>
      <c r="L6302" s="3">
        <v>407</v>
      </c>
      <c r="M6302" s="3">
        <v>0</v>
      </c>
      <c r="N6302" s="3">
        <v>0</v>
      </c>
    </row>
    <row r="6303" spans="1:14" x14ac:dyDescent="0.2">
      <c r="A6303" s="5" t="str">
        <f>HYPERLINK("http://www.ncbi.nlm.nih.gov/protein/30425078","Rdh13")</f>
        <v>Rdh13</v>
      </c>
      <c r="B6303" s="4"/>
      <c r="C6303" s="3">
        <v>0</v>
      </c>
      <c r="D6303" s="3">
        <v>1635</v>
      </c>
      <c r="E6303" s="3">
        <v>0</v>
      </c>
      <c r="F6303" s="3">
        <v>0</v>
      </c>
      <c r="G6303" s="3">
        <v>0</v>
      </c>
      <c r="H6303" s="2">
        <f t="shared" si="196"/>
        <v>1635</v>
      </c>
      <c r="I6303" t="str">
        <f t="shared" si="197"/>
        <v>Rdh13_1635</v>
      </c>
      <c r="J6303" s="3">
        <v>0</v>
      </c>
      <c r="K6303" s="3">
        <v>1635</v>
      </c>
      <c r="L6303" s="3">
        <v>0</v>
      </c>
      <c r="M6303" s="3">
        <v>0</v>
      </c>
      <c r="N6303" s="3">
        <v>0</v>
      </c>
    </row>
    <row r="6304" spans="1:14" x14ac:dyDescent="0.2">
      <c r="A6304" s="5" t="str">
        <f>HYPERLINK("http://www.ncbi.nlm.nih.gov/protein/12963791","Rdh14")</f>
        <v>Rdh14</v>
      </c>
      <c r="B6304" s="4"/>
      <c r="C6304" s="3">
        <v>0</v>
      </c>
      <c r="D6304" s="3">
        <v>1532</v>
      </c>
      <c r="E6304" s="3">
        <v>407</v>
      </c>
      <c r="F6304" s="3">
        <v>0</v>
      </c>
      <c r="G6304" s="3">
        <v>0</v>
      </c>
      <c r="H6304" s="2">
        <f t="shared" si="196"/>
        <v>1939</v>
      </c>
      <c r="I6304" t="str">
        <f t="shared" si="197"/>
        <v>Rdh14_1939</v>
      </c>
      <c r="J6304" s="3">
        <v>0</v>
      </c>
      <c r="K6304" s="3">
        <v>1532</v>
      </c>
      <c r="L6304" s="3">
        <v>407</v>
      </c>
      <c r="M6304" s="3">
        <v>0</v>
      </c>
      <c r="N6304" s="3">
        <v>0</v>
      </c>
    </row>
    <row r="6305" spans="1:14" x14ac:dyDescent="0.2">
      <c r="A6305" s="5" t="str">
        <f>HYPERLINK("http://www.ncbi.nlm.nih.gov/protein/157277948","Rdx")</f>
        <v>Rdx</v>
      </c>
      <c r="B6305" s="4"/>
      <c r="C6305" s="3">
        <v>753842</v>
      </c>
      <c r="D6305" s="3">
        <v>104678</v>
      </c>
      <c r="E6305" s="3">
        <v>236846</v>
      </c>
      <c r="F6305" s="3">
        <v>102762</v>
      </c>
      <c r="G6305" s="3">
        <v>224054</v>
      </c>
      <c r="H6305" s="2">
        <f t="shared" si="196"/>
        <v>1422182</v>
      </c>
      <c r="I6305" t="str">
        <f t="shared" si="197"/>
        <v>Rdx_1422182</v>
      </c>
      <c r="J6305" s="3">
        <v>753842</v>
      </c>
      <c r="K6305" s="3">
        <v>104678</v>
      </c>
      <c r="L6305" s="3">
        <v>236846</v>
      </c>
      <c r="M6305" s="3">
        <v>102762</v>
      </c>
      <c r="N6305" s="3">
        <v>224054</v>
      </c>
    </row>
    <row r="6306" spans="1:14" x14ac:dyDescent="0.2">
      <c r="A6306" s="5" t="str">
        <f>HYPERLINK("http://www.ncbi.nlm.nih.gov/protein/157277952","Rdx")</f>
        <v>Rdx</v>
      </c>
      <c r="B6306" s="4"/>
      <c r="C6306" s="3">
        <v>718584</v>
      </c>
      <c r="D6306" s="3">
        <v>101088</v>
      </c>
      <c r="E6306" s="3">
        <v>198880</v>
      </c>
      <c r="F6306" s="3">
        <v>61515</v>
      </c>
      <c r="G6306" s="3">
        <v>208278</v>
      </c>
      <c r="H6306" s="2">
        <f t="shared" si="196"/>
        <v>1288345</v>
      </c>
      <c r="I6306" t="str">
        <f t="shared" si="197"/>
        <v>Rdx_1288345</v>
      </c>
      <c r="J6306" s="3">
        <v>718584</v>
      </c>
      <c r="K6306" s="3">
        <v>101088</v>
      </c>
      <c r="L6306" s="3">
        <v>198880</v>
      </c>
      <c r="M6306" s="3">
        <v>61515</v>
      </c>
      <c r="N6306" s="3">
        <v>208278</v>
      </c>
    </row>
    <row r="6307" spans="1:14" x14ac:dyDescent="0.2">
      <c r="A6307" s="5" t="str">
        <f>HYPERLINK("http://www.ncbi.nlm.nih.gov/protein/110625690","Recql")</f>
        <v>Recql</v>
      </c>
      <c r="B6307" s="4"/>
      <c r="C6307" s="3">
        <v>0</v>
      </c>
      <c r="D6307" s="3">
        <v>0</v>
      </c>
      <c r="E6307" s="3">
        <v>588</v>
      </c>
      <c r="F6307" s="3">
        <v>1424</v>
      </c>
      <c r="G6307" s="3">
        <v>5044</v>
      </c>
      <c r="H6307" s="2">
        <f t="shared" si="196"/>
        <v>7056</v>
      </c>
      <c r="I6307" t="str">
        <f t="shared" si="197"/>
        <v>Recql_7056</v>
      </c>
      <c r="J6307" s="3">
        <v>0</v>
      </c>
      <c r="K6307" s="3">
        <v>0</v>
      </c>
      <c r="L6307" s="3">
        <v>588</v>
      </c>
      <c r="M6307" s="3">
        <v>1424</v>
      </c>
      <c r="N6307" s="3">
        <v>5044</v>
      </c>
    </row>
    <row r="6308" spans="1:14" x14ac:dyDescent="0.2">
      <c r="A6308" s="5" t="str">
        <f>HYPERLINK("http://www.ncbi.nlm.nih.gov/protein/326368214","Recql")</f>
        <v>Recql</v>
      </c>
      <c r="B6308" s="4"/>
      <c r="C6308" s="3">
        <v>0</v>
      </c>
      <c r="D6308" s="3">
        <v>0</v>
      </c>
      <c r="E6308" s="3">
        <v>575</v>
      </c>
      <c r="F6308" s="3">
        <v>1424</v>
      </c>
      <c r="G6308" s="3">
        <v>5044</v>
      </c>
      <c r="H6308" s="2">
        <f t="shared" si="196"/>
        <v>7043</v>
      </c>
      <c r="I6308" t="str">
        <f t="shared" si="197"/>
        <v>Recql_7043</v>
      </c>
      <c r="J6308" s="3">
        <v>0</v>
      </c>
      <c r="K6308" s="3">
        <v>0</v>
      </c>
      <c r="L6308" s="3">
        <v>575</v>
      </c>
      <c r="M6308" s="3">
        <v>1424</v>
      </c>
      <c r="N6308" s="3">
        <v>5044</v>
      </c>
    </row>
    <row r="6309" spans="1:14" x14ac:dyDescent="0.2">
      <c r="A6309" s="5" t="str">
        <f>HYPERLINK("http://www.ncbi.nlm.nih.gov/protein/326368226","Recql")</f>
        <v>Recql</v>
      </c>
      <c r="B6309" s="4"/>
      <c r="C6309" s="3">
        <v>0</v>
      </c>
      <c r="D6309" s="3">
        <v>0</v>
      </c>
      <c r="E6309" s="3">
        <v>575</v>
      </c>
      <c r="F6309" s="3">
        <v>1424</v>
      </c>
      <c r="G6309" s="3">
        <v>5044</v>
      </c>
      <c r="H6309" s="2">
        <f t="shared" si="196"/>
        <v>7043</v>
      </c>
      <c r="I6309" t="str">
        <f t="shared" si="197"/>
        <v>Recql_7043</v>
      </c>
      <c r="J6309" s="3">
        <v>0</v>
      </c>
      <c r="K6309" s="3">
        <v>0</v>
      </c>
      <c r="L6309" s="3">
        <v>575</v>
      </c>
      <c r="M6309" s="3">
        <v>1424</v>
      </c>
      <c r="N6309" s="3">
        <v>5044</v>
      </c>
    </row>
    <row r="6310" spans="1:14" x14ac:dyDescent="0.2">
      <c r="A6310" s="5" t="str">
        <f>HYPERLINK("http://www.ncbi.nlm.nih.gov/protein/30519927","Reep3")</f>
        <v>Reep3</v>
      </c>
      <c r="B6310" s="4"/>
      <c r="C6310" s="3">
        <v>0</v>
      </c>
      <c r="D6310" s="3">
        <v>0</v>
      </c>
      <c r="E6310" s="3">
        <v>0</v>
      </c>
      <c r="F6310" s="3">
        <v>1817</v>
      </c>
      <c r="G6310" s="3">
        <v>0</v>
      </c>
      <c r="H6310" s="2">
        <f t="shared" si="196"/>
        <v>1817</v>
      </c>
      <c r="I6310" t="str">
        <f t="shared" si="197"/>
        <v>Reep3_1817</v>
      </c>
      <c r="J6310" s="3">
        <v>0</v>
      </c>
      <c r="K6310" s="3">
        <v>0</v>
      </c>
      <c r="L6310" s="3">
        <v>0</v>
      </c>
      <c r="M6310" s="3">
        <v>1817</v>
      </c>
      <c r="N6310" s="3">
        <v>0</v>
      </c>
    </row>
    <row r="6311" spans="1:14" x14ac:dyDescent="0.2">
      <c r="A6311" s="5" t="str">
        <f>HYPERLINK("http://www.ncbi.nlm.nih.gov/protein/326319958","Reep3")</f>
        <v>Reep3</v>
      </c>
      <c r="B6311" s="4"/>
      <c r="C6311" s="3">
        <v>0</v>
      </c>
      <c r="D6311" s="3">
        <v>0</v>
      </c>
      <c r="E6311" s="3">
        <v>0</v>
      </c>
      <c r="F6311" s="3">
        <v>1817</v>
      </c>
      <c r="G6311" s="3">
        <v>0</v>
      </c>
      <c r="H6311" s="2">
        <f t="shared" si="196"/>
        <v>1817</v>
      </c>
      <c r="I6311" t="str">
        <f t="shared" si="197"/>
        <v>Reep3_1817</v>
      </c>
      <c r="J6311" s="3">
        <v>0</v>
      </c>
      <c r="K6311" s="3">
        <v>0</v>
      </c>
      <c r="L6311" s="3">
        <v>0</v>
      </c>
      <c r="M6311" s="3">
        <v>1817</v>
      </c>
      <c r="N6311" s="3">
        <v>0</v>
      </c>
    </row>
    <row r="6312" spans="1:14" x14ac:dyDescent="0.2">
      <c r="A6312" s="5" t="str">
        <f>HYPERLINK("http://www.ncbi.nlm.nih.gov/protein/161016826","Reep5")</f>
        <v>Reep5</v>
      </c>
      <c r="B6312" s="4"/>
      <c r="C6312" s="3">
        <v>29711</v>
      </c>
      <c r="D6312" s="3">
        <v>5503</v>
      </c>
      <c r="E6312" s="3">
        <v>5125</v>
      </c>
      <c r="F6312" s="3">
        <v>5075</v>
      </c>
      <c r="G6312" s="3">
        <v>0</v>
      </c>
      <c r="H6312" s="2">
        <f t="shared" si="196"/>
        <v>45414</v>
      </c>
      <c r="I6312" t="str">
        <f t="shared" si="197"/>
        <v>Reep5_45414</v>
      </c>
      <c r="J6312" s="3">
        <v>29711</v>
      </c>
      <c r="K6312" s="3">
        <v>5503</v>
      </c>
      <c r="L6312" s="3">
        <v>5125</v>
      </c>
      <c r="M6312" s="3">
        <v>5075</v>
      </c>
      <c r="N6312" s="3">
        <v>0</v>
      </c>
    </row>
    <row r="6313" spans="1:14" x14ac:dyDescent="0.2">
      <c r="A6313" s="5" t="str">
        <f>HYPERLINK("http://www.ncbi.nlm.nih.gov/protein/21314830","Reep6")</f>
        <v>Reep6</v>
      </c>
      <c r="B6313" s="4"/>
      <c r="C6313" s="3">
        <v>62735</v>
      </c>
      <c r="D6313" s="3">
        <v>4803</v>
      </c>
      <c r="E6313" s="3">
        <v>3963</v>
      </c>
      <c r="F6313" s="3">
        <v>13613</v>
      </c>
      <c r="G6313" s="3">
        <v>43</v>
      </c>
      <c r="H6313" s="2">
        <f t="shared" si="196"/>
        <v>85157</v>
      </c>
      <c r="I6313" t="str">
        <f t="shared" si="197"/>
        <v>Reep6_85157</v>
      </c>
      <c r="J6313" s="3">
        <v>62735</v>
      </c>
      <c r="K6313" s="3">
        <v>4803</v>
      </c>
      <c r="L6313" s="3">
        <v>3963</v>
      </c>
      <c r="M6313" s="3">
        <v>13613</v>
      </c>
      <c r="N6313" s="3">
        <v>43</v>
      </c>
    </row>
    <row r="6314" spans="1:14" x14ac:dyDescent="0.2">
      <c r="A6314" s="5" t="str">
        <f>HYPERLINK("http://www.ncbi.nlm.nih.gov/protein/326368217","Reep6")</f>
        <v>Reep6</v>
      </c>
      <c r="B6314" s="4"/>
      <c r="C6314" s="3">
        <v>62735</v>
      </c>
      <c r="D6314" s="3">
        <v>4803</v>
      </c>
      <c r="E6314" s="3">
        <v>3963</v>
      </c>
      <c r="F6314" s="3">
        <v>13654</v>
      </c>
      <c r="G6314" s="3">
        <v>43</v>
      </c>
      <c r="H6314" s="2">
        <f t="shared" si="196"/>
        <v>85198</v>
      </c>
      <c r="I6314" t="str">
        <f t="shared" si="197"/>
        <v>Reep6_85198</v>
      </c>
      <c r="J6314" s="3">
        <v>62735</v>
      </c>
      <c r="K6314" s="3">
        <v>4803</v>
      </c>
      <c r="L6314" s="3">
        <v>3963</v>
      </c>
      <c r="M6314" s="3">
        <v>13654</v>
      </c>
      <c r="N6314" s="3">
        <v>43</v>
      </c>
    </row>
    <row r="6315" spans="1:14" x14ac:dyDescent="0.2">
      <c r="A6315" s="5" t="str">
        <f>HYPERLINK("http://www.ncbi.nlm.nih.gov/protein/6677709","Rela")</f>
        <v>Rela</v>
      </c>
      <c r="B6315" s="4"/>
      <c r="C6315" s="3">
        <v>0</v>
      </c>
      <c r="D6315" s="3">
        <v>0</v>
      </c>
      <c r="E6315" s="3">
        <v>294</v>
      </c>
      <c r="F6315" s="3">
        <v>0</v>
      </c>
      <c r="G6315" s="3">
        <v>82099</v>
      </c>
      <c r="H6315" s="2">
        <f t="shared" si="196"/>
        <v>82393</v>
      </c>
      <c r="I6315" t="str">
        <f t="shared" si="197"/>
        <v>Rela_82393</v>
      </c>
      <c r="J6315" s="3">
        <v>0</v>
      </c>
      <c r="K6315" s="3">
        <v>0</v>
      </c>
      <c r="L6315" s="3">
        <v>294</v>
      </c>
      <c r="M6315" s="3">
        <v>0</v>
      </c>
      <c r="N6315" s="3">
        <v>82099</v>
      </c>
    </row>
    <row r="6316" spans="1:14" x14ac:dyDescent="0.2">
      <c r="A6316" s="5" t="str">
        <f>HYPERLINK("http://www.ncbi.nlm.nih.gov/protein/110625912","Rell1")</f>
        <v>Rell1</v>
      </c>
      <c r="B6316" s="4"/>
      <c r="C6316" s="3">
        <v>0</v>
      </c>
      <c r="D6316" s="3">
        <v>202</v>
      </c>
      <c r="E6316" s="3">
        <v>200</v>
      </c>
      <c r="F6316" s="3">
        <v>0</v>
      </c>
      <c r="G6316" s="3">
        <v>0</v>
      </c>
      <c r="H6316" s="2">
        <f t="shared" si="196"/>
        <v>402</v>
      </c>
      <c r="I6316" t="str">
        <f t="shared" si="197"/>
        <v>Rell1_402</v>
      </c>
      <c r="J6316" s="3">
        <v>0</v>
      </c>
      <c r="K6316" s="3">
        <v>202</v>
      </c>
      <c r="L6316" s="3">
        <v>200</v>
      </c>
      <c r="M6316" s="3">
        <v>0</v>
      </c>
      <c r="N6316" s="3">
        <v>0</v>
      </c>
    </row>
    <row r="6317" spans="1:14" x14ac:dyDescent="0.2">
      <c r="A6317" s="5" t="str">
        <f>HYPERLINK("http://www.ncbi.nlm.nih.gov/protein/257796226","Renbp")</f>
        <v>Renbp</v>
      </c>
      <c r="B6317" s="4"/>
      <c r="C6317" s="3">
        <v>27001</v>
      </c>
      <c r="D6317" s="3">
        <v>0</v>
      </c>
      <c r="E6317" s="3">
        <v>21757</v>
      </c>
      <c r="F6317" s="3">
        <v>0</v>
      </c>
      <c r="G6317" s="3">
        <v>37901</v>
      </c>
      <c r="H6317" s="2">
        <f t="shared" si="196"/>
        <v>86659</v>
      </c>
      <c r="I6317" t="str">
        <f t="shared" si="197"/>
        <v>Renbp_86659</v>
      </c>
      <c r="J6317" s="3">
        <v>27001</v>
      </c>
      <c r="K6317" s="3">
        <v>0</v>
      </c>
      <c r="L6317" s="3">
        <v>21757</v>
      </c>
      <c r="M6317" s="3">
        <v>0</v>
      </c>
      <c r="N6317" s="3">
        <v>37901</v>
      </c>
    </row>
    <row r="6318" spans="1:14" x14ac:dyDescent="0.2">
      <c r="A6318" s="5" t="str">
        <f>HYPERLINK("http://www.ncbi.nlm.nih.gov/protein/257796315","Renbp")</f>
        <v>Renbp</v>
      </c>
      <c r="B6318" s="4"/>
      <c r="C6318" s="3">
        <v>27001</v>
      </c>
      <c r="D6318" s="3">
        <v>0</v>
      </c>
      <c r="E6318" s="3">
        <v>21757</v>
      </c>
      <c r="F6318" s="3">
        <v>0</v>
      </c>
      <c r="G6318" s="3">
        <v>37901</v>
      </c>
      <c r="H6318" s="2">
        <f t="shared" si="196"/>
        <v>86659</v>
      </c>
      <c r="I6318" t="str">
        <f t="shared" si="197"/>
        <v>Renbp_86659</v>
      </c>
      <c r="J6318" s="3">
        <v>27001</v>
      </c>
      <c r="K6318" s="3">
        <v>0</v>
      </c>
      <c r="L6318" s="3">
        <v>21757</v>
      </c>
      <c r="M6318" s="3">
        <v>0</v>
      </c>
      <c r="N6318" s="3">
        <v>37901</v>
      </c>
    </row>
    <row r="6319" spans="1:14" x14ac:dyDescent="0.2">
      <c r="A6319" s="5" t="str">
        <f>HYPERLINK("http://www.ncbi.nlm.nih.gov/protein/161484650","Reps1")</f>
        <v>Reps1</v>
      </c>
      <c r="B6319" s="4"/>
      <c r="C6319" s="3">
        <v>0</v>
      </c>
      <c r="D6319" s="3">
        <v>50</v>
      </c>
      <c r="E6319" s="3">
        <v>568</v>
      </c>
      <c r="F6319" s="3">
        <v>4060</v>
      </c>
      <c r="G6319" s="3">
        <v>10270</v>
      </c>
      <c r="H6319" s="2">
        <f t="shared" si="196"/>
        <v>14948</v>
      </c>
      <c r="I6319" t="str">
        <f t="shared" si="197"/>
        <v>Reps1_14948</v>
      </c>
      <c r="J6319" s="3">
        <v>0</v>
      </c>
      <c r="K6319" s="3">
        <v>50</v>
      </c>
      <c r="L6319" s="3">
        <v>568</v>
      </c>
      <c r="M6319" s="3">
        <v>4060</v>
      </c>
      <c r="N6319" s="3">
        <v>10270</v>
      </c>
    </row>
    <row r="6320" spans="1:14" x14ac:dyDescent="0.2">
      <c r="A6320" s="5" t="str">
        <f>HYPERLINK("http://www.ncbi.nlm.nih.gov/protein/161484652","Reps1")</f>
        <v>Reps1</v>
      </c>
      <c r="B6320" s="4"/>
      <c r="C6320" s="3">
        <v>0</v>
      </c>
      <c r="D6320" s="3">
        <v>50</v>
      </c>
      <c r="E6320" s="3">
        <v>568</v>
      </c>
      <c r="F6320" s="3">
        <v>4060</v>
      </c>
      <c r="G6320" s="3">
        <v>10270</v>
      </c>
      <c r="H6320" s="2">
        <f t="shared" si="196"/>
        <v>14948</v>
      </c>
      <c r="I6320" t="str">
        <f t="shared" si="197"/>
        <v>Reps1_14948</v>
      </c>
      <c r="J6320" s="3">
        <v>0</v>
      </c>
      <c r="K6320" s="3">
        <v>50</v>
      </c>
      <c r="L6320" s="3">
        <v>568</v>
      </c>
      <c r="M6320" s="3">
        <v>4060</v>
      </c>
      <c r="N6320" s="3">
        <v>10270</v>
      </c>
    </row>
    <row r="6321" spans="1:14" x14ac:dyDescent="0.2">
      <c r="A6321" s="5" t="str">
        <f>HYPERLINK("http://www.ncbi.nlm.nih.gov/protein/84490401","Reps2")</f>
        <v>Reps2</v>
      </c>
      <c r="B6321" s="4"/>
      <c r="C6321" s="3">
        <v>0</v>
      </c>
      <c r="D6321" s="3">
        <v>0</v>
      </c>
      <c r="E6321" s="3">
        <v>0</v>
      </c>
      <c r="F6321" s="3">
        <v>0</v>
      </c>
      <c r="G6321" s="3">
        <v>2977</v>
      </c>
      <c r="H6321" s="2">
        <f t="shared" si="196"/>
        <v>2977</v>
      </c>
      <c r="I6321" t="str">
        <f t="shared" si="197"/>
        <v>Reps2_2977</v>
      </c>
      <c r="J6321" s="3">
        <v>0</v>
      </c>
      <c r="K6321" s="3">
        <v>0</v>
      </c>
      <c r="L6321" s="3">
        <v>0</v>
      </c>
      <c r="M6321" s="3">
        <v>0</v>
      </c>
      <c r="N6321" s="3">
        <v>2977</v>
      </c>
    </row>
    <row r="6322" spans="1:14" x14ac:dyDescent="0.2">
      <c r="A6322" s="5" t="str">
        <f>HYPERLINK("http://www.ncbi.nlm.nih.gov/protein/13385882","Rer1")</f>
        <v>Rer1</v>
      </c>
      <c r="B6322" s="4"/>
      <c r="C6322" s="3">
        <v>531</v>
      </c>
      <c r="D6322" s="3">
        <v>3102</v>
      </c>
      <c r="E6322" s="3">
        <v>3789</v>
      </c>
      <c r="F6322" s="3">
        <v>5967</v>
      </c>
      <c r="G6322" s="3">
        <v>0</v>
      </c>
      <c r="H6322" s="2">
        <f t="shared" si="196"/>
        <v>13389</v>
      </c>
      <c r="I6322" t="str">
        <f t="shared" si="197"/>
        <v>Rer1_13389</v>
      </c>
      <c r="J6322" s="3">
        <v>531</v>
      </c>
      <c r="K6322" s="3">
        <v>3102</v>
      </c>
      <c r="L6322" s="3">
        <v>3789</v>
      </c>
      <c r="M6322" s="3">
        <v>5967</v>
      </c>
      <c r="N6322" s="3">
        <v>0</v>
      </c>
    </row>
    <row r="6323" spans="1:14" x14ac:dyDescent="0.2">
      <c r="A6323" s="5" t="str">
        <f>HYPERLINK("http://www.ncbi.nlm.nih.gov/protein/148234285","Rere")</f>
        <v>Rere</v>
      </c>
      <c r="B6323" s="4"/>
      <c r="C6323" s="3">
        <v>0</v>
      </c>
      <c r="D6323" s="3">
        <v>0</v>
      </c>
      <c r="E6323" s="3">
        <v>0</v>
      </c>
      <c r="F6323" s="3">
        <v>0</v>
      </c>
      <c r="G6323" s="3">
        <v>728</v>
      </c>
      <c r="H6323" s="2">
        <f t="shared" si="196"/>
        <v>728</v>
      </c>
      <c r="I6323" t="str">
        <f t="shared" si="197"/>
        <v>Rere_728</v>
      </c>
      <c r="J6323" s="3">
        <v>0</v>
      </c>
      <c r="K6323" s="3">
        <v>0</v>
      </c>
      <c r="L6323" s="3">
        <v>0</v>
      </c>
      <c r="M6323" s="3">
        <v>0</v>
      </c>
      <c r="N6323" s="3">
        <v>728</v>
      </c>
    </row>
    <row r="6324" spans="1:14" x14ac:dyDescent="0.2">
      <c r="A6324" s="5" t="str">
        <f>HYPERLINK("http://www.ncbi.nlm.nih.gov/protein/27229283","Rexo2")</f>
        <v>Rexo2</v>
      </c>
      <c r="B6324" s="4"/>
      <c r="C6324" s="3">
        <v>0</v>
      </c>
      <c r="D6324" s="3">
        <v>557</v>
      </c>
      <c r="E6324" s="3">
        <v>26</v>
      </c>
      <c r="F6324" s="3">
        <v>0</v>
      </c>
      <c r="G6324" s="3">
        <v>11159</v>
      </c>
      <c r="H6324" s="2">
        <f t="shared" si="196"/>
        <v>11742</v>
      </c>
      <c r="I6324" t="str">
        <f t="shared" si="197"/>
        <v>Rexo2_11742</v>
      </c>
      <c r="J6324" s="3">
        <v>0</v>
      </c>
      <c r="K6324" s="3">
        <v>557</v>
      </c>
      <c r="L6324" s="3">
        <v>26</v>
      </c>
      <c r="M6324" s="3">
        <v>0</v>
      </c>
      <c r="N6324" s="3">
        <v>11159</v>
      </c>
    </row>
    <row r="6325" spans="1:14" x14ac:dyDescent="0.2">
      <c r="A6325" s="5" t="str">
        <f>HYPERLINK("http://www.ncbi.nlm.nih.gov/protein/76563952","Rexo4")</f>
        <v>Rexo4</v>
      </c>
      <c r="B6325" s="4"/>
      <c r="C6325" s="3">
        <v>0</v>
      </c>
      <c r="D6325" s="3">
        <v>0</v>
      </c>
      <c r="E6325" s="3">
        <v>37</v>
      </c>
      <c r="F6325" s="3">
        <v>0</v>
      </c>
      <c r="G6325" s="3">
        <v>0</v>
      </c>
      <c r="H6325" s="2">
        <f t="shared" si="196"/>
        <v>37</v>
      </c>
      <c r="I6325" t="str">
        <f t="shared" si="197"/>
        <v>Rexo4_37</v>
      </c>
      <c r="J6325" s="3">
        <v>0</v>
      </c>
      <c r="K6325" s="3">
        <v>0</v>
      </c>
      <c r="L6325" s="3">
        <v>37</v>
      </c>
      <c r="M6325" s="3">
        <v>0</v>
      </c>
      <c r="N6325" s="3">
        <v>0</v>
      </c>
    </row>
    <row r="6326" spans="1:14" x14ac:dyDescent="0.2">
      <c r="A6326" s="5" t="str">
        <f>HYPERLINK("http://www.ncbi.nlm.nih.gov/protein/188219597","Rfc1")</f>
        <v>Rfc1</v>
      </c>
      <c r="B6326" s="4"/>
      <c r="C6326" s="3">
        <v>11258</v>
      </c>
      <c r="D6326" s="3">
        <v>73</v>
      </c>
      <c r="E6326" s="3">
        <v>748</v>
      </c>
      <c r="F6326" s="3">
        <v>10036</v>
      </c>
      <c r="G6326" s="3">
        <v>0</v>
      </c>
      <c r="H6326" s="2">
        <f t="shared" si="196"/>
        <v>22115</v>
      </c>
      <c r="I6326" t="str">
        <f t="shared" si="197"/>
        <v>Rfc1_22115</v>
      </c>
      <c r="J6326" s="3">
        <v>11258</v>
      </c>
      <c r="K6326" s="3">
        <v>73</v>
      </c>
      <c r="L6326" s="3">
        <v>748</v>
      </c>
      <c r="M6326" s="3">
        <v>10036</v>
      </c>
      <c r="N6326" s="3">
        <v>0</v>
      </c>
    </row>
    <row r="6327" spans="1:14" x14ac:dyDescent="0.2">
      <c r="A6327" s="5" t="str">
        <f>HYPERLINK("http://www.ncbi.nlm.nih.gov/protein/11177922","Rfc2")</f>
        <v>Rfc2</v>
      </c>
      <c r="B6327" s="4"/>
      <c r="C6327" s="3">
        <v>5345</v>
      </c>
      <c r="D6327" s="3">
        <v>413</v>
      </c>
      <c r="E6327" s="3">
        <v>6215</v>
      </c>
      <c r="F6327" s="3">
        <v>46134</v>
      </c>
      <c r="G6327" s="3">
        <v>25392</v>
      </c>
      <c r="H6327" s="2">
        <f t="shared" si="196"/>
        <v>83499</v>
      </c>
      <c r="I6327" t="str">
        <f t="shared" si="197"/>
        <v>Rfc2_83499</v>
      </c>
      <c r="J6327" s="3">
        <v>5345</v>
      </c>
      <c r="K6327" s="3">
        <v>413</v>
      </c>
      <c r="L6327" s="3">
        <v>6215</v>
      </c>
      <c r="M6327" s="3">
        <v>46134</v>
      </c>
      <c r="N6327" s="3">
        <v>25392</v>
      </c>
    </row>
    <row r="6328" spans="1:14" x14ac:dyDescent="0.2">
      <c r="A6328" s="5" t="str">
        <f>HYPERLINK("http://www.ncbi.nlm.nih.gov/protein/124249204","Rfc3")</f>
        <v>Rfc3</v>
      </c>
      <c r="B6328" s="4"/>
      <c r="C6328" s="3">
        <v>14480</v>
      </c>
      <c r="D6328" s="3">
        <v>0</v>
      </c>
      <c r="E6328" s="3">
        <v>4615</v>
      </c>
      <c r="F6328" s="3">
        <v>27569</v>
      </c>
      <c r="G6328" s="3">
        <v>8857</v>
      </c>
      <c r="H6328" s="2">
        <f t="shared" si="196"/>
        <v>55521</v>
      </c>
      <c r="I6328" t="str">
        <f t="shared" si="197"/>
        <v>Rfc3_55521</v>
      </c>
      <c r="J6328" s="3">
        <v>14480</v>
      </c>
      <c r="K6328" s="3">
        <v>0</v>
      </c>
      <c r="L6328" s="3">
        <v>4615</v>
      </c>
      <c r="M6328" s="3">
        <v>27569</v>
      </c>
      <c r="N6328" s="3">
        <v>8857</v>
      </c>
    </row>
    <row r="6329" spans="1:14" x14ac:dyDescent="0.2">
      <c r="A6329" s="5" t="str">
        <f>HYPERLINK("http://www.ncbi.nlm.nih.gov/protein/21703948","Rfc4")</f>
        <v>Rfc4</v>
      </c>
      <c r="B6329" s="4"/>
      <c r="C6329" s="3">
        <v>5290</v>
      </c>
      <c r="D6329" s="3">
        <v>102</v>
      </c>
      <c r="E6329" s="3">
        <v>7902</v>
      </c>
      <c r="F6329" s="3">
        <v>73032</v>
      </c>
      <c r="G6329" s="3">
        <v>16011</v>
      </c>
      <c r="H6329" s="2">
        <f t="shared" si="196"/>
        <v>102337</v>
      </c>
      <c r="I6329" t="str">
        <f t="shared" si="197"/>
        <v>Rfc4_102337</v>
      </c>
      <c r="J6329" s="3">
        <v>5290</v>
      </c>
      <c r="K6329" s="3">
        <v>102</v>
      </c>
      <c r="L6329" s="3">
        <v>7902</v>
      </c>
      <c r="M6329" s="3">
        <v>73032</v>
      </c>
      <c r="N6329" s="3">
        <v>16011</v>
      </c>
    </row>
    <row r="6330" spans="1:14" x14ac:dyDescent="0.2">
      <c r="A6330" s="5" t="str">
        <f>HYPERLINK("http://www.ncbi.nlm.nih.gov/protein/110625924","Rfc5")</f>
        <v>Rfc5</v>
      </c>
      <c r="B6330" s="4"/>
      <c r="C6330" s="3">
        <v>0</v>
      </c>
      <c r="D6330" s="3">
        <v>4413</v>
      </c>
      <c r="E6330" s="3">
        <v>5199</v>
      </c>
      <c r="F6330" s="3">
        <v>66197</v>
      </c>
      <c r="G6330" s="3">
        <v>17949</v>
      </c>
      <c r="H6330" s="2">
        <f t="shared" si="196"/>
        <v>93758</v>
      </c>
      <c r="I6330" t="str">
        <f t="shared" si="197"/>
        <v>Rfc5_93758</v>
      </c>
      <c r="J6330" s="3">
        <v>0</v>
      </c>
      <c r="K6330" s="3">
        <v>4413</v>
      </c>
      <c r="L6330" s="3">
        <v>5199</v>
      </c>
      <c r="M6330" s="3">
        <v>66197</v>
      </c>
      <c r="N6330" s="3">
        <v>17949</v>
      </c>
    </row>
    <row r="6331" spans="1:14" x14ac:dyDescent="0.2">
      <c r="A6331" s="5" t="str">
        <f>HYPERLINK("http://www.ncbi.nlm.nih.gov/protein/14149726","Rfk")</f>
        <v>Rfk</v>
      </c>
      <c r="B6331" s="4"/>
      <c r="C6331" s="3">
        <v>0</v>
      </c>
      <c r="D6331" s="3">
        <v>562</v>
      </c>
      <c r="E6331" s="3">
        <v>442</v>
      </c>
      <c r="F6331" s="3">
        <v>262</v>
      </c>
      <c r="G6331" s="3">
        <v>8064</v>
      </c>
      <c r="H6331" s="2">
        <f t="shared" si="196"/>
        <v>9330</v>
      </c>
      <c r="I6331" t="str">
        <f t="shared" si="197"/>
        <v>Rfk_9330</v>
      </c>
      <c r="J6331" s="3">
        <v>0</v>
      </c>
      <c r="K6331" s="3">
        <v>562</v>
      </c>
      <c r="L6331" s="3">
        <v>442</v>
      </c>
      <c r="M6331" s="3">
        <v>262</v>
      </c>
      <c r="N6331" s="3">
        <v>8064</v>
      </c>
    </row>
    <row r="6332" spans="1:14" x14ac:dyDescent="0.2">
      <c r="A6332" s="5" t="str">
        <f>HYPERLINK("http://www.ncbi.nlm.nih.gov/protein/239916007","Rfx1")</f>
        <v>Rfx1</v>
      </c>
      <c r="B6332" s="4"/>
      <c r="C6332" s="3">
        <v>934</v>
      </c>
      <c r="D6332" s="3">
        <v>27</v>
      </c>
      <c r="E6332" s="3">
        <v>1791</v>
      </c>
      <c r="F6332" s="3">
        <v>2644</v>
      </c>
      <c r="G6332" s="3">
        <v>3427</v>
      </c>
      <c r="H6332" s="2">
        <f t="shared" si="196"/>
        <v>8823</v>
      </c>
      <c r="I6332" t="str">
        <f t="shared" si="197"/>
        <v>Rfx1_8823</v>
      </c>
      <c r="J6332" s="3">
        <v>934</v>
      </c>
      <c r="K6332" s="3">
        <v>27</v>
      </c>
      <c r="L6332" s="3">
        <v>1791</v>
      </c>
      <c r="M6332" s="3">
        <v>2644</v>
      </c>
      <c r="N6332" s="3">
        <v>3427</v>
      </c>
    </row>
    <row r="6333" spans="1:14" x14ac:dyDescent="0.2">
      <c r="A6333" s="5" t="str">
        <f>HYPERLINK("http://www.ncbi.nlm.nih.gov/protein/88703055","Rfx7")</f>
        <v>Rfx7</v>
      </c>
      <c r="B6333" s="4"/>
      <c r="C6333" s="3">
        <v>0</v>
      </c>
      <c r="D6333" s="3">
        <v>0</v>
      </c>
      <c r="E6333" s="3">
        <v>348</v>
      </c>
      <c r="F6333" s="3">
        <v>0</v>
      </c>
      <c r="G6333" s="3">
        <v>0</v>
      </c>
      <c r="H6333" s="2">
        <f t="shared" si="196"/>
        <v>348</v>
      </c>
      <c r="I6333" t="str">
        <f t="shared" si="197"/>
        <v>Rfx7_348</v>
      </c>
      <c r="J6333" s="3">
        <v>0</v>
      </c>
      <c r="K6333" s="3">
        <v>0</v>
      </c>
      <c r="L6333" s="3">
        <v>348</v>
      </c>
      <c r="M6333" s="3">
        <v>0</v>
      </c>
      <c r="N6333" s="3">
        <v>0</v>
      </c>
    </row>
    <row r="6334" spans="1:14" x14ac:dyDescent="0.2">
      <c r="A6334" s="5" t="str">
        <f>HYPERLINK("http://www.ncbi.nlm.nih.gov/protein/31982627","Rgl3")</f>
        <v>Rgl3</v>
      </c>
      <c r="B6334" s="4"/>
      <c r="C6334" s="3">
        <v>8494</v>
      </c>
      <c r="D6334" s="3">
        <v>8331</v>
      </c>
      <c r="E6334" s="3">
        <v>13858</v>
      </c>
      <c r="F6334" s="3">
        <v>81193</v>
      </c>
      <c r="G6334" s="3">
        <v>25564</v>
      </c>
      <c r="H6334" s="2">
        <f t="shared" si="196"/>
        <v>137440</v>
      </c>
      <c r="I6334" t="str">
        <f t="shared" si="197"/>
        <v>Rgl3_137440</v>
      </c>
      <c r="J6334" s="3">
        <v>8494</v>
      </c>
      <c r="K6334" s="3">
        <v>8331</v>
      </c>
      <c r="L6334" s="3">
        <v>13858</v>
      </c>
      <c r="M6334" s="3">
        <v>81193</v>
      </c>
      <c r="N6334" s="3">
        <v>25564</v>
      </c>
    </row>
    <row r="6335" spans="1:14" x14ac:dyDescent="0.2">
      <c r="A6335" s="5" t="str">
        <f>HYPERLINK("http://www.ncbi.nlm.nih.gov/protein/170014730","Rhbdd1")</f>
        <v>Rhbdd1</v>
      </c>
      <c r="B6335" s="4"/>
      <c r="C6335" s="3">
        <v>128</v>
      </c>
      <c r="D6335" s="3">
        <v>50</v>
      </c>
      <c r="E6335" s="3">
        <v>6</v>
      </c>
      <c r="F6335" s="3">
        <v>0</v>
      </c>
      <c r="G6335" s="3">
        <v>0</v>
      </c>
      <c r="H6335" s="2">
        <f t="shared" si="196"/>
        <v>184</v>
      </c>
      <c r="I6335" t="str">
        <f t="shared" si="197"/>
        <v>Rhbdd1_184</v>
      </c>
      <c r="J6335" s="3">
        <v>128</v>
      </c>
      <c r="K6335" s="3">
        <v>50</v>
      </c>
      <c r="L6335" s="3">
        <v>6</v>
      </c>
      <c r="M6335" s="3">
        <v>0</v>
      </c>
      <c r="N6335" s="3">
        <v>0</v>
      </c>
    </row>
    <row r="6336" spans="1:14" x14ac:dyDescent="0.2">
      <c r="A6336" s="5" t="str">
        <f>HYPERLINK("http://www.ncbi.nlm.nih.gov/protein/22122463","Rhbdd2")</f>
        <v>Rhbdd2</v>
      </c>
      <c r="B6336" s="4"/>
      <c r="C6336" s="3">
        <v>0</v>
      </c>
      <c r="D6336" s="3">
        <v>94</v>
      </c>
      <c r="E6336" s="3">
        <v>0</v>
      </c>
      <c r="F6336" s="3">
        <v>0</v>
      </c>
      <c r="G6336" s="3">
        <v>0</v>
      </c>
      <c r="H6336" s="2">
        <f t="shared" si="196"/>
        <v>94</v>
      </c>
      <c r="I6336" t="str">
        <f t="shared" si="197"/>
        <v>Rhbdd2_94</v>
      </c>
      <c r="J6336" s="3">
        <v>0</v>
      </c>
      <c r="K6336" s="3">
        <v>94</v>
      </c>
      <c r="L6336" s="3">
        <v>0</v>
      </c>
      <c r="M6336" s="3">
        <v>0</v>
      </c>
      <c r="N6336" s="3">
        <v>0</v>
      </c>
    </row>
    <row r="6337" spans="1:14" x14ac:dyDescent="0.2">
      <c r="A6337" s="5" t="str">
        <f>HYPERLINK("http://www.ncbi.nlm.nih.gov/protein/28626508","Rheb")</f>
        <v>Rheb</v>
      </c>
      <c r="B6337" s="4"/>
      <c r="C6337" s="3">
        <v>2654</v>
      </c>
      <c r="D6337" s="3">
        <v>5430</v>
      </c>
      <c r="E6337" s="3">
        <v>2849</v>
      </c>
      <c r="F6337" s="3">
        <v>3839</v>
      </c>
      <c r="G6337" s="3">
        <v>7336</v>
      </c>
      <c r="H6337" s="2">
        <f t="shared" si="196"/>
        <v>22108</v>
      </c>
      <c r="I6337" t="str">
        <f t="shared" si="197"/>
        <v>Rheb_22108</v>
      </c>
      <c r="J6337" s="3">
        <v>2654</v>
      </c>
      <c r="K6337" s="3">
        <v>5430</v>
      </c>
      <c r="L6337" s="3">
        <v>2849</v>
      </c>
      <c r="M6337" s="3">
        <v>3839</v>
      </c>
      <c r="N6337" s="3">
        <v>7336</v>
      </c>
    </row>
    <row r="6338" spans="1:14" x14ac:dyDescent="0.2">
      <c r="A6338" s="5" t="str">
        <f>HYPERLINK("http://www.ncbi.nlm.nih.gov/protein/31542143","Rhoa")</f>
        <v>Rhoa</v>
      </c>
      <c r="B6338" s="4"/>
      <c r="C6338" s="3">
        <v>127428</v>
      </c>
      <c r="D6338" s="3">
        <v>76263</v>
      </c>
      <c r="E6338" s="3">
        <v>72521</v>
      </c>
      <c r="F6338" s="3">
        <v>89214</v>
      </c>
      <c r="G6338" s="3">
        <v>213826</v>
      </c>
      <c r="H6338" s="2">
        <f t="shared" ref="H6338:H6401" si="198">SUM(C6338:G6338)</f>
        <v>579252</v>
      </c>
      <c r="I6338" t="str">
        <f t="shared" ref="I6338:I6401" si="199">A6338&amp;"_"&amp;H6338</f>
        <v>Rhoa_579252</v>
      </c>
      <c r="J6338" s="3">
        <v>127428</v>
      </c>
      <c r="K6338" s="3">
        <v>76263</v>
      </c>
      <c r="L6338" s="3">
        <v>72521</v>
      </c>
      <c r="M6338" s="3">
        <v>89214</v>
      </c>
      <c r="N6338" s="3">
        <v>213826</v>
      </c>
    </row>
    <row r="6339" spans="1:14" x14ac:dyDescent="0.2">
      <c r="A6339" s="5" t="str">
        <f>HYPERLINK("http://www.ncbi.nlm.nih.gov/protein/6680726","Rhob")</f>
        <v>Rhob</v>
      </c>
      <c r="B6339" s="4"/>
      <c r="C6339" s="3">
        <v>6517</v>
      </c>
      <c r="D6339" s="3">
        <v>6119</v>
      </c>
      <c r="E6339" s="3">
        <v>5673</v>
      </c>
      <c r="F6339" s="3">
        <v>164</v>
      </c>
      <c r="G6339" s="3">
        <v>2281</v>
      </c>
      <c r="H6339" s="2">
        <f t="shared" si="198"/>
        <v>20754</v>
      </c>
      <c r="I6339" t="str">
        <f t="shared" si="199"/>
        <v>Rhob_20754</v>
      </c>
      <c r="J6339" s="3">
        <v>6517</v>
      </c>
      <c r="K6339" s="3">
        <v>6119</v>
      </c>
      <c r="L6339" s="3">
        <v>5673</v>
      </c>
      <c r="M6339" s="3">
        <v>164</v>
      </c>
      <c r="N6339" s="3">
        <v>2281</v>
      </c>
    </row>
    <row r="6340" spans="1:14" x14ac:dyDescent="0.2">
      <c r="A6340" s="5" t="str">
        <f>HYPERLINK("http://www.ncbi.nlm.nih.gov/protein/160415213","Rhoc")</f>
        <v>Rhoc</v>
      </c>
      <c r="B6340" s="4"/>
      <c r="C6340" s="3">
        <v>123602</v>
      </c>
      <c r="D6340" s="3">
        <v>47967</v>
      </c>
      <c r="E6340" s="3">
        <v>70798</v>
      </c>
      <c r="F6340" s="3">
        <v>80677</v>
      </c>
      <c r="G6340" s="3">
        <v>217564</v>
      </c>
      <c r="H6340" s="2">
        <f t="shared" si="198"/>
        <v>540608</v>
      </c>
      <c r="I6340" t="str">
        <f t="shared" si="199"/>
        <v>Rhoc_540608</v>
      </c>
      <c r="J6340" s="3">
        <v>123602</v>
      </c>
      <c r="K6340" s="3">
        <v>47967</v>
      </c>
      <c r="L6340" s="3">
        <v>70798</v>
      </c>
      <c r="M6340" s="3">
        <v>80677</v>
      </c>
      <c r="N6340" s="3">
        <v>217564</v>
      </c>
    </row>
    <row r="6341" spans="1:14" x14ac:dyDescent="0.2">
      <c r="A6341" s="5" t="str">
        <f>HYPERLINK("http://www.ncbi.nlm.nih.gov/protein/6671573","Rhod")</f>
        <v>Rhod</v>
      </c>
      <c r="B6341" s="4"/>
      <c r="C6341" s="3">
        <v>0</v>
      </c>
      <c r="D6341" s="3">
        <v>86</v>
      </c>
      <c r="E6341" s="3">
        <v>569</v>
      </c>
      <c r="F6341" s="3">
        <v>0</v>
      </c>
      <c r="G6341" s="3">
        <v>0</v>
      </c>
      <c r="H6341" s="2">
        <f t="shared" si="198"/>
        <v>655</v>
      </c>
      <c r="I6341" t="str">
        <f t="shared" si="199"/>
        <v>Rhod_655</v>
      </c>
      <c r="J6341" s="3">
        <v>0</v>
      </c>
      <c r="K6341" s="3">
        <v>86</v>
      </c>
      <c r="L6341" s="3">
        <v>569</v>
      </c>
      <c r="M6341" s="3">
        <v>0</v>
      </c>
      <c r="N6341" s="3">
        <v>0</v>
      </c>
    </row>
    <row r="6342" spans="1:14" x14ac:dyDescent="0.2">
      <c r="A6342" s="5" t="str">
        <f>HYPERLINK("http://www.ncbi.nlm.nih.gov/protein/28201958","Rhof")</f>
        <v>Rhof</v>
      </c>
      <c r="B6342" s="4"/>
      <c r="C6342" s="3">
        <v>0</v>
      </c>
      <c r="D6342" s="3">
        <v>96</v>
      </c>
      <c r="E6342" s="3">
        <v>120</v>
      </c>
      <c r="F6342" s="3">
        <v>0</v>
      </c>
      <c r="G6342" s="3">
        <v>0</v>
      </c>
      <c r="H6342" s="2">
        <f t="shared" si="198"/>
        <v>216</v>
      </c>
      <c r="I6342" t="str">
        <f t="shared" si="199"/>
        <v>Rhof_216</v>
      </c>
      <c r="J6342" s="3">
        <v>0</v>
      </c>
      <c r="K6342" s="3">
        <v>96</v>
      </c>
      <c r="L6342" s="3">
        <v>120</v>
      </c>
      <c r="M6342" s="3">
        <v>0</v>
      </c>
      <c r="N6342" s="3">
        <v>0</v>
      </c>
    </row>
    <row r="6343" spans="1:14" x14ac:dyDescent="0.2">
      <c r="A6343" s="5" t="str">
        <f>HYPERLINK("http://www.ncbi.nlm.nih.gov/protein/9625037","Rhog")</f>
        <v>Rhog</v>
      </c>
      <c r="B6343" s="4"/>
      <c r="C6343" s="3">
        <v>1080</v>
      </c>
      <c r="D6343" s="3">
        <v>12003</v>
      </c>
      <c r="E6343" s="3">
        <v>32736</v>
      </c>
      <c r="F6343" s="3">
        <v>36262</v>
      </c>
      <c r="G6343" s="3">
        <v>2988</v>
      </c>
      <c r="H6343" s="2">
        <f t="shared" si="198"/>
        <v>85069</v>
      </c>
      <c r="I6343" t="str">
        <f t="shared" si="199"/>
        <v>Rhog_85069</v>
      </c>
      <c r="J6343" s="3">
        <v>1080</v>
      </c>
      <c r="K6343" s="3">
        <v>12003</v>
      </c>
      <c r="L6343" s="3">
        <v>32736</v>
      </c>
      <c r="M6343" s="3">
        <v>36262</v>
      </c>
      <c r="N6343" s="3">
        <v>2988</v>
      </c>
    </row>
    <row r="6344" spans="1:14" x14ac:dyDescent="0.2">
      <c r="A6344" s="5" t="str">
        <f>HYPERLINK("http://www.ncbi.nlm.nih.gov/protein/13489097","Rhoj")</f>
        <v>Rhoj</v>
      </c>
      <c r="B6344" s="4"/>
      <c r="C6344" s="3">
        <v>0</v>
      </c>
      <c r="D6344" s="3">
        <v>9145</v>
      </c>
      <c r="E6344" s="3">
        <v>22351</v>
      </c>
      <c r="F6344" s="3">
        <v>23599</v>
      </c>
      <c r="G6344" s="3">
        <v>1714</v>
      </c>
      <c r="H6344" s="2">
        <f t="shared" si="198"/>
        <v>56809</v>
      </c>
      <c r="I6344" t="str">
        <f t="shared" si="199"/>
        <v>Rhoj_56809</v>
      </c>
      <c r="J6344" s="3">
        <v>0</v>
      </c>
      <c r="K6344" s="3">
        <v>9145</v>
      </c>
      <c r="L6344" s="3">
        <v>22351</v>
      </c>
      <c r="M6344" s="3">
        <v>23599</v>
      </c>
      <c r="N6344" s="3">
        <v>1714</v>
      </c>
    </row>
    <row r="6345" spans="1:14" x14ac:dyDescent="0.2">
      <c r="A6345" s="5" t="str">
        <f>HYPERLINK("http://www.ncbi.nlm.nih.gov/protein/34328361","Rhoq")</f>
        <v>Rhoq</v>
      </c>
      <c r="B6345" s="4"/>
      <c r="C6345" s="3">
        <v>0</v>
      </c>
      <c r="D6345" s="3">
        <v>9145</v>
      </c>
      <c r="E6345" s="3">
        <v>22351</v>
      </c>
      <c r="F6345" s="3">
        <v>23599</v>
      </c>
      <c r="G6345" s="3">
        <v>1714</v>
      </c>
      <c r="H6345" s="2">
        <f t="shared" si="198"/>
        <v>56809</v>
      </c>
      <c r="I6345" t="str">
        <f t="shared" si="199"/>
        <v>Rhoq_56809</v>
      </c>
      <c r="J6345" s="3">
        <v>0</v>
      </c>
      <c r="K6345" s="3">
        <v>9145</v>
      </c>
      <c r="L6345" s="3">
        <v>22351</v>
      </c>
      <c r="M6345" s="3">
        <v>23599</v>
      </c>
      <c r="N6345" s="3">
        <v>1714</v>
      </c>
    </row>
    <row r="6346" spans="1:14" x14ac:dyDescent="0.2">
      <c r="A6346" s="5" t="str">
        <f>HYPERLINK("http://www.ncbi.nlm.nih.gov/protein/254039727","Rhot1")</f>
        <v>Rhot1</v>
      </c>
      <c r="B6346" s="4"/>
      <c r="C6346" s="3">
        <v>3917</v>
      </c>
      <c r="D6346" s="3">
        <v>7434</v>
      </c>
      <c r="E6346" s="3">
        <v>1261</v>
      </c>
      <c r="F6346" s="3">
        <v>0</v>
      </c>
      <c r="G6346" s="3">
        <v>0</v>
      </c>
      <c r="H6346" s="2">
        <f t="shared" si="198"/>
        <v>12612</v>
      </c>
      <c r="I6346" t="str">
        <f t="shared" si="199"/>
        <v>Rhot1_12612</v>
      </c>
      <c r="J6346" s="3">
        <v>3917</v>
      </c>
      <c r="K6346" s="3">
        <v>7434</v>
      </c>
      <c r="L6346" s="3">
        <v>1261</v>
      </c>
      <c r="M6346" s="3">
        <v>0</v>
      </c>
      <c r="N6346" s="3">
        <v>0</v>
      </c>
    </row>
    <row r="6347" spans="1:14" x14ac:dyDescent="0.2">
      <c r="A6347" s="5" t="str">
        <f>HYPERLINK("http://www.ncbi.nlm.nih.gov/protein/254039729","Rhot1")</f>
        <v>Rhot1</v>
      </c>
      <c r="B6347" s="4"/>
      <c r="C6347" s="3">
        <v>3917</v>
      </c>
      <c r="D6347" s="3">
        <v>7434</v>
      </c>
      <c r="E6347" s="3">
        <v>1261</v>
      </c>
      <c r="F6347" s="3">
        <v>0</v>
      </c>
      <c r="G6347" s="3">
        <v>0</v>
      </c>
      <c r="H6347" s="2">
        <f t="shared" si="198"/>
        <v>12612</v>
      </c>
      <c r="I6347" t="str">
        <f t="shared" si="199"/>
        <v>Rhot1_12612</v>
      </c>
      <c r="J6347" s="3">
        <v>3917</v>
      </c>
      <c r="K6347" s="3">
        <v>7434</v>
      </c>
      <c r="L6347" s="3">
        <v>1261</v>
      </c>
      <c r="M6347" s="3">
        <v>0</v>
      </c>
      <c r="N6347" s="3">
        <v>0</v>
      </c>
    </row>
    <row r="6348" spans="1:14" x14ac:dyDescent="0.2">
      <c r="A6348" s="5" t="str">
        <f>HYPERLINK("http://www.ncbi.nlm.nih.gov/protein/31559891","Rhot1")</f>
        <v>Rhot1</v>
      </c>
      <c r="B6348" s="4"/>
      <c r="C6348" s="3">
        <v>3917</v>
      </c>
      <c r="D6348" s="3">
        <v>7434</v>
      </c>
      <c r="E6348" s="3">
        <v>1261</v>
      </c>
      <c r="F6348" s="3">
        <v>0</v>
      </c>
      <c r="G6348" s="3">
        <v>0</v>
      </c>
      <c r="H6348" s="2">
        <f t="shared" si="198"/>
        <v>12612</v>
      </c>
      <c r="I6348" t="str">
        <f t="shared" si="199"/>
        <v>Rhot1_12612</v>
      </c>
      <c r="J6348" s="3">
        <v>3917</v>
      </c>
      <c r="K6348" s="3">
        <v>7434</v>
      </c>
      <c r="L6348" s="3">
        <v>1261</v>
      </c>
      <c r="M6348" s="3">
        <v>0</v>
      </c>
      <c r="N6348" s="3">
        <v>0</v>
      </c>
    </row>
    <row r="6349" spans="1:14" x14ac:dyDescent="0.2">
      <c r="A6349" s="5" t="str">
        <f>HYPERLINK("http://www.ncbi.nlm.nih.gov/protein/22122457","Rhot2")</f>
        <v>Rhot2</v>
      </c>
      <c r="B6349" s="4"/>
      <c r="C6349" s="3">
        <v>3917</v>
      </c>
      <c r="D6349" s="3">
        <v>6448</v>
      </c>
      <c r="E6349" s="3">
        <v>1220</v>
      </c>
      <c r="F6349" s="3">
        <v>0</v>
      </c>
      <c r="G6349" s="3">
        <v>0</v>
      </c>
      <c r="H6349" s="2">
        <f t="shared" si="198"/>
        <v>11585</v>
      </c>
      <c r="I6349" t="str">
        <f t="shared" si="199"/>
        <v>Rhot2_11585</v>
      </c>
      <c r="J6349" s="3">
        <v>3917</v>
      </c>
      <c r="K6349" s="3">
        <v>6448</v>
      </c>
      <c r="L6349" s="3">
        <v>1220</v>
      </c>
      <c r="M6349" s="3">
        <v>0</v>
      </c>
      <c r="N6349" s="3">
        <v>0</v>
      </c>
    </row>
    <row r="6350" spans="1:14" x14ac:dyDescent="0.2">
      <c r="A6350" s="5" t="str">
        <f>HYPERLINK("http://www.ncbi.nlm.nih.gov/protein/229092577","Rhpn2")</f>
        <v>Rhpn2</v>
      </c>
      <c r="B6350" s="4"/>
      <c r="C6350" s="3">
        <v>0</v>
      </c>
      <c r="D6350" s="3">
        <v>1607</v>
      </c>
      <c r="E6350" s="3">
        <v>2215</v>
      </c>
      <c r="F6350" s="3">
        <v>5165</v>
      </c>
      <c r="G6350" s="3">
        <v>54415</v>
      </c>
      <c r="H6350" s="2">
        <f t="shared" si="198"/>
        <v>63402</v>
      </c>
      <c r="I6350" t="str">
        <f t="shared" si="199"/>
        <v>Rhpn2_63402</v>
      </c>
      <c r="J6350" s="3">
        <v>0</v>
      </c>
      <c r="K6350" s="3">
        <v>1607</v>
      </c>
      <c r="L6350" s="3">
        <v>2215</v>
      </c>
      <c r="M6350" s="3">
        <v>5165</v>
      </c>
      <c r="N6350" s="3">
        <v>54415</v>
      </c>
    </row>
    <row r="6351" spans="1:14" x14ac:dyDescent="0.2">
      <c r="A6351" s="5" t="str">
        <f>HYPERLINK("http://www.ncbi.nlm.nih.gov/protein/13385124","Ribc1")</f>
        <v>Ribc1</v>
      </c>
      <c r="B6351" s="4"/>
      <c r="C6351" s="3">
        <v>5473</v>
      </c>
      <c r="D6351" s="3">
        <v>0</v>
      </c>
      <c r="E6351" s="3">
        <v>1826</v>
      </c>
      <c r="F6351" s="3">
        <v>0</v>
      </c>
      <c r="G6351" s="3">
        <v>0</v>
      </c>
      <c r="H6351" s="2">
        <f t="shared" si="198"/>
        <v>7299</v>
      </c>
      <c r="I6351" t="str">
        <f t="shared" si="199"/>
        <v>Ribc1_7299</v>
      </c>
      <c r="J6351" s="3">
        <v>5473</v>
      </c>
      <c r="K6351" s="3">
        <v>0</v>
      </c>
      <c r="L6351" s="3">
        <v>1826</v>
      </c>
      <c r="M6351" s="3">
        <v>0</v>
      </c>
      <c r="N6351" s="3">
        <v>0</v>
      </c>
    </row>
    <row r="6352" spans="1:14" x14ac:dyDescent="0.2">
      <c r="A6352" s="5" t="str">
        <f>HYPERLINK("http://www.ncbi.nlm.nih.gov/protein/16716495","Ric8")</f>
        <v>Ric8</v>
      </c>
      <c r="B6352" s="4"/>
      <c r="C6352" s="3">
        <v>0</v>
      </c>
      <c r="D6352" s="3">
        <v>1996</v>
      </c>
      <c r="E6352" s="3">
        <v>4106</v>
      </c>
      <c r="F6352" s="3">
        <v>11034</v>
      </c>
      <c r="G6352" s="3">
        <v>0</v>
      </c>
      <c r="H6352" s="2">
        <f t="shared" si="198"/>
        <v>17136</v>
      </c>
      <c r="I6352" t="str">
        <f t="shared" si="199"/>
        <v>Ric8_17136</v>
      </c>
      <c r="J6352" s="3">
        <v>0</v>
      </c>
      <c r="K6352" s="3">
        <v>1996</v>
      </c>
      <c r="L6352" s="3">
        <v>4106</v>
      </c>
      <c r="M6352" s="3">
        <v>11034</v>
      </c>
      <c r="N6352" s="3">
        <v>0</v>
      </c>
    </row>
    <row r="6353" spans="1:14" x14ac:dyDescent="0.2">
      <c r="A6353" s="5" t="str">
        <f>HYPERLINK("http://www.ncbi.nlm.nih.gov/protein/34147209","Ric8b")</f>
        <v>Ric8b</v>
      </c>
      <c r="B6353" s="4"/>
      <c r="C6353" s="3">
        <v>0</v>
      </c>
      <c r="D6353" s="3">
        <v>0</v>
      </c>
      <c r="E6353" s="3">
        <v>0</v>
      </c>
      <c r="F6353" s="3">
        <v>516</v>
      </c>
      <c r="G6353" s="3">
        <v>0</v>
      </c>
      <c r="H6353" s="2">
        <f t="shared" si="198"/>
        <v>516</v>
      </c>
      <c r="I6353" t="str">
        <f t="shared" si="199"/>
        <v>Ric8b_516</v>
      </c>
      <c r="J6353" s="3">
        <v>0</v>
      </c>
      <c r="K6353" s="3">
        <v>0</v>
      </c>
      <c r="L6353" s="3">
        <v>0</v>
      </c>
      <c r="M6353" s="3">
        <v>516</v>
      </c>
      <c r="N6353" s="3">
        <v>0</v>
      </c>
    </row>
    <row r="6354" spans="1:14" x14ac:dyDescent="0.2">
      <c r="A6354" s="5" t="str">
        <f>HYPERLINK("http://www.ncbi.nlm.nih.gov/protein/61806725","Ric8b")</f>
        <v>Ric8b</v>
      </c>
      <c r="B6354" s="4"/>
      <c r="C6354" s="3">
        <v>0</v>
      </c>
      <c r="D6354" s="3">
        <v>0</v>
      </c>
      <c r="E6354" s="3">
        <v>0</v>
      </c>
      <c r="F6354" s="3">
        <v>516</v>
      </c>
      <c r="G6354" s="3">
        <v>0</v>
      </c>
      <c r="H6354" s="2">
        <f t="shared" si="198"/>
        <v>516</v>
      </c>
      <c r="I6354" t="str">
        <f t="shared" si="199"/>
        <v>Ric8b_516</v>
      </c>
      <c r="J6354" s="3">
        <v>0</v>
      </c>
      <c r="K6354" s="3">
        <v>0</v>
      </c>
      <c r="L6354" s="3">
        <v>0</v>
      </c>
      <c r="M6354" s="3">
        <v>516</v>
      </c>
      <c r="N6354" s="3">
        <v>0</v>
      </c>
    </row>
    <row r="6355" spans="1:14" x14ac:dyDescent="0.2">
      <c r="A6355" s="5" t="str">
        <f>HYPERLINK("http://www.ncbi.nlm.nih.gov/protein/168480120","Rictor")</f>
        <v>Rictor</v>
      </c>
      <c r="B6355" s="4"/>
      <c r="C6355" s="3">
        <v>0</v>
      </c>
      <c r="D6355" s="3">
        <v>52</v>
      </c>
      <c r="E6355" s="3">
        <v>637</v>
      </c>
      <c r="F6355" s="3">
        <v>16</v>
      </c>
      <c r="G6355" s="3">
        <v>0</v>
      </c>
      <c r="H6355" s="2">
        <f t="shared" si="198"/>
        <v>705</v>
      </c>
      <c r="I6355" t="str">
        <f t="shared" si="199"/>
        <v>Rictor_705</v>
      </c>
      <c r="J6355" s="3">
        <v>0</v>
      </c>
      <c r="K6355" s="3">
        <v>52</v>
      </c>
      <c r="L6355" s="3">
        <v>637</v>
      </c>
      <c r="M6355" s="3">
        <v>16</v>
      </c>
      <c r="N6355" s="3">
        <v>0</v>
      </c>
    </row>
    <row r="6356" spans="1:14" x14ac:dyDescent="0.2">
      <c r="A6356" s="5" t="str">
        <f>HYPERLINK("http://www.ncbi.nlm.nih.gov/protein/71480154","Rilp")</f>
        <v>Rilp</v>
      </c>
      <c r="B6356" s="4"/>
      <c r="C6356" s="3">
        <v>0</v>
      </c>
      <c r="D6356" s="3">
        <v>812</v>
      </c>
      <c r="E6356" s="3">
        <v>1122</v>
      </c>
      <c r="F6356" s="3">
        <v>0</v>
      </c>
      <c r="G6356" s="3">
        <v>0</v>
      </c>
      <c r="H6356" s="2">
        <f t="shared" si="198"/>
        <v>1934</v>
      </c>
      <c r="I6356" t="str">
        <f t="shared" si="199"/>
        <v>Rilp_1934</v>
      </c>
      <c r="J6356" s="3">
        <v>0</v>
      </c>
      <c r="K6356" s="3">
        <v>812</v>
      </c>
      <c r="L6356" s="3">
        <v>1122</v>
      </c>
      <c r="M6356" s="3">
        <v>0</v>
      </c>
      <c r="N6356" s="3">
        <v>0</v>
      </c>
    </row>
    <row r="6357" spans="1:14" x14ac:dyDescent="0.2">
      <c r="A6357" s="5" t="str">
        <f>HYPERLINK("http://www.ncbi.nlm.nih.gov/protein/10946796","Rilpl1")</f>
        <v>Rilpl1</v>
      </c>
      <c r="B6357" s="4"/>
      <c r="C6357" s="3">
        <v>0</v>
      </c>
      <c r="D6357" s="3">
        <v>0</v>
      </c>
      <c r="E6357" s="3">
        <v>51</v>
      </c>
      <c r="F6357" s="3">
        <v>0</v>
      </c>
      <c r="G6357" s="3">
        <v>3149</v>
      </c>
      <c r="H6357" s="2">
        <f t="shared" si="198"/>
        <v>3200</v>
      </c>
      <c r="I6357" t="str">
        <f t="shared" si="199"/>
        <v>Rilpl1_3200</v>
      </c>
      <c r="J6357" s="3">
        <v>0</v>
      </c>
      <c r="K6357" s="3">
        <v>0</v>
      </c>
      <c r="L6357" s="3">
        <v>51</v>
      </c>
      <c r="M6357" s="3">
        <v>0</v>
      </c>
      <c r="N6357" s="3">
        <v>3149</v>
      </c>
    </row>
    <row r="6358" spans="1:14" x14ac:dyDescent="0.2">
      <c r="A6358" s="5" t="str">
        <f>HYPERLINK("http://www.ncbi.nlm.nih.gov/protein/21703974","Rin1")</f>
        <v>Rin1</v>
      </c>
      <c r="B6358" s="4"/>
      <c r="C6358" s="3">
        <v>0</v>
      </c>
      <c r="D6358" s="3">
        <v>0</v>
      </c>
      <c r="E6358" s="3">
        <v>13</v>
      </c>
      <c r="F6358" s="3">
        <v>1613</v>
      </c>
      <c r="G6358" s="3">
        <v>0</v>
      </c>
      <c r="H6358" s="2">
        <f t="shared" si="198"/>
        <v>1626</v>
      </c>
      <c r="I6358" t="str">
        <f t="shared" si="199"/>
        <v>Rin1_1626</v>
      </c>
      <c r="J6358" s="3">
        <v>0</v>
      </c>
      <c r="K6358" s="3">
        <v>0</v>
      </c>
      <c r="L6358" s="3">
        <v>13</v>
      </c>
      <c r="M6358" s="3">
        <v>1613</v>
      </c>
      <c r="N6358" s="3">
        <v>0</v>
      </c>
    </row>
    <row r="6359" spans="1:14" x14ac:dyDescent="0.2">
      <c r="A6359" s="5" t="str">
        <f>HYPERLINK("http://www.ncbi.nlm.nih.gov/protein/224967114","Rin2")</f>
        <v>Rin2</v>
      </c>
      <c r="B6359" s="4"/>
      <c r="C6359" s="3">
        <v>0</v>
      </c>
      <c r="D6359" s="3">
        <v>0</v>
      </c>
      <c r="E6359" s="3">
        <v>59</v>
      </c>
      <c r="F6359" s="3">
        <v>0</v>
      </c>
      <c r="G6359" s="3">
        <v>0</v>
      </c>
      <c r="H6359" s="2">
        <f t="shared" si="198"/>
        <v>59</v>
      </c>
      <c r="I6359" t="str">
        <f t="shared" si="199"/>
        <v>Rin2_59</v>
      </c>
      <c r="J6359" s="3">
        <v>0</v>
      </c>
      <c r="K6359" s="3">
        <v>0</v>
      </c>
      <c r="L6359" s="3">
        <v>59</v>
      </c>
      <c r="M6359" s="3">
        <v>0</v>
      </c>
      <c r="N6359" s="3">
        <v>0</v>
      </c>
    </row>
    <row r="6360" spans="1:14" x14ac:dyDescent="0.2">
      <c r="A6360" s="5" t="str">
        <f>HYPERLINK("http://www.ncbi.nlm.nih.gov/protein/238624151","Rin3")</f>
        <v>Rin3</v>
      </c>
      <c r="B6360" s="4"/>
      <c r="C6360" s="3">
        <v>0</v>
      </c>
      <c r="D6360" s="3">
        <v>0</v>
      </c>
      <c r="E6360" s="3">
        <v>0</v>
      </c>
      <c r="F6360" s="3">
        <v>0</v>
      </c>
      <c r="G6360" s="3">
        <v>728</v>
      </c>
      <c r="H6360" s="2">
        <f t="shared" si="198"/>
        <v>728</v>
      </c>
      <c r="I6360" t="str">
        <f t="shared" si="199"/>
        <v>Rin3_728</v>
      </c>
      <c r="J6360" s="3">
        <v>0</v>
      </c>
      <c r="K6360" s="3">
        <v>0</v>
      </c>
      <c r="L6360" s="3">
        <v>0</v>
      </c>
      <c r="M6360" s="3">
        <v>0</v>
      </c>
      <c r="N6360" s="3">
        <v>728</v>
      </c>
    </row>
    <row r="6361" spans="1:14" x14ac:dyDescent="0.2">
      <c r="A6361" s="5" t="str">
        <f>HYPERLINK("http://www.ncbi.nlm.nih.gov/protein/238624153","Rin3")</f>
        <v>Rin3</v>
      </c>
      <c r="B6361" s="4"/>
      <c r="C6361" s="3">
        <v>0</v>
      </c>
      <c r="D6361" s="3">
        <v>0</v>
      </c>
      <c r="E6361" s="3">
        <v>0</v>
      </c>
      <c r="F6361" s="3">
        <v>0</v>
      </c>
      <c r="G6361" s="3">
        <v>728</v>
      </c>
      <c r="H6361" s="2">
        <f t="shared" si="198"/>
        <v>728</v>
      </c>
      <c r="I6361" t="str">
        <f t="shared" si="199"/>
        <v>Rin3_728</v>
      </c>
      <c r="J6361" s="3">
        <v>0</v>
      </c>
      <c r="K6361" s="3">
        <v>0</v>
      </c>
      <c r="L6361" s="3">
        <v>0</v>
      </c>
      <c r="M6361" s="3">
        <v>0</v>
      </c>
      <c r="N6361" s="3">
        <v>728</v>
      </c>
    </row>
    <row r="6362" spans="1:14" x14ac:dyDescent="0.2">
      <c r="A6362" s="5" t="str">
        <f>HYPERLINK("http://www.ncbi.nlm.nih.gov/protein/226958428","Ring1")</f>
        <v>Ring1</v>
      </c>
      <c r="B6362" s="4"/>
      <c r="C6362" s="3">
        <v>0</v>
      </c>
      <c r="D6362" s="3">
        <v>0</v>
      </c>
      <c r="E6362" s="3">
        <v>1</v>
      </c>
      <c r="F6362" s="3">
        <v>33</v>
      </c>
      <c r="G6362" s="3">
        <v>246</v>
      </c>
      <c r="H6362" s="2">
        <f t="shared" si="198"/>
        <v>280</v>
      </c>
      <c r="I6362" t="str">
        <f t="shared" si="199"/>
        <v>Ring1_280</v>
      </c>
      <c r="J6362" s="3">
        <v>0</v>
      </c>
      <c r="K6362" s="3">
        <v>0</v>
      </c>
      <c r="L6362" s="3">
        <v>1</v>
      </c>
      <c r="M6362" s="3">
        <v>33</v>
      </c>
      <c r="N6362" s="3">
        <v>246</v>
      </c>
    </row>
    <row r="6363" spans="1:14" x14ac:dyDescent="0.2">
      <c r="A6363" s="5" t="str">
        <f>HYPERLINK("http://www.ncbi.nlm.nih.gov/protein/62899067","Rint1")</f>
        <v>Rint1</v>
      </c>
      <c r="B6363" s="4"/>
      <c r="C6363" s="3">
        <v>0</v>
      </c>
      <c r="D6363" s="3">
        <v>0</v>
      </c>
      <c r="E6363" s="3">
        <v>427</v>
      </c>
      <c r="F6363" s="3">
        <v>0</v>
      </c>
      <c r="G6363" s="3">
        <v>0</v>
      </c>
      <c r="H6363" s="2">
        <f t="shared" si="198"/>
        <v>427</v>
      </c>
      <c r="I6363" t="str">
        <f t="shared" si="199"/>
        <v>Rint1_427</v>
      </c>
      <c r="J6363" s="3">
        <v>0</v>
      </c>
      <c r="K6363" s="3">
        <v>0</v>
      </c>
      <c r="L6363" s="3">
        <v>427</v>
      </c>
      <c r="M6363" s="3">
        <v>0</v>
      </c>
      <c r="N6363" s="3">
        <v>0</v>
      </c>
    </row>
    <row r="6364" spans="1:14" x14ac:dyDescent="0.2">
      <c r="A6364" s="5" t="str">
        <f>HYPERLINK("http://www.ncbi.nlm.nih.gov/protein/22208995","Riok1")</f>
        <v>Riok1</v>
      </c>
      <c r="B6364" s="4"/>
      <c r="C6364" s="3">
        <v>0</v>
      </c>
      <c r="D6364" s="3">
        <v>0</v>
      </c>
      <c r="E6364" s="3">
        <v>0</v>
      </c>
      <c r="F6364" s="3">
        <v>1334</v>
      </c>
      <c r="G6364" s="3">
        <v>0</v>
      </c>
      <c r="H6364" s="2">
        <f t="shared" si="198"/>
        <v>1334</v>
      </c>
      <c r="I6364" t="str">
        <f t="shared" si="199"/>
        <v>Riok1_1334</v>
      </c>
      <c r="J6364" s="3">
        <v>0</v>
      </c>
      <c r="K6364" s="3">
        <v>0</v>
      </c>
      <c r="L6364" s="3">
        <v>0</v>
      </c>
      <c r="M6364" s="3">
        <v>1334</v>
      </c>
      <c r="N6364" s="3">
        <v>0</v>
      </c>
    </row>
    <row r="6365" spans="1:14" x14ac:dyDescent="0.2">
      <c r="A6365" s="5" t="str">
        <f>HYPERLINK("http://www.ncbi.nlm.nih.gov/protein/34328467","Ripk1")</f>
        <v>Ripk1</v>
      </c>
      <c r="B6365" s="4"/>
      <c r="C6365" s="3">
        <v>0</v>
      </c>
      <c r="D6365" s="3">
        <v>0</v>
      </c>
      <c r="E6365" s="3">
        <v>0</v>
      </c>
      <c r="F6365" s="3">
        <v>0</v>
      </c>
      <c r="G6365" s="3">
        <v>535</v>
      </c>
      <c r="H6365" s="2">
        <f t="shared" si="198"/>
        <v>535</v>
      </c>
      <c r="I6365" t="str">
        <f t="shared" si="199"/>
        <v>Ripk1_535</v>
      </c>
      <c r="J6365" s="3">
        <v>0</v>
      </c>
      <c r="K6365" s="3">
        <v>0</v>
      </c>
      <c r="L6365" s="3">
        <v>0</v>
      </c>
      <c r="M6365" s="3">
        <v>0</v>
      </c>
      <c r="N6365" s="3">
        <v>535</v>
      </c>
    </row>
    <row r="6366" spans="1:14" x14ac:dyDescent="0.2">
      <c r="A6366" s="5" t="str">
        <f>HYPERLINK("http://www.ncbi.nlm.nih.gov/protein/31560255","Rmdn1")</f>
        <v>Rmdn1</v>
      </c>
      <c r="B6366" s="4"/>
      <c r="C6366" s="3">
        <v>0</v>
      </c>
      <c r="D6366" s="3">
        <v>841</v>
      </c>
      <c r="E6366" s="3">
        <v>0</v>
      </c>
      <c r="F6366" s="3">
        <v>0</v>
      </c>
      <c r="G6366" s="3">
        <v>0</v>
      </c>
      <c r="H6366" s="2">
        <f t="shared" si="198"/>
        <v>841</v>
      </c>
      <c r="I6366" t="str">
        <f t="shared" si="199"/>
        <v>Rmdn1_841</v>
      </c>
      <c r="J6366" s="3">
        <v>0</v>
      </c>
      <c r="K6366" s="3">
        <v>841</v>
      </c>
      <c r="L6366" s="3">
        <v>0</v>
      </c>
      <c r="M6366" s="3">
        <v>0</v>
      </c>
      <c r="N6366" s="3">
        <v>0</v>
      </c>
    </row>
    <row r="6367" spans="1:14" x14ac:dyDescent="0.2">
      <c r="A6367" s="5" t="str">
        <f>HYPERLINK("http://www.ncbi.nlm.nih.gov/protein/41235741","Rmdn2")</f>
        <v>Rmdn2</v>
      </c>
      <c r="B6367" s="4"/>
      <c r="C6367" s="3">
        <v>0</v>
      </c>
      <c r="D6367" s="3">
        <v>0</v>
      </c>
      <c r="E6367" s="3">
        <v>114</v>
      </c>
      <c r="F6367" s="3">
        <v>0</v>
      </c>
      <c r="G6367" s="3">
        <v>0</v>
      </c>
      <c r="H6367" s="2">
        <f t="shared" si="198"/>
        <v>114</v>
      </c>
      <c r="I6367" t="str">
        <f t="shared" si="199"/>
        <v>Rmdn2_114</v>
      </c>
      <c r="J6367" s="3">
        <v>0</v>
      </c>
      <c r="K6367" s="3">
        <v>0</v>
      </c>
      <c r="L6367" s="3">
        <v>114</v>
      </c>
      <c r="M6367" s="3">
        <v>0</v>
      </c>
      <c r="N6367" s="3">
        <v>0</v>
      </c>
    </row>
    <row r="6368" spans="1:14" x14ac:dyDescent="0.2">
      <c r="A6368" s="5" t="str">
        <f>HYPERLINK("http://www.ncbi.nlm.nih.gov/protein/85701644","Rmdn3")</f>
        <v>Rmdn3</v>
      </c>
      <c r="B6368" s="4"/>
      <c r="C6368" s="3">
        <v>0</v>
      </c>
      <c r="D6368" s="3">
        <v>1136</v>
      </c>
      <c r="E6368" s="3">
        <v>0</v>
      </c>
      <c r="F6368" s="3">
        <v>0</v>
      </c>
      <c r="G6368" s="3">
        <v>0</v>
      </c>
      <c r="H6368" s="2">
        <f t="shared" si="198"/>
        <v>1136</v>
      </c>
      <c r="I6368" t="str">
        <f t="shared" si="199"/>
        <v>Rmdn3_1136</v>
      </c>
      <c r="J6368" s="3">
        <v>0</v>
      </c>
      <c r="K6368" s="3">
        <v>1136</v>
      </c>
      <c r="L6368" s="3">
        <v>0</v>
      </c>
      <c r="M6368" s="3">
        <v>0</v>
      </c>
      <c r="N6368" s="3">
        <v>0</v>
      </c>
    </row>
    <row r="6369" spans="1:14" x14ac:dyDescent="0.2">
      <c r="A6369" s="5" t="str">
        <f>HYPERLINK("http://www.ncbi.nlm.nih.gov/protein/267844815","Rmnd5a")</f>
        <v>Rmnd5a</v>
      </c>
      <c r="B6369" s="4"/>
      <c r="C6369" s="3">
        <v>0</v>
      </c>
      <c r="D6369" s="3">
        <v>0</v>
      </c>
      <c r="E6369" s="3">
        <v>0</v>
      </c>
      <c r="F6369" s="3">
        <v>7989</v>
      </c>
      <c r="G6369" s="3">
        <v>0</v>
      </c>
      <c r="H6369" s="2">
        <f t="shared" si="198"/>
        <v>7989</v>
      </c>
      <c r="I6369" t="str">
        <f t="shared" si="199"/>
        <v>Rmnd5a_7989</v>
      </c>
      <c r="J6369" s="3">
        <v>0</v>
      </c>
      <c r="K6369" s="3">
        <v>0</v>
      </c>
      <c r="L6369" s="3">
        <v>0</v>
      </c>
      <c r="M6369" s="3">
        <v>7989</v>
      </c>
      <c r="N6369" s="3">
        <v>0</v>
      </c>
    </row>
    <row r="6370" spans="1:14" x14ac:dyDescent="0.2">
      <c r="A6370" s="5" t="str">
        <f>HYPERLINK("http://www.ncbi.nlm.nih.gov/protein/226246542","Rnaseh1")</f>
        <v>Rnaseh1</v>
      </c>
      <c r="B6370" s="4"/>
      <c r="C6370" s="3">
        <v>0</v>
      </c>
      <c r="D6370" s="3">
        <v>0</v>
      </c>
      <c r="E6370" s="3">
        <v>0</v>
      </c>
      <c r="F6370" s="3">
        <v>0</v>
      </c>
      <c r="G6370" s="3">
        <v>1617</v>
      </c>
      <c r="H6370" s="2">
        <f t="shared" si="198"/>
        <v>1617</v>
      </c>
      <c r="I6370" t="str">
        <f t="shared" si="199"/>
        <v>Rnaseh1_1617</v>
      </c>
      <c r="J6370" s="3">
        <v>0</v>
      </c>
      <c r="K6370" s="3">
        <v>0</v>
      </c>
      <c r="L6370" s="3">
        <v>0</v>
      </c>
      <c r="M6370" s="3">
        <v>0</v>
      </c>
      <c r="N6370" s="3">
        <v>1617</v>
      </c>
    </row>
    <row r="6371" spans="1:14" x14ac:dyDescent="0.2">
      <c r="A6371" s="5" t="str">
        <f>HYPERLINK("http://www.ncbi.nlm.nih.gov/protein/58037175","Rnaseh2a")</f>
        <v>Rnaseh2a</v>
      </c>
      <c r="B6371" s="4"/>
      <c r="C6371" s="3">
        <v>0</v>
      </c>
      <c r="D6371" s="3">
        <v>307</v>
      </c>
      <c r="E6371" s="3">
        <v>12</v>
      </c>
      <c r="F6371" s="3">
        <v>131</v>
      </c>
      <c r="G6371" s="3">
        <v>578</v>
      </c>
      <c r="H6371" s="2">
        <f t="shared" si="198"/>
        <v>1028</v>
      </c>
      <c r="I6371" t="str">
        <f t="shared" si="199"/>
        <v>Rnaseh2a_1028</v>
      </c>
      <c r="J6371" s="3">
        <v>0</v>
      </c>
      <c r="K6371" s="3">
        <v>307</v>
      </c>
      <c r="L6371" s="3">
        <v>12</v>
      </c>
      <c r="M6371" s="3">
        <v>131</v>
      </c>
      <c r="N6371" s="3">
        <v>578</v>
      </c>
    </row>
    <row r="6372" spans="1:14" x14ac:dyDescent="0.2">
      <c r="A6372" s="5" t="str">
        <f>HYPERLINK("http://www.ncbi.nlm.nih.gov/protein/58037097","Rnaseh2b")</f>
        <v>Rnaseh2b</v>
      </c>
      <c r="B6372" s="4"/>
      <c r="C6372" s="3">
        <v>0</v>
      </c>
      <c r="D6372" s="3">
        <v>405</v>
      </c>
      <c r="E6372" s="3">
        <v>764</v>
      </c>
      <c r="F6372" s="3">
        <v>7383</v>
      </c>
      <c r="G6372" s="3">
        <v>23839</v>
      </c>
      <c r="H6372" s="2">
        <f t="shared" si="198"/>
        <v>32391</v>
      </c>
      <c r="I6372" t="str">
        <f t="shared" si="199"/>
        <v>Rnaseh2b_32391</v>
      </c>
      <c r="J6372" s="3">
        <v>0</v>
      </c>
      <c r="K6372" s="3">
        <v>405</v>
      </c>
      <c r="L6372" s="3">
        <v>764</v>
      </c>
      <c r="M6372" s="3">
        <v>7383</v>
      </c>
      <c r="N6372" s="3">
        <v>23839</v>
      </c>
    </row>
    <row r="6373" spans="1:14" x14ac:dyDescent="0.2">
      <c r="A6373" s="5" t="str">
        <f>HYPERLINK("http://www.ncbi.nlm.nih.gov/protein/13386102","Rnaseh2c")</f>
        <v>Rnaseh2c</v>
      </c>
      <c r="B6373" s="4"/>
      <c r="C6373" s="3">
        <v>0</v>
      </c>
      <c r="D6373" s="3">
        <v>0</v>
      </c>
      <c r="E6373" s="3">
        <v>34</v>
      </c>
      <c r="F6373" s="3">
        <v>794</v>
      </c>
      <c r="G6373" s="3">
        <v>3373</v>
      </c>
      <c r="H6373" s="2">
        <f t="shared" si="198"/>
        <v>4201</v>
      </c>
      <c r="I6373" t="str">
        <f t="shared" si="199"/>
        <v>Rnaseh2c_4201</v>
      </c>
      <c r="J6373" s="3">
        <v>0</v>
      </c>
      <c r="K6373" s="3">
        <v>0</v>
      </c>
      <c r="L6373" s="3">
        <v>34</v>
      </c>
      <c r="M6373" s="3">
        <v>794</v>
      </c>
      <c r="N6373" s="3">
        <v>3373</v>
      </c>
    </row>
    <row r="6374" spans="1:14" x14ac:dyDescent="0.2">
      <c r="A6374" s="5" t="str">
        <f>HYPERLINK("http://www.ncbi.nlm.nih.gov/protein/33239393","Rnasek")</f>
        <v>Rnasek</v>
      </c>
      <c r="B6374" s="4"/>
      <c r="C6374" s="3">
        <v>769</v>
      </c>
      <c r="D6374" s="3">
        <v>0</v>
      </c>
      <c r="E6374" s="3">
        <v>634</v>
      </c>
      <c r="F6374" s="3">
        <v>0</v>
      </c>
      <c r="G6374" s="3">
        <v>0</v>
      </c>
      <c r="H6374" s="2">
        <f t="shared" si="198"/>
        <v>1403</v>
      </c>
      <c r="I6374" t="str">
        <f t="shared" si="199"/>
        <v>Rnasek_1403</v>
      </c>
      <c r="J6374" s="3">
        <v>769</v>
      </c>
      <c r="K6374" s="3">
        <v>0</v>
      </c>
      <c r="L6374" s="3">
        <v>634</v>
      </c>
      <c r="M6374" s="3">
        <v>0</v>
      </c>
      <c r="N6374" s="3">
        <v>0</v>
      </c>
    </row>
    <row r="6375" spans="1:14" x14ac:dyDescent="0.2">
      <c r="A6375" s="5" t="str">
        <f>HYPERLINK("http://www.ncbi.nlm.nih.gov/protein/21311883","Rnaset2b")</f>
        <v>Rnaset2b</v>
      </c>
      <c r="B6375" s="4"/>
      <c r="C6375" s="3">
        <v>2178</v>
      </c>
      <c r="D6375" s="3">
        <v>1142</v>
      </c>
      <c r="E6375" s="3">
        <v>499</v>
      </c>
      <c r="F6375" s="3">
        <v>0</v>
      </c>
      <c r="G6375" s="3">
        <v>5419</v>
      </c>
      <c r="H6375" s="2">
        <f t="shared" si="198"/>
        <v>9238</v>
      </c>
      <c r="I6375" t="str">
        <f t="shared" si="199"/>
        <v>Rnaset2b_9238</v>
      </c>
      <c r="J6375" s="3">
        <v>2178</v>
      </c>
      <c r="K6375" s="3">
        <v>1142</v>
      </c>
      <c r="L6375" s="3">
        <v>499</v>
      </c>
      <c r="M6375" s="3">
        <v>0</v>
      </c>
      <c r="N6375" s="3">
        <v>5419</v>
      </c>
    </row>
    <row r="6376" spans="1:14" x14ac:dyDescent="0.2">
      <c r="A6376" s="5" t="str">
        <f>HYPERLINK("http://www.ncbi.nlm.nih.gov/protein/7305435","Rnf11")</f>
        <v>Rnf11</v>
      </c>
      <c r="B6376" s="4"/>
      <c r="C6376" s="3">
        <v>0</v>
      </c>
      <c r="D6376" s="3">
        <v>35</v>
      </c>
      <c r="E6376" s="3">
        <v>59</v>
      </c>
      <c r="F6376" s="3">
        <v>0</v>
      </c>
      <c r="G6376" s="3">
        <v>0</v>
      </c>
      <c r="H6376" s="2">
        <f t="shared" si="198"/>
        <v>94</v>
      </c>
      <c r="I6376" t="str">
        <f t="shared" si="199"/>
        <v>Rnf11_94</v>
      </c>
      <c r="J6376" s="3">
        <v>0</v>
      </c>
      <c r="K6376" s="3">
        <v>35</v>
      </c>
      <c r="L6376" s="3">
        <v>59</v>
      </c>
      <c r="M6376" s="3">
        <v>0</v>
      </c>
      <c r="N6376" s="3">
        <v>0</v>
      </c>
    </row>
    <row r="6377" spans="1:14" x14ac:dyDescent="0.2">
      <c r="A6377" s="5" t="str">
        <f>HYPERLINK("http://www.ncbi.nlm.nih.gov/protein/20127402","Rnf112")</f>
        <v>Rnf112</v>
      </c>
      <c r="B6377" s="4"/>
      <c r="C6377" s="3">
        <v>0</v>
      </c>
      <c r="D6377" s="3">
        <v>0</v>
      </c>
      <c r="E6377" s="3">
        <v>597</v>
      </c>
      <c r="F6377" s="3">
        <v>0</v>
      </c>
      <c r="G6377" s="3">
        <v>0</v>
      </c>
      <c r="H6377" s="2">
        <f t="shared" si="198"/>
        <v>597</v>
      </c>
      <c r="I6377" t="str">
        <f t="shared" si="199"/>
        <v>Rnf112_597</v>
      </c>
      <c r="J6377" s="3">
        <v>0</v>
      </c>
      <c r="K6377" s="3">
        <v>0</v>
      </c>
      <c r="L6377" s="3">
        <v>597</v>
      </c>
      <c r="M6377" s="3">
        <v>0</v>
      </c>
      <c r="N6377" s="3">
        <v>0</v>
      </c>
    </row>
    <row r="6378" spans="1:14" x14ac:dyDescent="0.2">
      <c r="A6378" s="5" t="str">
        <f>HYPERLINK("http://www.ncbi.nlm.nih.gov/protein/23943840","Rnf113a1")</f>
        <v>Rnf113a1</v>
      </c>
      <c r="B6378" s="4"/>
      <c r="C6378" s="3">
        <v>0</v>
      </c>
      <c r="D6378" s="3">
        <v>0</v>
      </c>
      <c r="E6378" s="3">
        <v>0</v>
      </c>
      <c r="F6378" s="3">
        <v>0</v>
      </c>
      <c r="G6378" s="3">
        <v>557</v>
      </c>
      <c r="H6378" s="2">
        <f t="shared" si="198"/>
        <v>557</v>
      </c>
      <c r="I6378" t="str">
        <f t="shared" si="199"/>
        <v>Rnf113a1_557</v>
      </c>
      <c r="J6378" s="3">
        <v>0</v>
      </c>
      <c r="K6378" s="3">
        <v>0</v>
      </c>
      <c r="L6378" s="3">
        <v>0</v>
      </c>
      <c r="M6378" s="3">
        <v>0</v>
      </c>
      <c r="N6378" s="3">
        <v>557</v>
      </c>
    </row>
    <row r="6379" spans="1:14" x14ac:dyDescent="0.2">
      <c r="A6379" s="5" t="str">
        <f>HYPERLINK("http://www.ncbi.nlm.nih.gov/protein/88759341","Rnf113a2")</f>
        <v>Rnf113a2</v>
      </c>
      <c r="B6379" s="4"/>
      <c r="C6379" s="3">
        <v>0</v>
      </c>
      <c r="D6379" s="3">
        <v>0</v>
      </c>
      <c r="E6379" s="3">
        <v>0</v>
      </c>
      <c r="F6379" s="3">
        <v>0</v>
      </c>
      <c r="G6379" s="3">
        <v>15347</v>
      </c>
      <c r="H6379" s="2">
        <f t="shared" si="198"/>
        <v>15347</v>
      </c>
      <c r="I6379" t="str">
        <f t="shared" si="199"/>
        <v>Rnf113a2_15347</v>
      </c>
      <c r="J6379" s="3">
        <v>0</v>
      </c>
      <c r="K6379" s="3">
        <v>0</v>
      </c>
      <c r="L6379" s="3">
        <v>0</v>
      </c>
      <c r="M6379" s="3">
        <v>0</v>
      </c>
      <c r="N6379" s="3">
        <v>15347</v>
      </c>
    </row>
    <row r="6380" spans="1:14" x14ac:dyDescent="0.2">
      <c r="A6380" s="5" t="str">
        <f>HYPERLINK("http://www.ncbi.nlm.nih.gov/protein/27229275","Rnf114")</f>
        <v>Rnf114</v>
      </c>
      <c r="B6380" s="4"/>
      <c r="C6380" s="3">
        <v>0</v>
      </c>
      <c r="D6380" s="3">
        <v>109</v>
      </c>
      <c r="E6380" s="3">
        <v>0</v>
      </c>
      <c r="F6380" s="3">
        <v>0</v>
      </c>
      <c r="G6380" s="3">
        <v>30137</v>
      </c>
      <c r="H6380" s="2">
        <f t="shared" si="198"/>
        <v>30246</v>
      </c>
      <c r="I6380" t="str">
        <f t="shared" si="199"/>
        <v>Rnf114_30246</v>
      </c>
      <c r="J6380" s="3">
        <v>0</v>
      </c>
      <c r="K6380" s="3">
        <v>109</v>
      </c>
      <c r="L6380" s="3">
        <v>0</v>
      </c>
      <c r="M6380" s="3">
        <v>0</v>
      </c>
      <c r="N6380" s="3">
        <v>30137</v>
      </c>
    </row>
    <row r="6381" spans="1:14" x14ac:dyDescent="0.2">
      <c r="A6381" s="5" t="str">
        <f>HYPERLINK("http://www.ncbi.nlm.nih.gov/protein/70778932","Rnf121")</f>
        <v>Rnf121</v>
      </c>
      <c r="B6381" s="4"/>
      <c r="C6381" s="3">
        <v>0</v>
      </c>
      <c r="D6381" s="3">
        <v>69</v>
      </c>
      <c r="E6381" s="3">
        <v>0</v>
      </c>
      <c r="F6381" s="3">
        <v>0</v>
      </c>
      <c r="G6381" s="3">
        <v>0</v>
      </c>
      <c r="H6381" s="2">
        <f t="shared" si="198"/>
        <v>69</v>
      </c>
      <c r="I6381" t="str">
        <f t="shared" si="199"/>
        <v>Rnf121_69</v>
      </c>
      <c r="J6381" s="3">
        <v>0</v>
      </c>
      <c r="K6381" s="3">
        <v>69</v>
      </c>
      <c r="L6381" s="3">
        <v>0</v>
      </c>
      <c r="M6381" s="3">
        <v>0</v>
      </c>
      <c r="N6381" s="3">
        <v>0</v>
      </c>
    </row>
    <row r="6382" spans="1:14" x14ac:dyDescent="0.2">
      <c r="A6382" s="5" t="str">
        <f>HYPERLINK("http://www.ncbi.nlm.nih.gov/protein/21362321","Rnf126")</f>
        <v>Rnf126</v>
      </c>
      <c r="B6382" s="4"/>
      <c r="C6382" s="3">
        <v>0</v>
      </c>
      <c r="D6382" s="3">
        <v>0</v>
      </c>
      <c r="E6382" s="3">
        <v>0</v>
      </c>
      <c r="F6382" s="3">
        <v>0</v>
      </c>
      <c r="G6382" s="3">
        <v>867</v>
      </c>
      <c r="H6382" s="2">
        <f t="shared" si="198"/>
        <v>867</v>
      </c>
      <c r="I6382" t="str">
        <f t="shared" si="199"/>
        <v>Rnf126_867</v>
      </c>
      <c r="J6382" s="3">
        <v>0</v>
      </c>
      <c r="K6382" s="3">
        <v>0</v>
      </c>
      <c r="L6382" s="3">
        <v>0</v>
      </c>
      <c r="M6382" s="3">
        <v>0</v>
      </c>
      <c r="N6382" s="3">
        <v>867</v>
      </c>
    </row>
    <row r="6383" spans="1:14" x14ac:dyDescent="0.2">
      <c r="A6383" s="5" t="str">
        <f>HYPERLINK("http://www.ncbi.nlm.nih.gov/protein/31981195","Rnf130")</f>
        <v>Rnf130</v>
      </c>
      <c r="B6383" s="4"/>
      <c r="C6383" s="3">
        <v>4503</v>
      </c>
      <c r="D6383" s="3">
        <v>524</v>
      </c>
      <c r="E6383" s="3">
        <v>17863</v>
      </c>
      <c r="F6383" s="3">
        <v>0</v>
      </c>
      <c r="G6383" s="3">
        <v>0</v>
      </c>
      <c r="H6383" s="2">
        <f t="shared" si="198"/>
        <v>22890</v>
      </c>
      <c r="I6383" t="str">
        <f t="shared" si="199"/>
        <v>Rnf130_22890</v>
      </c>
      <c r="J6383" s="3">
        <v>4503</v>
      </c>
      <c r="K6383" s="3">
        <v>524</v>
      </c>
      <c r="L6383" s="3">
        <v>17863</v>
      </c>
      <c r="M6383" s="3">
        <v>0</v>
      </c>
      <c r="N6383" s="3">
        <v>0</v>
      </c>
    </row>
    <row r="6384" spans="1:14" x14ac:dyDescent="0.2">
      <c r="A6384" s="5" t="str">
        <f>HYPERLINK("http://www.ncbi.nlm.nih.gov/protein/46488939","Rnf138")</f>
        <v>Rnf138</v>
      </c>
      <c r="B6384" s="4"/>
      <c r="C6384" s="3">
        <v>0</v>
      </c>
      <c r="D6384" s="3">
        <v>0</v>
      </c>
      <c r="E6384" s="3">
        <v>0</v>
      </c>
      <c r="F6384" s="3">
        <v>0</v>
      </c>
      <c r="G6384" s="3">
        <v>129</v>
      </c>
      <c r="H6384" s="2">
        <f t="shared" si="198"/>
        <v>129</v>
      </c>
      <c r="I6384" t="str">
        <f t="shared" si="199"/>
        <v>Rnf138_129</v>
      </c>
      <c r="J6384" s="3">
        <v>0</v>
      </c>
      <c r="K6384" s="3">
        <v>0</v>
      </c>
      <c r="L6384" s="3">
        <v>0</v>
      </c>
      <c r="M6384" s="3">
        <v>0</v>
      </c>
      <c r="N6384" s="3">
        <v>129</v>
      </c>
    </row>
    <row r="6385" spans="1:14" x14ac:dyDescent="0.2">
      <c r="A6385" s="5" t="str">
        <f>HYPERLINK("http://www.ncbi.nlm.nih.gov/protein/46488941","Rnf138")</f>
        <v>Rnf138</v>
      </c>
      <c r="B6385" s="4"/>
      <c r="C6385" s="3">
        <v>0</v>
      </c>
      <c r="D6385" s="3">
        <v>0</v>
      </c>
      <c r="E6385" s="3">
        <v>0</v>
      </c>
      <c r="F6385" s="3">
        <v>0</v>
      </c>
      <c r="G6385" s="3">
        <v>129</v>
      </c>
      <c r="H6385" s="2">
        <f t="shared" si="198"/>
        <v>129</v>
      </c>
      <c r="I6385" t="str">
        <f t="shared" si="199"/>
        <v>Rnf138_129</v>
      </c>
      <c r="J6385" s="3">
        <v>0</v>
      </c>
      <c r="K6385" s="3">
        <v>0</v>
      </c>
      <c r="L6385" s="3">
        <v>0</v>
      </c>
      <c r="M6385" s="3">
        <v>0</v>
      </c>
      <c r="N6385" s="3">
        <v>129</v>
      </c>
    </row>
    <row r="6386" spans="1:14" x14ac:dyDescent="0.2">
      <c r="A6386" s="5" t="str">
        <f>HYPERLINK("http://www.ncbi.nlm.nih.gov/protein/257471032","Rnf14")</f>
        <v>Rnf14</v>
      </c>
      <c r="B6386" s="4"/>
      <c r="C6386" s="3">
        <v>0</v>
      </c>
      <c r="D6386" s="3">
        <v>0</v>
      </c>
      <c r="E6386" s="3">
        <v>80</v>
      </c>
      <c r="F6386" s="3">
        <v>0</v>
      </c>
      <c r="G6386" s="3">
        <v>610</v>
      </c>
      <c r="H6386" s="2">
        <f t="shared" si="198"/>
        <v>690</v>
      </c>
      <c r="I6386" t="str">
        <f t="shared" si="199"/>
        <v>Rnf14_690</v>
      </c>
      <c r="J6386" s="3">
        <v>0</v>
      </c>
      <c r="K6386" s="3">
        <v>0</v>
      </c>
      <c r="L6386" s="3">
        <v>80</v>
      </c>
      <c r="M6386" s="3">
        <v>0</v>
      </c>
      <c r="N6386" s="3">
        <v>610</v>
      </c>
    </row>
    <row r="6387" spans="1:14" x14ac:dyDescent="0.2">
      <c r="A6387" s="5" t="str">
        <f>HYPERLINK("http://www.ncbi.nlm.nih.gov/protein/255003680","Rnf157")</f>
        <v>Rnf157</v>
      </c>
      <c r="B6387" s="4"/>
      <c r="C6387" s="3">
        <v>0</v>
      </c>
      <c r="D6387" s="3">
        <v>0</v>
      </c>
      <c r="E6387" s="3">
        <v>0</v>
      </c>
      <c r="F6387" s="3">
        <v>1203</v>
      </c>
      <c r="G6387" s="3">
        <v>857</v>
      </c>
      <c r="H6387" s="2">
        <f t="shared" si="198"/>
        <v>2060</v>
      </c>
      <c r="I6387" t="str">
        <f t="shared" si="199"/>
        <v>Rnf157_2060</v>
      </c>
      <c r="J6387" s="3">
        <v>0</v>
      </c>
      <c r="K6387" s="3">
        <v>0</v>
      </c>
      <c r="L6387" s="3">
        <v>0</v>
      </c>
      <c r="M6387" s="3">
        <v>1203</v>
      </c>
      <c r="N6387" s="3">
        <v>857</v>
      </c>
    </row>
    <row r="6388" spans="1:14" x14ac:dyDescent="0.2">
      <c r="A6388" s="5" t="str">
        <f>HYPERLINK("http://www.ncbi.nlm.nih.gov/protein/47059206","Rnf181")</f>
        <v>Rnf181</v>
      </c>
      <c r="B6388" s="4"/>
      <c r="C6388" s="3">
        <v>0</v>
      </c>
      <c r="D6388" s="3">
        <v>0</v>
      </c>
      <c r="E6388" s="3">
        <v>0</v>
      </c>
      <c r="F6388" s="3">
        <v>524</v>
      </c>
      <c r="G6388" s="3">
        <v>471</v>
      </c>
      <c r="H6388" s="2">
        <f t="shared" si="198"/>
        <v>995</v>
      </c>
      <c r="I6388" t="str">
        <f t="shared" si="199"/>
        <v>Rnf181_995</v>
      </c>
      <c r="J6388" s="3">
        <v>0</v>
      </c>
      <c r="K6388" s="3">
        <v>0</v>
      </c>
      <c r="L6388" s="3">
        <v>0</v>
      </c>
      <c r="M6388" s="3">
        <v>524</v>
      </c>
      <c r="N6388" s="3">
        <v>471</v>
      </c>
    </row>
    <row r="6389" spans="1:14" x14ac:dyDescent="0.2">
      <c r="A6389" s="5" t="str">
        <f>HYPERLINK("http://www.ncbi.nlm.nih.gov/protein/33563274","Rnf2")</f>
        <v>Rnf2</v>
      </c>
      <c r="B6389" s="4"/>
      <c r="C6389" s="3">
        <v>531</v>
      </c>
      <c r="D6389" s="3">
        <v>0</v>
      </c>
      <c r="E6389" s="3">
        <v>0</v>
      </c>
      <c r="F6389" s="3">
        <v>0</v>
      </c>
      <c r="G6389" s="3">
        <v>0</v>
      </c>
      <c r="H6389" s="2">
        <f t="shared" si="198"/>
        <v>531</v>
      </c>
      <c r="I6389" t="str">
        <f t="shared" si="199"/>
        <v>Rnf2_531</v>
      </c>
      <c r="J6389" s="3">
        <v>531</v>
      </c>
      <c r="K6389" s="3">
        <v>0</v>
      </c>
      <c r="L6389" s="3">
        <v>0</v>
      </c>
      <c r="M6389" s="3">
        <v>0</v>
      </c>
      <c r="N6389" s="3">
        <v>0</v>
      </c>
    </row>
    <row r="6390" spans="1:14" x14ac:dyDescent="0.2">
      <c r="A6390" s="5" t="str">
        <f>HYPERLINK("http://www.ncbi.nlm.nih.gov/protein/33859829","Rnf20")</f>
        <v>Rnf20</v>
      </c>
      <c r="B6390" s="4"/>
      <c r="C6390" s="3">
        <v>0</v>
      </c>
      <c r="D6390" s="3">
        <v>0</v>
      </c>
      <c r="E6390" s="3">
        <v>224</v>
      </c>
      <c r="F6390" s="3">
        <v>0</v>
      </c>
      <c r="G6390" s="3">
        <v>7861</v>
      </c>
      <c r="H6390" s="2">
        <f t="shared" si="198"/>
        <v>8085</v>
      </c>
      <c r="I6390" t="str">
        <f t="shared" si="199"/>
        <v>Rnf20_8085</v>
      </c>
      <c r="J6390" s="3">
        <v>0</v>
      </c>
      <c r="K6390" s="3">
        <v>0</v>
      </c>
      <c r="L6390" s="3">
        <v>224</v>
      </c>
      <c r="M6390" s="3">
        <v>0</v>
      </c>
      <c r="N6390" s="3">
        <v>7861</v>
      </c>
    </row>
    <row r="6391" spans="1:14" x14ac:dyDescent="0.2">
      <c r="A6391" s="5" t="str">
        <f>HYPERLINK("http://www.ncbi.nlm.nih.gov/protein/309262466","Rnf213")</f>
        <v>Rnf213</v>
      </c>
      <c r="B6391" s="4"/>
      <c r="C6391" s="3">
        <v>0</v>
      </c>
      <c r="D6391" s="3">
        <v>8150</v>
      </c>
      <c r="E6391" s="3">
        <v>70135</v>
      </c>
      <c r="F6391" s="3">
        <v>218440</v>
      </c>
      <c r="G6391" s="3">
        <v>4691</v>
      </c>
      <c r="H6391" s="2">
        <f t="shared" si="198"/>
        <v>301416</v>
      </c>
      <c r="I6391" t="str">
        <f t="shared" si="199"/>
        <v>Rnf213_301416</v>
      </c>
      <c r="J6391" s="3">
        <v>0</v>
      </c>
      <c r="K6391" s="3">
        <v>8150</v>
      </c>
      <c r="L6391" s="3">
        <v>70135</v>
      </c>
      <c r="M6391" s="3">
        <v>218440</v>
      </c>
      <c r="N6391" s="3">
        <v>4691</v>
      </c>
    </row>
    <row r="6392" spans="1:14" x14ac:dyDescent="0.2">
      <c r="A6392" s="5" t="str">
        <f>HYPERLINK("http://www.ncbi.nlm.nih.gov/protein/30520119","Rnf214")</f>
        <v>Rnf214</v>
      </c>
      <c r="B6392" s="4"/>
      <c r="C6392" s="3">
        <v>0</v>
      </c>
      <c r="D6392" s="3">
        <v>0</v>
      </c>
      <c r="E6392" s="3">
        <v>506</v>
      </c>
      <c r="F6392" s="3">
        <v>0</v>
      </c>
      <c r="G6392" s="3">
        <v>3074</v>
      </c>
      <c r="H6392" s="2">
        <f t="shared" si="198"/>
        <v>3580</v>
      </c>
      <c r="I6392" t="str">
        <f t="shared" si="199"/>
        <v>Rnf214_3580</v>
      </c>
      <c r="J6392" s="3">
        <v>0</v>
      </c>
      <c r="K6392" s="3">
        <v>0</v>
      </c>
      <c r="L6392" s="3">
        <v>506</v>
      </c>
      <c r="M6392" s="3">
        <v>0</v>
      </c>
      <c r="N6392" s="3">
        <v>3074</v>
      </c>
    </row>
    <row r="6393" spans="1:14" x14ac:dyDescent="0.2">
      <c r="A6393" s="5" t="str">
        <f>HYPERLINK("http://www.ncbi.nlm.nih.gov/protein/40254409","Rnf31")</f>
        <v>Rnf31</v>
      </c>
      <c r="B6393" s="4"/>
      <c r="C6393" s="3">
        <v>0</v>
      </c>
      <c r="D6393" s="3">
        <v>0</v>
      </c>
      <c r="E6393" s="3">
        <v>0</v>
      </c>
      <c r="F6393" s="3">
        <v>0</v>
      </c>
      <c r="G6393" s="3">
        <v>643</v>
      </c>
      <c r="H6393" s="2">
        <f t="shared" si="198"/>
        <v>643</v>
      </c>
      <c r="I6393" t="str">
        <f t="shared" si="199"/>
        <v>Rnf31_643</v>
      </c>
      <c r="J6393" s="3">
        <v>0</v>
      </c>
      <c r="K6393" s="3">
        <v>0</v>
      </c>
      <c r="L6393" s="3">
        <v>0</v>
      </c>
      <c r="M6393" s="3">
        <v>0</v>
      </c>
      <c r="N6393" s="3">
        <v>643</v>
      </c>
    </row>
    <row r="6394" spans="1:14" x14ac:dyDescent="0.2">
      <c r="A6394" s="5" t="str">
        <f>HYPERLINK("http://www.ncbi.nlm.nih.gov/protein/229093990","Rnf40")</f>
        <v>Rnf40</v>
      </c>
      <c r="B6394" s="4"/>
      <c r="C6394" s="3">
        <v>0</v>
      </c>
      <c r="D6394" s="3">
        <v>0</v>
      </c>
      <c r="E6394" s="3">
        <v>0</v>
      </c>
      <c r="F6394" s="3">
        <v>0</v>
      </c>
      <c r="G6394" s="3">
        <v>3909</v>
      </c>
      <c r="H6394" s="2">
        <f t="shared" si="198"/>
        <v>3909</v>
      </c>
      <c r="I6394" t="str">
        <f t="shared" si="199"/>
        <v>Rnf40_3909</v>
      </c>
      <c r="J6394" s="3">
        <v>0</v>
      </c>
      <c r="K6394" s="3">
        <v>0</v>
      </c>
      <c r="L6394" s="3">
        <v>0</v>
      </c>
      <c r="M6394" s="3">
        <v>0</v>
      </c>
      <c r="N6394" s="3">
        <v>3909</v>
      </c>
    </row>
    <row r="6395" spans="1:14" x14ac:dyDescent="0.2">
      <c r="A6395" s="5" t="str">
        <f>HYPERLINK("http://www.ncbi.nlm.nih.gov/protein/110625597","Rnf7")</f>
        <v>Rnf7</v>
      </c>
      <c r="B6395" s="4"/>
      <c r="C6395" s="3">
        <v>0</v>
      </c>
      <c r="D6395" s="3">
        <v>0</v>
      </c>
      <c r="E6395" s="3">
        <v>0</v>
      </c>
      <c r="F6395" s="3">
        <v>892</v>
      </c>
      <c r="G6395" s="3">
        <v>2046</v>
      </c>
      <c r="H6395" s="2">
        <f t="shared" si="198"/>
        <v>2938</v>
      </c>
      <c r="I6395" t="str">
        <f t="shared" si="199"/>
        <v>Rnf7_2938</v>
      </c>
      <c r="J6395" s="3">
        <v>0</v>
      </c>
      <c r="K6395" s="3">
        <v>0</v>
      </c>
      <c r="L6395" s="3">
        <v>0</v>
      </c>
      <c r="M6395" s="3">
        <v>892</v>
      </c>
      <c r="N6395" s="3">
        <v>2046</v>
      </c>
    </row>
    <row r="6396" spans="1:14" x14ac:dyDescent="0.2">
      <c r="A6396" s="5" t="str">
        <f>HYPERLINK("http://www.ncbi.nlm.nih.gov/protein/158186608","Rnft2")</f>
        <v>Rnft2</v>
      </c>
      <c r="B6396" s="4"/>
      <c r="C6396" s="3">
        <v>0</v>
      </c>
      <c r="D6396" s="3">
        <v>0</v>
      </c>
      <c r="E6396" s="3">
        <v>0</v>
      </c>
      <c r="F6396" s="3">
        <v>0</v>
      </c>
      <c r="G6396" s="3">
        <v>17296</v>
      </c>
      <c r="H6396" s="2">
        <f t="shared" si="198"/>
        <v>17296</v>
      </c>
      <c r="I6396" t="str">
        <f t="shared" si="199"/>
        <v>Rnft2_17296</v>
      </c>
      <c r="J6396" s="3">
        <v>0</v>
      </c>
      <c r="K6396" s="3">
        <v>0</v>
      </c>
      <c r="L6396" s="3">
        <v>0</v>
      </c>
      <c r="M6396" s="3">
        <v>0</v>
      </c>
      <c r="N6396" s="3">
        <v>17296</v>
      </c>
    </row>
    <row r="6397" spans="1:14" x14ac:dyDescent="0.2">
      <c r="A6397" s="5" t="str">
        <f>HYPERLINK("http://www.ncbi.nlm.nih.gov/protein/158186791","Rnft2")</f>
        <v>Rnft2</v>
      </c>
      <c r="B6397" s="4"/>
      <c r="C6397" s="3">
        <v>0</v>
      </c>
      <c r="D6397" s="3">
        <v>0</v>
      </c>
      <c r="E6397" s="3">
        <v>0</v>
      </c>
      <c r="F6397" s="3">
        <v>0</v>
      </c>
      <c r="G6397" s="3">
        <v>17296</v>
      </c>
      <c r="H6397" s="2">
        <f t="shared" si="198"/>
        <v>17296</v>
      </c>
      <c r="I6397" t="str">
        <f t="shared" si="199"/>
        <v>Rnft2_17296</v>
      </c>
      <c r="J6397" s="3">
        <v>0</v>
      </c>
      <c r="K6397" s="3">
        <v>0</v>
      </c>
      <c r="L6397" s="3">
        <v>0</v>
      </c>
      <c r="M6397" s="3">
        <v>0</v>
      </c>
      <c r="N6397" s="3">
        <v>17296</v>
      </c>
    </row>
    <row r="6398" spans="1:14" x14ac:dyDescent="0.2">
      <c r="A6398" s="5" t="str">
        <f>HYPERLINK("http://www.ncbi.nlm.nih.gov/protein/6755342","Rngtt")</f>
        <v>Rngtt</v>
      </c>
      <c r="B6398" s="4"/>
      <c r="C6398" s="3">
        <v>0</v>
      </c>
      <c r="D6398" s="3">
        <v>0</v>
      </c>
      <c r="E6398" s="3">
        <v>12</v>
      </c>
      <c r="F6398" s="3">
        <v>0</v>
      </c>
      <c r="G6398" s="3">
        <v>0</v>
      </c>
      <c r="H6398" s="2">
        <f t="shared" si="198"/>
        <v>12</v>
      </c>
      <c r="I6398" t="str">
        <f t="shared" si="199"/>
        <v>Rngtt_12</v>
      </c>
      <c r="J6398" s="3">
        <v>0</v>
      </c>
      <c r="K6398" s="3">
        <v>0</v>
      </c>
      <c r="L6398" s="3">
        <v>12</v>
      </c>
      <c r="M6398" s="3">
        <v>0</v>
      </c>
      <c r="N6398" s="3">
        <v>0</v>
      </c>
    </row>
    <row r="6399" spans="1:14" x14ac:dyDescent="0.2">
      <c r="A6399" s="5" t="str">
        <f>HYPERLINK("http://www.ncbi.nlm.nih.gov/protein/285402659","Rnh1")</f>
        <v>Rnh1</v>
      </c>
      <c r="B6399" s="4"/>
      <c r="C6399" s="3">
        <v>293</v>
      </c>
      <c r="D6399" s="3">
        <v>7590</v>
      </c>
      <c r="E6399" s="3">
        <v>14215</v>
      </c>
      <c r="F6399" s="3">
        <v>0</v>
      </c>
      <c r="G6399" s="3">
        <v>300059</v>
      </c>
      <c r="H6399" s="2">
        <f t="shared" si="198"/>
        <v>322157</v>
      </c>
      <c r="I6399" t="str">
        <f t="shared" si="199"/>
        <v>Rnh1_322157</v>
      </c>
      <c r="J6399" s="3">
        <v>293</v>
      </c>
      <c r="K6399" s="3">
        <v>7590</v>
      </c>
      <c r="L6399" s="3">
        <v>14215</v>
      </c>
      <c r="M6399" s="3">
        <v>0</v>
      </c>
      <c r="N6399" s="3">
        <v>300059</v>
      </c>
    </row>
    <row r="6400" spans="1:14" x14ac:dyDescent="0.2">
      <c r="A6400" s="5" t="str">
        <f>HYPERLINK("http://www.ncbi.nlm.nih.gov/protein/31981748","Rnh1")</f>
        <v>Rnh1</v>
      </c>
      <c r="B6400" s="4"/>
      <c r="C6400" s="3">
        <v>293</v>
      </c>
      <c r="D6400" s="3">
        <v>7590</v>
      </c>
      <c r="E6400" s="3">
        <v>14215</v>
      </c>
      <c r="F6400" s="3">
        <v>0</v>
      </c>
      <c r="G6400" s="3">
        <v>286244</v>
      </c>
      <c r="H6400" s="2">
        <f t="shared" si="198"/>
        <v>308342</v>
      </c>
      <c r="I6400" t="str">
        <f t="shared" si="199"/>
        <v>Rnh1_308342</v>
      </c>
      <c r="J6400" s="3">
        <v>293</v>
      </c>
      <c r="K6400" s="3">
        <v>7590</v>
      </c>
      <c r="L6400" s="3">
        <v>14215</v>
      </c>
      <c r="M6400" s="3">
        <v>0</v>
      </c>
      <c r="N6400" s="3">
        <v>286244</v>
      </c>
    </row>
    <row r="6401" spans="1:14" x14ac:dyDescent="0.2">
      <c r="A6401" s="5" t="str">
        <f>HYPERLINK("http://www.ncbi.nlm.nih.gov/protein/13385938","Rnmt")</f>
        <v>Rnmt</v>
      </c>
      <c r="B6401" s="4"/>
      <c r="C6401" s="3">
        <v>0</v>
      </c>
      <c r="D6401" s="3">
        <v>159</v>
      </c>
      <c r="E6401" s="3">
        <v>174</v>
      </c>
      <c r="F6401" s="3">
        <v>1490</v>
      </c>
      <c r="G6401" s="3">
        <v>26902</v>
      </c>
      <c r="H6401" s="2">
        <f t="shared" si="198"/>
        <v>28725</v>
      </c>
      <c r="I6401" t="str">
        <f t="shared" si="199"/>
        <v>Rnmt_28725</v>
      </c>
      <c r="J6401" s="3">
        <v>0</v>
      </c>
      <c r="K6401" s="3">
        <v>159</v>
      </c>
      <c r="L6401" s="3">
        <v>174</v>
      </c>
      <c r="M6401" s="3">
        <v>1490</v>
      </c>
      <c r="N6401" s="3">
        <v>26902</v>
      </c>
    </row>
    <row r="6402" spans="1:14" x14ac:dyDescent="0.2">
      <c r="A6402" s="5" t="str">
        <f>HYPERLINK("http://www.ncbi.nlm.nih.gov/protein/283945577","Rnmt")</f>
        <v>Rnmt</v>
      </c>
      <c r="B6402" s="4"/>
      <c r="C6402" s="3">
        <v>0</v>
      </c>
      <c r="D6402" s="3">
        <v>159</v>
      </c>
      <c r="E6402" s="3">
        <v>174</v>
      </c>
      <c r="F6402" s="3">
        <v>1490</v>
      </c>
      <c r="G6402" s="3">
        <v>26238</v>
      </c>
      <c r="H6402" s="2">
        <f t="shared" ref="H6402:H6465" si="200">SUM(C6402:G6402)</f>
        <v>28061</v>
      </c>
      <c r="I6402" t="str">
        <f t="shared" ref="I6402:I6465" si="201">A6402&amp;"_"&amp;H6402</f>
        <v>Rnmt_28061</v>
      </c>
      <c r="J6402" s="3">
        <v>0</v>
      </c>
      <c r="K6402" s="3">
        <v>159</v>
      </c>
      <c r="L6402" s="3">
        <v>174</v>
      </c>
      <c r="M6402" s="3">
        <v>1490</v>
      </c>
      <c r="N6402" s="3">
        <v>26238</v>
      </c>
    </row>
    <row r="6403" spans="1:14" x14ac:dyDescent="0.2">
      <c r="A6403" s="5" t="str">
        <f>HYPERLINK("http://www.ncbi.nlm.nih.gov/protein/166197675","Rnmtl1")</f>
        <v>Rnmtl1</v>
      </c>
      <c r="B6403" s="4"/>
      <c r="C6403" s="3">
        <v>0</v>
      </c>
      <c r="D6403" s="3">
        <v>136</v>
      </c>
      <c r="E6403" s="3">
        <v>0</v>
      </c>
      <c r="F6403" s="3">
        <v>0</v>
      </c>
      <c r="G6403" s="3">
        <v>0</v>
      </c>
      <c r="H6403" s="2">
        <f t="shared" si="200"/>
        <v>136</v>
      </c>
      <c r="I6403" t="str">
        <f t="shared" si="201"/>
        <v>Rnmtl1_136</v>
      </c>
      <c r="J6403" s="3">
        <v>0</v>
      </c>
      <c r="K6403" s="3">
        <v>136</v>
      </c>
      <c r="L6403" s="3">
        <v>0</v>
      </c>
      <c r="M6403" s="3">
        <v>0</v>
      </c>
      <c r="N6403" s="3">
        <v>0</v>
      </c>
    </row>
    <row r="6404" spans="1:14" x14ac:dyDescent="0.2">
      <c r="A6404" s="5" t="str">
        <f>HYPERLINK("http://www.ncbi.nlm.nih.gov/protein/227499234","Rnpep")</f>
        <v>Rnpep</v>
      </c>
      <c r="B6404" s="4"/>
      <c r="C6404" s="3">
        <v>0</v>
      </c>
      <c r="D6404" s="3">
        <v>6066</v>
      </c>
      <c r="E6404" s="3">
        <v>5350</v>
      </c>
      <c r="F6404" s="3">
        <v>1506</v>
      </c>
      <c r="G6404" s="3">
        <v>52680</v>
      </c>
      <c r="H6404" s="2">
        <f t="shared" si="200"/>
        <v>65602</v>
      </c>
      <c r="I6404" t="str">
        <f t="shared" si="201"/>
        <v>Rnpep_65602</v>
      </c>
      <c r="J6404" s="3">
        <v>0</v>
      </c>
      <c r="K6404" s="3">
        <v>6066</v>
      </c>
      <c r="L6404" s="3">
        <v>5350</v>
      </c>
      <c r="M6404" s="3">
        <v>1506</v>
      </c>
      <c r="N6404" s="3">
        <v>52680</v>
      </c>
    </row>
    <row r="6405" spans="1:14" x14ac:dyDescent="0.2">
      <c r="A6405" s="5" t="str">
        <f>HYPERLINK("http://www.ncbi.nlm.nih.gov/protein/227499103","Rnpep")</f>
        <v>Rnpep</v>
      </c>
      <c r="B6405" s="4"/>
      <c r="C6405" s="3">
        <v>92</v>
      </c>
      <c r="D6405" s="3">
        <v>6302</v>
      </c>
      <c r="E6405" s="3">
        <v>5748</v>
      </c>
      <c r="F6405" s="3">
        <v>2005</v>
      </c>
      <c r="G6405" s="3">
        <v>56268</v>
      </c>
      <c r="H6405" s="2">
        <f t="shared" si="200"/>
        <v>70415</v>
      </c>
      <c r="I6405" t="str">
        <f t="shared" si="201"/>
        <v>Rnpep_70415</v>
      </c>
      <c r="J6405" s="3">
        <v>92</v>
      </c>
      <c r="K6405" s="3">
        <v>6302</v>
      </c>
      <c r="L6405" s="3">
        <v>5748</v>
      </c>
      <c r="M6405" s="3">
        <v>2005</v>
      </c>
      <c r="N6405" s="3">
        <v>56268</v>
      </c>
    </row>
    <row r="6406" spans="1:14" x14ac:dyDescent="0.2">
      <c r="A6406" s="5" t="str">
        <f>HYPERLINK("http://www.ncbi.nlm.nih.gov/protein/318065085","Rnpepl1")</f>
        <v>Rnpepl1</v>
      </c>
      <c r="B6406" s="4"/>
      <c r="C6406" s="3">
        <v>0</v>
      </c>
      <c r="D6406" s="3">
        <v>0</v>
      </c>
      <c r="E6406" s="3">
        <v>168</v>
      </c>
      <c r="F6406" s="3">
        <v>0</v>
      </c>
      <c r="G6406" s="3">
        <v>0</v>
      </c>
      <c r="H6406" s="2">
        <f t="shared" si="200"/>
        <v>168</v>
      </c>
      <c r="I6406" t="str">
        <f t="shared" si="201"/>
        <v>Rnpepl1_168</v>
      </c>
      <c r="J6406" s="3">
        <v>0</v>
      </c>
      <c r="K6406" s="3">
        <v>0</v>
      </c>
      <c r="L6406" s="3">
        <v>168</v>
      </c>
      <c r="M6406" s="3">
        <v>0</v>
      </c>
      <c r="N6406" s="3">
        <v>0</v>
      </c>
    </row>
    <row r="6407" spans="1:14" x14ac:dyDescent="0.2">
      <c r="A6407" s="5" t="str">
        <f>HYPERLINK("http://www.ncbi.nlm.nih.gov/protein/121674793","Rnps1")</f>
        <v>Rnps1</v>
      </c>
      <c r="B6407" s="4"/>
      <c r="C6407" s="3">
        <v>0</v>
      </c>
      <c r="D6407" s="3">
        <v>2428</v>
      </c>
      <c r="E6407" s="3">
        <v>638</v>
      </c>
      <c r="F6407" s="3">
        <v>3487</v>
      </c>
      <c r="G6407" s="3">
        <v>0</v>
      </c>
      <c r="H6407" s="2">
        <f t="shared" si="200"/>
        <v>6553</v>
      </c>
      <c r="I6407" t="str">
        <f t="shared" si="201"/>
        <v>Rnps1_6553</v>
      </c>
      <c r="J6407" s="3">
        <v>0</v>
      </c>
      <c r="K6407" s="3">
        <v>2428</v>
      </c>
      <c r="L6407" s="3">
        <v>638</v>
      </c>
      <c r="M6407" s="3">
        <v>3487</v>
      </c>
      <c r="N6407" s="3">
        <v>0</v>
      </c>
    </row>
    <row r="6408" spans="1:14" x14ac:dyDescent="0.2">
      <c r="A6408" s="5" t="str">
        <f>HYPERLINK("http://www.ncbi.nlm.nih.gov/protein/121674799","Rnps1")</f>
        <v>Rnps1</v>
      </c>
      <c r="B6408" s="4"/>
      <c r="C6408" s="3">
        <v>0</v>
      </c>
      <c r="D6408" s="3">
        <v>2428</v>
      </c>
      <c r="E6408" s="3">
        <v>638</v>
      </c>
      <c r="F6408" s="3">
        <v>3487</v>
      </c>
      <c r="G6408" s="3">
        <v>0</v>
      </c>
      <c r="H6408" s="2">
        <f t="shared" si="200"/>
        <v>6553</v>
      </c>
      <c r="I6408" t="str">
        <f t="shared" si="201"/>
        <v>Rnps1_6553</v>
      </c>
      <c r="J6408" s="3">
        <v>0</v>
      </c>
      <c r="K6408" s="3">
        <v>2428</v>
      </c>
      <c r="L6408" s="3">
        <v>638</v>
      </c>
      <c r="M6408" s="3">
        <v>3487</v>
      </c>
      <c r="N6408" s="3">
        <v>0</v>
      </c>
    </row>
    <row r="6409" spans="1:14" x14ac:dyDescent="0.2">
      <c r="A6409" s="5" t="str">
        <f>HYPERLINK("http://www.ncbi.nlm.nih.gov/protein/6677759","Rock1")</f>
        <v>Rock1</v>
      </c>
      <c r="B6409" s="4"/>
      <c r="C6409" s="3">
        <v>0</v>
      </c>
      <c r="D6409" s="3">
        <v>15</v>
      </c>
      <c r="E6409" s="3">
        <v>1406</v>
      </c>
      <c r="F6409" s="3">
        <v>7621</v>
      </c>
      <c r="G6409" s="3">
        <v>24557</v>
      </c>
      <c r="H6409" s="2">
        <f t="shared" si="200"/>
        <v>33599</v>
      </c>
      <c r="I6409" t="str">
        <f t="shared" si="201"/>
        <v>Rock1_33599</v>
      </c>
      <c r="J6409" s="3">
        <v>0</v>
      </c>
      <c r="K6409" s="3">
        <v>15</v>
      </c>
      <c r="L6409" s="3">
        <v>1406</v>
      </c>
      <c r="M6409" s="3">
        <v>7621</v>
      </c>
      <c r="N6409" s="3">
        <v>24557</v>
      </c>
    </row>
    <row r="6410" spans="1:14" x14ac:dyDescent="0.2">
      <c r="A6410" s="5" t="str">
        <f>HYPERLINK("http://www.ncbi.nlm.nih.gov/protein/134949013","Rock2")</f>
        <v>Rock2</v>
      </c>
      <c r="B6410" s="4"/>
      <c r="C6410" s="3">
        <v>0</v>
      </c>
      <c r="D6410" s="3">
        <v>100</v>
      </c>
      <c r="E6410" s="3">
        <v>5501</v>
      </c>
      <c r="F6410" s="3">
        <v>34625</v>
      </c>
      <c r="G6410" s="3">
        <v>100402</v>
      </c>
      <c r="H6410" s="2">
        <f t="shared" si="200"/>
        <v>140628</v>
      </c>
      <c r="I6410" t="str">
        <f t="shared" si="201"/>
        <v>Rock2_140628</v>
      </c>
      <c r="J6410" s="3">
        <v>0</v>
      </c>
      <c r="K6410" s="3">
        <v>100</v>
      </c>
      <c r="L6410" s="3">
        <v>5501</v>
      </c>
      <c r="M6410" s="3">
        <v>34625</v>
      </c>
      <c r="N6410" s="3">
        <v>100402</v>
      </c>
    </row>
    <row r="6411" spans="1:14" x14ac:dyDescent="0.2">
      <c r="A6411" s="5" t="str">
        <f>HYPERLINK("http://www.ncbi.nlm.nih.gov/protein/119508431","Rogdi")</f>
        <v>Rogdi</v>
      </c>
      <c r="B6411" s="4"/>
      <c r="C6411" s="3">
        <v>0</v>
      </c>
      <c r="D6411" s="3">
        <v>0</v>
      </c>
      <c r="E6411" s="3">
        <v>0</v>
      </c>
      <c r="F6411" s="3">
        <v>434</v>
      </c>
      <c r="G6411" s="3">
        <v>0</v>
      </c>
      <c r="H6411" s="2">
        <f t="shared" si="200"/>
        <v>434</v>
      </c>
      <c r="I6411" t="str">
        <f t="shared" si="201"/>
        <v>Rogdi_434</v>
      </c>
      <c r="J6411" s="3">
        <v>0</v>
      </c>
      <c r="K6411" s="3">
        <v>0</v>
      </c>
      <c r="L6411" s="3">
        <v>0</v>
      </c>
      <c r="M6411" s="3">
        <v>434</v>
      </c>
      <c r="N6411" s="3">
        <v>0</v>
      </c>
    </row>
    <row r="6412" spans="1:14" x14ac:dyDescent="0.2">
      <c r="A6412" s="5" t="str">
        <f>HYPERLINK("http://www.ncbi.nlm.nih.gov/protein/255958213","Romo1")</f>
        <v>Romo1</v>
      </c>
      <c r="B6412" s="4"/>
      <c r="C6412" s="3">
        <v>476</v>
      </c>
      <c r="D6412" s="3">
        <v>0</v>
      </c>
      <c r="E6412" s="3">
        <v>0</v>
      </c>
      <c r="F6412" s="3">
        <v>0</v>
      </c>
      <c r="G6412" s="3">
        <v>0</v>
      </c>
      <c r="H6412" s="2">
        <f t="shared" si="200"/>
        <v>476</v>
      </c>
      <c r="I6412" t="str">
        <f t="shared" si="201"/>
        <v>Romo1_476</v>
      </c>
      <c r="J6412" s="3">
        <v>476</v>
      </c>
      <c r="K6412" s="3">
        <v>0</v>
      </c>
      <c r="L6412" s="3">
        <v>0</v>
      </c>
      <c r="M6412" s="3">
        <v>0</v>
      </c>
      <c r="N6412" s="3">
        <v>0</v>
      </c>
    </row>
    <row r="6413" spans="1:14" x14ac:dyDescent="0.2">
      <c r="A6413" s="5" t="str">
        <f>HYPERLINK("http://www.ncbi.nlm.nih.gov/protein/255958215","Romo1")</f>
        <v>Romo1</v>
      </c>
      <c r="B6413" s="4"/>
      <c r="C6413" s="3">
        <v>0</v>
      </c>
      <c r="D6413" s="3">
        <v>1407</v>
      </c>
      <c r="E6413" s="3">
        <v>0</v>
      </c>
      <c r="F6413" s="3">
        <v>0</v>
      </c>
      <c r="G6413" s="3">
        <v>0</v>
      </c>
      <c r="H6413" s="2">
        <f t="shared" si="200"/>
        <v>1407</v>
      </c>
      <c r="I6413" t="str">
        <f t="shared" si="201"/>
        <v>Romo1_1407</v>
      </c>
      <c r="J6413" s="3">
        <v>0</v>
      </c>
      <c r="K6413" s="3">
        <v>1407</v>
      </c>
      <c r="L6413" s="3">
        <v>0</v>
      </c>
      <c r="M6413" s="3">
        <v>0</v>
      </c>
      <c r="N6413" s="3">
        <v>0</v>
      </c>
    </row>
    <row r="6414" spans="1:14" x14ac:dyDescent="0.2">
      <c r="A6414" s="5" t="str">
        <f>HYPERLINK("http://www.ncbi.nlm.nih.gov/protein/255958213;255958215","Romo1")</f>
        <v>Romo1</v>
      </c>
      <c r="B6414" s="4"/>
      <c r="C6414" s="3">
        <v>0</v>
      </c>
      <c r="D6414" s="3">
        <v>0</v>
      </c>
      <c r="E6414" s="3">
        <v>426</v>
      </c>
      <c r="F6414" s="3">
        <v>0</v>
      </c>
      <c r="G6414" s="3">
        <v>0</v>
      </c>
      <c r="H6414" s="2">
        <f t="shared" si="200"/>
        <v>426</v>
      </c>
      <c r="I6414" t="str">
        <f t="shared" si="201"/>
        <v>Romo1_426</v>
      </c>
      <c r="J6414" s="3">
        <v>0</v>
      </c>
      <c r="K6414" s="3">
        <v>0</v>
      </c>
      <c r="L6414" s="3">
        <v>426</v>
      </c>
      <c r="M6414" s="3">
        <v>0</v>
      </c>
      <c r="N6414" s="3">
        <v>0</v>
      </c>
    </row>
    <row r="6415" spans="1:14" x14ac:dyDescent="0.2">
      <c r="A6415" s="5" t="str">
        <f>HYPERLINK("http://www.ncbi.nlm.nih.gov/protein/19526820","Rp2h")</f>
        <v>Rp2h</v>
      </c>
      <c r="B6415" s="4"/>
      <c r="C6415" s="3">
        <v>0</v>
      </c>
      <c r="D6415" s="3">
        <v>58</v>
      </c>
      <c r="E6415" s="3">
        <v>3736</v>
      </c>
      <c r="F6415" s="3">
        <v>0</v>
      </c>
      <c r="G6415" s="3">
        <v>0</v>
      </c>
      <c r="H6415" s="2">
        <f t="shared" si="200"/>
        <v>3794</v>
      </c>
      <c r="I6415" t="str">
        <f t="shared" si="201"/>
        <v>Rp2h_3794</v>
      </c>
      <c r="J6415" s="3">
        <v>0</v>
      </c>
      <c r="K6415" s="3">
        <v>58</v>
      </c>
      <c r="L6415" s="3">
        <v>3736</v>
      </c>
      <c r="M6415" s="3">
        <v>0</v>
      </c>
      <c r="N6415" s="3">
        <v>0</v>
      </c>
    </row>
    <row r="6416" spans="1:14" x14ac:dyDescent="0.2">
      <c r="A6416" s="5" t="str">
        <f>HYPERLINK("http://www.ncbi.nlm.nih.gov/protein/9055300","Rp9")</f>
        <v>Rp9</v>
      </c>
      <c r="B6416" s="4"/>
      <c r="C6416" s="3">
        <v>0</v>
      </c>
      <c r="D6416" s="3">
        <v>73</v>
      </c>
      <c r="E6416" s="3">
        <v>0</v>
      </c>
      <c r="F6416" s="3">
        <v>0</v>
      </c>
      <c r="G6416" s="3">
        <v>0</v>
      </c>
      <c r="H6416" s="2">
        <f t="shared" si="200"/>
        <v>73</v>
      </c>
      <c r="I6416" t="str">
        <f t="shared" si="201"/>
        <v>Rp9_73</v>
      </c>
      <c r="J6416" s="3">
        <v>0</v>
      </c>
      <c r="K6416" s="3">
        <v>73</v>
      </c>
      <c r="L6416" s="3">
        <v>0</v>
      </c>
      <c r="M6416" s="3">
        <v>0</v>
      </c>
      <c r="N6416" s="3">
        <v>0</v>
      </c>
    </row>
    <row r="6417" spans="1:14" x14ac:dyDescent="0.2">
      <c r="A6417" s="5" t="str">
        <f>HYPERLINK("http://www.ncbi.nlm.nih.gov/protein/18390321","Rpa1")</f>
        <v>Rpa1</v>
      </c>
      <c r="B6417" s="4"/>
      <c r="C6417" s="3">
        <v>0</v>
      </c>
      <c r="D6417" s="3">
        <v>5711</v>
      </c>
      <c r="E6417" s="3">
        <v>8051</v>
      </c>
      <c r="F6417" s="3">
        <v>32529</v>
      </c>
      <c r="G6417" s="3">
        <v>89114</v>
      </c>
      <c r="H6417" s="2">
        <f t="shared" si="200"/>
        <v>135405</v>
      </c>
      <c r="I6417" t="str">
        <f t="shared" si="201"/>
        <v>Rpa1_135405</v>
      </c>
      <c r="J6417" s="3">
        <v>0</v>
      </c>
      <c r="K6417" s="3">
        <v>5711</v>
      </c>
      <c r="L6417" s="3">
        <v>8051</v>
      </c>
      <c r="M6417" s="3">
        <v>32529</v>
      </c>
      <c r="N6417" s="3">
        <v>89114</v>
      </c>
    </row>
    <row r="6418" spans="1:14" x14ac:dyDescent="0.2">
      <c r="A6418" s="5" t="str">
        <f>HYPERLINK("http://www.ncbi.nlm.nih.gov/protein/255982530","Rpa1")</f>
        <v>Rpa1</v>
      </c>
      <c r="B6418" s="4"/>
      <c r="C6418" s="3">
        <v>0</v>
      </c>
      <c r="D6418" s="3">
        <v>5711</v>
      </c>
      <c r="E6418" s="3">
        <v>8051</v>
      </c>
      <c r="F6418" s="3">
        <v>32529</v>
      </c>
      <c r="G6418" s="3">
        <v>89114</v>
      </c>
      <c r="H6418" s="2">
        <f t="shared" si="200"/>
        <v>135405</v>
      </c>
      <c r="I6418" t="str">
        <f t="shared" si="201"/>
        <v>Rpa1_135405</v>
      </c>
      <c r="J6418" s="3">
        <v>0</v>
      </c>
      <c r="K6418" s="3">
        <v>5711</v>
      </c>
      <c r="L6418" s="3">
        <v>8051</v>
      </c>
      <c r="M6418" s="3">
        <v>32529</v>
      </c>
      <c r="N6418" s="3">
        <v>89114</v>
      </c>
    </row>
    <row r="6419" spans="1:14" x14ac:dyDescent="0.2">
      <c r="A6419" s="5" t="str">
        <f>HYPERLINK("http://www.ncbi.nlm.nih.gov/protein/110625961","Rpa2")</f>
        <v>Rpa2</v>
      </c>
      <c r="B6419" s="4"/>
      <c r="C6419" s="3">
        <v>0</v>
      </c>
      <c r="D6419" s="3">
        <v>499</v>
      </c>
      <c r="E6419" s="3">
        <v>244</v>
      </c>
      <c r="F6419" s="3">
        <v>13302</v>
      </c>
      <c r="G6419" s="3">
        <v>28659</v>
      </c>
      <c r="H6419" s="2">
        <f t="shared" si="200"/>
        <v>42704</v>
      </c>
      <c r="I6419" t="str">
        <f t="shared" si="201"/>
        <v>Rpa2_42704</v>
      </c>
      <c r="J6419" s="3">
        <v>0</v>
      </c>
      <c r="K6419" s="3">
        <v>499</v>
      </c>
      <c r="L6419" s="3">
        <v>244</v>
      </c>
      <c r="M6419" s="3">
        <v>13302</v>
      </c>
      <c r="N6419" s="3">
        <v>28659</v>
      </c>
    </row>
    <row r="6420" spans="1:14" x14ac:dyDescent="0.2">
      <c r="A6420" s="5" t="str">
        <f>HYPERLINK("http://www.ncbi.nlm.nih.gov/protein/13386122","Rpa3")</f>
        <v>Rpa3</v>
      </c>
      <c r="B6420" s="4"/>
      <c r="C6420" s="3">
        <v>0</v>
      </c>
      <c r="D6420" s="3">
        <v>332</v>
      </c>
      <c r="E6420" s="3">
        <v>546</v>
      </c>
      <c r="F6420" s="3">
        <v>1195</v>
      </c>
      <c r="G6420" s="3">
        <v>14297</v>
      </c>
      <c r="H6420" s="2">
        <f t="shared" si="200"/>
        <v>16370</v>
      </c>
      <c r="I6420" t="str">
        <f t="shared" si="201"/>
        <v>Rpa3_16370</v>
      </c>
      <c r="J6420" s="3">
        <v>0</v>
      </c>
      <c r="K6420" s="3">
        <v>332</v>
      </c>
      <c r="L6420" s="3">
        <v>546</v>
      </c>
      <c r="M6420" s="3">
        <v>1195</v>
      </c>
      <c r="N6420" s="3">
        <v>14297</v>
      </c>
    </row>
    <row r="6421" spans="1:14" x14ac:dyDescent="0.2">
      <c r="A6421" s="5" t="str">
        <f>HYPERLINK("http://www.ncbi.nlm.nih.gov/protein/254540043","Rpap2")</f>
        <v>Rpap2</v>
      </c>
      <c r="B6421" s="4"/>
      <c r="C6421" s="3">
        <v>0</v>
      </c>
      <c r="D6421" s="3">
        <v>0</v>
      </c>
      <c r="E6421" s="3">
        <v>1258</v>
      </c>
      <c r="F6421" s="3">
        <v>33</v>
      </c>
      <c r="G6421" s="3">
        <v>0</v>
      </c>
      <c r="H6421" s="2">
        <f t="shared" si="200"/>
        <v>1291</v>
      </c>
      <c r="I6421" t="str">
        <f t="shared" si="201"/>
        <v>Rpap2_1291</v>
      </c>
      <c r="J6421" s="3">
        <v>0</v>
      </c>
      <c r="K6421" s="3">
        <v>0</v>
      </c>
      <c r="L6421" s="3">
        <v>1258</v>
      </c>
      <c r="M6421" s="3">
        <v>33</v>
      </c>
      <c r="N6421" s="3">
        <v>0</v>
      </c>
    </row>
    <row r="6422" spans="1:14" x14ac:dyDescent="0.2">
      <c r="A6422" s="5" t="str">
        <f>HYPERLINK("http://www.ncbi.nlm.nih.gov/protein/254540045","Rpap2")</f>
        <v>Rpap2</v>
      </c>
      <c r="B6422" s="4"/>
      <c r="C6422" s="3">
        <v>0</v>
      </c>
      <c r="D6422" s="3">
        <v>0</v>
      </c>
      <c r="E6422" s="3">
        <v>1258</v>
      </c>
      <c r="F6422" s="3">
        <v>33</v>
      </c>
      <c r="G6422" s="3">
        <v>0</v>
      </c>
      <c r="H6422" s="2">
        <f t="shared" si="200"/>
        <v>1291</v>
      </c>
      <c r="I6422" t="str">
        <f t="shared" si="201"/>
        <v>Rpap2_1291</v>
      </c>
      <c r="J6422" s="3">
        <v>0</v>
      </c>
      <c r="K6422" s="3">
        <v>0</v>
      </c>
      <c r="L6422" s="3">
        <v>1258</v>
      </c>
      <c r="M6422" s="3">
        <v>33</v>
      </c>
      <c r="N6422" s="3">
        <v>0</v>
      </c>
    </row>
    <row r="6423" spans="1:14" x14ac:dyDescent="0.2">
      <c r="A6423" s="5" t="str">
        <f>HYPERLINK("http://www.ncbi.nlm.nih.gov/protein/13386276","Rpap3")</f>
        <v>Rpap3</v>
      </c>
      <c r="B6423" s="4"/>
      <c r="C6423" s="3">
        <v>0</v>
      </c>
      <c r="D6423" s="3">
        <v>0</v>
      </c>
      <c r="E6423" s="3">
        <v>1131</v>
      </c>
      <c r="F6423" s="3">
        <v>17935</v>
      </c>
      <c r="G6423" s="3">
        <v>11</v>
      </c>
      <c r="H6423" s="2">
        <f t="shared" si="200"/>
        <v>19077</v>
      </c>
      <c r="I6423" t="str">
        <f t="shared" si="201"/>
        <v>Rpap3_19077</v>
      </c>
      <c r="J6423" s="3">
        <v>0</v>
      </c>
      <c r="K6423" s="3">
        <v>0</v>
      </c>
      <c r="L6423" s="3">
        <v>1131</v>
      </c>
      <c r="M6423" s="3">
        <v>17935</v>
      </c>
      <c r="N6423" s="3">
        <v>11</v>
      </c>
    </row>
    <row r="6424" spans="1:14" x14ac:dyDescent="0.2">
      <c r="A6424" s="5" t="str">
        <f>HYPERLINK("http://www.ncbi.nlm.nih.gov/protein/27532955","Rpe")</f>
        <v>Rpe</v>
      </c>
      <c r="B6424" s="4"/>
      <c r="C6424" s="3">
        <v>0</v>
      </c>
      <c r="D6424" s="3">
        <v>0</v>
      </c>
      <c r="E6424" s="3">
        <v>603</v>
      </c>
      <c r="F6424" s="3">
        <v>7965</v>
      </c>
      <c r="G6424" s="3">
        <v>20873</v>
      </c>
      <c r="H6424" s="2">
        <f t="shared" si="200"/>
        <v>29441</v>
      </c>
      <c r="I6424" t="str">
        <f t="shared" si="201"/>
        <v>Rpe_29441</v>
      </c>
      <c r="J6424" s="3">
        <v>0</v>
      </c>
      <c r="K6424" s="3">
        <v>0</v>
      </c>
      <c r="L6424" s="3">
        <v>603</v>
      </c>
      <c r="M6424" s="3">
        <v>7965</v>
      </c>
      <c r="N6424" s="3">
        <v>20873</v>
      </c>
    </row>
    <row r="6425" spans="1:14" x14ac:dyDescent="0.2">
      <c r="A6425" s="5" t="str">
        <f>HYPERLINK("http://www.ncbi.nlm.nih.gov/protein/94536844","Rpia")</f>
        <v>Rpia</v>
      </c>
      <c r="B6425" s="4"/>
      <c r="C6425" s="3">
        <v>0</v>
      </c>
      <c r="D6425" s="3">
        <v>106</v>
      </c>
      <c r="E6425" s="3">
        <v>236</v>
      </c>
      <c r="F6425" s="3">
        <v>0</v>
      </c>
      <c r="G6425" s="3">
        <v>14179</v>
      </c>
      <c r="H6425" s="2">
        <f t="shared" si="200"/>
        <v>14521</v>
      </c>
      <c r="I6425" t="str">
        <f t="shared" si="201"/>
        <v>Rpia_14521</v>
      </c>
      <c r="J6425" s="3">
        <v>0</v>
      </c>
      <c r="K6425" s="3">
        <v>106</v>
      </c>
      <c r="L6425" s="3">
        <v>236</v>
      </c>
      <c r="M6425" s="3">
        <v>0</v>
      </c>
      <c r="N6425" s="3">
        <v>14179</v>
      </c>
    </row>
    <row r="6426" spans="1:14" x14ac:dyDescent="0.2">
      <c r="A6426" s="5" t="str">
        <f>HYPERLINK("http://www.ncbi.nlm.nih.gov/protein/16418339","Rpl10")</f>
        <v>Rpl10</v>
      </c>
      <c r="B6426" s="4"/>
      <c r="C6426" s="3">
        <v>75659</v>
      </c>
      <c r="D6426" s="3">
        <v>12222</v>
      </c>
      <c r="E6426" s="3">
        <v>79322</v>
      </c>
      <c r="F6426" s="3">
        <v>158702</v>
      </c>
      <c r="G6426" s="3">
        <v>0</v>
      </c>
      <c r="H6426" s="2">
        <f t="shared" si="200"/>
        <v>325905</v>
      </c>
      <c r="I6426" t="str">
        <f t="shared" si="201"/>
        <v>Rpl10_325905</v>
      </c>
      <c r="J6426" s="3">
        <v>75659</v>
      </c>
      <c r="K6426" s="3">
        <v>12222</v>
      </c>
      <c r="L6426" s="3">
        <v>79322</v>
      </c>
      <c r="M6426" s="3">
        <v>158702</v>
      </c>
      <c r="N6426" s="3">
        <v>0</v>
      </c>
    </row>
    <row r="6427" spans="1:14" x14ac:dyDescent="0.2">
      <c r="A6427" s="5" t="str">
        <f>HYPERLINK("http://www.ncbi.nlm.nih.gov/protein/255003735","Rpl10a")</f>
        <v>Rpl10a</v>
      </c>
      <c r="B6427" s="4"/>
      <c r="C6427" s="3">
        <v>120216</v>
      </c>
      <c r="D6427" s="3">
        <v>37383</v>
      </c>
      <c r="E6427" s="3">
        <v>126146</v>
      </c>
      <c r="F6427" s="3">
        <v>407174</v>
      </c>
      <c r="G6427" s="3">
        <v>675</v>
      </c>
      <c r="H6427" s="2">
        <f t="shared" si="200"/>
        <v>691594</v>
      </c>
      <c r="I6427" t="str">
        <f t="shared" si="201"/>
        <v>Rpl10a_691594</v>
      </c>
      <c r="J6427" s="3">
        <v>120216</v>
      </c>
      <c r="K6427" s="3">
        <v>37383</v>
      </c>
      <c r="L6427" s="3">
        <v>126146</v>
      </c>
      <c r="M6427" s="3">
        <v>407174</v>
      </c>
      <c r="N6427" s="3">
        <v>675</v>
      </c>
    </row>
    <row r="6428" spans="1:14" x14ac:dyDescent="0.2">
      <c r="A6428" s="5" t="str">
        <f>HYPERLINK("http://www.ncbi.nlm.nih.gov/protein/242397462","Rpl10l")</f>
        <v>Rpl10l</v>
      </c>
      <c r="B6428" s="4"/>
      <c r="C6428" s="3">
        <v>46717</v>
      </c>
      <c r="D6428" s="3">
        <v>9365</v>
      </c>
      <c r="E6428" s="3">
        <v>62272</v>
      </c>
      <c r="F6428" s="3">
        <v>116693</v>
      </c>
      <c r="G6428" s="3">
        <v>0</v>
      </c>
      <c r="H6428" s="2">
        <f t="shared" si="200"/>
        <v>235047</v>
      </c>
      <c r="I6428" t="str">
        <f t="shared" si="201"/>
        <v>Rpl10l_235047</v>
      </c>
      <c r="J6428" s="3">
        <v>46717</v>
      </c>
      <c r="K6428" s="3">
        <v>9365</v>
      </c>
      <c r="L6428" s="3">
        <v>62272</v>
      </c>
      <c r="M6428" s="3">
        <v>116693</v>
      </c>
      <c r="N6428" s="3">
        <v>0</v>
      </c>
    </row>
    <row r="6429" spans="1:14" x14ac:dyDescent="0.2">
      <c r="A6429" s="5" t="str">
        <f>HYPERLINK("http://www.ncbi.nlm.nih.gov/protein/13385408","Rpl11")</f>
        <v>Rpl11</v>
      </c>
      <c r="B6429" s="4"/>
      <c r="C6429" s="3">
        <v>205467</v>
      </c>
      <c r="D6429" s="3">
        <v>6450</v>
      </c>
      <c r="E6429" s="3">
        <v>33574</v>
      </c>
      <c r="F6429" s="3">
        <v>52543</v>
      </c>
      <c r="G6429" s="3">
        <v>2356</v>
      </c>
      <c r="H6429" s="2">
        <f t="shared" si="200"/>
        <v>300390</v>
      </c>
      <c r="I6429" t="str">
        <f t="shared" si="201"/>
        <v>Rpl11_300390</v>
      </c>
      <c r="J6429" s="3">
        <v>205467</v>
      </c>
      <c r="K6429" s="3">
        <v>6450</v>
      </c>
      <c r="L6429" s="3">
        <v>33574</v>
      </c>
      <c r="M6429" s="3">
        <v>52543</v>
      </c>
      <c r="N6429" s="3">
        <v>2356</v>
      </c>
    </row>
    <row r="6430" spans="1:14" x14ac:dyDescent="0.2">
      <c r="A6430" s="5" t="str">
        <f>HYPERLINK("http://www.ncbi.nlm.nih.gov/protein/160333553","Rpl12")</f>
        <v>Rpl12</v>
      </c>
      <c r="B6430" s="4"/>
      <c r="C6430" s="3">
        <v>310745</v>
      </c>
      <c r="D6430" s="3">
        <v>37060</v>
      </c>
      <c r="E6430" s="3">
        <v>155953</v>
      </c>
      <c r="F6430" s="3">
        <v>196445</v>
      </c>
      <c r="G6430" s="3">
        <v>5537</v>
      </c>
      <c r="H6430" s="2">
        <f t="shared" si="200"/>
        <v>705740</v>
      </c>
      <c r="I6430" t="str">
        <f t="shared" si="201"/>
        <v>Rpl12_705740</v>
      </c>
      <c r="J6430" s="3">
        <v>310745</v>
      </c>
      <c r="K6430" s="3">
        <v>37060</v>
      </c>
      <c r="L6430" s="3">
        <v>155953</v>
      </c>
      <c r="M6430" s="3">
        <v>196445</v>
      </c>
      <c r="N6430" s="3">
        <v>5537</v>
      </c>
    </row>
    <row r="6431" spans="1:14" x14ac:dyDescent="0.2">
      <c r="A6431" s="5" t="str">
        <f>HYPERLINK("http://www.ncbi.nlm.nih.gov/protein/33186863","Rpl13")</f>
        <v>Rpl13</v>
      </c>
      <c r="B6431" s="4"/>
      <c r="C6431" s="3">
        <v>365022</v>
      </c>
      <c r="D6431" s="3">
        <v>43464</v>
      </c>
      <c r="E6431" s="3">
        <v>257487</v>
      </c>
      <c r="F6431" s="3">
        <v>497437</v>
      </c>
      <c r="G6431" s="3">
        <v>0</v>
      </c>
      <c r="H6431" s="2">
        <f t="shared" si="200"/>
        <v>1163410</v>
      </c>
      <c r="I6431" t="str">
        <f t="shared" si="201"/>
        <v>Rpl13_1163410</v>
      </c>
      <c r="J6431" s="3">
        <v>365022</v>
      </c>
      <c r="K6431" s="3">
        <v>43464</v>
      </c>
      <c r="L6431" s="3">
        <v>257487</v>
      </c>
      <c r="M6431" s="3">
        <v>497437</v>
      </c>
      <c r="N6431" s="3">
        <v>0</v>
      </c>
    </row>
    <row r="6432" spans="1:14" x14ac:dyDescent="0.2">
      <c r="A6432" s="5" t="str">
        <f>HYPERLINK("http://www.ncbi.nlm.nih.gov/protein/31981945","Rpl13a")</f>
        <v>Rpl13a</v>
      </c>
      <c r="B6432" s="4"/>
      <c r="C6432" s="3">
        <v>135117</v>
      </c>
      <c r="D6432" s="3">
        <v>27012</v>
      </c>
      <c r="E6432" s="3">
        <v>178965</v>
      </c>
      <c r="F6432" s="3">
        <v>365674</v>
      </c>
      <c r="G6432" s="3">
        <v>0</v>
      </c>
      <c r="H6432" s="2">
        <f t="shared" si="200"/>
        <v>706768</v>
      </c>
      <c r="I6432" t="str">
        <f t="shared" si="201"/>
        <v>Rpl13a_706768</v>
      </c>
      <c r="J6432" s="3">
        <v>135117</v>
      </c>
      <c r="K6432" s="3">
        <v>27012</v>
      </c>
      <c r="L6432" s="3">
        <v>178965</v>
      </c>
      <c r="M6432" s="3">
        <v>365674</v>
      </c>
      <c r="N6432" s="3">
        <v>0</v>
      </c>
    </row>
    <row r="6433" spans="1:14" x14ac:dyDescent="0.2">
      <c r="A6433" s="5" t="str">
        <f>HYPERLINK("http://www.ncbi.nlm.nih.gov/protein/13385472","Rpl14")</f>
        <v>Rpl14</v>
      </c>
      <c r="B6433" s="4"/>
      <c r="C6433" s="3">
        <v>166749</v>
      </c>
      <c r="D6433" s="3">
        <v>39909</v>
      </c>
      <c r="E6433" s="3">
        <v>120434</v>
      </c>
      <c r="F6433" s="3">
        <v>471439</v>
      </c>
      <c r="G6433" s="3">
        <v>0</v>
      </c>
      <c r="H6433" s="2">
        <f t="shared" si="200"/>
        <v>798531</v>
      </c>
      <c r="I6433" t="str">
        <f t="shared" si="201"/>
        <v>Rpl14_798531</v>
      </c>
      <c r="J6433" s="3">
        <v>166749</v>
      </c>
      <c r="K6433" s="3">
        <v>39909</v>
      </c>
      <c r="L6433" s="3">
        <v>120434</v>
      </c>
      <c r="M6433" s="3">
        <v>471439</v>
      </c>
      <c r="N6433" s="3">
        <v>0</v>
      </c>
    </row>
    <row r="6434" spans="1:14" x14ac:dyDescent="0.2">
      <c r="A6434" s="5" t="str">
        <f>HYPERLINK("http://www.ncbi.nlm.nih.gov/protein/13385036","Rpl15")</f>
        <v>Rpl15</v>
      </c>
      <c r="B6434" s="4"/>
      <c r="C6434" s="3">
        <v>113168</v>
      </c>
      <c r="D6434" s="3">
        <v>45957</v>
      </c>
      <c r="E6434" s="3">
        <v>109052</v>
      </c>
      <c r="F6434" s="3">
        <v>166846</v>
      </c>
      <c r="G6434" s="3">
        <v>0</v>
      </c>
      <c r="H6434" s="2">
        <f t="shared" si="200"/>
        <v>435023</v>
      </c>
      <c r="I6434" t="str">
        <f t="shared" si="201"/>
        <v>Rpl15_435023</v>
      </c>
      <c r="J6434" s="3">
        <v>113168</v>
      </c>
      <c r="K6434" s="3">
        <v>45957</v>
      </c>
      <c r="L6434" s="3">
        <v>109052</v>
      </c>
      <c r="M6434" s="3">
        <v>166846</v>
      </c>
      <c r="N6434" s="3">
        <v>0</v>
      </c>
    </row>
    <row r="6435" spans="1:14" x14ac:dyDescent="0.2">
      <c r="A6435" s="5" t="str">
        <f>HYPERLINK("http://www.ncbi.nlm.nih.gov/protein/161484662","Rpl17")</f>
        <v>Rpl17</v>
      </c>
      <c r="B6435" s="4"/>
      <c r="C6435" s="3">
        <v>184360</v>
      </c>
      <c r="D6435" s="3">
        <v>21412</v>
      </c>
      <c r="E6435" s="3">
        <v>89361</v>
      </c>
      <c r="F6435" s="3">
        <v>281919</v>
      </c>
      <c r="G6435" s="3">
        <v>0</v>
      </c>
      <c r="H6435" s="2">
        <f t="shared" si="200"/>
        <v>577052</v>
      </c>
      <c r="I6435" t="str">
        <f t="shared" si="201"/>
        <v>Rpl17_577052</v>
      </c>
      <c r="J6435" s="3">
        <v>184360</v>
      </c>
      <c r="K6435" s="3">
        <v>21412</v>
      </c>
      <c r="L6435" s="3">
        <v>89361</v>
      </c>
      <c r="M6435" s="3">
        <v>281919</v>
      </c>
      <c r="N6435" s="3">
        <v>0</v>
      </c>
    </row>
    <row r="6436" spans="1:14" x14ac:dyDescent="0.2">
      <c r="A6436" s="5" t="str">
        <f>HYPERLINK("http://www.ncbi.nlm.nih.gov/protein/83699424","Rpl18")</f>
        <v>Rpl18</v>
      </c>
      <c r="B6436" s="4"/>
      <c r="C6436" s="3">
        <v>447600</v>
      </c>
      <c r="D6436" s="3">
        <v>53054</v>
      </c>
      <c r="E6436" s="3">
        <v>249467</v>
      </c>
      <c r="F6436" s="3">
        <v>182825</v>
      </c>
      <c r="G6436" s="3">
        <v>0</v>
      </c>
      <c r="H6436" s="2">
        <f t="shared" si="200"/>
        <v>932946</v>
      </c>
      <c r="I6436" t="str">
        <f t="shared" si="201"/>
        <v>Rpl18_932946</v>
      </c>
      <c r="J6436" s="3">
        <v>447600</v>
      </c>
      <c r="K6436" s="3">
        <v>53054</v>
      </c>
      <c r="L6436" s="3">
        <v>249467</v>
      </c>
      <c r="M6436" s="3">
        <v>182825</v>
      </c>
      <c r="N6436" s="3">
        <v>0</v>
      </c>
    </row>
    <row r="6437" spans="1:14" x14ac:dyDescent="0.2">
      <c r="A6437" s="5" t="str">
        <f>HYPERLINK("http://www.ncbi.nlm.nih.gov/protein/58037465","Rpl18a")</f>
        <v>Rpl18a</v>
      </c>
      <c r="B6437" s="4"/>
      <c r="C6437" s="3">
        <v>126495</v>
      </c>
      <c r="D6437" s="3">
        <v>19015</v>
      </c>
      <c r="E6437" s="3">
        <v>87606</v>
      </c>
      <c r="F6437" s="3">
        <v>295196</v>
      </c>
      <c r="G6437" s="3">
        <v>0</v>
      </c>
      <c r="H6437" s="2">
        <f t="shared" si="200"/>
        <v>528312</v>
      </c>
      <c r="I6437" t="str">
        <f t="shared" si="201"/>
        <v>Rpl18a_528312</v>
      </c>
      <c r="J6437" s="3">
        <v>126495</v>
      </c>
      <c r="K6437" s="3">
        <v>19015</v>
      </c>
      <c r="L6437" s="3">
        <v>87606</v>
      </c>
      <c r="M6437" s="3">
        <v>295196</v>
      </c>
      <c r="N6437" s="3">
        <v>0</v>
      </c>
    </row>
    <row r="6438" spans="1:14" x14ac:dyDescent="0.2">
      <c r="A6438" s="5" t="str">
        <f>HYPERLINK("http://www.ncbi.nlm.nih.gov/protein/226958653","Rpl19")</f>
        <v>Rpl19</v>
      </c>
      <c r="B6438" s="4"/>
      <c r="C6438" s="3">
        <v>244880</v>
      </c>
      <c r="D6438" s="3">
        <v>6033</v>
      </c>
      <c r="E6438" s="3">
        <v>88998</v>
      </c>
      <c r="F6438" s="3">
        <v>102843</v>
      </c>
      <c r="G6438" s="3">
        <v>0</v>
      </c>
      <c r="H6438" s="2">
        <f t="shared" si="200"/>
        <v>442754</v>
      </c>
      <c r="I6438" t="str">
        <f t="shared" si="201"/>
        <v>Rpl19_442754</v>
      </c>
      <c r="J6438" s="3">
        <v>244880</v>
      </c>
      <c r="K6438" s="3">
        <v>6033</v>
      </c>
      <c r="L6438" s="3">
        <v>88998</v>
      </c>
      <c r="M6438" s="3">
        <v>102843</v>
      </c>
      <c r="N6438" s="3">
        <v>0</v>
      </c>
    </row>
    <row r="6439" spans="1:14" x14ac:dyDescent="0.2">
      <c r="A6439" s="5" t="str">
        <f>HYPERLINK("http://www.ncbi.nlm.nih.gov/protein/226958657","Rpl19")</f>
        <v>Rpl19</v>
      </c>
      <c r="B6439" s="4"/>
      <c r="C6439" s="3">
        <v>244880</v>
      </c>
      <c r="D6439" s="3">
        <v>6033</v>
      </c>
      <c r="E6439" s="3">
        <v>88998</v>
      </c>
      <c r="F6439" s="3">
        <v>102835</v>
      </c>
      <c r="G6439" s="3">
        <v>0</v>
      </c>
      <c r="H6439" s="2">
        <f t="shared" si="200"/>
        <v>442746</v>
      </c>
      <c r="I6439" t="str">
        <f t="shared" si="201"/>
        <v>Rpl19_442746</v>
      </c>
      <c r="J6439" s="3">
        <v>244880</v>
      </c>
      <c r="K6439" s="3">
        <v>6033</v>
      </c>
      <c r="L6439" s="3">
        <v>88998</v>
      </c>
      <c r="M6439" s="3">
        <v>102835</v>
      </c>
      <c r="N6439" s="3">
        <v>0</v>
      </c>
    </row>
    <row r="6440" spans="1:14" x14ac:dyDescent="0.2">
      <c r="A6440" s="5" t="str">
        <f>HYPERLINK("http://www.ncbi.nlm.nih.gov/protein/31560385","Rpl21")</f>
        <v>Rpl21</v>
      </c>
      <c r="B6440" s="4"/>
      <c r="C6440" s="3">
        <v>73096</v>
      </c>
      <c r="D6440" s="3">
        <v>37454</v>
      </c>
      <c r="E6440" s="3">
        <v>114846</v>
      </c>
      <c r="F6440" s="3">
        <v>267119</v>
      </c>
      <c r="G6440" s="3">
        <v>0</v>
      </c>
      <c r="H6440" s="2">
        <f t="shared" si="200"/>
        <v>492515</v>
      </c>
      <c r="I6440" t="str">
        <f t="shared" si="201"/>
        <v>Rpl21_492515</v>
      </c>
      <c r="J6440" s="3">
        <v>73096</v>
      </c>
      <c r="K6440" s="3">
        <v>37454</v>
      </c>
      <c r="L6440" s="3">
        <v>114846</v>
      </c>
      <c r="M6440" s="3">
        <v>267119</v>
      </c>
      <c r="N6440" s="3">
        <v>0</v>
      </c>
    </row>
    <row r="6441" spans="1:14" x14ac:dyDescent="0.2">
      <c r="A6441" s="5" t="str">
        <f>HYPERLINK("http://www.ncbi.nlm.nih.gov/protein/459683845","Rpl22")</f>
        <v>Rpl22</v>
      </c>
      <c r="B6441" s="4"/>
      <c r="C6441" s="3">
        <v>81480</v>
      </c>
      <c r="D6441" s="3">
        <v>17771</v>
      </c>
      <c r="E6441" s="3">
        <v>21452</v>
      </c>
      <c r="F6441" s="3">
        <v>0</v>
      </c>
      <c r="G6441" s="3">
        <v>0</v>
      </c>
      <c r="H6441" s="2">
        <f t="shared" si="200"/>
        <v>120703</v>
      </c>
      <c r="I6441" t="str">
        <f t="shared" si="201"/>
        <v>Rpl22_120703</v>
      </c>
      <c r="J6441" s="3">
        <v>81480</v>
      </c>
      <c r="K6441" s="3">
        <v>17771</v>
      </c>
      <c r="L6441" s="3">
        <v>21452</v>
      </c>
      <c r="M6441" s="3">
        <v>0</v>
      </c>
      <c r="N6441" s="3">
        <v>0</v>
      </c>
    </row>
    <row r="6442" spans="1:14" x14ac:dyDescent="0.2">
      <c r="A6442" s="5" t="str">
        <f>HYPERLINK("http://www.ncbi.nlm.nih.gov/protein/459683847","Rpl22")</f>
        <v>Rpl22</v>
      </c>
      <c r="B6442" s="4"/>
      <c r="C6442" s="3">
        <v>81480</v>
      </c>
      <c r="D6442" s="3">
        <v>17771</v>
      </c>
      <c r="E6442" s="3">
        <v>21420</v>
      </c>
      <c r="F6442" s="3">
        <v>0</v>
      </c>
      <c r="G6442" s="3">
        <v>0</v>
      </c>
      <c r="H6442" s="2">
        <f t="shared" si="200"/>
        <v>120671</v>
      </c>
      <c r="I6442" t="str">
        <f t="shared" si="201"/>
        <v>Rpl22_120671</v>
      </c>
      <c r="J6442" s="3">
        <v>81480</v>
      </c>
      <c r="K6442" s="3">
        <v>17771</v>
      </c>
      <c r="L6442" s="3">
        <v>21420</v>
      </c>
      <c r="M6442" s="3">
        <v>0</v>
      </c>
      <c r="N6442" s="3">
        <v>0</v>
      </c>
    </row>
    <row r="6443" spans="1:14" x14ac:dyDescent="0.2">
      <c r="A6443" s="5" t="str">
        <f>HYPERLINK("http://www.ncbi.nlm.nih.gov/protein/13386010","Rpl22l1")</f>
        <v>Rpl22l1</v>
      </c>
      <c r="B6443" s="4"/>
      <c r="C6443" s="3">
        <v>11386</v>
      </c>
      <c r="D6443" s="3">
        <v>2309</v>
      </c>
      <c r="E6443" s="3">
        <v>48320</v>
      </c>
      <c r="F6443" s="3">
        <v>71345</v>
      </c>
      <c r="G6443" s="3">
        <v>0</v>
      </c>
      <c r="H6443" s="2">
        <f t="shared" si="200"/>
        <v>133360</v>
      </c>
      <c r="I6443" t="str">
        <f t="shared" si="201"/>
        <v>Rpl22l1_133360</v>
      </c>
      <c r="J6443" s="3">
        <v>11386</v>
      </c>
      <c r="K6443" s="3">
        <v>2309</v>
      </c>
      <c r="L6443" s="3">
        <v>48320</v>
      </c>
      <c r="M6443" s="3">
        <v>71345</v>
      </c>
      <c r="N6443" s="3">
        <v>0</v>
      </c>
    </row>
    <row r="6444" spans="1:14" x14ac:dyDescent="0.2">
      <c r="A6444" s="5" t="str">
        <f>HYPERLINK("http://www.ncbi.nlm.nih.gov/protein/46430508","Rpl23a")</f>
        <v>Rpl23a</v>
      </c>
      <c r="B6444" s="4"/>
      <c r="C6444" s="3">
        <v>150274</v>
      </c>
      <c r="D6444" s="3">
        <v>57056</v>
      </c>
      <c r="E6444" s="3">
        <v>182479</v>
      </c>
      <c r="F6444" s="3">
        <v>525128</v>
      </c>
      <c r="G6444" s="3">
        <v>1810</v>
      </c>
      <c r="H6444" s="2">
        <f t="shared" si="200"/>
        <v>916747</v>
      </c>
      <c r="I6444" t="str">
        <f t="shared" si="201"/>
        <v>Rpl23a_916747</v>
      </c>
      <c r="J6444" s="3">
        <v>150274</v>
      </c>
      <c r="K6444" s="3">
        <v>57056</v>
      </c>
      <c r="L6444" s="3">
        <v>182479</v>
      </c>
      <c r="M6444" s="3">
        <v>525128</v>
      </c>
      <c r="N6444" s="3">
        <v>1810</v>
      </c>
    </row>
    <row r="6445" spans="1:14" x14ac:dyDescent="0.2">
      <c r="A6445" s="5" t="str">
        <f>HYPERLINK("http://www.ncbi.nlm.nih.gov/protein/18250296","Rpl24")</f>
        <v>Rpl24</v>
      </c>
      <c r="B6445" s="4"/>
      <c r="C6445" s="3">
        <v>93690</v>
      </c>
      <c r="D6445" s="3">
        <v>35534</v>
      </c>
      <c r="E6445" s="3">
        <v>151562</v>
      </c>
      <c r="F6445" s="3">
        <v>305084</v>
      </c>
      <c r="G6445" s="3">
        <v>535</v>
      </c>
      <c r="H6445" s="2">
        <f t="shared" si="200"/>
        <v>586405</v>
      </c>
      <c r="I6445" t="str">
        <f t="shared" si="201"/>
        <v>Rpl24_586405</v>
      </c>
      <c r="J6445" s="3">
        <v>93690</v>
      </c>
      <c r="K6445" s="3">
        <v>35534</v>
      </c>
      <c r="L6445" s="3">
        <v>151562</v>
      </c>
      <c r="M6445" s="3">
        <v>305084</v>
      </c>
      <c r="N6445" s="3">
        <v>535</v>
      </c>
    </row>
    <row r="6446" spans="1:14" x14ac:dyDescent="0.2">
      <c r="A6446" s="5" t="str">
        <f>HYPERLINK("http://www.ncbi.nlm.nih.gov/protein/6677777","Rpl26")</f>
        <v>Rpl26</v>
      </c>
      <c r="B6446" s="4"/>
      <c r="C6446" s="3">
        <v>78844</v>
      </c>
      <c r="D6446" s="3">
        <v>52827</v>
      </c>
      <c r="E6446" s="3">
        <v>132223</v>
      </c>
      <c r="F6446" s="3">
        <v>331393</v>
      </c>
      <c r="G6446" s="3">
        <v>0</v>
      </c>
      <c r="H6446" s="2">
        <f t="shared" si="200"/>
        <v>595287</v>
      </c>
      <c r="I6446" t="str">
        <f t="shared" si="201"/>
        <v>Rpl26_595287</v>
      </c>
      <c r="J6446" s="3">
        <v>78844</v>
      </c>
      <c r="K6446" s="3">
        <v>52827</v>
      </c>
      <c r="L6446" s="3">
        <v>132223</v>
      </c>
      <c r="M6446" s="3">
        <v>331393</v>
      </c>
      <c r="N6446" s="3">
        <v>0</v>
      </c>
    </row>
    <row r="6447" spans="1:14" x14ac:dyDescent="0.2">
      <c r="A6447" s="5" t="str">
        <f>HYPERLINK("http://www.ncbi.nlm.nih.gov/protein/8567400","Rpl27")</f>
        <v>Rpl27</v>
      </c>
      <c r="B6447" s="4"/>
      <c r="C6447" s="3">
        <v>157487</v>
      </c>
      <c r="D6447" s="3">
        <v>38277</v>
      </c>
      <c r="E6447" s="3">
        <v>140774</v>
      </c>
      <c r="F6447" s="3">
        <v>223294</v>
      </c>
      <c r="G6447" s="3">
        <v>0</v>
      </c>
      <c r="H6447" s="2">
        <f t="shared" si="200"/>
        <v>559832</v>
      </c>
      <c r="I6447" t="str">
        <f t="shared" si="201"/>
        <v>Rpl27_559832</v>
      </c>
      <c r="J6447" s="3">
        <v>157487</v>
      </c>
      <c r="K6447" s="3">
        <v>38277</v>
      </c>
      <c r="L6447" s="3">
        <v>140774</v>
      </c>
      <c r="M6447" s="3">
        <v>223294</v>
      </c>
      <c r="N6447" s="3">
        <v>0</v>
      </c>
    </row>
    <row r="6448" spans="1:14" x14ac:dyDescent="0.2">
      <c r="A6448" s="5" t="str">
        <f>HYPERLINK("http://www.ncbi.nlm.nih.gov/protein/31560517","Rpl27a")</f>
        <v>Rpl27a</v>
      </c>
      <c r="B6448" s="4"/>
      <c r="C6448" s="3">
        <v>155766</v>
      </c>
      <c r="D6448" s="3">
        <v>5837</v>
      </c>
      <c r="E6448" s="3">
        <v>68791</v>
      </c>
      <c r="F6448" s="3">
        <v>315553</v>
      </c>
      <c r="G6448" s="3">
        <v>0</v>
      </c>
      <c r="H6448" s="2">
        <f t="shared" si="200"/>
        <v>545947</v>
      </c>
      <c r="I6448" t="str">
        <f t="shared" si="201"/>
        <v>Rpl27a_545947</v>
      </c>
      <c r="J6448" s="3">
        <v>155766</v>
      </c>
      <c r="K6448" s="3">
        <v>5837</v>
      </c>
      <c r="L6448" s="3">
        <v>68791</v>
      </c>
      <c r="M6448" s="3">
        <v>315553</v>
      </c>
      <c r="N6448" s="3">
        <v>0</v>
      </c>
    </row>
    <row r="6449" spans="1:14" x14ac:dyDescent="0.2">
      <c r="A6449" s="5" t="str">
        <f>HYPERLINK("http://www.ncbi.nlm.nih.gov/protein/6677779","Rpl28")</f>
        <v>Rpl28</v>
      </c>
      <c r="B6449" s="4"/>
      <c r="C6449" s="3">
        <v>19295</v>
      </c>
      <c r="D6449" s="3">
        <v>13968</v>
      </c>
      <c r="E6449" s="3">
        <v>73327</v>
      </c>
      <c r="F6449" s="3">
        <v>142715</v>
      </c>
      <c r="G6449" s="3">
        <v>0</v>
      </c>
      <c r="H6449" s="2">
        <f t="shared" si="200"/>
        <v>249305</v>
      </c>
      <c r="I6449" t="str">
        <f t="shared" si="201"/>
        <v>Rpl28_249305</v>
      </c>
      <c r="J6449" s="3">
        <v>19295</v>
      </c>
      <c r="K6449" s="3">
        <v>13968</v>
      </c>
      <c r="L6449" s="3">
        <v>73327</v>
      </c>
      <c r="M6449" s="3">
        <v>142715</v>
      </c>
      <c r="N6449" s="3">
        <v>0</v>
      </c>
    </row>
    <row r="6450" spans="1:14" x14ac:dyDescent="0.2">
      <c r="A6450" s="5" t="str">
        <f>HYPERLINK("http://www.ncbi.nlm.nih.gov/protein/255308899","Rpl3")</f>
        <v>Rpl3</v>
      </c>
      <c r="B6450" s="4"/>
      <c r="C6450" s="3">
        <v>240925</v>
      </c>
      <c r="D6450" s="3">
        <v>45347</v>
      </c>
      <c r="E6450" s="3">
        <v>419456</v>
      </c>
      <c r="F6450" s="3">
        <v>405382</v>
      </c>
      <c r="G6450" s="3">
        <v>0</v>
      </c>
      <c r="H6450" s="2">
        <f t="shared" si="200"/>
        <v>1111110</v>
      </c>
      <c r="I6450" t="str">
        <f t="shared" si="201"/>
        <v>Rpl3_1111110</v>
      </c>
      <c r="J6450" s="3">
        <v>240925</v>
      </c>
      <c r="K6450" s="3">
        <v>45347</v>
      </c>
      <c r="L6450" s="3">
        <v>419456</v>
      </c>
      <c r="M6450" s="3">
        <v>405382</v>
      </c>
      <c r="N6450" s="3">
        <v>0</v>
      </c>
    </row>
    <row r="6451" spans="1:14" x14ac:dyDescent="0.2">
      <c r="A6451" s="5" t="str">
        <f>HYPERLINK("http://www.ncbi.nlm.nih.gov/protein/6677783","Rpl30")</f>
        <v>Rpl30</v>
      </c>
      <c r="B6451" s="4"/>
      <c r="C6451" s="3">
        <v>200414</v>
      </c>
      <c r="D6451" s="3">
        <v>21370</v>
      </c>
      <c r="E6451" s="3">
        <v>130925</v>
      </c>
      <c r="F6451" s="3">
        <v>483423</v>
      </c>
      <c r="G6451" s="3">
        <v>793</v>
      </c>
      <c r="H6451" s="2">
        <f t="shared" si="200"/>
        <v>836925</v>
      </c>
      <c r="I6451" t="str">
        <f t="shared" si="201"/>
        <v>Rpl30_836925</v>
      </c>
      <c r="J6451" s="3">
        <v>200414</v>
      </c>
      <c r="K6451" s="3">
        <v>21370</v>
      </c>
      <c r="L6451" s="3">
        <v>130925</v>
      </c>
      <c r="M6451" s="3">
        <v>483423</v>
      </c>
      <c r="N6451" s="3">
        <v>793</v>
      </c>
    </row>
    <row r="6452" spans="1:14" x14ac:dyDescent="0.2">
      <c r="A6452" s="5" t="str">
        <f>HYPERLINK("http://www.ncbi.nlm.nih.gov/protein/16716589;356582309","Rpl31")</f>
        <v>Rpl31</v>
      </c>
      <c r="B6452" s="4"/>
      <c r="C6452" s="3">
        <v>124316</v>
      </c>
      <c r="D6452" s="3">
        <v>0</v>
      </c>
      <c r="E6452" s="3">
        <v>116780</v>
      </c>
      <c r="F6452" s="3">
        <v>0</v>
      </c>
      <c r="G6452" s="3">
        <v>0</v>
      </c>
      <c r="H6452" s="2">
        <f t="shared" si="200"/>
        <v>241096</v>
      </c>
      <c r="I6452" t="str">
        <f t="shared" si="201"/>
        <v>Rpl31_241096</v>
      </c>
      <c r="J6452" s="3">
        <v>124316</v>
      </c>
      <c r="K6452" s="3">
        <v>0</v>
      </c>
      <c r="L6452" s="3">
        <v>116780</v>
      </c>
      <c r="M6452" s="3">
        <v>0</v>
      </c>
      <c r="N6452" s="3">
        <v>0</v>
      </c>
    </row>
    <row r="6453" spans="1:14" x14ac:dyDescent="0.2">
      <c r="A6453" s="5" t="str">
        <f>HYPERLINK("http://www.ncbi.nlm.nih.gov/protein/356582309","Rpl31")</f>
        <v>Rpl31</v>
      </c>
      <c r="B6453" s="4"/>
      <c r="C6453" s="3">
        <v>0</v>
      </c>
      <c r="D6453" s="3">
        <v>8089</v>
      </c>
      <c r="E6453" s="3">
        <v>0</v>
      </c>
      <c r="F6453" s="3">
        <v>114238</v>
      </c>
      <c r="G6453" s="3">
        <v>1210</v>
      </c>
      <c r="H6453" s="2">
        <f t="shared" si="200"/>
        <v>123537</v>
      </c>
      <c r="I6453" t="str">
        <f t="shared" si="201"/>
        <v>Rpl31_123537</v>
      </c>
      <c r="J6453" s="3">
        <v>0</v>
      </c>
      <c r="K6453" s="3">
        <v>8089</v>
      </c>
      <c r="L6453" s="3">
        <v>0</v>
      </c>
      <c r="M6453" s="3">
        <v>114238</v>
      </c>
      <c r="N6453" s="3">
        <v>1210</v>
      </c>
    </row>
    <row r="6454" spans="1:14" x14ac:dyDescent="0.2">
      <c r="A6454" s="5" t="str">
        <f>HYPERLINK("http://www.ncbi.nlm.nih.gov/protein/386365497","Rpl31-ps12")</f>
        <v>Rpl31-ps12</v>
      </c>
      <c r="B6454" s="4"/>
      <c r="C6454" s="3">
        <v>41189</v>
      </c>
      <c r="D6454" s="3">
        <v>238</v>
      </c>
      <c r="E6454" s="3">
        <v>7710</v>
      </c>
      <c r="F6454" s="3">
        <v>32210</v>
      </c>
      <c r="G6454" s="3">
        <v>0</v>
      </c>
      <c r="H6454" s="2">
        <f t="shared" si="200"/>
        <v>81347</v>
      </c>
      <c r="I6454" t="str">
        <f t="shared" si="201"/>
        <v>Rpl31-ps12_81347</v>
      </c>
      <c r="J6454" s="3">
        <v>41189</v>
      </c>
      <c r="K6454" s="3">
        <v>238</v>
      </c>
      <c r="L6454" s="3">
        <v>7710</v>
      </c>
      <c r="M6454" s="3">
        <v>32210</v>
      </c>
      <c r="N6454" s="3">
        <v>0</v>
      </c>
    </row>
    <row r="6455" spans="1:14" x14ac:dyDescent="0.2">
      <c r="A6455" s="5" t="str">
        <f>HYPERLINK("http://www.ncbi.nlm.nih.gov/protein/25742730","Rpl32")</f>
        <v>Rpl32</v>
      </c>
      <c r="B6455" s="4"/>
      <c r="C6455" s="3">
        <v>112234</v>
      </c>
      <c r="D6455" s="3">
        <v>8705</v>
      </c>
      <c r="E6455" s="3">
        <v>69910</v>
      </c>
      <c r="F6455" s="3">
        <v>112437</v>
      </c>
      <c r="G6455" s="3">
        <v>0</v>
      </c>
      <c r="H6455" s="2">
        <f t="shared" si="200"/>
        <v>303286</v>
      </c>
      <c r="I6455" t="str">
        <f t="shared" si="201"/>
        <v>Rpl32_303286</v>
      </c>
      <c r="J6455" s="3">
        <v>112234</v>
      </c>
      <c r="K6455" s="3">
        <v>8705</v>
      </c>
      <c r="L6455" s="3">
        <v>69910</v>
      </c>
      <c r="M6455" s="3">
        <v>112437</v>
      </c>
      <c r="N6455" s="3">
        <v>0</v>
      </c>
    </row>
    <row r="6456" spans="1:14" x14ac:dyDescent="0.2">
      <c r="A6456" s="5" t="str">
        <f>HYPERLINK("http://www.ncbi.nlm.nih.gov/protein/55741555","Rpl34")</f>
        <v>Rpl34</v>
      </c>
      <c r="B6456" s="4"/>
      <c r="C6456" s="3">
        <v>18324</v>
      </c>
      <c r="D6456" s="3">
        <v>14147</v>
      </c>
      <c r="E6456" s="3">
        <v>94781</v>
      </c>
      <c r="F6456" s="3">
        <v>391385</v>
      </c>
      <c r="G6456" s="3">
        <v>0</v>
      </c>
      <c r="H6456" s="2">
        <f t="shared" si="200"/>
        <v>518637</v>
      </c>
      <c r="I6456" t="str">
        <f t="shared" si="201"/>
        <v>Rpl34_518637</v>
      </c>
      <c r="J6456" s="3">
        <v>18324</v>
      </c>
      <c r="K6456" s="3">
        <v>14147</v>
      </c>
      <c r="L6456" s="3">
        <v>94781</v>
      </c>
      <c r="M6456" s="3">
        <v>391385</v>
      </c>
      <c r="N6456" s="3">
        <v>0</v>
      </c>
    </row>
    <row r="6457" spans="1:14" x14ac:dyDescent="0.2">
      <c r="A6457" s="5" t="str">
        <f>HYPERLINK("http://www.ncbi.nlm.nih.gov/protein/13385044","Rpl35")</f>
        <v>Rpl35</v>
      </c>
      <c r="B6457" s="4"/>
      <c r="C6457" s="3">
        <v>84629</v>
      </c>
      <c r="D6457" s="3">
        <v>6000</v>
      </c>
      <c r="E6457" s="3">
        <v>105224</v>
      </c>
      <c r="F6457" s="3">
        <v>48516</v>
      </c>
      <c r="G6457" s="3">
        <v>0</v>
      </c>
      <c r="H6457" s="2">
        <f t="shared" si="200"/>
        <v>244369</v>
      </c>
      <c r="I6457" t="str">
        <f t="shared" si="201"/>
        <v>Rpl35_244369</v>
      </c>
      <c r="J6457" s="3">
        <v>84629</v>
      </c>
      <c r="K6457" s="3">
        <v>6000</v>
      </c>
      <c r="L6457" s="3">
        <v>105224</v>
      </c>
      <c r="M6457" s="3">
        <v>48516</v>
      </c>
      <c r="N6457" s="3">
        <v>0</v>
      </c>
    </row>
    <row r="6458" spans="1:14" x14ac:dyDescent="0.2">
      <c r="A6458" s="5" t="str">
        <f>HYPERLINK("http://www.ncbi.nlm.nih.gov/protein/160333837","Rpl36")</f>
        <v>Rpl36</v>
      </c>
      <c r="B6458" s="4"/>
      <c r="C6458" s="3">
        <v>40072</v>
      </c>
      <c r="D6458" s="3">
        <v>46088</v>
      </c>
      <c r="E6458" s="3">
        <v>100334</v>
      </c>
      <c r="F6458" s="3">
        <v>445786</v>
      </c>
      <c r="G6458" s="3">
        <v>0</v>
      </c>
      <c r="H6458" s="2">
        <f t="shared" si="200"/>
        <v>632280</v>
      </c>
      <c r="I6458" t="str">
        <f t="shared" si="201"/>
        <v>Rpl36_632280</v>
      </c>
      <c r="J6458" s="3">
        <v>40072</v>
      </c>
      <c r="K6458" s="3">
        <v>46088</v>
      </c>
      <c r="L6458" s="3">
        <v>100334</v>
      </c>
      <c r="M6458" s="3">
        <v>445786</v>
      </c>
      <c r="N6458" s="3">
        <v>0</v>
      </c>
    </row>
    <row r="6459" spans="1:14" x14ac:dyDescent="0.2">
      <c r="A6459" s="5" t="str">
        <f>HYPERLINK("http://www.ncbi.nlm.nih.gov/protein/9845295;13385038","Rpl36a")</f>
        <v>Rpl36a</v>
      </c>
      <c r="B6459" s="4"/>
      <c r="C6459" s="3">
        <v>45985</v>
      </c>
      <c r="D6459" s="3">
        <v>0</v>
      </c>
      <c r="E6459" s="3">
        <v>37799</v>
      </c>
      <c r="F6459" s="3">
        <v>0</v>
      </c>
      <c r="G6459" s="3">
        <v>0</v>
      </c>
      <c r="H6459" s="2">
        <f t="shared" si="200"/>
        <v>83784</v>
      </c>
      <c r="I6459" t="str">
        <f t="shared" si="201"/>
        <v>Rpl36a_83784</v>
      </c>
      <c r="J6459" s="3">
        <v>45985</v>
      </c>
      <c r="K6459" s="3">
        <v>0</v>
      </c>
      <c r="L6459" s="3">
        <v>37799</v>
      </c>
      <c r="M6459" s="3">
        <v>0</v>
      </c>
      <c r="N6459" s="3">
        <v>0</v>
      </c>
    </row>
    <row r="6460" spans="1:14" x14ac:dyDescent="0.2">
      <c r="A6460" s="5" t="str">
        <f>HYPERLINK("http://www.ncbi.nlm.nih.gov/protein/13385038","Rpl36al")</f>
        <v>Rpl36al</v>
      </c>
      <c r="B6460" s="4"/>
      <c r="C6460" s="3">
        <v>0</v>
      </c>
      <c r="D6460" s="3">
        <v>1117</v>
      </c>
      <c r="E6460" s="3">
        <v>0</v>
      </c>
      <c r="F6460" s="3">
        <v>31498</v>
      </c>
      <c r="G6460" s="3">
        <v>0</v>
      </c>
      <c r="H6460" s="2">
        <f t="shared" si="200"/>
        <v>32615</v>
      </c>
      <c r="I6460" t="str">
        <f t="shared" si="201"/>
        <v>Rpl36al_32615</v>
      </c>
      <c r="J6460" s="3">
        <v>0</v>
      </c>
      <c r="K6460" s="3">
        <v>1117</v>
      </c>
      <c r="L6460" s="3">
        <v>0</v>
      </c>
      <c r="M6460" s="3">
        <v>31498</v>
      </c>
      <c r="N6460" s="3">
        <v>0</v>
      </c>
    </row>
    <row r="6461" spans="1:14" x14ac:dyDescent="0.2">
      <c r="A6461" s="5" t="str">
        <f>HYPERLINK("http://www.ncbi.nlm.nih.gov/protein/6677785","Rpl37a")</f>
        <v>Rpl37a</v>
      </c>
      <c r="B6461" s="4"/>
      <c r="C6461" s="3">
        <v>25830</v>
      </c>
      <c r="D6461" s="3">
        <v>969</v>
      </c>
      <c r="E6461" s="3">
        <v>17703</v>
      </c>
      <c r="F6461" s="3">
        <v>4592</v>
      </c>
      <c r="G6461" s="3">
        <v>0</v>
      </c>
      <c r="H6461" s="2">
        <f t="shared" si="200"/>
        <v>49094</v>
      </c>
      <c r="I6461" t="str">
        <f t="shared" si="201"/>
        <v>Rpl37a_49094</v>
      </c>
      <c r="J6461" s="3">
        <v>25830</v>
      </c>
      <c r="K6461" s="3">
        <v>969</v>
      </c>
      <c r="L6461" s="3">
        <v>17703</v>
      </c>
      <c r="M6461" s="3">
        <v>4592</v>
      </c>
      <c r="N6461" s="3">
        <v>0</v>
      </c>
    </row>
    <row r="6462" spans="1:14" x14ac:dyDescent="0.2">
      <c r="A6462" s="5" t="str">
        <f>HYPERLINK("http://www.ncbi.nlm.nih.gov/protein/12963655","Rpl38")</f>
        <v>Rpl38</v>
      </c>
      <c r="B6462" s="4"/>
      <c r="C6462" s="3">
        <v>50653</v>
      </c>
      <c r="D6462" s="3">
        <v>19343</v>
      </c>
      <c r="E6462" s="3">
        <v>46364</v>
      </c>
      <c r="F6462" s="3">
        <v>60295</v>
      </c>
      <c r="G6462" s="3">
        <v>0</v>
      </c>
      <c r="H6462" s="2">
        <f t="shared" si="200"/>
        <v>176655</v>
      </c>
      <c r="I6462" t="str">
        <f t="shared" si="201"/>
        <v>Rpl38_176655</v>
      </c>
      <c r="J6462" s="3">
        <v>50653</v>
      </c>
      <c r="K6462" s="3">
        <v>19343</v>
      </c>
      <c r="L6462" s="3">
        <v>46364</v>
      </c>
      <c r="M6462" s="3">
        <v>60295</v>
      </c>
      <c r="N6462" s="3">
        <v>0</v>
      </c>
    </row>
    <row r="6463" spans="1:14" x14ac:dyDescent="0.2">
      <c r="A6463" s="5" t="str">
        <f>HYPERLINK("http://www.ncbi.nlm.nih.gov/protein/13384820","Rpl3l")</f>
        <v>Rpl3l</v>
      </c>
      <c r="B6463" s="4"/>
      <c r="C6463" s="3">
        <v>8567</v>
      </c>
      <c r="D6463" s="3">
        <v>1605</v>
      </c>
      <c r="E6463" s="3">
        <v>18725</v>
      </c>
      <c r="F6463" s="3">
        <v>2660</v>
      </c>
      <c r="G6463" s="3">
        <v>0</v>
      </c>
      <c r="H6463" s="2">
        <f t="shared" si="200"/>
        <v>31557</v>
      </c>
      <c r="I6463" t="str">
        <f t="shared" si="201"/>
        <v>Rpl3l_31557</v>
      </c>
      <c r="J6463" s="3">
        <v>8567</v>
      </c>
      <c r="K6463" s="3">
        <v>1605</v>
      </c>
      <c r="L6463" s="3">
        <v>18725</v>
      </c>
      <c r="M6463" s="3">
        <v>2660</v>
      </c>
      <c r="N6463" s="3">
        <v>0</v>
      </c>
    </row>
    <row r="6464" spans="1:14" x14ac:dyDescent="0.2">
      <c r="A6464" s="5" t="str">
        <f>HYPERLINK("http://www.ncbi.nlm.nih.gov/protein/255653009","Rpl3l")</f>
        <v>Rpl3l</v>
      </c>
      <c r="B6464" s="4"/>
      <c r="C6464" s="3">
        <v>8567</v>
      </c>
      <c r="D6464" s="3">
        <v>1605</v>
      </c>
      <c r="E6464" s="3">
        <v>16894</v>
      </c>
      <c r="F6464" s="3">
        <v>2660</v>
      </c>
      <c r="G6464" s="3">
        <v>0</v>
      </c>
      <c r="H6464" s="2">
        <f t="shared" si="200"/>
        <v>29726</v>
      </c>
      <c r="I6464" t="str">
        <f t="shared" si="201"/>
        <v>Rpl3l_29726</v>
      </c>
      <c r="J6464" s="3">
        <v>8567</v>
      </c>
      <c r="K6464" s="3">
        <v>1605</v>
      </c>
      <c r="L6464" s="3">
        <v>16894</v>
      </c>
      <c r="M6464" s="3">
        <v>2660</v>
      </c>
      <c r="N6464" s="3">
        <v>0</v>
      </c>
    </row>
    <row r="6465" spans="1:14" x14ac:dyDescent="0.2">
      <c r="A6465" s="5" t="str">
        <f>HYPERLINK("http://www.ncbi.nlm.nih.gov/protein/30794450","Rpl4")</f>
        <v>Rpl4</v>
      </c>
      <c r="B6465" s="4"/>
      <c r="C6465" s="3">
        <v>582314</v>
      </c>
      <c r="D6465" s="3">
        <v>136436</v>
      </c>
      <c r="E6465" s="3">
        <v>417321</v>
      </c>
      <c r="F6465" s="3">
        <v>939048</v>
      </c>
      <c r="G6465" s="3">
        <v>0</v>
      </c>
      <c r="H6465" s="2">
        <f t="shared" si="200"/>
        <v>2075119</v>
      </c>
      <c r="I6465" t="str">
        <f t="shared" si="201"/>
        <v>Rpl4_2075119</v>
      </c>
      <c r="J6465" s="3">
        <v>582314</v>
      </c>
      <c r="K6465" s="3">
        <v>136436</v>
      </c>
      <c r="L6465" s="3">
        <v>417321</v>
      </c>
      <c r="M6465" s="3">
        <v>939048</v>
      </c>
      <c r="N6465" s="3">
        <v>0</v>
      </c>
    </row>
    <row r="6466" spans="1:14" x14ac:dyDescent="0.2">
      <c r="A6466" s="5" t="str">
        <f>HYPERLINK("http://www.ncbi.nlm.nih.gov/protein/23956082","Rpl5")</f>
        <v>Rpl5</v>
      </c>
      <c r="B6466" s="4"/>
      <c r="C6466" s="3">
        <v>169001</v>
      </c>
      <c r="D6466" s="3">
        <v>54726</v>
      </c>
      <c r="E6466" s="3">
        <v>167149</v>
      </c>
      <c r="F6466" s="3">
        <v>613451</v>
      </c>
      <c r="G6466" s="3">
        <v>2720</v>
      </c>
      <c r="H6466" s="2">
        <f t="shared" ref="H6466:H6529" si="202">SUM(C6466:G6466)</f>
        <v>1007047</v>
      </c>
      <c r="I6466" t="str">
        <f t="shared" ref="I6466:I6529" si="203">A6466&amp;"_"&amp;H6466</f>
        <v>Rpl5_1007047</v>
      </c>
      <c r="J6466" s="3">
        <v>169001</v>
      </c>
      <c r="K6466" s="3">
        <v>54726</v>
      </c>
      <c r="L6466" s="3">
        <v>167149</v>
      </c>
      <c r="M6466" s="3">
        <v>613451</v>
      </c>
      <c r="N6466" s="3">
        <v>2720</v>
      </c>
    </row>
    <row r="6467" spans="1:14" x14ac:dyDescent="0.2">
      <c r="A6467" s="5" t="str">
        <f>HYPERLINK("http://www.ncbi.nlm.nih.gov/protein/84662736","Rpl6")</f>
        <v>Rpl6</v>
      </c>
      <c r="B6467" s="4"/>
      <c r="C6467" s="3">
        <v>279643</v>
      </c>
      <c r="D6467" s="3">
        <v>106772</v>
      </c>
      <c r="E6467" s="3">
        <v>212653</v>
      </c>
      <c r="F6467" s="3">
        <v>1095146</v>
      </c>
      <c r="G6467" s="3">
        <v>0</v>
      </c>
      <c r="H6467" s="2">
        <f t="shared" si="202"/>
        <v>1694214</v>
      </c>
      <c r="I6467" t="str">
        <f t="shared" si="203"/>
        <v>Rpl6_1694214</v>
      </c>
      <c r="J6467" s="3">
        <v>279643</v>
      </c>
      <c r="K6467" s="3">
        <v>106772</v>
      </c>
      <c r="L6467" s="3">
        <v>212653</v>
      </c>
      <c r="M6467" s="3">
        <v>1095146</v>
      </c>
      <c r="N6467" s="3">
        <v>0</v>
      </c>
    </row>
    <row r="6468" spans="1:14" x14ac:dyDescent="0.2">
      <c r="A6468" s="5" t="str">
        <f>HYPERLINK("http://www.ncbi.nlm.nih.gov/protein/31981515","Rpl7")</f>
        <v>Rpl7</v>
      </c>
      <c r="B6468" s="4"/>
      <c r="C6468" s="3">
        <v>540247</v>
      </c>
      <c r="D6468" s="3">
        <v>65429</v>
      </c>
      <c r="E6468" s="3">
        <v>230470</v>
      </c>
      <c r="F6468" s="3">
        <v>1010876</v>
      </c>
      <c r="G6468" s="3">
        <v>0</v>
      </c>
      <c r="H6468" s="2">
        <f t="shared" si="202"/>
        <v>1847022</v>
      </c>
      <c r="I6468" t="str">
        <f t="shared" si="203"/>
        <v>Rpl7_1847022</v>
      </c>
      <c r="J6468" s="3">
        <v>540247</v>
      </c>
      <c r="K6468" s="3">
        <v>65429</v>
      </c>
      <c r="L6468" s="3">
        <v>230470</v>
      </c>
      <c r="M6468" s="3">
        <v>1010876</v>
      </c>
      <c r="N6468" s="3">
        <v>0</v>
      </c>
    </row>
    <row r="6469" spans="1:14" x14ac:dyDescent="0.2">
      <c r="A6469" s="5" t="str">
        <f>HYPERLINK("http://www.ncbi.nlm.nih.gov/protein/7305443","Rpl7a")</f>
        <v>Rpl7a</v>
      </c>
      <c r="B6469" s="4"/>
      <c r="C6469" s="3">
        <v>478153</v>
      </c>
      <c r="D6469" s="3">
        <v>58459</v>
      </c>
      <c r="E6469" s="3">
        <v>278786</v>
      </c>
      <c r="F6469" s="3">
        <v>617085</v>
      </c>
      <c r="G6469" s="3">
        <v>0</v>
      </c>
      <c r="H6469" s="2">
        <f t="shared" si="202"/>
        <v>1432483</v>
      </c>
      <c r="I6469" t="str">
        <f t="shared" si="203"/>
        <v>Rpl7a_1432483</v>
      </c>
      <c r="J6469" s="3">
        <v>478153</v>
      </c>
      <c r="K6469" s="3">
        <v>58459</v>
      </c>
      <c r="L6469" s="3">
        <v>278786</v>
      </c>
      <c r="M6469" s="3">
        <v>617085</v>
      </c>
      <c r="N6469" s="3">
        <v>0</v>
      </c>
    </row>
    <row r="6470" spans="1:14" x14ac:dyDescent="0.2">
      <c r="A6470" s="5" t="str">
        <f>HYPERLINK("http://www.ncbi.nlm.nih.gov/protein/27754134","Rpl7l1")</f>
        <v>Rpl7l1</v>
      </c>
      <c r="B6470" s="4"/>
      <c r="C6470" s="3">
        <v>0</v>
      </c>
      <c r="D6470" s="3">
        <v>0</v>
      </c>
      <c r="E6470" s="3">
        <v>0</v>
      </c>
      <c r="F6470" s="3">
        <v>1220</v>
      </c>
      <c r="G6470" s="3">
        <v>0</v>
      </c>
      <c r="H6470" s="2">
        <f t="shared" si="202"/>
        <v>1220</v>
      </c>
      <c r="I6470" t="str">
        <f t="shared" si="203"/>
        <v>Rpl7l1_1220</v>
      </c>
      <c r="J6470" s="3">
        <v>0</v>
      </c>
      <c r="K6470" s="3">
        <v>0</v>
      </c>
      <c r="L6470" s="3">
        <v>0</v>
      </c>
      <c r="M6470" s="3">
        <v>1220</v>
      </c>
      <c r="N6470" s="3">
        <v>0</v>
      </c>
    </row>
    <row r="6471" spans="1:14" x14ac:dyDescent="0.2">
      <c r="A6471" s="5" t="str">
        <f>HYPERLINK("http://www.ncbi.nlm.nih.gov/protein/6755358","Rpl8")</f>
        <v>Rpl8</v>
      </c>
      <c r="B6471" s="4"/>
      <c r="C6471" s="3">
        <v>314461</v>
      </c>
      <c r="D6471" s="3">
        <v>10264</v>
      </c>
      <c r="E6471" s="3">
        <v>109152</v>
      </c>
      <c r="F6471" s="3">
        <v>88527</v>
      </c>
      <c r="G6471" s="3">
        <v>0</v>
      </c>
      <c r="H6471" s="2">
        <f t="shared" si="202"/>
        <v>522404</v>
      </c>
      <c r="I6471" t="str">
        <f t="shared" si="203"/>
        <v>Rpl8_522404</v>
      </c>
      <c r="J6471" s="3">
        <v>314461</v>
      </c>
      <c r="K6471" s="3">
        <v>10264</v>
      </c>
      <c r="L6471" s="3">
        <v>109152</v>
      </c>
      <c r="M6471" s="3">
        <v>88527</v>
      </c>
      <c r="N6471" s="3">
        <v>0</v>
      </c>
    </row>
    <row r="6472" spans="1:14" x14ac:dyDescent="0.2">
      <c r="A6472" s="5" t="str">
        <f>HYPERLINK("http://www.ncbi.nlm.nih.gov/protein/14149647","Rpl9")</f>
        <v>Rpl9</v>
      </c>
      <c r="B6472" s="4"/>
      <c r="C6472" s="3">
        <v>310470</v>
      </c>
      <c r="D6472" s="3">
        <v>24601</v>
      </c>
      <c r="E6472" s="3">
        <v>122369</v>
      </c>
      <c r="F6472" s="3">
        <v>105471</v>
      </c>
      <c r="G6472" s="3">
        <v>0</v>
      </c>
      <c r="H6472" s="2">
        <f t="shared" si="202"/>
        <v>562911</v>
      </c>
      <c r="I6472" t="str">
        <f t="shared" si="203"/>
        <v>Rpl9_562911</v>
      </c>
      <c r="J6472" s="3">
        <v>310470</v>
      </c>
      <c r="K6472" s="3">
        <v>24601</v>
      </c>
      <c r="L6472" s="3">
        <v>122369</v>
      </c>
      <c r="M6472" s="3">
        <v>105471</v>
      </c>
      <c r="N6472" s="3">
        <v>0</v>
      </c>
    </row>
    <row r="6473" spans="1:14" x14ac:dyDescent="0.2">
      <c r="A6473" s="5" t="str">
        <f>HYPERLINK("http://www.ncbi.nlm.nih.gov/protein/6671569","Rplp0")</f>
        <v>Rplp0</v>
      </c>
      <c r="B6473" s="4"/>
      <c r="C6473" s="3">
        <v>255589</v>
      </c>
      <c r="D6473" s="3">
        <v>138525</v>
      </c>
      <c r="E6473" s="3">
        <v>309871</v>
      </c>
      <c r="F6473" s="3">
        <v>461731</v>
      </c>
      <c r="G6473" s="3">
        <v>6265</v>
      </c>
      <c r="H6473" s="2">
        <f t="shared" si="202"/>
        <v>1171981</v>
      </c>
      <c r="I6473" t="str">
        <f t="shared" si="203"/>
        <v>Rplp0_1171981</v>
      </c>
      <c r="J6473" s="3">
        <v>255589</v>
      </c>
      <c r="K6473" s="3">
        <v>138525</v>
      </c>
      <c r="L6473" s="3">
        <v>309871</v>
      </c>
      <c r="M6473" s="3">
        <v>461731</v>
      </c>
      <c r="N6473" s="3">
        <v>6265</v>
      </c>
    </row>
    <row r="6474" spans="1:14" x14ac:dyDescent="0.2">
      <c r="A6474" s="5" t="str">
        <f>HYPERLINK("http://www.ncbi.nlm.nih.gov/protein/9256519","Rplp1")</f>
        <v>Rplp1</v>
      </c>
      <c r="B6474" s="4"/>
      <c r="C6474" s="3">
        <v>25299</v>
      </c>
      <c r="D6474" s="3">
        <v>507</v>
      </c>
      <c r="E6474" s="3">
        <v>18982</v>
      </c>
      <c r="F6474" s="3">
        <v>31866</v>
      </c>
      <c r="G6474" s="3">
        <v>2892</v>
      </c>
      <c r="H6474" s="2">
        <f t="shared" si="202"/>
        <v>79546</v>
      </c>
      <c r="I6474" t="str">
        <f t="shared" si="203"/>
        <v>Rplp1_79546</v>
      </c>
      <c r="J6474" s="3">
        <v>25299</v>
      </c>
      <c r="K6474" s="3">
        <v>507</v>
      </c>
      <c r="L6474" s="3">
        <v>18982</v>
      </c>
      <c r="M6474" s="3">
        <v>31866</v>
      </c>
      <c r="N6474" s="3">
        <v>2892</v>
      </c>
    </row>
    <row r="6475" spans="1:14" x14ac:dyDescent="0.2">
      <c r="A6475" s="5" t="str">
        <f>HYPERLINK("http://www.ncbi.nlm.nih.gov/protein/83745120","Rplp2")</f>
        <v>Rplp2</v>
      </c>
      <c r="B6475" s="4"/>
      <c r="C6475" s="3">
        <v>139217</v>
      </c>
      <c r="D6475" s="3">
        <v>16337</v>
      </c>
      <c r="E6475" s="3">
        <v>60097</v>
      </c>
      <c r="F6475" s="3">
        <v>151940</v>
      </c>
      <c r="G6475" s="3">
        <v>8985</v>
      </c>
      <c r="H6475" s="2">
        <f t="shared" si="202"/>
        <v>376576</v>
      </c>
      <c r="I6475" t="str">
        <f t="shared" si="203"/>
        <v>Rplp2_376576</v>
      </c>
      <c r="J6475" s="3">
        <v>139217</v>
      </c>
      <c r="K6475" s="3">
        <v>16337</v>
      </c>
      <c r="L6475" s="3">
        <v>60097</v>
      </c>
      <c r="M6475" s="3">
        <v>151940</v>
      </c>
      <c r="N6475" s="3">
        <v>8985</v>
      </c>
    </row>
    <row r="6476" spans="1:14" x14ac:dyDescent="0.2">
      <c r="A6476" s="5" t="str">
        <f>HYPERLINK("http://www.ncbi.nlm.nih.gov/protein/282398108","Rpn1")</f>
        <v>Rpn1</v>
      </c>
      <c r="B6476" s="4"/>
      <c r="C6476" s="3">
        <v>335842</v>
      </c>
      <c r="D6476" s="3">
        <v>60077</v>
      </c>
      <c r="E6476" s="3">
        <v>60360</v>
      </c>
      <c r="F6476" s="3">
        <v>8186</v>
      </c>
      <c r="G6476" s="3">
        <v>0</v>
      </c>
      <c r="H6476" s="2">
        <f t="shared" si="202"/>
        <v>464465</v>
      </c>
      <c r="I6476" t="str">
        <f t="shared" si="203"/>
        <v>Rpn1_464465</v>
      </c>
      <c r="J6476" s="3">
        <v>335842</v>
      </c>
      <c r="K6476" s="3">
        <v>60077</v>
      </c>
      <c r="L6476" s="3">
        <v>60360</v>
      </c>
      <c r="M6476" s="3">
        <v>8186</v>
      </c>
      <c r="N6476" s="3">
        <v>0</v>
      </c>
    </row>
    <row r="6477" spans="1:14" x14ac:dyDescent="0.2">
      <c r="A6477" s="5" t="str">
        <f>HYPERLINK("http://www.ncbi.nlm.nih.gov/protein/34996495","Rpn2")</f>
        <v>Rpn2</v>
      </c>
      <c r="B6477" s="4"/>
      <c r="C6477" s="3">
        <v>319916</v>
      </c>
      <c r="D6477" s="3">
        <v>22113</v>
      </c>
      <c r="E6477" s="3">
        <v>21948</v>
      </c>
      <c r="F6477" s="3">
        <v>2767</v>
      </c>
      <c r="G6477" s="3">
        <v>0</v>
      </c>
      <c r="H6477" s="2">
        <f t="shared" si="202"/>
        <v>366744</v>
      </c>
      <c r="I6477" t="str">
        <f t="shared" si="203"/>
        <v>Rpn2_366744</v>
      </c>
      <c r="J6477" s="3">
        <v>319916</v>
      </c>
      <c r="K6477" s="3">
        <v>22113</v>
      </c>
      <c r="L6477" s="3">
        <v>21948</v>
      </c>
      <c r="M6477" s="3">
        <v>2767</v>
      </c>
      <c r="N6477" s="3">
        <v>0</v>
      </c>
    </row>
    <row r="6478" spans="1:14" x14ac:dyDescent="0.2">
      <c r="A6478" s="5" t="str">
        <f>HYPERLINK("http://www.ncbi.nlm.nih.gov/protein/13385432","Rpp14")</f>
        <v>Rpp14</v>
      </c>
      <c r="B6478" s="4"/>
      <c r="C6478" s="3">
        <v>0</v>
      </c>
      <c r="D6478" s="3">
        <v>0</v>
      </c>
      <c r="E6478" s="3">
        <v>0</v>
      </c>
      <c r="F6478" s="3">
        <v>172</v>
      </c>
      <c r="G6478" s="3">
        <v>0</v>
      </c>
      <c r="H6478" s="2">
        <f t="shared" si="202"/>
        <v>172</v>
      </c>
      <c r="I6478" t="str">
        <f t="shared" si="203"/>
        <v>Rpp14_172</v>
      </c>
      <c r="J6478" s="3">
        <v>0</v>
      </c>
      <c r="K6478" s="3">
        <v>0</v>
      </c>
      <c r="L6478" s="3">
        <v>0</v>
      </c>
      <c r="M6478" s="3">
        <v>172</v>
      </c>
      <c r="N6478" s="3">
        <v>0</v>
      </c>
    </row>
    <row r="6479" spans="1:14" x14ac:dyDescent="0.2">
      <c r="A6479" s="5" t="str">
        <f>HYPERLINK("http://www.ncbi.nlm.nih.gov/protein/13385804","Rpp21")</f>
        <v>Rpp21</v>
      </c>
      <c r="B6479" s="4"/>
      <c r="C6479" s="3">
        <v>0</v>
      </c>
      <c r="D6479" s="3">
        <v>0</v>
      </c>
      <c r="E6479" s="3">
        <v>0</v>
      </c>
      <c r="F6479" s="3">
        <v>336</v>
      </c>
      <c r="G6479" s="3">
        <v>0</v>
      </c>
      <c r="H6479" s="2">
        <f t="shared" si="202"/>
        <v>336</v>
      </c>
      <c r="I6479" t="str">
        <f t="shared" si="203"/>
        <v>Rpp21_336</v>
      </c>
      <c r="J6479" s="3">
        <v>0</v>
      </c>
      <c r="K6479" s="3">
        <v>0</v>
      </c>
      <c r="L6479" s="3">
        <v>0</v>
      </c>
      <c r="M6479" s="3">
        <v>336</v>
      </c>
      <c r="N6479" s="3">
        <v>0</v>
      </c>
    </row>
    <row r="6480" spans="1:14" x14ac:dyDescent="0.2">
      <c r="A6480" s="5" t="str">
        <f>HYPERLINK("http://www.ncbi.nlm.nih.gov/protein/227430284","Rpp25l")</f>
        <v>Rpp25l</v>
      </c>
      <c r="B6480" s="4"/>
      <c r="C6480" s="3">
        <v>0</v>
      </c>
      <c r="D6480" s="3">
        <v>69</v>
      </c>
      <c r="E6480" s="3">
        <v>244</v>
      </c>
      <c r="F6480" s="3">
        <v>622</v>
      </c>
      <c r="G6480" s="3">
        <v>0</v>
      </c>
      <c r="H6480" s="2">
        <f t="shared" si="202"/>
        <v>935</v>
      </c>
      <c r="I6480" t="str">
        <f t="shared" si="203"/>
        <v>Rpp25l_935</v>
      </c>
      <c r="J6480" s="3">
        <v>0</v>
      </c>
      <c r="K6480" s="3">
        <v>69</v>
      </c>
      <c r="L6480" s="3">
        <v>244</v>
      </c>
      <c r="M6480" s="3">
        <v>622</v>
      </c>
      <c r="N6480" s="3">
        <v>0</v>
      </c>
    </row>
    <row r="6481" spans="1:14" x14ac:dyDescent="0.2">
      <c r="A6481" s="5" t="str">
        <f>HYPERLINK("http://www.ncbi.nlm.nih.gov/protein/257196209","Rpp30")</f>
        <v>Rpp30</v>
      </c>
      <c r="B6481" s="4"/>
      <c r="C6481" s="3">
        <v>0</v>
      </c>
      <c r="D6481" s="3">
        <v>276</v>
      </c>
      <c r="E6481" s="3">
        <v>423</v>
      </c>
      <c r="F6481" s="3">
        <v>13547</v>
      </c>
      <c r="G6481" s="3">
        <v>139</v>
      </c>
      <c r="H6481" s="2">
        <f t="shared" si="202"/>
        <v>14385</v>
      </c>
      <c r="I6481" t="str">
        <f t="shared" si="203"/>
        <v>Rpp30_14385</v>
      </c>
      <c r="J6481" s="3">
        <v>0</v>
      </c>
      <c r="K6481" s="3">
        <v>276</v>
      </c>
      <c r="L6481" s="3">
        <v>423</v>
      </c>
      <c r="M6481" s="3">
        <v>13547</v>
      </c>
      <c r="N6481" s="3">
        <v>139</v>
      </c>
    </row>
    <row r="6482" spans="1:14" x14ac:dyDescent="0.2">
      <c r="A6482" s="5" t="str">
        <f>HYPERLINK("http://www.ncbi.nlm.nih.gov/protein/247300905","Rpp38")</f>
        <v>Rpp38</v>
      </c>
      <c r="B6482" s="4"/>
      <c r="C6482" s="3">
        <v>0</v>
      </c>
      <c r="D6482" s="3">
        <v>0</v>
      </c>
      <c r="E6482" s="3">
        <v>394</v>
      </c>
      <c r="F6482" s="3">
        <v>14398</v>
      </c>
      <c r="G6482" s="3">
        <v>0</v>
      </c>
      <c r="H6482" s="2">
        <f t="shared" si="202"/>
        <v>14792</v>
      </c>
      <c r="I6482" t="str">
        <f t="shared" si="203"/>
        <v>Rpp38_14792</v>
      </c>
      <c r="J6482" s="3">
        <v>0</v>
      </c>
      <c r="K6482" s="3">
        <v>0</v>
      </c>
      <c r="L6482" s="3">
        <v>394</v>
      </c>
      <c r="M6482" s="3">
        <v>14398</v>
      </c>
      <c r="N6482" s="3">
        <v>0</v>
      </c>
    </row>
    <row r="6483" spans="1:14" x14ac:dyDescent="0.2">
      <c r="A6483" s="5" t="str">
        <f>HYPERLINK("http://www.ncbi.nlm.nih.gov/protein/172072663","Rpp40")</f>
        <v>Rpp40</v>
      </c>
      <c r="B6483" s="4"/>
      <c r="C6483" s="3">
        <v>0</v>
      </c>
      <c r="D6483" s="3">
        <v>0</v>
      </c>
      <c r="E6483" s="3">
        <v>455</v>
      </c>
      <c r="F6483" s="3">
        <v>1105</v>
      </c>
      <c r="G6483" s="3">
        <v>396</v>
      </c>
      <c r="H6483" s="2">
        <f t="shared" si="202"/>
        <v>1956</v>
      </c>
      <c r="I6483" t="str">
        <f t="shared" si="203"/>
        <v>Rpp40_1956</v>
      </c>
      <c r="J6483" s="3">
        <v>0</v>
      </c>
      <c r="K6483" s="3">
        <v>0</v>
      </c>
      <c r="L6483" s="3">
        <v>455</v>
      </c>
      <c r="M6483" s="3">
        <v>1105</v>
      </c>
      <c r="N6483" s="3">
        <v>396</v>
      </c>
    </row>
    <row r="6484" spans="1:14" x14ac:dyDescent="0.2">
      <c r="A6484" s="5" t="str">
        <f>HYPERLINK("http://www.ncbi.nlm.nih.gov/protein/21450083","Rprd1a")</f>
        <v>Rprd1a</v>
      </c>
      <c r="B6484" s="4"/>
      <c r="C6484" s="3">
        <v>421</v>
      </c>
      <c r="D6484" s="3">
        <v>472</v>
      </c>
      <c r="E6484" s="3">
        <v>0</v>
      </c>
      <c r="F6484" s="3">
        <v>606</v>
      </c>
      <c r="G6484" s="3">
        <v>782</v>
      </c>
      <c r="H6484" s="2">
        <f t="shared" si="202"/>
        <v>2281</v>
      </c>
      <c r="I6484" t="str">
        <f t="shared" si="203"/>
        <v>Rprd1a_2281</v>
      </c>
      <c r="J6484" s="3">
        <v>421</v>
      </c>
      <c r="K6484" s="3">
        <v>472</v>
      </c>
      <c r="L6484" s="3">
        <v>0</v>
      </c>
      <c r="M6484" s="3">
        <v>606</v>
      </c>
      <c r="N6484" s="3">
        <v>782</v>
      </c>
    </row>
    <row r="6485" spans="1:14" x14ac:dyDescent="0.2">
      <c r="A6485" s="5" t="str">
        <f>HYPERLINK("http://www.ncbi.nlm.nih.gov/protein/34328077","Rprd1b")</f>
        <v>Rprd1b</v>
      </c>
      <c r="B6485" s="4"/>
      <c r="C6485" s="3">
        <v>11423</v>
      </c>
      <c r="D6485" s="3">
        <v>6599</v>
      </c>
      <c r="E6485" s="3">
        <v>3522</v>
      </c>
      <c r="F6485" s="3">
        <v>19801</v>
      </c>
      <c r="G6485" s="3">
        <v>76273</v>
      </c>
      <c r="H6485" s="2">
        <f t="shared" si="202"/>
        <v>117618</v>
      </c>
      <c r="I6485" t="str">
        <f t="shared" si="203"/>
        <v>Rprd1b_117618</v>
      </c>
      <c r="J6485" s="3">
        <v>11423</v>
      </c>
      <c r="K6485" s="3">
        <v>6599</v>
      </c>
      <c r="L6485" s="3">
        <v>3522</v>
      </c>
      <c r="M6485" s="3">
        <v>19801</v>
      </c>
      <c r="N6485" s="3">
        <v>76273</v>
      </c>
    </row>
    <row r="6486" spans="1:14" x14ac:dyDescent="0.2">
      <c r="A6486" s="5" t="str">
        <f>HYPERLINK("http://www.ncbi.nlm.nih.gov/protein/124486841","Rprd2")</f>
        <v>Rprd2</v>
      </c>
      <c r="B6486" s="4"/>
      <c r="C6486" s="3">
        <v>805</v>
      </c>
      <c r="D6486" s="3">
        <v>0</v>
      </c>
      <c r="E6486" s="3">
        <v>0</v>
      </c>
      <c r="F6486" s="3">
        <v>0</v>
      </c>
      <c r="G6486" s="3">
        <v>0</v>
      </c>
      <c r="H6486" s="2">
        <f t="shared" si="202"/>
        <v>805</v>
      </c>
      <c r="I6486" t="str">
        <f t="shared" si="203"/>
        <v>Rprd2_805</v>
      </c>
      <c r="J6486" s="3">
        <v>805</v>
      </c>
      <c r="K6486" s="3">
        <v>0</v>
      </c>
      <c r="L6486" s="3">
        <v>0</v>
      </c>
      <c r="M6486" s="3">
        <v>0</v>
      </c>
      <c r="N6486" s="3">
        <v>0</v>
      </c>
    </row>
    <row r="6487" spans="1:14" x14ac:dyDescent="0.2">
      <c r="A6487" s="5" t="str">
        <f>HYPERLINK("http://www.ncbi.nlm.nih.gov/protein/13399310","Rps10")</f>
        <v>Rps10</v>
      </c>
      <c r="B6487" s="4"/>
      <c r="C6487" s="3">
        <v>64071</v>
      </c>
      <c r="D6487" s="3">
        <v>10268</v>
      </c>
      <c r="E6487" s="3">
        <v>43335</v>
      </c>
      <c r="F6487" s="3">
        <v>217458</v>
      </c>
      <c r="G6487" s="3">
        <v>0</v>
      </c>
      <c r="H6487" s="2">
        <f t="shared" si="202"/>
        <v>335132</v>
      </c>
      <c r="I6487" t="str">
        <f t="shared" si="203"/>
        <v>Rps10_335132</v>
      </c>
      <c r="J6487" s="3">
        <v>64071</v>
      </c>
      <c r="K6487" s="3">
        <v>10268</v>
      </c>
      <c r="L6487" s="3">
        <v>43335</v>
      </c>
      <c r="M6487" s="3">
        <v>217458</v>
      </c>
      <c r="N6487" s="3">
        <v>0</v>
      </c>
    </row>
    <row r="6488" spans="1:14" x14ac:dyDescent="0.2">
      <c r="A6488" s="5" t="str">
        <f>HYPERLINK("http://www.ncbi.nlm.nih.gov/protein/21426889","Rps11")</f>
        <v>Rps11</v>
      </c>
      <c r="B6488" s="4"/>
      <c r="C6488" s="3">
        <v>99896</v>
      </c>
      <c r="D6488" s="3">
        <v>31820</v>
      </c>
      <c r="E6488" s="3">
        <v>143089</v>
      </c>
      <c r="F6488" s="3">
        <v>408059</v>
      </c>
      <c r="G6488" s="3">
        <v>0</v>
      </c>
      <c r="H6488" s="2">
        <f t="shared" si="202"/>
        <v>682864</v>
      </c>
      <c r="I6488" t="str">
        <f t="shared" si="203"/>
        <v>Rps11_682864</v>
      </c>
      <c r="J6488" s="3">
        <v>99896</v>
      </c>
      <c r="K6488" s="3">
        <v>31820</v>
      </c>
      <c r="L6488" s="3">
        <v>143089</v>
      </c>
      <c r="M6488" s="3">
        <v>408059</v>
      </c>
      <c r="N6488" s="3">
        <v>0</v>
      </c>
    </row>
    <row r="6489" spans="1:14" x14ac:dyDescent="0.2">
      <c r="A6489" s="5" t="str">
        <f>HYPERLINK("http://www.ncbi.nlm.nih.gov/protein/40254577","Rps12")</f>
        <v>Rps12</v>
      </c>
      <c r="B6489" s="4"/>
      <c r="C6489" s="3">
        <v>107163</v>
      </c>
      <c r="D6489" s="3">
        <v>18189</v>
      </c>
      <c r="E6489" s="3">
        <v>116908</v>
      </c>
      <c r="F6489" s="3">
        <v>248653</v>
      </c>
      <c r="G6489" s="3">
        <v>1788</v>
      </c>
      <c r="H6489" s="2">
        <f t="shared" si="202"/>
        <v>492701</v>
      </c>
      <c r="I6489" t="str">
        <f t="shared" si="203"/>
        <v>Rps12_492701</v>
      </c>
      <c r="J6489" s="3">
        <v>107163</v>
      </c>
      <c r="K6489" s="3">
        <v>18189</v>
      </c>
      <c r="L6489" s="3">
        <v>116908</v>
      </c>
      <c r="M6489" s="3">
        <v>248653</v>
      </c>
      <c r="N6489" s="3">
        <v>1788</v>
      </c>
    </row>
    <row r="6490" spans="1:14" x14ac:dyDescent="0.2">
      <c r="A6490" s="5" t="str">
        <f>HYPERLINK("http://www.ncbi.nlm.nih.gov/protein/149258592","Rps12l2")</f>
        <v>Rps12l2</v>
      </c>
      <c r="B6490" s="4"/>
      <c r="C6490" s="3">
        <v>59916</v>
      </c>
      <c r="D6490" s="3">
        <v>3238</v>
      </c>
      <c r="E6490" s="3">
        <v>53618</v>
      </c>
      <c r="F6490" s="3">
        <v>158972</v>
      </c>
      <c r="G6490" s="3">
        <v>1510</v>
      </c>
      <c r="H6490" s="2">
        <f t="shared" si="202"/>
        <v>277254</v>
      </c>
      <c r="I6490" t="str">
        <f t="shared" si="203"/>
        <v>Rps12l2_277254</v>
      </c>
      <c r="J6490" s="3">
        <v>59916</v>
      </c>
      <c r="K6490" s="3">
        <v>3238</v>
      </c>
      <c r="L6490" s="3">
        <v>53618</v>
      </c>
      <c r="M6490" s="3">
        <v>158972</v>
      </c>
      <c r="N6490" s="3">
        <v>1510</v>
      </c>
    </row>
    <row r="6491" spans="1:14" x14ac:dyDescent="0.2">
      <c r="A6491" s="5" t="str">
        <f>HYPERLINK("http://www.ncbi.nlm.nih.gov/protein/149250091","Rps12-ps10")</f>
        <v>Rps12-ps10</v>
      </c>
      <c r="B6491" s="4"/>
      <c r="C6491" s="3">
        <v>107163</v>
      </c>
      <c r="D6491" s="3">
        <v>18189</v>
      </c>
      <c r="E6491" s="3">
        <v>116908</v>
      </c>
      <c r="F6491" s="3">
        <v>248653</v>
      </c>
      <c r="G6491" s="3">
        <v>1788</v>
      </c>
      <c r="H6491" s="2">
        <f t="shared" si="202"/>
        <v>492701</v>
      </c>
      <c r="I6491" t="str">
        <f t="shared" si="203"/>
        <v>Rps12-ps10_492701</v>
      </c>
      <c r="J6491" s="3">
        <v>107163</v>
      </c>
      <c r="K6491" s="3">
        <v>18189</v>
      </c>
      <c r="L6491" s="3">
        <v>116908</v>
      </c>
      <c r="M6491" s="3">
        <v>248653</v>
      </c>
      <c r="N6491" s="3">
        <v>1788</v>
      </c>
    </row>
    <row r="6492" spans="1:14" x14ac:dyDescent="0.2">
      <c r="A6492" s="5" t="str">
        <f>HYPERLINK("http://www.ncbi.nlm.nih.gov/protein/51772387","Rps12-ps11")</f>
        <v>Rps12-ps11</v>
      </c>
      <c r="B6492" s="4"/>
      <c r="C6492" s="3">
        <v>98377</v>
      </c>
      <c r="D6492" s="3">
        <v>17431</v>
      </c>
      <c r="E6492" s="3">
        <v>104320</v>
      </c>
      <c r="F6492" s="3">
        <v>190044</v>
      </c>
      <c r="G6492" s="3">
        <v>1788</v>
      </c>
      <c r="H6492" s="2">
        <f t="shared" si="202"/>
        <v>411960</v>
      </c>
      <c r="I6492" t="str">
        <f t="shared" si="203"/>
        <v>Rps12-ps11_411960</v>
      </c>
      <c r="J6492" s="3">
        <v>98377</v>
      </c>
      <c r="K6492" s="3">
        <v>17431</v>
      </c>
      <c r="L6492" s="3">
        <v>104320</v>
      </c>
      <c r="M6492" s="3">
        <v>190044</v>
      </c>
      <c r="N6492" s="3">
        <v>1788</v>
      </c>
    </row>
    <row r="6493" spans="1:14" x14ac:dyDescent="0.2">
      <c r="A6493" s="5" t="str">
        <f>HYPERLINK("http://www.ncbi.nlm.nih.gov/protein/149272239","Rps12-ps16")</f>
        <v>Rps12-ps16</v>
      </c>
      <c r="B6493" s="4"/>
      <c r="C6493" s="3">
        <v>98377</v>
      </c>
      <c r="D6493" s="3">
        <v>17431</v>
      </c>
      <c r="E6493" s="3">
        <v>104320</v>
      </c>
      <c r="F6493" s="3">
        <v>211580</v>
      </c>
      <c r="G6493" s="3">
        <v>1788</v>
      </c>
      <c r="H6493" s="2">
        <f t="shared" si="202"/>
        <v>433496</v>
      </c>
      <c r="I6493" t="str">
        <f t="shared" si="203"/>
        <v>Rps12-ps16_433496</v>
      </c>
      <c r="J6493" s="3">
        <v>98377</v>
      </c>
      <c r="K6493" s="3">
        <v>17431</v>
      </c>
      <c r="L6493" s="3">
        <v>104320</v>
      </c>
      <c r="M6493" s="3">
        <v>211580</v>
      </c>
      <c r="N6493" s="3">
        <v>1788</v>
      </c>
    </row>
    <row r="6494" spans="1:14" x14ac:dyDescent="0.2">
      <c r="A6494" s="5" t="str">
        <f>HYPERLINK("http://www.ncbi.nlm.nih.gov/protein/13386034","Rps13")</f>
        <v>Rps13</v>
      </c>
      <c r="B6494" s="4"/>
      <c r="C6494" s="3">
        <v>146613</v>
      </c>
      <c r="D6494" s="3">
        <v>51449</v>
      </c>
      <c r="E6494" s="3">
        <v>132826</v>
      </c>
      <c r="F6494" s="3">
        <v>231930</v>
      </c>
      <c r="G6494" s="3">
        <v>0</v>
      </c>
      <c r="H6494" s="2">
        <f t="shared" si="202"/>
        <v>562818</v>
      </c>
      <c r="I6494" t="str">
        <f t="shared" si="203"/>
        <v>Rps13_562818</v>
      </c>
      <c r="J6494" s="3">
        <v>146613</v>
      </c>
      <c r="K6494" s="3">
        <v>51449</v>
      </c>
      <c r="L6494" s="3">
        <v>132826</v>
      </c>
      <c r="M6494" s="3">
        <v>231930</v>
      </c>
      <c r="N6494" s="3">
        <v>0</v>
      </c>
    </row>
    <row r="6495" spans="1:14" x14ac:dyDescent="0.2">
      <c r="A6495" s="5" t="str">
        <f>HYPERLINK("http://www.ncbi.nlm.nih.gov/protein/31981100","Rps14")</f>
        <v>Rps14</v>
      </c>
      <c r="B6495" s="4"/>
      <c r="C6495" s="3">
        <v>232157</v>
      </c>
      <c r="D6495" s="3">
        <v>30056</v>
      </c>
      <c r="E6495" s="3">
        <v>179479</v>
      </c>
      <c r="F6495" s="3">
        <v>233919</v>
      </c>
      <c r="G6495" s="3">
        <v>1917</v>
      </c>
      <c r="H6495" s="2">
        <f t="shared" si="202"/>
        <v>677528</v>
      </c>
      <c r="I6495" t="str">
        <f t="shared" si="203"/>
        <v>Rps14_677528</v>
      </c>
      <c r="J6495" s="3">
        <v>232157</v>
      </c>
      <c r="K6495" s="3">
        <v>30056</v>
      </c>
      <c r="L6495" s="3">
        <v>179479</v>
      </c>
      <c r="M6495" s="3">
        <v>233919</v>
      </c>
      <c r="N6495" s="3">
        <v>1917</v>
      </c>
    </row>
    <row r="6496" spans="1:14" x14ac:dyDescent="0.2">
      <c r="A6496" s="5" t="str">
        <f>HYPERLINK("http://www.ncbi.nlm.nih.gov/protein/6677799","Rps15")</f>
        <v>Rps15</v>
      </c>
      <c r="B6496" s="4"/>
      <c r="C6496" s="3">
        <v>604</v>
      </c>
      <c r="D6496" s="3">
        <v>2042</v>
      </c>
      <c r="E6496" s="3">
        <v>10924</v>
      </c>
      <c r="F6496" s="3">
        <v>96524</v>
      </c>
      <c r="G6496" s="3">
        <v>0</v>
      </c>
      <c r="H6496" s="2">
        <f t="shared" si="202"/>
        <v>110094</v>
      </c>
      <c r="I6496" t="str">
        <f t="shared" si="203"/>
        <v>Rps15_110094</v>
      </c>
      <c r="J6496" s="3">
        <v>604</v>
      </c>
      <c r="K6496" s="3">
        <v>2042</v>
      </c>
      <c r="L6496" s="3">
        <v>10924</v>
      </c>
      <c r="M6496" s="3">
        <v>96524</v>
      </c>
      <c r="N6496" s="3">
        <v>0</v>
      </c>
    </row>
    <row r="6497" spans="1:14" x14ac:dyDescent="0.2">
      <c r="A6497" s="5" t="str">
        <f>HYPERLINK("http://www.ncbi.nlm.nih.gov/protein/24762230","Rps15a")</f>
        <v>Rps15a</v>
      </c>
      <c r="B6497" s="4"/>
      <c r="C6497" s="3">
        <v>205320</v>
      </c>
      <c r="D6497" s="3">
        <v>58068</v>
      </c>
      <c r="E6497" s="3">
        <v>180474</v>
      </c>
      <c r="F6497" s="3">
        <v>240459</v>
      </c>
      <c r="G6497" s="3">
        <v>2260</v>
      </c>
      <c r="H6497" s="2">
        <f t="shared" si="202"/>
        <v>686581</v>
      </c>
      <c r="I6497" t="str">
        <f t="shared" si="203"/>
        <v>Rps15a_686581</v>
      </c>
      <c r="J6497" s="3">
        <v>205320</v>
      </c>
      <c r="K6497" s="3">
        <v>58068</v>
      </c>
      <c r="L6497" s="3">
        <v>180474</v>
      </c>
      <c r="M6497" s="3">
        <v>240459</v>
      </c>
      <c r="N6497" s="3">
        <v>2260</v>
      </c>
    </row>
    <row r="6498" spans="1:14" x14ac:dyDescent="0.2">
      <c r="A6498" s="5" t="str">
        <f>HYPERLINK("http://www.ncbi.nlm.nih.gov/protein/309265366","Rps15a-ps5")</f>
        <v>Rps15a-ps5</v>
      </c>
      <c r="B6498" s="4"/>
      <c r="C6498" s="3">
        <v>128417</v>
      </c>
      <c r="D6498" s="3">
        <v>29910</v>
      </c>
      <c r="E6498" s="3">
        <v>82152</v>
      </c>
      <c r="F6498" s="3">
        <v>194718</v>
      </c>
      <c r="G6498" s="3">
        <v>2260</v>
      </c>
      <c r="H6498" s="2">
        <f t="shared" si="202"/>
        <v>437457</v>
      </c>
      <c r="I6498" t="str">
        <f t="shared" si="203"/>
        <v>Rps15a-ps5_437457</v>
      </c>
      <c r="J6498" s="3">
        <v>128417</v>
      </c>
      <c r="K6498" s="3">
        <v>29910</v>
      </c>
      <c r="L6498" s="3">
        <v>82152</v>
      </c>
      <c r="M6498" s="3">
        <v>194718</v>
      </c>
      <c r="N6498" s="3">
        <v>2260</v>
      </c>
    </row>
    <row r="6499" spans="1:14" x14ac:dyDescent="0.2">
      <c r="A6499" s="5" t="str">
        <f>HYPERLINK("http://www.ncbi.nlm.nih.gov/protein/158966704","Rps16")</f>
        <v>Rps16</v>
      </c>
      <c r="B6499" s="4"/>
      <c r="C6499" s="3">
        <v>273730</v>
      </c>
      <c r="D6499" s="3">
        <v>95994</v>
      </c>
      <c r="E6499" s="3">
        <v>227132</v>
      </c>
      <c r="F6499" s="3">
        <v>698474</v>
      </c>
      <c r="G6499" s="3">
        <v>0</v>
      </c>
      <c r="H6499" s="2">
        <f t="shared" si="202"/>
        <v>1295330</v>
      </c>
      <c r="I6499" t="str">
        <f t="shared" si="203"/>
        <v>Rps16_1295330</v>
      </c>
      <c r="J6499" s="3">
        <v>273730</v>
      </c>
      <c r="K6499" s="3">
        <v>95994</v>
      </c>
      <c r="L6499" s="3">
        <v>227132</v>
      </c>
      <c r="M6499" s="3">
        <v>698474</v>
      </c>
      <c r="N6499" s="3">
        <v>0</v>
      </c>
    </row>
    <row r="6500" spans="1:14" x14ac:dyDescent="0.2">
      <c r="A6500" s="5" t="str">
        <f>HYPERLINK("http://www.ncbi.nlm.nih.gov/protein/6677801","Rps17")</f>
        <v>Rps17</v>
      </c>
      <c r="B6500" s="4"/>
      <c r="C6500" s="3">
        <v>85141</v>
      </c>
      <c r="D6500" s="3">
        <v>18516</v>
      </c>
      <c r="E6500" s="3">
        <v>167332</v>
      </c>
      <c r="F6500" s="3">
        <v>414812</v>
      </c>
      <c r="G6500" s="3">
        <v>268</v>
      </c>
      <c r="H6500" s="2">
        <f t="shared" si="202"/>
        <v>686069</v>
      </c>
      <c r="I6500" t="str">
        <f t="shared" si="203"/>
        <v>Rps17_686069</v>
      </c>
      <c r="J6500" s="3">
        <v>85141</v>
      </c>
      <c r="K6500" s="3">
        <v>18516</v>
      </c>
      <c r="L6500" s="3">
        <v>167332</v>
      </c>
      <c r="M6500" s="3">
        <v>414812</v>
      </c>
      <c r="N6500" s="3">
        <v>268</v>
      </c>
    </row>
    <row r="6501" spans="1:14" x14ac:dyDescent="0.2">
      <c r="A6501" s="5" t="str">
        <f>HYPERLINK("http://www.ncbi.nlm.nih.gov/protein/6755368","Rps18")</f>
        <v>Rps18</v>
      </c>
      <c r="B6501" s="4"/>
      <c r="C6501" s="3">
        <v>540412</v>
      </c>
      <c r="D6501" s="3">
        <v>49620</v>
      </c>
      <c r="E6501" s="3">
        <v>285147</v>
      </c>
      <c r="F6501" s="3">
        <v>453079</v>
      </c>
      <c r="G6501" s="3">
        <v>2442</v>
      </c>
      <c r="H6501" s="2">
        <f t="shared" si="202"/>
        <v>1330700</v>
      </c>
      <c r="I6501" t="str">
        <f t="shared" si="203"/>
        <v>Rps18_1330700</v>
      </c>
      <c r="J6501" s="3">
        <v>540412</v>
      </c>
      <c r="K6501" s="3">
        <v>49620</v>
      </c>
      <c r="L6501" s="3">
        <v>285147</v>
      </c>
      <c r="M6501" s="3">
        <v>453079</v>
      </c>
      <c r="N6501" s="3">
        <v>2442</v>
      </c>
    </row>
    <row r="6502" spans="1:14" x14ac:dyDescent="0.2">
      <c r="A6502" s="5" t="str">
        <f>HYPERLINK("http://www.ncbi.nlm.nih.gov/protein/12963511","Rps19")</f>
        <v>Rps19</v>
      </c>
      <c r="B6502" s="4"/>
      <c r="C6502" s="3">
        <v>181413</v>
      </c>
      <c r="D6502" s="3">
        <v>44848</v>
      </c>
      <c r="E6502" s="3">
        <v>235066</v>
      </c>
      <c r="F6502" s="3">
        <v>346847</v>
      </c>
      <c r="G6502" s="3">
        <v>1992</v>
      </c>
      <c r="H6502" s="2">
        <f t="shared" si="202"/>
        <v>810166</v>
      </c>
      <c r="I6502" t="str">
        <f t="shared" si="203"/>
        <v>Rps19_810166</v>
      </c>
      <c r="J6502" s="3">
        <v>181413</v>
      </c>
      <c r="K6502" s="3">
        <v>44848</v>
      </c>
      <c r="L6502" s="3">
        <v>235066</v>
      </c>
      <c r="M6502" s="3">
        <v>346847</v>
      </c>
      <c r="N6502" s="3">
        <v>1992</v>
      </c>
    </row>
    <row r="6503" spans="1:14" x14ac:dyDescent="0.2">
      <c r="A6503" s="5" t="str">
        <f>HYPERLINK("http://www.ncbi.nlm.nih.gov/protein/30424711","Rps19bp1")</f>
        <v>Rps19bp1</v>
      </c>
      <c r="B6503" s="4"/>
      <c r="C6503" s="3">
        <v>0</v>
      </c>
      <c r="D6503" s="3">
        <v>73</v>
      </c>
      <c r="E6503" s="3">
        <v>224</v>
      </c>
      <c r="F6503" s="3">
        <v>917</v>
      </c>
      <c r="G6503" s="3">
        <v>75</v>
      </c>
      <c r="H6503" s="2">
        <f t="shared" si="202"/>
        <v>1289</v>
      </c>
      <c r="I6503" t="str">
        <f t="shared" si="203"/>
        <v>Rps19bp1_1289</v>
      </c>
      <c r="J6503" s="3">
        <v>0</v>
      </c>
      <c r="K6503" s="3">
        <v>73</v>
      </c>
      <c r="L6503" s="3">
        <v>224</v>
      </c>
      <c r="M6503" s="3">
        <v>917</v>
      </c>
      <c r="N6503" s="3">
        <v>75</v>
      </c>
    </row>
    <row r="6504" spans="1:14" x14ac:dyDescent="0.2">
      <c r="A6504" s="5" t="str">
        <f>HYPERLINK("http://www.ncbi.nlm.nih.gov/protein/18087805","Rps2")</f>
        <v>Rps2</v>
      </c>
      <c r="B6504" s="4"/>
      <c r="C6504" s="3">
        <v>194630</v>
      </c>
      <c r="D6504" s="3">
        <v>52612</v>
      </c>
      <c r="E6504" s="3">
        <v>254809</v>
      </c>
      <c r="F6504" s="3">
        <v>572703</v>
      </c>
      <c r="G6504" s="3">
        <v>0</v>
      </c>
      <c r="H6504" s="2">
        <f t="shared" si="202"/>
        <v>1074754</v>
      </c>
      <c r="I6504" t="str">
        <f t="shared" si="203"/>
        <v>Rps2_1074754</v>
      </c>
      <c r="J6504" s="3">
        <v>194630</v>
      </c>
      <c r="K6504" s="3">
        <v>52612</v>
      </c>
      <c r="L6504" s="3">
        <v>254809</v>
      </c>
      <c r="M6504" s="3">
        <v>572703</v>
      </c>
      <c r="N6504" s="3">
        <v>0</v>
      </c>
    </row>
    <row r="6505" spans="1:14" x14ac:dyDescent="0.2">
      <c r="A6505" s="5" t="str">
        <f>HYPERLINK("http://www.ncbi.nlm.nih.gov/protein/13385652","Rps20")</f>
        <v>Rps20</v>
      </c>
      <c r="B6505" s="4"/>
      <c r="C6505" s="3">
        <v>249877</v>
      </c>
      <c r="D6505" s="3">
        <v>16053</v>
      </c>
      <c r="E6505" s="3">
        <v>173301</v>
      </c>
      <c r="F6505" s="3">
        <v>103367</v>
      </c>
      <c r="G6505" s="3">
        <v>1060</v>
      </c>
      <c r="H6505" s="2">
        <f t="shared" si="202"/>
        <v>543658</v>
      </c>
      <c r="I6505" t="str">
        <f t="shared" si="203"/>
        <v>Rps20_543658</v>
      </c>
      <c r="J6505" s="3">
        <v>249877</v>
      </c>
      <c r="K6505" s="3">
        <v>16053</v>
      </c>
      <c r="L6505" s="3">
        <v>173301</v>
      </c>
      <c r="M6505" s="3">
        <v>103367</v>
      </c>
      <c r="N6505" s="3">
        <v>1060</v>
      </c>
    </row>
    <row r="6506" spans="1:14" x14ac:dyDescent="0.2">
      <c r="A6506" s="5" t="str">
        <f>HYPERLINK("http://www.ncbi.nlm.nih.gov/protein/21536222","Rps21")</f>
        <v>Rps21</v>
      </c>
      <c r="B6506" s="4"/>
      <c r="C6506" s="3">
        <v>21821</v>
      </c>
      <c r="D6506" s="3">
        <v>2156</v>
      </c>
      <c r="E6506" s="3">
        <v>29885</v>
      </c>
      <c r="F6506" s="3">
        <v>28731</v>
      </c>
      <c r="G6506" s="3">
        <v>2035</v>
      </c>
      <c r="H6506" s="2">
        <f t="shared" si="202"/>
        <v>84628</v>
      </c>
      <c r="I6506" t="str">
        <f t="shared" si="203"/>
        <v>Rps21_84628</v>
      </c>
      <c r="J6506" s="3">
        <v>21821</v>
      </c>
      <c r="K6506" s="3">
        <v>2156</v>
      </c>
      <c r="L6506" s="3">
        <v>29885</v>
      </c>
      <c r="M6506" s="3">
        <v>28731</v>
      </c>
      <c r="N6506" s="3">
        <v>2035</v>
      </c>
    </row>
    <row r="6507" spans="1:14" x14ac:dyDescent="0.2">
      <c r="A6507" s="5" t="str">
        <f>HYPERLINK("http://www.ncbi.nlm.nih.gov/protein/13195604","Rps23")</f>
        <v>Rps23</v>
      </c>
      <c r="B6507" s="4"/>
      <c r="C6507" s="3">
        <v>86789</v>
      </c>
      <c r="D6507" s="3">
        <v>2221</v>
      </c>
      <c r="E6507" s="3">
        <v>31340</v>
      </c>
      <c r="F6507" s="3">
        <v>147872</v>
      </c>
      <c r="G6507" s="3">
        <v>0</v>
      </c>
      <c r="H6507" s="2">
        <f t="shared" si="202"/>
        <v>268222</v>
      </c>
      <c r="I6507" t="str">
        <f t="shared" si="203"/>
        <v>Rps23_268222</v>
      </c>
      <c r="J6507" s="3">
        <v>86789</v>
      </c>
      <c r="K6507" s="3">
        <v>2221</v>
      </c>
      <c r="L6507" s="3">
        <v>31340</v>
      </c>
      <c r="M6507" s="3">
        <v>147872</v>
      </c>
      <c r="N6507" s="3">
        <v>0</v>
      </c>
    </row>
    <row r="6508" spans="1:14" x14ac:dyDescent="0.2">
      <c r="A6508" s="5" t="str">
        <f>HYPERLINK("http://www.ncbi.nlm.nih.gov/protein/46519156","Rps24")</f>
        <v>Rps24</v>
      </c>
      <c r="B6508" s="4"/>
      <c r="C6508" s="3">
        <v>23981</v>
      </c>
      <c r="D6508" s="3">
        <v>5342</v>
      </c>
      <c r="E6508" s="3">
        <v>24193</v>
      </c>
      <c r="F6508" s="3">
        <v>150999</v>
      </c>
      <c r="G6508" s="3">
        <v>0</v>
      </c>
      <c r="H6508" s="2">
        <f t="shared" si="202"/>
        <v>204515</v>
      </c>
      <c r="I6508" t="str">
        <f t="shared" si="203"/>
        <v>Rps24_204515</v>
      </c>
      <c r="J6508" s="3">
        <v>23981</v>
      </c>
      <c r="K6508" s="3">
        <v>5342</v>
      </c>
      <c r="L6508" s="3">
        <v>24193</v>
      </c>
      <c r="M6508" s="3">
        <v>150999</v>
      </c>
      <c r="N6508" s="3">
        <v>0</v>
      </c>
    </row>
    <row r="6509" spans="1:14" x14ac:dyDescent="0.2">
      <c r="A6509" s="5" t="str">
        <f>HYPERLINK("http://www.ncbi.nlm.nih.gov/protein/46519160","Rps24")</f>
        <v>Rps24</v>
      </c>
      <c r="B6509" s="4"/>
      <c r="C6509" s="3">
        <v>23981</v>
      </c>
      <c r="D6509" s="3">
        <v>5342</v>
      </c>
      <c r="E6509" s="3">
        <v>24193</v>
      </c>
      <c r="F6509" s="3">
        <v>158964</v>
      </c>
      <c r="G6509" s="3">
        <v>0</v>
      </c>
      <c r="H6509" s="2">
        <f t="shared" si="202"/>
        <v>212480</v>
      </c>
      <c r="I6509" t="str">
        <f t="shared" si="203"/>
        <v>Rps24_212480</v>
      </c>
      <c r="J6509" s="3">
        <v>23981</v>
      </c>
      <c r="K6509" s="3">
        <v>5342</v>
      </c>
      <c r="L6509" s="3">
        <v>24193</v>
      </c>
      <c r="M6509" s="3">
        <v>158964</v>
      </c>
      <c r="N6509" s="3">
        <v>0</v>
      </c>
    </row>
    <row r="6510" spans="1:14" x14ac:dyDescent="0.2">
      <c r="A6510" s="5" t="str">
        <f>HYPERLINK("http://www.ncbi.nlm.nih.gov/protein/28372479","Rps25")</f>
        <v>Rps25</v>
      </c>
      <c r="B6510" s="4"/>
      <c r="C6510" s="3">
        <v>216469</v>
      </c>
      <c r="D6510" s="3">
        <v>55242</v>
      </c>
      <c r="E6510" s="3">
        <v>149142</v>
      </c>
      <c r="F6510" s="3">
        <v>176309</v>
      </c>
      <c r="G6510" s="3">
        <v>4027</v>
      </c>
      <c r="H6510" s="2">
        <f t="shared" si="202"/>
        <v>601189</v>
      </c>
      <c r="I6510" t="str">
        <f t="shared" si="203"/>
        <v>Rps25_601189</v>
      </c>
      <c r="J6510" s="3">
        <v>216469</v>
      </c>
      <c r="K6510" s="3">
        <v>55242</v>
      </c>
      <c r="L6510" s="3">
        <v>149142</v>
      </c>
      <c r="M6510" s="3">
        <v>176309</v>
      </c>
      <c r="N6510" s="3">
        <v>4027</v>
      </c>
    </row>
    <row r="6511" spans="1:14" x14ac:dyDescent="0.2">
      <c r="A6511" s="5" t="str">
        <f>HYPERLINK("http://www.ncbi.nlm.nih.gov/protein/255003793","Rps26")</f>
        <v>Rps26</v>
      </c>
      <c r="B6511" s="4"/>
      <c r="C6511" s="3">
        <v>98816</v>
      </c>
      <c r="D6511" s="3">
        <v>6914</v>
      </c>
      <c r="E6511" s="3">
        <v>140284</v>
      </c>
      <c r="F6511" s="3">
        <v>324877</v>
      </c>
      <c r="G6511" s="3">
        <v>214</v>
      </c>
      <c r="H6511" s="2">
        <f t="shared" si="202"/>
        <v>571105</v>
      </c>
      <c r="I6511" t="str">
        <f t="shared" si="203"/>
        <v>Rps26_571105</v>
      </c>
      <c r="J6511" s="3">
        <v>98816</v>
      </c>
      <c r="K6511" s="3">
        <v>6914</v>
      </c>
      <c r="L6511" s="3">
        <v>140284</v>
      </c>
      <c r="M6511" s="3">
        <v>324877</v>
      </c>
      <c r="N6511" s="3">
        <v>214</v>
      </c>
    </row>
    <row r="6512" spans="1:14" x14ac:dyDescent="0.2">
      <c r="A6512" s="5" t="str">
        <f>HYPERLINK("http://www.ncbi.nlm.nih.gov/protein/26024336;298231238","Rps27")</f>
        <v>Rps27</v>
      </c>
      <c r="B6512" s="4"/>
      <c r="C6512" s="3">
        <v>0</v>
      </c>
      <c r="D6512" s="3">
        <v>0</v>
      </c>
      <c r="E6512" s="3">
        <v>68870</v>
      </c>
      <c r="F6512" s="3">
        <v>0</v>
      </c>
      <c r="G6512" s="3">
        <v>0</v>
      </c>
      <c r="H6512" s="2">
        <f t="shared" si="202"/>
        <v>68870</v>
      </c>
      <c r="I6512" t="str">
        <f t="shared" si="203"/>
        <v>Rps27_68870</v>
      </c>
      <c r="J6512" s="3">
        <v>0</v>
      </c>
      <c r="K6512" s="3">
        <v>0</v>
      </c>
      <c r="L6512" s="3">
        <v>68870</v>
      </c>
      <c r="M6512" s="3">
        <v>0</v>
      </c>
      <c r="N6512" s="3">
        <v>0</v>
      </c>
    </row>
    <row r="6513" spans="1:14" x14ac:dyDescent="0.2">
      <c r="A6513" s="5" t="str">
        <f>HYPERLINK("http://www.ncbi.nlm.nih.gov/protein/13195690","Rps27a")</f>
        <v>Rps27a</v>
      </c>
      <c r="B6513" s="4"/>
      <c r="C6513" s="3">
        <v>1897089</v>
      </c>
      <c r="D6513" s="3">
        <v>69781</v>
      </c>
      <c r="E6513" s="3">
        <v>114790</v>
      </c>
      <c r="F6513" s="3">
        <v>379384</v>
      </c>
      <c r="G6513" s="3">
        <v>146013</v>
      </c>
      <c r="H6513" s="2">
        <f t="shared" si="202"/>
        <v>2607057</v>
      </c>
      <c r="I6513" t="str">
        <f t="shared" si="203"/>
        <v>Rps27a_2607057</v>
      </c>
      <c r="J6513" s="3">
        <v>1897089</v>
      </c>
      <c r="K6513" s="3">
        <v>69781</v>
      </c>
      <c r="L6513" s="3">
        <v>114790</v>
      </c>
      <c r="M6513" s="3">
        <v>379384</v>
      </c>
      <c r="N6513" s="3">
        <v>146013</v>
      </c>
    </row>
    <row r="6514" spans="1:14" x14ac:dyDescent="0.2">
      <c r="A6514" s="5" t="str">
        <f>HYPERLINK("http://www.ncbi.nlm.nih.gov/protein/13385958","Rps27l")</f>
        <v>Rps27l</v>
      </c>
      <c r="B6514" s="4"/>
      <c r="C6514" s="3">
        <v>47284</v>
      </c>
      <c r="D6514" s="3">
        <v>10206</v>
      </c>
      <c r="E6514" s="3">
        <v>54572</v>
      </c>
      <c r="F6514" s="3">
        <v>50832</v>
      </c>
      <c r="G6514" s="3">
        <v>139</v>
      </c>
      <c r="H6514" s="2">
        <f t="shared" si="202"/>
        <v>163033</v>
      </c>
      <c r="I6514" t="str">
        <f t="shared" si="203"/>
        <v>Rps27l_163033</v>
      </c>
      <c r="J6514" s="3">
        <v>47284</v>
      </c>
      <c r="K6514" s="3">
        <v>10206</v>
      </c>
      <c r="L6514" s="3">
        <v>54572</v>
      </c>
      <c r="M6514" s="3">
        <v>50832</v>
      </c>
      <c r="N6514" s="3">
        <v>139</v>
      </c>
    </row>
    <row r="6515" spans="1:14" x14ac:dyDescent="0.2">
      <c r="A6515" s="5" t="str">
        <f>HYPERLINK("http://www.ncbi.nlm.nih.gov/protein/298231238","Rps27rt")</f>
        <v>Rps27rt</v>
      </c>
      <c r="B6515" s="4"/>
      <c r="C6515" s="3">
        <v>53399</v>
      </c>
      <c r="D6515" s="3">
        <v>8736</v>
      </c>
      <c r="E6515" s="3">
        <v>0</v>
      </c>
      <c r="F6515" s="3">
        <v>60770</v>
      </c>
      <c r="G6515" s="3">
        <v>139</v>
      </c>
      <c r="H6515" s="2">
        <f t="shared" si="202"/>
        <v>123044</v>
      </c>
      <c r="I6515" t="str">
        <f t="shared" si="203"/>
        <v>Rps27rt_123044</v>
      </c>
      <c r="J6515" s="3">
        <v>53399</v>
      </c>
      <c r="K6515" s="3">
        <v>8736</v>
      </c>
      <c r="L6515" s="3">
        <v>0</v>
      </c>
      <c r="M6515" s="3">
        <v>60770</v>
      </c>
      <c r="N6515" s="3">
        <v>139</v>
      </c>
    </row>
    <row r="6516" spans="1:14" x14ac:dyDescent="0.2">
      <c r="A6516" s="5" t="str">
        <f>HYPERLINK("http://www.ncbi.nlm.nih.gov/protein/21426821","Rps28")</f>
        <v>Rps28</v>
      </c>
      <c r="B6516" s="4"/>
      <c r="C6516" s="3">
        <v>26544</v>
      </c>
      <c r="D6516" s="3">
        <v>3799</v>
      </c>
      <c r="E6516" s="3">
        <v>39940</v>
      </c>
      <c r="F6516" s="3">
        <v>2513</v>
      </c>
      <c r="G6516" s="3">
        <v>0</v>
      </c>
      <c r="H6516" s="2">
        <f t="shared" si="202"/>
        <v>72796</v>
      </c>
      <c r="I6516" t="str">
        <f t="shared" si="203"/>
        <v>Rps28_72796</v>
      </c>
      <c r="J6516" s="3">
        <v>26544</v>
      </c>
      <c r="K6516" s="3">
        <v>3799</v>
      </c>
      <c r="L6516" s="3">
        <v>39940</v>
      </c>
      <c r="M6516" s="3">
        <v>2513</v>
      </c>
      <c r="N6516" s="3">
        <v>0</v>
      </c>
    </row>
    <row r="6517" spans="1:14" x14ac:dyDescent="0.2">
      <c r="A6517" s="5" t="str">
        <f>HYPERLINK("http://www.ncbi.nlm.nih.gov/protein/6677803","Rps29")</f>
        <v>Rps29</v>
      </c>
      <c r="B6517" s="4"/>
      <c r="C6517" s="3">
        <v>12045</v>
      </c>
      <c r="D6517" s="3">
        <v>1624</v>
      </c>
      <c r="E6517" s="3">
        <v>26957</v>
      </c>
      <c r="F6517" s="3">
        <v>7891</v>
      </c>
      <c r="G6517" s="3">
        <v>0</v>
      </c>
      <c r="H6517" s="2">
        <f t="shared" si="202"/>
        <v>48517</v>
      </c>
      <c r="I6517" t="str">
        <f t="shared" si="203"/>
        <v>Rps29_48517</v>
      </c>
      <c r="J6517" s="3">
        <v>12045</v>
      </c>
      <c r="K6517" s="3">
        <v>1624</v>
      </c>
      <c r="L6517" s="3">
        <v>26957</v>
      </c>
      <c r="M6517" s="3">
        <v>7891</v>
      </c>
      <c r="N6517" s="3">
        <v>0</v>
      </c>
    </row>
    <row r="6518" spans="1:14" x14ac:dyDescent="0.2">
      <c r="A6518" s="5" t="str">
        <f>HYPERLINK("http://www.ncbi.nlm.nih.gov/protein/6755372","Rps3")</f>
        <v>Rps3</v>
      </c>
      <c r="B6518" s="4"/>
      <c r="C6518" s="3">
        <v>582150</v>
      </c>
      <c r="D6518" s="3">
        <v>98163</v>
      </c>
      <c r="E6518" s="3">
        <v>416663</v>
      </c>
      <c r="F6518" s="3">
        <v>884949</v>
      </c>
      <c r="G6518" s="3">
        <v>0</v>
      </c>
      <c r="H6518" s="2">
        <f t="shared" si="202"/>
        <v>1981925</v>
      </c>
      <c r="I6518" t="str">
        <f t="shared" si="203"/>
        <v>Rps3_1981925</v>
      </c>
      <c r="J6518" s="3">
        <v>582150</v>
      </c>
      <c r="K6518" s="3">
        <v>98163</v>
      </c>
      <c r="L6518" s="3">
        <v>416663</v>
      </c>
      <c r="M6518" s="3">
        <v>884949</v>
      </c>
      <c r="N6518" s="3">
        <v>0</v>
      </c>
    </row>
    <row r="6519" spans="1:14" x14ac:dyDescent="0.2">
      <c r="A6519" s="5" t="str">
        <f>HYPERLINK("http://www.ncbi.nlm.nih.gov/protein/254553321","Rps3a1")</f>
        <v>Rps3a1</v>
      </c>
      <c r="B6519" s="4"/>
      <c r="C6519" s="3">
        <v>167592</v>
      </c>
      <c r="D6519" s="3">
        <v>75290</v>
      </c>
      <c r="E6519" s="3">
        <v>362865</v>
      </c>
      <c r="F6519" s="3">
        <v>541950</v>
      </c>
      <c r="G6519" s="3">
        <v>1981</v>
      </c>
      <c r="H6519" s="2">
        <f t="shared" si="202"/>
        <v>1149678</v>
      </c>
      <c r="I6519" t="str">
        <f t="shared" si="203"/>
        <v>Rps3a1_1149678</v>
      </c>
      <c r="J6519" s="3">
        <v>167592</v>
      </c>
      <c r="K6519" s="3">
        <v>75290</v>
      </c>
      <c r="L6519" s="3">
        <v>362865</v>
      </c>
      <c r="M6519" s="3">
        <v>541950</v>
      </c>
      <c r="N6519" s="3">
        <v>1981</v>
      </c>
    </row>
    <row r="6520" spans="1:14" x14ac:dyDescent="0.2">
      <c r="A6520" s="5" t="str">
        <f>HYPERLINK("http://www.ncbi.nlm.nih.gov/protein/6677805","Rps4x")</f>
        <v>Rps4x</v>
      </c>
      <c r="B6520" s="4"/>
      <c r="C6520" s="3">
        <v>236807</v>
      </c>
      <c r="D6520" s="3">
        <v>24374</v>
      </c>
      <c r="E6520" s="3">
        <v>150238</v>
      </c>
      <c r="F6520" s="3">
        <v>598627</v>
      </c>
      <c r="G6520" s="3">
        <v>182</v>
      </c>
      <c r="H6520" s="2">
        <f t="shared" si="202"/>
        <v>1010228</v>
      </c>
      <c r="I6520" t="str">
        <f t="shared" si="203"/>
        <v>Rps4x_1010228</v>
      </c>
      <c r="J6520" s="3">
        <v>236807</v>
      </c>
      <c r="K6520" s="3">
        <v>24374</v>
      </c>
      <c r="L6520" s="3">
        <v>150238</v>
      </c>
      <c r="M6520" s="3">
        <v>598627</v>
      </c>
      <c r="N6520" s="3">
        <v>182</v>
      </c>
    </row>
    <row r="6521" spans="1:14" x14ac:dyDescent="0.2">
      <c r="A6521" s="5" t="str">
        <f>HYPERLINK("http://www.ncbi.nlm.nih.gov/protein/254675270","Rps5")</f>
        <v>Rps5</v>
      </c>
      <c r="B6521" s="4"/>
      <c r="C6521" s="3">
        <v>93892</v>
      </c>
      <c r="D6521" s="3">
        <v>4597</v>
      </c>
      <c r="E6521" s="3">
        <v>65374</v>
      </c>
      <c r="F6521" s="3">
        <v>301957</v>
      </c>
      <c r="G6521" s="3">
        <v>257</v>
      </c>
      <c r="H6521" s="2">
        <f t="shared" si="202"/>
        <v>466077</v>
      </c>
      <c r="I6521" t="str">
        <f t="shared" si="203"/>
        <v>Rps5_466077</v>
      </c>
      <c r="J6521" s="3">
        <v>93892</v>
      </c>
      <c r="K6521" s="3">
        <v>4597</v>
      </c>
      <c r="L6521" s="3">
        <v>65374</v>
      </c>
      <c r="M6521" s="3">
        <v>301957</v>
      </c>
      <c r="N6521" s="3">
        <v>257</v>
      </c>
    </row>
    <row r="6522" spans="1:14" x14ac:dyDescent="0.2">
      <c r="A6522" s="5" t="str">
        <f>HYPERLINK("http://www.ncbi.nlm.nih.gov/protein/158636007","Rps6ka1")</f>
        <v>Rps6ka1</v>
      </c>
      <c r="B6522" s="4"/>
      <c r="C6522" s="3">
        <v>0</v>
      </c>
      <c r="D6522" s="3">
        <v>1789</v>
      </c>
      <c r="E6522" s="3">
        <v>702</v>
      </c>
      <c r="F6522" s="3">
        <v>7948</v>
      </c>
      <c r="G6522" s="3">
        <v>22651</v>
      </c>
      <c r="H6522" s="2">
        <f t="shared" si="202"/>
        <v>33090</v>
      </c>
      <c r="I6522" t="str">
        <f t="shared" si="203"/>
        <v>Rps6ka1_33090</v>
      </c>
      <c r="J6522" s="3">
        <v>0</v>
      </c>
      <c r="K6522" s="3">
        <v>1789</v>
      </c>
      <c r="L6522" s="3">
        <v>702</v>
      </c>
      <c r="M6522" s="3">
        <v>7948</v>
      </c>
      <c r="N6522" s="3">
        <v>22651</v>
      </c>
    </row>
    <row r="6523" spans="1:14" x14ac:dyDescent="0.2">
      <c r="A6523" s="5" t="str">
        <f>HYPERLINK("http://www.ncbi.nlm.nih.gov/protein/6755374","Rps6ka2")</f>
        <v>Rps6ka2</v>
      </c>
      <c r="B6523" s="4"/>
      <c r="C6523" s="3">
        <v>0</v>
      </c>
      <c r="D6523" s="3">
        <v>791</v>
      </c>
      <c r="E6523" s="3">
        <v>784</v>
      </c>
      <c r="F6523" s="3">
        <v>2218</v>
      </c>
      <c r="G6523" s="3">
        <v>16782</v>
      </c>
      <c r="H6523" s="2">
        <f t="shared" si="202"/>
        <v>20575</v>
      </c>
      <c r="I6523" t="str">
        <f t="shared" si="203"/>
        <v>Rps6ka2_20575</v>
      </c>
      <c r="J6523" s="3">
        <v>0</v>
      </c>
      <c r="K6523" s="3">
        <v>791</v>
      </c>
      <c r="L6523" s="3">
        <v>784</v>
      </c>
      <c r="M6523" s="3">
        <v>2218</v>
      </c>
      <c r="N6523" s="3">
        <v>16782</v>
      </c>
    </row>
    <row r="6524" spans="1:14" x14ac:dyDescent="0.2">
      <c r="A6524" s="5" t="str">
        <f>HYPERLINK("http://www.ncbi.nlm.nih.gov/protein/22507357","Rps6ka3")</f>
        <v>Rps6ka3</v>
      </c>
      <c r="B6524" s="4"/>
      <c r="C6524" s="3">
        <v>0</v>
      </c>
      <c r="D6524" s="3">
        <v>1071</v>
      </c>
      <c r="E6524" s="3">
        <v>2815</v>
      </c>
      <c r="F6524" s="3">
        <v>3839</v>
      </c>
      <c r="G6524" s="3">
        <v>40450</v>
      </c>
      <c r="H6524" s="2">
        <f t="shared" si="202"/>
        <v>48175</v>
      </c>
      <c r="I6524" t="str">
        <f t="shared" si="203"/>
        <v>Rps6ka3_48175</v>
      </c>
      <c r="J6524" s="3">
        <v>0</v>
      </c>
      <c r="K6524" s="3">
        <v>1071</v>
      </c>
      <c r="L6524" s="3">
        <v>2815</v>
      </c>
      <c r="M6524" s="3">
        <v>3839</v>
      </c>
      <c r="N6524" s="3">
        <v>40450</v>
      </c>
    </row>
    <row r="6525" spans="1:14" x14ac:dyDescent="0.2">
      <c r="A6525" s="5" t="str">
        <f>HYPERLINK("http://www.ncbi.nlm.nih.gov/protein/9910454","Rps6ka4")</f>
        <v>Rps6ka4</v>
      </c>
      <c r="B6525" s="4"/>
      <c r="C6525" s="3">
        <v>0</v>
      </c>
      <c r="D6525" s="3">
        <v>0</v>
      </c>
      <c r="E6525" s="3">
        <v>1791</v>
      </c>
      <c r="F6525" s="3">
        <v>7211</v>
      </c>
      <c r="G6525" s="3">
        <v>1928</v>
      </c>
      <c r="H6525" s="2">
        <f t="shared" si="202"/>
        <v>10930</v>
      </c>
      <c r="I6525" t="str">
        <f t="shared" si="203"/>
        <v>Rps6ka4_10930</v>
      </c>
      <c r="J6525" s="3">
        <v>0</v>
      </c>
      <c r="K6525" s="3">
        <v>0</v>
      </c>
      <c r="L6525" s="3">
        <v>1791</v>
      </c>
      <c r="M6525" s="3">
        <v>7211</v>
      </c>
      <c r="N6525" s="3">
        <v>1928</v>
      </c>
    </row>
    <row r="6526" spans="1:14" x14ac:dyDescent="0.2">
      <c r="A6526" s="5" t="str">
        <f>HYPERLINK("http://www.ncbi.nlm.nih.gov/protein/23956386","Rps6ka5")</f>
        <v>Rps6ka5</v>
      </c>
      <c r="B6526" s="4"/>
      <c r="C6526" s="3">
        <v>0</v>
      </c>
      <c r="D6526" s="3">
        <v>491</v>
      </c>
      <c r="E6526" s="3">
        <v>372</v>
      </c>
      <c r="F6526" s="3">
        <v>941</v>
      </c>
      <c r="G6526" s="3">
        <v>7143</v>
      </c>
      <c r="H6526" s="2">
        <f t="shared" si="202"/>
        <v>8947</v>
      </c>
      <c r="I6526" t="str">
        <f t="shared" si="203"/>
        <v>Rps6ka5_8947</v>
      </c>
      <c r="J6526" s="3">
        <v>0</v>
      </c>
      <c r="K6526" s="3">
        <v>491</v>
      </c>
      <c r="L6526" s="3">
        <v>372</v>
      </c>
      <c r="M6526" s="3">
        <v>941</v>
      </c>
      <c r="N6526" s="3">
        <v>7143</v>
      </c>
    </row>
    <row r="6527" spans="1:14" x14ac:dyDescent="0.2">
      <c r="A6527" s="5" t="str">
        <f>HYPERLINK("http://www.ncbi.nlm.nih.gov/protein/67625733","Rps6ka6")</f>
        <v>Rps6ka6</v>
      </c>
      <c r="B6527" s="4"/>
      <c r="C6527" s="3">
        <v>0</v>
      </c>
      <c r="D6527" s="3">
        <v>0</v>
      </c>
      <c r="E6527" s="3">
        <v>0</v>
      </c>
      <c r="F6527" s="3">
        <v>0</v>
      </c>
      <c r="G6527" s="3">
        <v>2527</v>
      </c>
      <c r="H6527" s="2">
        <f t="shared" si="202"/>
        <v>2527</v>
      </c>
      <c r="I6527" t="str">
        <f t="shared" si="203"/>
        <v>Rps6ka6_2527</v>
      </c>
      <c r="J6527" s="3">
        <v>0</v>
      </c>
      <c r="K6527" s="3">
        <v>0</v>
      </c>
      <c r="L6527" s="3">
        <v>0</v>
      </c>
      <c r="M6527" s="3">
        <v>0</v>
      </c>
      <c r="N6527" s="3">
        <v>2527</v>
      </c>
    </row>
    <row r="6528" spans="1:14" x14ac:dyDescent="0.2">
      <c r="A6528" s="5" t="str">
        <f>HYPERLINK("http://www.ncbi.nlm.nih.gov/protein/166999987","Rps6kb1")</f>
        <v>Rps6kb1</v>
      </c>
      <c r="B6528" s="4"/>
      <c r="C6528" s="3">
        <v>0</v>
      </c>
      <c r="D6528" s="3">
        <v>0</v>
      </c>
      <c r="E6528" s="3">
        <v>0</v>
      </c>
      <c r="F6528" s="3">
        <v>0</v>
      </c>
      <c r="G6528" s="3">
        <v>1981</v>
      </c>
      <c r="H6528" s="2">
        <f t="shared" si="202"/>
        <v>1981</v>
      </c>
      <c r="I6528" t="str">
        <f t="shared" si="203"/>
        <v>Rps6kb1_1981</v>
      </c>
      <c r="J6528" s="3">
        <v>0</v>
      </c>
      <c r="K6528" s="3">
        <v>0</v>
      </c>
      <c r="L6528" s="3">
        <v>0</v>
      </c>
      <c r="M6528" s="3">
        <v>0</v>
      </c>
      <c r="N6528" s="3">
        <v>1981</v>
      </c>
    </row>
    <row r="6529" spans="1:14" x14ac:dyDescent="0.2">
      <c r="A6529" s="5" t="str">
        <f>HYPERLINK("http://www.ncbi.nlm.nih.gov/protein/29789225","Rps6kb1")</f>
        <v>Rps6kb1</v>
      </c>
      <c r="B6529" s="4"/>
      <c r="C6529" s="3">
        <v>0</v>
      </c>
      <c r="D6529" s="3">
        <v>0</v>
      </c>
      <c r="E6529" s="3">
        <v>0</v>
      </c>
      <c r="F6529" s="3">
        <v>0</v>
      </c>
      <c r="G6529" s="3">
        <v>278</v>
      </c>
      <c r="H6529" s="2">
        <f t="shared" si="202"/>
        <v>278</v>
      </c>
      <c r="I6529" t="str">
        <f t="shared" si="203"/>
        <v>Rps6kb1_278</v>
      </c>
      <c r="J6529" s="3">
        <v>0</v>
      </c>
      <c r="K6529" s="3">
        <v>0</v>
      </c>
      <c r="L6529" s="3">
        <v>0</v>
      </c>
      <c r="M6529" s="3">
        <v>0</v>
      </c>
      <c r="N6529" s="3">
        <v>278</v>
      </c>
    </row>
    <row r="6530" spans="1:14" x14ac:dyDescent="0.2">
      <c r="A6530" s="5" t="str">
        <f>HYPERLINK("http://www.ncbi.nlm.nih.gov/protein/10946894","Rps6kb2")</f>
        <v>Rps6kb2</v>
      </c>
      <c r="B6530" s="4"/>
      <c r="C6530" s="3">
        <v>0</v>
      </c>
      <c r="D6530" s="3">
        <v>0</v>
      </c>
      <c r="E6530" s="3">
        <v>107</v>
      </c>
      <c r="F6530" s="3">
        <v>2709</v>
      </c>
      <c r="G6530" s="3">
        <v>7539</v>
      </c>
      <c r="H6530" s="2">
        <f t="shared" ref="H6530:H6593" si="204">SUM(C6530:G6530)</f>
        <v>10355</v>
      </c>
      <c r="I6530" t="str">
        <f t="shared" ref="I6530:I6593" si="205">A6530&amp;"_"&amp;H6530</f>
        <v>Rps6kb2_10355</v>
      </c>
      <c r="J6530" s="3">
        <v>0</v>
      </c>
      <c r="K6530" s="3">
        <v>0</v>
      </c>
      <c r="L6530" s="3">
        <v>107</v>
      </c>
      <c r="M6530" s="3">
        <v>2709</v>
      </c>
      <c r="N6530" s="3">
        <v>7539</v>
      </c>
    </row>
    <row r="6531" spans="1:14" x14ac:dyDescent="0.2">
      <c r="A6531" s="5" t="str">
        <f>HYPERLINK("http://www.ncbi.nlm.nih.gov/protein/94367038","Rps6-ps4")</f>
        <v>Rps6-ps4</v>
      </c>
      <c r="B6531" s="4"/>
      <c r="C6531" s="3">
        <v>132426</v>
      </c>
      <c r="D6531" s="3">
        <v>42531</v>
      </c>
      <c r="E6531" s="3">
        <v>103705</v>
      </c>
      <c r="F6531" s="3">
        <v>361802</v>
      </c>
      <c r="G6531" s="3">
        <v>0</v>
      </c>
      <c r="H6531" s="2">
        <f t="shared" si="204"/>
        <v>640464</v>
      </c>
      <c r="I6531" t="str">
        <f t="shared" si="205"/>
        <v>Rps6-ps4_640464</v>
      </c>
      <c r="J6531" s="3">
        <v>132426</v>
      </c>
      <c r="K6531" s="3">
        <v>42531</v>
      </c>
      <c r="L6531" s="3">
        <v>103705</v>
      </c>
      <c r="M6531" s="3">
        <v>361802</v>
      </c>
      <c r="N6531" s="3">
        <v>0</v>
      </c>
    </row>
    <row r="6532" spans="1:14" x14ac:dyDescent="0.2">
      <c r="A6532" s="5" t="str">
        <f>HYPERLINK("http://www.ncbi.nlm.nih.gov/protein/6755376","Rps7")</f>
        <v>Rps7</v>
      </c>
      <c r="B6532" s="4"/>
      <c r="C6532" s="3">
        <v>67073</v>
      </c>
      <c r="D6532" s="3">
        <v>864</v>
      </c>
      <c r="E6532" s="3">
        <v>44434</v>
      </c>
      <c r="F6532" s="3">
        <v>345431</v>
      </c>
      <c r="G6532" s="3">
        <v>0</v>
      </c>
      <c r="H6532" s="2">
        <f t="shared" si="204"/>
        <v>457802</v>
      </c>
      <c r="I6532" t="str">
        <f t="shared" si="205"/>
        <v>Rps7_457802</v>
      </c>
      <c r="J6532" s="3">
        <v>67073</v>
      </c>
      <c r="K6532" s="3">
        <v>864</v>
      </c>
      <c r="L6532" s="3">
        <v>44434</v>
      </c>
      <c r="M6532" s="3">
        <v>345431</v>
      </c>
      <c r="N6532" s="3">
        <v>0</v>
      </c>
    </row>
    <row r="6533" spans="1:14" x14ac:dyDescent="0.2">
      <c r="A6533" s="5" t="str">
        <f>HYPERLINK("http://www.ncbi.nlm.nih.gov/protein/33504483","Rps9")</f>
        <v>Rps9</v>
      </c>
      <c r="B6533" s="4"/>
      <c r="C6533" s="3">
        <v>531021</v>
      </c>
      <c r="D6533" s="3">
        <v>87911</v>
      </c>
      <c r="E6533" s="3">
        <v>410119</v>
      </c>
      <c r="F6533" s="3">
        <v>1359483</v>
      </c>
      <c r="G6533" s="3">
        <v>0</v>
      </c>
      <c r="H6533" s="2">
        <f t="shared" si="204"/>
        <v>2388534</v>
      </c>
      <c r="I6533" t="str">
        <f t="shared" si="205"/>
        <v>Rps9_2388534</v>
      </c>
      <c r="J6533" s="3">
        <v>531021</v>
      </c>
      <c r="K6533" s="3">
        <v>87911</v>
      </c>
      <c r="L6533" s="3">
        <v>410119</v>
      </c>
      <c r="M6533" s="3">
        <v>1359483</v>
      </c>
      <c r="N6533" s="3">
        <v>0</v>
      </c>
    </row>
    <row r="6534" spans="1:14" x14ac:dyDescent="0.2">
      <c r="A6534" s="5" t="str">
        <f>HYPERLINK("http://www.ncbi.nlm.nih.gov/protein/154146249","Rptor")</f>
        <v>Rptor</v>
      </c>
      <c r="B6534" s="4"/>
      <c r="C6534" s="3">
        <v>0</v>
      </c>
      <c r="D6534" s="3">
        <v>29</v>
      </c>
      <c r="E6534" s="3">
        <v>916</v>
      </c>
      <c r="F6534" s="3">
        <v>246</v>
      </c>
      <c r="G6534" s="3">
        <v>225</v>
      </c>
      <c r="H6534" s="2">
        <f t="shared" si="204"/>
        <v>1416</v>
      </c>
      <c r="I6534" t="str">
        <f t="shared" si="205"/>
        <v>Rptor_1416</v>
      </c>
      <c r="J6534" s="3">
        <v>0</v>
      </c>
      <c r="K6534" s="3">
        <v>29</v>
      </c>
      <c r="L6534" s="3">
        <v>916</v>
      </c>
      <c r="M6534" s="3">
        <v>246</v>
      </c>
      <c r="N6534" s="3">
        <v>225</v>
      </c>
    </row>
    <row r="6535" spans="1:14" x14ac:dyDescent="0.2">
      <c r="A6535" s="5" t="str">
        <f>HYPERLINK("http://www.ncbi.nlm.nih.gov/protein/27734094","Rpusd2")</f>
        <v>Rpusd2</v>
      </c>
      <c r="B6535" s="4"/>
      <c r="C6535" s="3">
        <v>0</v>
      </c>
      <c r="D6535" s="3">
        <v>0</v>
      </c>
      <c r="E6535" s="3">
        <v>0</v>
      </c>
      <c r="F6535" s="3">
        <v>0</v>
      </c>
      <c r="G6535" s="3">
        <v>2442</v>
      </c>
      <c r="H6535" s="2">
        <f t="shared" si="204"/>
        <v>2442</v>
      </c>
      <c r="I6535" t="str">
        <f t="shared" si="205"/>
        <v>Rpusd2_2442</v>
      </c>
      <c r="J6535" s="3">
        <v>0</v>
      </c>
      <c r="K6535" s="3">
        <v>0</v>
      </c>
      <c r="L6535" s="3">
        <v>0</v>
      </c>
      <c r="M6535" s="3">
        <v>0</v>
      </c>
      <c r="N6535" s="3">
        <v>2442</v>
      </c>
    </row>
    <row r="6536" spans="1:14" x14ac:dyDescent="0.2">
      <c r="A6536" s="5" t="str">
        <f>HYPERLINK("http://www.ncbi.nlm.nih.gov/protein/10946722","Rqcd1")</f>
        <v>Rqcd1</v>
      </c>
      <c r="B6536" s="4"/>
      <c r="C6536" s="3">
        <v>1208</v>
      </c>
      <c r="D6536" s="3">
        <v>718</v>
      </c>
      <c r="E6536" s="3">
        <v>7260</v>
      </c>
      <c r="F6536" s="3">
        <v>9102</v>
      </c>
      <c r="G6536" s="3">
        <v>0</v>
      </c>
      <c r="H6536" s="2">
        <f t="shared" si="204"/>
        <v>18288</v>
      </c>
      <c r="I6536" t="str">
        <f t="shared" si="205"/>
        <v>Rqcd1_18288</v>
      </c>
      <c r="J6536" s="3">
        <v>1208</v>
      </c>
      <c r="K6536" s="3">
        <v>718</v>
      </c>
      <c r="L6536" s="3">
        <v>7260</v>
      </c>
      <c r="M6536" s="3">
        <v>9102</v>
      </c>
      <c r="N6536" s="3">
        <v>0</v>
      </c>
    </row>
    <row r="6537" spans="1:14" x14ac:dyDescent="0.2">
      <c r="A6537" s="5" t="str">
        <f>HYPERLINK("http://www.ncbi.nlm.nih.gov/protein/31541819","Rraga")</f>
        <v>Rraga</v>
      </c>
      <c r="B6537" s="4"/>
      <c r="C6537" s="3">
        <v>0</v>
      </c>
      <c r="D6537" s="3">
        <v>2589</v>
      </c>
      <c r="E6537" s="3">
        <v>4018</v>
      </c>
      <c r="F6537" s="3">
        <v>1670</v>
      </c>
      <c r="G6537" s="3">
        <v>10624</v>
      </c>
      <c r="H6537" s="2">
        <f t="shared" si="204"/>
        <v>18901</v>
      </c>
      <c r="I6537" t="str">
        <f t="shared" si="205"/>
        <v>Rraga_18901</v>
      </c>
      <c r="J6537" s="3">
        <v>0</v>
      </c>
      <c r="K6537" s="3">
        <v>2589</v>
      </c>
      <c r="L6537" s="3">
        <v>4018</v>
      </c>
      <c r="M6537" s="3">
        <v>1670</v>
      </c>
      <c r="N6537" s="3">
        <v>10624</v>
      </c>
    </row>
    <row r="6538" spans="1:14" x14ac:dyDescent="0.2">
      <c r="A6538" s="5" t="str">
        <f>HYPERLINK("http://www.ncbi.nlm.nih.gov/protein/51921311","Rragb")</f>
        <v>Rragb</v>
      </c>
      <c r="B6538" s="4"/>
      <c r="C6538" s="3">
        <v>0</v>
      </c>
      <c r="D6538" s="3">
        <v>2340</v>
      </c>
      <c r="E6538" s="3">
        <v>4018</v>
      </c>
      <c r="F6538" s="3">
        <v>1670</v>
      </c>
      <c r="G6538" s="3">
        <v>10624</v>
      </c>
      <c r="H6538" s="2">
        <f t="shared" si="204"/>
        <v>18652</v>
      </c>
      <c r="I6538" t="str">
        <f t="shared" si="205"/>
        <v>Rragb_18652</v>
      </c>
      <c r="J6538" s="3">
        <v>0</v>
      </c>
      <c r="K6538" s="3">
        <v>2340</v>
      </c>
      <c r="L6538" s="3">
        <v>4018</v>
      </c>
      <c r="M6538" s="3">
        <v>1670</v>
      </c>
      <c r="N6538" s="3">
        <v>10624</v>
      </c>
    </row>
    <row r="6539" spans="1:14" x14ac:dyDescent="0.2">
      <c r="A6539" s="5" t="str">
        <f>HYPERLINK("http://www.ncbi.nlm.nih.gov/protein/114145487","Rragc")</f>
        <v>Rragc</v>
      </c>
      <c r="B6539" s="4"/>
      <c r="C6539" s="3">
        <v>0</v>
      </c>
      <c r="D6539" s="3">
        <v>4167</v>
      </c>
      <c r="E6539" s="3">
        <v>6225</v>
      </c>
      <c r="F6539" s="3">
        <v>4527</v>
      </c>
      <c r="G6539" s="3">
        <v>39807</v>
      </c>
      <c r="H6539" s="2">
        <f t="shared" si="204"/>
        <v>54726</v>
      </c>
      <c r="I6539" t="str">
        <f t="shared" si="205"/>
        <v>Rragc_54726</v>
      </c>
      <c r="J6539" s="3">
        <v>0</v>
      </c>
      <c r="K6539" s="3">
        <v>4167</v>
      </c>
      <c r="L6539" s="3">
        <v>6225</v>
      </c>
      <c r="M6539" s="3">
        <v>4527</v>
      </c>
      <c r="N6539" s="3">
        <v>39807</v>
      </c>
    </row>
    <row r="6540" spans="1:14" x14ac:dyDescent="0.2">
      <c r="A6540" s="5" t="str">
        <f>HYPERLINK("http://www.ncbi.nlm.nih.gov/protein/120444910","Rragd")</f>
        <v>Rragd</v>
      </c>
      <c r="B6540" s="4"/>
      <c r="C6540" s="3">
        <v>0</v>
      </c>
      <c r="D6540" s="3">
        <v>2348</v>
      </c>
      <c r="E6540" s="3">
        <v>4187</v>
      </c>
      <c r="F6540" s="3">
        <v>3544</v>
      </c>
      <c r="G6540" s="3">
        <v>31090</v>
      </c>
      <c r="H6540" s="2">
        <f t="shared" si="204"/>
        <v>41169</v>
      </c>
      <c r="I6540" t="str">
        <f t="shared" si="205"/>
        <v>Rragd_41169</v>
      </c>
      <c r="J6540" s="3">
        <v>0</v>
      </c>
      <c r="K6540" s="3">
        <v>2348</v>
      </c>
      <c r="L6540" s="3">
        <v>4187</v>
      </c>
      <c r="M6540" s="3">
        <v>3544</v>
      </c>
      <c r="N6540" s="3">
        <v>31090</v>
      </c>
    </row>
    <row r="6541" spans="1:14" x14ac:dyDescent="0.2">
      <c r="A6541" s="5" t="str">
        <f>HYPERLINK("http://www.ncbi.nlm.nih.gov/protein/6677819","Rras")</f>
        <v>Rras</v>
      </c>
      <c r="B6541" s="4"/>
      <c r="C6541" s="3">
        <v>2929</v>
      </c>
      <c r="D6541" s="3">
        <v>2722</v>
      </c>
      <c r="E6541" s="3">
        <v>5809</v>
      </c>
      <c r="F6541" s="3">
        <v>0</v>
      </c>
      <c r="G6541" s="3">
        <v>268</v>
      </c>
      <c r="H6541" s="2">
        <f t="shared" si="204"/>
        <v>11728</v>
      </c>
      <c r="I6541" t="str">
        <f t="shared" si="205"/>
        <v>Rras_11728</v>
      </c>
      <c r="J6541" s="3">
        <v>2929</v>
      </c>
      <c r="K6541" s="3">
        <v>2722</v>
      </c>
      <c r="L6541" s="3">
        <v>5809</v>
      </c>
      <c r="M6541" s="3">
        <v>0</v>
      </c>
      <c r="N6541" s="3">
        <v>268</v>
      </c>
    </row>
    <row r="6542" spans="1:14" x14ac:dyDescent="0.2">
      <c r="A6542" s="5" t="str">
        <f>HYPERLINK("http://www.ncbi.nlm.nih.gov/protein/165972315","Rras2")</f>
        <v>Rras2</v>
      </c>
      <c r="B6542" s="4"/>
      <c r="C6542" s="3">
        <v>17720</v>
      </c>
      <c r="D6542" s="3">
        <v>5757</v>
      </c>
      <c r="E6542" s="3">
        <v>16417</v>
      </c>
      <c r="F6542" s="3">
        <v>2726</v>
      </c>
      <c r="G6542" s="3">
        <v>4487</v>
      </c>
      <c r="H6542" s="2">
        <f t="shared" si="204"/>
        <v>47107</v>
      </c>
      <c r="I6542" t="str">
        <f t="shared" si="205"/>
        <v>Rras2_47107</v>
      </c>
      <c r="J6542" s="3">
        <v>17720</v>
      </c>
      <c r="K6542" s="3">
        <v>5757</v>
      </c>
      <c r="L6542" s="3">
        <v>16417</v>
      </c>
      <c r="M6542" s="3">
        <v>2726</v>
      </c>
      <c r="N6542" s="3">
        <v>4487</v>
      </c>
    </row>
    <row r="6543" spans="1:14" x14ac:dyDescent="0.2">
      <c r="A6543" s="5" t="str">
        <f>HYPERLINK("http://www.ncbi.nlm.nih.gov/protein/19482168","Rrbp1")</f>
        <v>Rrbp1</v>
      </c>
      <c r="B6543" s="4"/>
      <c r="C6543" s="3">
        <v>1977</v>
      </c>
      <c r="D6543" s="3">
        <v>347</v>
      </c>
      <c r="E6543" s="3">
        <v>69</v>
      </c>
      <c r="F6543" s="3">
        <v>0</v>
      </c>
      <c r="G6543" s="3">
        <v>0</v>
      </c>
      <c r="H6543" s="2">
        <f t="shared" si="204"/>
        <v>2393</v>
      </c>
      <c r="I6543" t="str">
        <f t="shared" si="205"/>
        <v>Rrbp1_2393</v>
      </c>
      <c r="J6543" s="3">
        <v>1977</v>
      </c>
      <c r="K6543" s="3">
        <v>347</v>
      </c>
      <c r="L6543" s="3">
        <v>69</v>
      </c>
      <c r="M6543" s="3">
        <v>0</v>
      </c>
      <c r="N6543" s="3">
        <v>0</v>
      </c>
    </row>
    <row r="6544" spans="1:14" x14ac:dyDescent="0.2">
      <c r="A6544" s="5" t="str">
        <f>HYPERLINK("http://www.ncbi.nlm.nih.gov/protein/124486712","Rrbp1")</f>
        <v>Rrbp1</v>
      </c>
      <c r="B6544" s="4"/>
      <c r="C6544" s="3">
        <v>1977</v>
      </c>
      <c r="D6544" s="3">
        <v>2401</v>
      </c>
      <c r="E6544" s="3">
        <v>17637</v>
      </c>
      <c r="F6544" s="3">
        <v>9659</v>
      </c>
      <c r="G6544" s="3">
        <v>0</v>
      </c>
      <c r="H6544" s="2">
        <f t="shared" si="204"/>
        <v>31674</v>
      </c>
      <c r="I6544" t="str">
        <f t="shared" si="205"/>
        <v>Rrbp1_31674</v>
      </c>
      <c r="J6544" s="3">
        <v>1977</v>
      </c>
      <c r="K6544" s="3">
        <v>2401</v>
      </c>
      <c r="L6544" s="3">
        <v>17637</v>
      </c>
      <c r="M6544" s="3">
        <v>9659</v>
      </c>
      <c r="N6544" s="3">
        <v>0</v>
      </c>
    </row>
    <row r="6545" spans="1:14" x14ac:dyDescent="0.2">
      <c r="A6545" s="5" t="str">
        <f>HYPERLINK("http://www.ncbi.nlm.nih.gov/protein/295424113","Rreb1")</f>
        <v>Rreb1</v>
      </c>
      <c r="B6545" s="4"/>
      <c r="C6545" s="3">
        <v>0</v>
      </c>
      <c r="D6545" s="3">
        <v>0</v>
      </c>
      <c r="E6545" s="3">
        <v>192</v>
      </c>
      <c r="F6545" s="3">
        <v>0</v>
      </c>
      <c r="G6545" s="3">
        <v>0</v>
      </c>
      <c r="H6545" s="2">
        <f t="shared" si="204"/>
        <v>192</v>
      </c>
      <c r="I6545" t="str">
        <f t="shared" si="205"/>
        <v>Rreb1_192</v>
      </c>
      <c r="J6545" s="3">
        <v>0</v>
      </c>
      <c r="K6545" s="3">
        <v>0</v>
      </c>
      <c r="L6545" s="3">
        <v>192</v>
      </c>
      <c r="M6545" s="3">
        <v>0</v>
      </c>
      <c r="N6545" s="3">
        <v>0</v>
      </c>
    </row>
    <row r="6546" spans="1:14" x14ac:dyDescent="0.2">
      <c r="A6546" s="5" t="str">
        <f>HYPERLINK("http://www.ncbi.nlm.nih.gov/protein/295424118","Rreb1")</f>
        <v>Rreb1</v>
      </c>
      <c r="B6546" s="4"/>
      <c r="C6546" s="3">
        <v>0</v>
      </c>
      <c r="D6546" s="3">
        <v>0</v>
      </c>
      <c r="E6546" s="3">
        <v>192</v>
      </c>
      <c r="F6546" s="3">
        <v>0</v>
      </c>
      <c r="G6546" s="3">
        <v>0</v>
      </c>
      <c r="H6546" s="2">
        <f t="shared" si="204"/>
        <v>192</v>
      </c>
      <c r="I6546" t="str">
        <f t="shared" si="205"/>
        <v>Rreb1_192</v>
      </c>
      <c r="J6546" s="3">
        <v>0</v>
      </c>
      <c r="K6546" s="3">
        <v>0</v>
      </c>
      <c r="L6546" s="3">
        <v>192</v>
      </c>
      <c r="M6546" s="3">
        <v>0</v>
      </c>
      <c r="N6546" s="3">
        <v>0</v>
      </c>
    </row>
    <row r="6547" spans="1:14" x14ac:dyDescent="0.2">
      <c r="A6547" s="5" t="str">
        <f>HYPERLINK("http://www.ncbi.nlm.nih.gov/protein/31982026","Rrm1")</f>
        <v>Rrm1</v>
      </c>
      <c r="B6547" s="4"/>
      <c r="C6547" s="3">
        <v>0</v>
      </c>
      <c r="D6547" s="3">
        <v>1733</v>
      </c>
      <c r="E6547" s="3">
        <v>3124</v>
      </c>
      <c r="F6547" s="3">
        <v>64191</v>
      </c>
      <c r="G6547" s="3">
        <v>45451</v>
      </c>
      <c r="H6547" s="2">
        <f t="shared" si="204"/>
        <v>114499</v>
      </c>
      <c r="I6547" t="str">
        <f t="shared" si="205"/>
        <v>Rrm1_114499</v>
      </c>
      <c r="J6547" s="3">
        <v>0</v>
      </c>
      <c r="K6547" s="3">
        <v>1733</v>
      </c>
      <c r="L6547" s="3">
        <v>3124</v>
      </c>
      <c r="M6547" s="3">
        <v>64191</v>
      </c>
      <c r="N6547" s="3">
        <v>45451</v>
      </c>
    </row>
    <row r="6548" spans="1:14" x14ac:dyDescent="0.2">
      <c r="A6548" s="5" t="str">
        <f>HYPERLINK("http://www.ncbi.nlm.nih.gov/protein/7106399","Rrm2")</f>
        <v>Rrm2</v>
      </c>
      <c r="B6548" s="4"/>
      <c r="C6548" s="3">
        <v>0</v>
      </c>
      <c r="D6548" s="3">
        <v>1019</v>
      </c>
      <c r="E6548" s="3">
        <v>1390</v>
      </c>
      <c r="F6548" s="3">
        <v>810</v>
      </c>
      <c r="G6548" s="3">
        <v>57210</v>
      </c>
      <c r="H6548" s="2">
        <f t="shared" si="204"/>
        <v>60429</v>
      </c>
      <c r="I6548" t="str">
        <f t="shared" si="205"/>
        <v>Rrm2_60429</v>
      </c>
      <c r="J6548" s="3">
        <v>0</v>
      </c>
      <c r="K6548" s="3">
        <v>1019</v>
      </c>
      <c r="L6548" s="3">
        <v>1390</v>
      </c>
      <c r="M6548" s="3">
        <v>810</v>
      </c>
      <c r="N6548" s="3">
        <v>57210</v>
      </c>
    </row>
    <row r="6549" spans="1:14" x14ac:dyDescent="0.2">
      <c r="A6549" s="5" t="str">
        <f>HYPERLINK("http://www.ncbi.nlm.nih.gov/protein/41054952","Rrm2b")</f>
        <v>Rrm2b</v>
      </c>
      <c r="B6549" s="4"/>
      <c r="C6549" s="3">
        <v>0</v>
      </c>
      <c r="D6549" s="3">
        <v>0</v>
      </c>
      <c r="E6549" s="3">
        <v>0</v>
      </c>
      <c r="F6549" s="3">
        <v>0</v>
      </c>
      <c r="G6549" s="3">
        <v>2699</v>
      </c>
      <c r="H6549" s="2">
        <f t="shared" si="204"/>
        <v>2699</v>
      </c>
      <c r="I6549" t="str">
        <f t="shared" si="205"/>
        <v>Rrm2b_2699</v>
      </c>
      <c r="J6549" s="3">
        <v>0</v>
      </c>
      <c r="K6549" s="3">
        <v>0</v>
      </c>
      <c r="L6549" s="3">
        <v>0</v>
      </c>
      <c r="M6549" s="3">
        <v>0</v>
      </c>
      <c r="N6549" s="3">
        <v>2699</v>
      </c>
    </row>
    <row r="6550" spans="1:14" x14ac:dyDescent="0.2">
      <c r="A6550" s="5" t="str">
        <f>HYPERLINK("http://www.ncbi.nlm.nih.gov/protein/117676367","Rrp1")</f>
        <v>Rrp1</v>
      </c>
      <c r="B6550" s="4"/>
      <c r="C6550" s="3">
        <v>0</v>
      </c>
      <c r="D6550" s="3">
        <v>0</v>
      </c>
      <c r="E6550" s="3">
        <v>22</v>
      </c>
      <c r="F6550" s="3">
        <v>16</v>
      </c>
      <c r="G6550" s="3">
        <v>21</v>
      </c>
      <c r="H6550" s="2">
        <f t="shared" si="204"/>
        <v>59</v>
      </c>
      <c r="I6550" t="str">
        <f t="shared" si="205"/>
        <v>Rrp1_59</v>
      </c>
      <c r="J6550" s="3">
        <v>0</v>
      </c>
      <c r="K6550" s="3">
        <v>0</v>
      </c>
      <c r="L6550" s="3">
        <v>22</v>
      </c>
      <c r="M6550" s="3">
        <v>16</v>
      </c>
      <c r="N6550" s="3">
        <v>21</v>
      </c>
    </row>
    <row r="6551" spans="1:14" x14ac:dyDescent="0.2">
      <c r="A6551" s="5" t="str">
        <f>HYPERLINK("http://www.ncbi.nlm.nih.gov/protein/40789092","Rrp12")</f>
        <v>Rrp12</v>
      </c>
      <c r="B6551" s="4"/>
      <c r="C6551" s="3">
        <v>0</v>
      </c>
      <c r="D6551" s="3">
        <v>0</v>
      </c>
      <c r="E6551" s="3">
        <v>0</v>
      </c>
      <c r="F6551" s="3">
        <v>1293</v>
      </c>
      <c r="G6551" s="3">
        <v>0</v>
      </c>
      <c r="H6551" s="2">
        <f t="shared" si="204"/>
        <v>1293</v>
      </c>
      <c r="I6551" t="str">
        <f t="shared" si="205"/>
        <v>Rrp12_1293</v>
      </c>
      <c r="J6551" s="3">
        <v>0</v>
      </c>
      <c r="K6551" s="3">
        <v>0</v>
      </c>
      <c r="L6551" s="3">
        <v>0</v>
      </c>
      <c r="M6551" s="3">
        <v>1293</v>
      </c>
      <c r="N6551" s="3">
        <v>0</v>
      </c>
    </row>
    <row r="6552" spans="1:14" x14ac:dyDescent="0.2">
      <c r="A6552" s="5" t="str">
        <f>HYPERLINK("http://www.ncbi.nlm.nih.gov/protein/21704248","Rrp9")</f>
        <v>Rrp9</v>
      </c>
      <c r="B6552" s="4"/>
      <c r="C6552" s="3">
        <v>330</v>
      </c>
      <c r="D6552" s="3">
        <v>0</v>
      </c>
      <c r="E6552" s="3">
        <v>0</v>
      </c>
      <c r="F6552" s="3">
        <v>57</v>
      </c>
      <c r="G6552" s="3">
        <v>0</v>
      </c>
      <c r="H6552" s="2">
        <f t="shared" si="204"/>
        <v>387</v>
      </c>
      <c r="I6552" t="str">
        <f t="shared" si="205"/>
        <v>Rrp9_387</v>
      </c>
      <c r="J6552" s="3">
        <v>330</v>
      </c>
      <c r="K6552" s="3">
        <v>0</v>
      </c>
      <c r="L6552" s="3">
        <v>0</v>
      </c>
      <c r="M6552" s="3">
        <v>57</v>
      </c>
      <c r="N6552" s="3">
        <v>0</v>
      </c>
    </row>
    <row r="6553" spans="1:14" x14ac:dyDescent="0.2">
      <c r="A6553" s="5" t="str">
        <f>HYPERLINK("http://www.ncbi.nlm.nih.gov/protein/227908779","Rrs1")</f>
        <v>Rrs1</v>
      </c>
      <c r="B6553" s="4"/>
      <c r="C6553" s="3">
        <v>659</v>
      </c>
      <c r="D6553" s="3">
        <v>0</v>
      </c>
      <c r="E6553" s="3">
        <v>0</v>
      </c>
      <c r="F6553" s="3">
        <v>0</v>
      </c>
      <c r="G6553" s="3">
        <v>0</v>
      </c>
      <c r="H6553" s="2">
        <f t="shared" si="204"/>
        <v>659</v>
      </c>
      <c r="I6553" t="str">
        <f t="shared" si="205"/>
        <v>Rrs1_659</v>
      </c>
      <c r="J6553" s="3">
        <v>659</v>
      </c>
      <c r="K6553" s="3">
        <v>0</v>
      </c>
      <c r="L6553" s="3">
        <v>0</v>
      </c>
      <c r="M6553" s="3">
        <v>0</v>
      </c>
      <c r="N6553" s="3">
        <v>0</v>
      </c>
    </row>
    <row r="6554" spans="1:14" x14ac:dyDescent="0.2">
      <c r="A6554" s="5" t="str">
        <f>HYPERLINK("http://www.ncbi.nlm.nih.gov/protein/67906201","Rsbn1")</f>
        <v>Rsbn1</v>
      </c>
      <c r="B6554" s="4"/>
      <c r="C6554" s="3">
        <v>0</v>
      </c>
      <c r="D6554" s="3">
        <v>0</v>
      </c>
      <c r="E6554" s="3">
        <v>1700</v>
      </c>
      <c r="F6554" s="3">
        <v>0</v>
      </c>
      <c r="G6554" s="3">
        <v>0</v>
      </c>
      <c r="H6554" s="2">
        <f t="shared" si="204"/>
        <v>1700</v>
      </c>
      <c r="I6554" t="str">
        <f t="shared" si="205"/>
        <v>Rsbn1_1700</v>
      </c>
      <c r="J6554" s="3">
        <v>0</v>
      </c>
      <c r="K6554" s="3">
        <v>0</v>
      </c>
      <c r="L6554" s="3">
        <v>1700</v>
      </c>
      <c r="M6554" s="3">
        <v>0</v>
      </c>
      <c r="N6554" s="3">
        <v>0</v>
      </c>
    </row>
    <row r="6555" spans="1:14" x14ac:dyDescent="0.2">
      <c r="A6555" s="5" t="str">
        <f>HYPERLINK("http://www.ncbi.nlm.nih.gov/protein/124430547","Rsbn1l")</f>
        <v>Rsbn1l</v>
      </c>
      <c r="B6555" s="4"/>
      <c r="C6555" s="3">
        <v>0</v>
      </c>
      <c r="D6555" s="3">
        <v>0</v>
      </c>
      <c r="E6555" s="3">
        <v>22</v>
      </c>
      <c r="F6555" s="3">
        <v>33</v>
      </c>
      <c r="G6555" s="3">
        <v>0</v>
      </c>
      <c r="H6555" s="2">
        <f t="shared" si="204"/>
        <v>55</v>
      </c>
      <c r="I6555" t="str">
        <f t="shared" si="205"/>
        <v>Rsbn1l_55</v>
      </c>
      <c r="J6555" s="3">
        <v>0</v>
      </c>
      <c r="K6555" s="3">
        <v>0</v>
      </c>
      <c r="L6555" s="3">
        <v>22</v>
      </c>
      <c r="M6555" s="3">
        <v>33</v>
      </c>
      <c r="N6555" s="3">
        <v>0</v>
      </c>
    </row>
    <row r="6556" spans="1:14" x14ac:dyDescent="0.2">
      <c r="A6556" s="5" t="str">
        <f>HYPERLINK("http://www.ncbi.nlm.nih.gov/protein/30794470","Rsl1d1")</f>
        <v>Rsl1d1</v>
      </c>
      <c r="B6556" s="4"/>
      <c r="C6556" s="3">
        <v>26342</v>
      </c>
      <c r="D6556" s="3">
        <v>278</v>
      </c>
      <c r="E6556" s="3">
        <v>5168</v>
      </c>
      <c r="F6556" s="3">
        <v>26570</v>
      </c>
      <c r="G6556" s="3">
        <v>0</v>
      </c>
      <c r="H6556" s="2">
        <f t="shared" si="204"/>
        <v>58358</v>
      </c>
      <c r="I6556" t="str">
        <f t="shared" si="205"/>
        <v>Rsl1d1_58358</v>
      </c>
      <c r="J6556" s="3">
        <v>26342</v>
      </c>
      <c r="K6556" s="3">
        <v>278</v>
      </c>
      <c r="L6556" s="3">
        <v>5168</v>
      </c>
      <c r="M6556" s="3">
        <v>26570</v>
      </c>
      <c r="N6556" s="3">
        <v>0</v>
      </c>
    </row>
    <row r="6557" spans="1:14" x14ac:dyDescent="0.2">
      <c r="A6557" s="5" t="str">
        <f>HYPERLINK("http://www.ncbi.nlm.nih.gov/protein/13385292","Rsrc1")</f>
        <v>Rsrc1</v>
      </c>
      <c r="B6557" s="4"/>
      <c r="C6557" s="3">
        <v>0</v>
      </c>
      <c r="D6557" s="3">
        <v>685</v>
      </c>
      <c r="E6557" s="3">
        <v>3</v>
      </c>
      <c r="F6557" s="3">
        <v>0</v>
      </c>
      <c r="G6557" s="3">
        <v>0</v>
      </c>
      <c r="H6557" s="2">
        <f t="shared" si="204"/>
        <v>688</v>
      </c>
      <c r="I6557" t="str">
        <f t="shared" si="205"/>
        <v>Rsrc1_688</v>
      </c>
      <c r="J6557" s="3">
        <v>0</v>
      </c>
      <c r="K6557" s="3">
        <v>685</v>
      </c>
      <c r="L6557" s="3">
        <v>3</v>
      </c>
      <c r="M6557" s="3">
        <v>0</v>
      </c>
      <c r="N6557" s="3">
        <v>0</v>
      </c>
    </row>
    <row r="6558" spans="1:14" x14ac:dyDescent="0.2">
      <c r="A6558" s="5" t="str">
        <f>HYPERLINK("http://www.ncbi.nlm.nih.gov/protein/53988374","Rsrc2")</f>
        <v>Rsrc2</v>
      </c>
      <c r="B6558" s="4"/>
      <c r="C6558" s="3">
        <v>0</v>
      </c>
      <c r="D6558" s="3">
        <v>1772</v>
      </c>
      <c r="E6558" s="3">
        <v>269</v>
      </c>
      <c r="F6558" s="3">
        <v>0</v>
      </c>
      <c r="G6558" s="3">
        <v>0</v>
      </c>
      <c r="H6558" s="2">
        <f t="shared" si="204"/>
        <v>2041</v>
      </c>
      <c r="I6558" t="str">
        <f t="shared" si="205"/>
        <v>Rsrc2_2041</v>
      </c>
      <c r="J6558" s="3">
        <v>0</v>
      </c>
      <c r="K6558" s="3">
        <v>1772</v>
      </c>
      <c r="L6558" s="3">
        <v>269</v>
      </c>
      <c r="M6558" s="3">
        <v>0</v>
      </c>
      <c r="N6558" s="3">
        <v>0</v>
      </c>
    </row>
    <row r="6559" spans="1:14" x14ac:dyDescent="0.2">
      <c r="A6559" s="5" t="str">
        <f>HYPERLINK("http://www.ncbi.nlm.nih.gov/protein/53988372","Rsrc2")</f>
        <v>Rsrc2</v>
      </c>
      <c r="B6559" s="4"/>
      <c r="C6559" s="3">
        <v>0</v>
      </c>
      <c r="D6559" s="3">
        <v>2131</v>
      </c>
      <c r="E6559" s="3">
        <v>367</v>
      </c>
      <c r="F6559" s="3">
        <v>0</v>
      </c>
      <c r="G6559" s="3">
        <v>203</v>
      </c>
      <c r="H6559" s="2">
        <f t="shared" si="204"/>
        <v>2701</v>
      </c>
      <c r="I6559" t="str">
        <f t="shared" si="205"/>
        <v>Rsrc2_2701</v>
      </c>
      <c r="J6559" s="3">
        <v>0</v>
      </c>
      <c r="K6559" s="3">
        <v>2131</v>
      </c>
      <c r="L6559" s="3">
        <v>367</v>
      </c>
      <c r="M6559" s="3">
        <v>0</v>
      </c>
      <c r="N6559" s="3">
        <v>203</v>
      </c>
    </row>
    <row r="6560" spans="1:14" x14ac:dyDescent="0.2">
      <c r="A6560" s="5" t="str">
        <f>HYPERLINK("http://www.ncbi.nlm.nih.gov/protein/53988376","Rsrc2")</f>
        <v>Rsrc2</v>
      </c>
      <c r="B6560" s="4"/>
      <c r="C6560" s="3">
        <v>0</v>
      </c>
      <c r="D6560" s="3">
        <v>2854</v>
      </c>
      <c r="E6560" s="3">
        <v>367</v>
      </c>
      <c r="F6560" s="3">
        <v>0</v>
      </c>
      <c r="G6560" s="3">
        <v>203</v>
      </c>
      <c r="H6560" s="2">
        <f t="shared" si="204"/>
        <v>3424</v>
      </c>
      <c r="I6560" t="str">
        <f t="shared" si="205"/>
        <v>Rsrc2_3424</v>
      </c>
      <c r="J6560" s="3">
        <v>0</v>
      </c>
      <c r="K6560" s="3">
        <v>2854</v>
      </c>
      <c r="L6560" s="3">
        <v>367</v>
      </c>
      <c r="M6560" s="3">
        <v>0</v>
      </c>
      <c r="N6560" s="3">
        <v>203</v>
      </c>
    </row>
    <row r="6561" spans="1:14" x14ac:dyDescent="0.2">
      <c r="A6561" s="5" t="str">
        <f>HYPERLINK("http://www.ncbi.nlm.nih.gov/protein/31982028","Rsu1")</f>
        <v>Rsu1</v>
      </c>
      <c r="B6561" s="4"/>
      <c r="C6561" s="3">
        <v>0</v>
      </c>
      <c r="D6561" s="3">
        <v>4901</v>
      </c>
      <c r="E6561" s="3">
        <v>4200</v>
      </c>
      <c r="F6561" s="3">
        <v>20398</v>
      </c>
      <c r="G6561" s="3">
        <v>10142</v>
      </c>
      <c r="H6561" s="2">
        <f t="shared" si="204"/>
        <v>39641</v>
      </c>
      <c r="I6561" t="str">
        <f t="shared" si="205"/>
        <v>Rsu1_39641</v>
      </c>
      <c r="J6561" s="3">
        <v>0</v>
      </c>
      <c r="K6561" s="3">
        <v>4901</v>
      </c>
      <c r="L6561" s="3">
        <v>4200</v>
      </c>
      <c r="M6561" s="3">
        <v>20398</v>
      </c>
      <c r="N6561" s="3">
        <v>10142</v>
      </c>
    </row>
    <row r="6562" spans="1:14" x14ac:dyDescent="0.2">
      <c r="A6562" s="5" t="str">
        <f>HYPERLINK("http://www.ncbi.nlm.nih.gov/protein/254587958","Rtca")</f>
        <v>Rtca</v>
      </c>
      <c r="B6562" s="4"/>
      <c r="C6562" s="3">
        <v>0</v>
      </c>
      <c r="D6562" s="3">
        <v>1870</v>
      </c>
      <c r="E6562" s="3">
        <v>1933</v>
      </c>
      <c r="F6562" s="3">
        <v>11730</v>
      </c>
      <c r="G6562" s="3">
        <v>13869</v>
      </c>
      <c r="H6562" s="2">
        <f t="shared" si="204"/>
        <v>29402</v>
      </c>
      <c r="I6562" t="str">
        <f t="shared" si="205"/>
        <v>Rtca_29402</v>
      </c>
      <c r="J6562" s="3">
        <v>0</v>
      </c>
      <c r="K6562" s="3">
        <v>1870</v>
      </c>
      <c r="L6562" s="3">
        <v>1933</v>
      </c>
      <c r="M6562" s="3">
        <v>11730</v>
      </c>
      <c r="N6562" s="3">
        <v>13869</v>
      </c>
    </row>
    <row r="6563" spans="1:14" x14ac:dyDescent="0.2">
      <c r="A6563" s="5" t="str">
        <f>HYPERLINK("http://www.ncbi.nlm.nih.gov/protein/21703842","Rtcb")</f>
        <v>Rtcb</v>
      </c>
      <c r="B6563" s="4"/>
      <c r="C6563" s="3">
        <v>17647</v>
      </c>
      <c r="D6563" s="3">
        <v>12575</v>
      </c>
      <c r="E6563" s="3">
        <v>96415</v>
      </c>
      <c r="F6563" s="3">
        <v>176865</v>
      </c>
      <c r="G6563" s="3">
        <v>76284</v>
      </c>
      <c r="H6563" s="2">
        <f t="shared" si="204"/>
        <v>379786</v>
      </c>
      <c r="I6563" t="str">
        <f t="shared" si="205"/>
        <v>Rtcb_379786</v>
      </c>
      <c r="J6563" s="3">
        <v>17647</v>
      </c>
      <c r="K6563" s="3">
        <v>12575</v>
      </c>
      <c r="L6563" s="3">
        <v>96415</v>
      </c>
      <c r="M6563" s="3">
        <v>176865</v>
      </c>
      <c r="N6563" s="3">
        <v>76284</v>
      </c>
    </row>
    <row r="6564" spans="1:14" x14ac:dyDescent="0.2">
      <c r="A6564" s="5" t="str">
        <f>HYPERLINK("http://www.ncbi.nlm.nih.gov/protein/195976788","Rtf1")</f>
        <v>Rtf1</v>
      </c>
      <c r="B6564" s="4"/>
      <c r="C6564" s="3">
        <v>0</v>
      </c>
      <c r="D6564" s="3">
        <v>3073</v>
      </c>
      <c r="E6564" s="3">
        <v>648</v>
      </c>
      <c r="F6564" s="3">
        <v>917</v>
      </c>
      <c r="G6564" s="3">
        <v>514</v>
      </c>
      <c r="H6564" s="2">
        <f t="shared" si="204"/>
        <v>5152</v>
      </c>
      <c r="I6564" t="str">
        <f t="shared" si="205"/>
        <v>Rtf1_5152</v>
      </c>
      <c r="J6564" s="3">
        <v>0</v>
      </c>
      <c r="K6564" s="3">
        <v>3073</v>
      </c>
      <c r="L6564" s="3">
        <v>648</v>
      </c>
      <c r="M6564" s="3">
        <v>917</v>
      </c>
      <c r="N6564" s="3">
        <v>514</v>
      </c>
    </row>
    <row r="6565" spans="1:14" x14ac:dyDescent="0.2">
      <c r="A6565" s="5" t="str">
        <f>HYPERLINK("http://www.ncbi.nlm.nih.gov/protein/30794468","Rtfdc1")</f>
        <v>Rtfdc1</v>
      </c>
      <c r="B6565" s="4"/>
      <c r="C6565" s="3">
        <v>1519</v>
      </c>
      <c r="D6565" s="3">
        <v>0</v>
      </c>
      <c r="E6565" s="3">
        <v>101</v>
      </c>
      <c r="F6565" s="3">
        <v>0</v>
      </c>
      <c r="G6565" s="3">
        <v>1264</v>
      </c>
      <c r="H6565" s="2">
        <f t="shared" si="204"/>
        <v>2884</v>
      </c>
      <c r="I6565" t="str">
        <f t="shared" si="205"/>
        <v>Rtfdc1_2884</v>
      </c>
      <c r="J6565" s="3">
        <v>1519</v>
      </c>
      <c r="K6565" s="3">
        <v>0</v>
      </c>
      <c r="L6565" s="3">
        <v>101</v>
      </c>
      <c r="M6565" s="3">
        <v>0</v>
      </c>
      <c r="N6565" s="3">
        <v>1264</v>
      </c>
    </row>
    <row r="6566" spans="1:14" x14ac:dyDescent="0.2">
      <c r="A6566" s="5" t="str">
        <f>HYPERLINK("http://www.ncbi.nlm.nih.gov/protein/557129040","Rtn1")</f>
        <v>Rtn1</v>
      </c>
      <c r="B6566" s="4"/>
      <c r="C6566" s="3">
        <v>11954</v>
      </c>
      <c r="D6566" s="3">
        <v>0</v>
      </c>
      <c r="E6566" s="3">
        <v>0</v>
      </c>
      <c r="F6566" s="3">
        <v>0</v>
      </c>
      <c r="G6566" s="3">
        <v>0</v>
      </c>
      <c r="H6566" s="2">
        <f t="shared" si="204"/>
        <v>11954</v>
      </c>
      <c r="I6566" t="str">
        <f t="shared" si="205"/>
        <v>Rtn1_11954</v>
      </c>
      <c r="J6566" s="3">
        <v>11954</v>
      </c>
      <c r="K6566" s="3">
        <v>0</v>
      </c>
      <c r="L6566" s="3">
        <v>0</v>
      </c>
      <c r="M6566" s="3">
        <v>0</v>
      </c>
      <c r="N6566" s="3">
        <v>0</v>
      </c>
    </row>
    <row r="6567" spans="1:14" x14ac:dyDescent="0.2">
      <c r="A6567" s="5" t="str">
        <f>HYPERLINK("http://www.ncbi.nlm.nih.gov/protein/31982561","Rtn1")</f>
        <v>Rtn1</v>
      </c>
      <c r="B6567" s="4"/>
      <c r="C6567" s="3">
        <v>11954</v>
      </c>
      <c r="D6567" s="3">
        <v>4666</v>
      </c>
      <c r="E6567" s="3">
        <v>1671</v>
      </c>
      <c r="F6567" s="3">
        <v>3381</v>
      </c>
      <c r="G6567" s="3">
        <v>0</v>
      </c>
      <c r="H6567" s="2">
        <f t="shared" si="204"/>
        <v>21672</v>
      </c>
      <c r="I6567" t="str">
        <f t="shared" si="205"/>
        <v>Rtn1_21672</v>
      </c>
      <c r="J6567" s="3">
        <v>11954</v>
      </c>
      <c r="K6567" s="3">
        <v>4666</v>
      </c>
      <c r="L6567" s="3">
        <v>1671</v>
      </c>
      <c r="M6567" s="3">
        <v>3381</v>
      </c>
      <c r="N6567" s="3">
        <v>0</v>
      </c>
    </row>
    <row r="6568" spans="1:14" x14ac:dyDescent="0.2">
      <c r="A6568" s="5" t="str">
        <f>HYPERLINK("http://www.ncbi.nlm.nih.gov/protein/56090141","Rtn1")</f>
        <v>Rtn1</v>
      </c>
      <c r="B6568" s="4"/>
      <c r="C6568" s="3">
        <v>11954</v>
      </c>
      <c r="D6568" s="3">
        <v>4666</v>
      </c>
      <c r="E6568" s="3">
        <v>1671</v>
      </c>
      <c r="F6568" s="3">
        <v>3381</v>
      </c>
      <c r="G6568" s="3">
        <v>0</v>
      </c>
      <c r="H6568" s="2">
        <f t="shared" si="204"/>
        <v>21672</v>
      </c>
      <c r="I6568" t="str">
        <f t="shared" si="205"/>
        <v>Rtn1_21672</v>
      </c>
      <c r="J6568" s="3">
        <v>11954</v>
      </c>
      <c r="K6568" s="3">
        <v>4666</v>
      </c>
      <c r="L6568" s="3">
        <v>1671</v>
      </c>
      <c r="M6568" s="3">
        <v>3381</v>
      </c>
      <c r="N6568" s="3">
        <v>0</v>
      </c>
    </row>
    <row r="6569" spans="1:14" x14ac:dyDescent="0.2">
      <c r="A6569" s="5" t="str">
        <f>HYPERLINK("http://www.ncbi.nlm.nih.gov/protein/16716353","Rtn3")</f>
        <v>Rtn3</v>
      </c>
      <c r="B6569" s="4"/>
      <c r="C6569" s="3">
        <v>273053</v>
      </c>
      <c r="D6569" s="3">
        <v>11947</v>
      </c>
      <c r="E6569" s="3">
        <v>14406</v>
      </c>
      <c r="F6569" s="3">
        <v>20595</v>
      </c>
      <c r="G6569" s="3">
        <v>0</v>
      </c>
      <c r="H6569" s="2">
        <f t="shared" si="204"/>
        <v>320001</v>
      </c>
      <c r="I6569" t="str">
        <f t="shared" si="205"/>
        <v>Rtn3_320001</v>
      </c>
      <c r="J6569" s="3">
        <v>273053</v>
      </c>
      <c r="K6569" s="3">
        <v>11947</v>
      </c>
      <c r="L6569" s="3">
        <v>14406</v>
      </c>
      <c r="M6569" s="3">
        <v>20595</v>
      </c>
      <c r="N6569" s="3">
        <v>0</v>
      </c>
    </row>
    <row r="6570" spans="1:14" x14ac:dyDescent="0.2">
      <c r="A6570" s="5" t="str">
        <f>HYPERLINK("http://www.ncbi.nlm.nih.gov/protein/407339783","Rtn3")</f>
        <v>Rtn3</v>
      </c>
      <c r="B6570" s="4"/>
      <c r="C6570" s="3">
        <v>232926</v>
      </c>
      <c r="D6570" s="3">
        <v>11494</v>
      </c>
      <c r="E6570" s="3">
        <v>13707</v>
      </c>
      <c r="F6570" s="3">
        <v>20472</v>
      </c>
      <c r="G6570" s="3">
        <v>0</v>
      </c>
      <c r="H6570" s="2">
        <f t="shared" si="204"/>
        <v>278599</v>
      </c>
      <c r="I6570" t="str">
        <f t="shared" si="205"/>
        <v>Rtn3_278599</v>
      </c>
      <c r="J6570" s="3">
        <v>232926</v>
      </c>
      <c r="K6570" s="3">
        <v>11494</v>
      </c>
      <c r="L6570" s="3">
        <v>13707</v>
      </c>
      <c r="M6570" s="3">
        <v>20472</v>
      </c>
      <c r="N6570" s="3">
        <v>0</v>
      </c>
    </row>
    <row r="6571" spans="1:14" x14ac:dyDescent="0.2">
      <c r="A6571" s="5" t="str">
        <f>HYPERLINK("http://www.ncbi.nlm.nih.gov/protein/407339785","Rtn3")</f>
        <v>Rtn3</v>
      </c>
      <c r="B6571" s="4"/>
      <c r="C6571" s="3">
        <v>232926</v>
      </c>
      <c r="D6571" s="3">
        <v>11494</v>
      </c>
      <c r="E6571" s="3">
        <v>13707</v>
      </c>
      <c r="F6571" s="3">
        <v>20472</v>
      </c>
      <c r="G6571" s="3">
        <v>0</v>
      </c>
      <c r="H6571" s="2">
        <f t="shared" si="204"/>
        <v>278599</v>
      </c>
      <c r="I6571" t="str">
        <f t="shared" si="205"/>
        <v>Rtn3_278599</v>
      </c>
      <c r="J6571" s="3">
        <v>232926</v>
      </c>
      <c r="K6571" s="3">
        <v>11494</v>
      </c>
      <c r="L6571" s="3">
        <v>13707</v>
      </c>
      <c r="M6571" s="3">
        <v>20472</v>
      </c>
      <c r="N6571" s="3">
        <v>0</v>
      </c>
    </row>
    <row r="6572" spans="1:14" x14ac:dyDescent="0.2">
      <c r="A6572" s="5" t="str">
        <f>HYPERLINK("http://www.ncbi.nlm.nih.gov/protein/51511741","Rtn3")</f>
        <v>Rtn3</v>
      </c>
      <c r="B6572" s="4"/>
      <c r="C6572" s="3">
        <v>232926</v>
      </c>
      <c r="D6572" s="3">
        <v>11494</v>
      </c>
      <c r="E6572" s="3">
        <v>13707</v>
      </c>
      <c r="F6572" s="3">
        <v>20472</v>
      </c>
      <c r="G6572" s="3">
        <v>0</v>
      </c>
      <c r="H6572" s="2">
        <f t="shared" si="204"/>
        <v>278599</v>
      </c>
      <c r="I6572" t="str">
        <f t="shared" si="205"/>
        <v>Rtn3_278599</v>
      </c>
      <c r="J6572" s="3">
        <v>232926</v>
      </c>
      <c r="K6572" s="3">
        <v>11494</v>
      </c>
      <c r="L6572" s="3">
        <v>13707</v>
      </c>
      <c r="M6572" s="3">
        <v>20472</v>
      </c>
      <c r="N6572" s="3">
        <v>0</v>
      </c>
    </row>
    <row r="6573" spans="1:14" x14ac:dyDescent="0.2">
      <c r="A6573" s="5" t="str">
        <f>HYPERLINK("http://www.ncbi.nlm.nih.gov/protein/54607016","Rtn3")</f>
        <v>Rtn3</v>
      </c>
      <c r="B6573" s="4"/>
      <c r="C6573" s="3">
        <v>232926</v>
      </c>
      <c r="D6573" s="3">
        <v>11494</v>
      </c>
      <c r="E6573" s="3">
        <v>13707</v>
      </c>
      <c r="F6573" s="3">
        <v>20472</v>
      </c>
      <c r="G6573" s="3">
        <v>0</v>
      </c>
      <c r="H6573" s="2">
        <f t="shared" si="204"/>
        <v>278599</v>
      </c>
      <c r="I6573" t="str">
        <f t="shared" si="205"/>
        <v>Rtn3_278599</v>
      </c>
      <c r="J6573" s="3">
        <v>232926</v>
      </c>
      <c r="K6573" s="3">
        <v>11494</v>
      </c>
      <c r="L6573" s="3">
        <v>13707</v>
      </c>
      <c r="M6573" s="3">
        <v>20472</v>
      </c>
      <c r="N6573" s="3">
        <v>0</v>
      </c>
    </row>
    <row r="6574" spans="1:14" x14ac:dyDescent="0.2">
      <c r="A6574" s="5" t="str">
        <f>HYPERLINK("http://www.ncbi.nlm.nih.gov/protein/13195648","Rtn4")</f>
        <v>Rtn4</v>
      </c>
      <c r="B6574" s="4"/>
      <c r="C6574" s="3">
        <v>115676</v>
      </c>
      <c r="D6574" s="3">
        <v>15049</v>
      </c>
      <c r="E6574" s="3">
        <v>13455</v>
      </c>
      <c r="F6574" s="3">
        <v>3561</v>
      </c>
      <c r="G6574" s="3">
        <v>0</v>
      </c>
      <c r="H6574" s="2">
        <f t="shared" si="204"/>
        <v>147741</v>
      </c>
      <c r="I6574" t="str">
        <f t="shared" si="205"/>
        <v>Rtn4_147741</v>
      </c>
      <c r="J6574" s="3">
        <v>115676</v>
      </c>
      <c r="K6574" s="3">
        <v>15049</v>
      </c>
      <c r="L6574" s="3">
        <v>13455</v>
      </c>
      <c r="M6574" s="3">
        <v>3561</v>
      </c>
      <c r="N6574" s="3">
        <v>0</v>
      </c>
    </row>
    <row r="6575" spans="1:14" x14ac:dyDescent="0.2">
      <c r="A6575" s="5" t="str">
        <f>HYPERLINK("http://www.ncbi.nlm.nih.gov/protein/34610233","Rtn4")</f>
        <v>Rtn4</v>
      </c>
      <c r="B6575" s="4"/>
      <c r="C6575" s="3">
        <v>219874</v>
      </c>
      <c r="D6575" s="3">
        <v>31242</v>
      </c>
      <c r="E6575" s="3">
        <v>18492</v>
      </c>
      <c r="F6575" s="3">
        <v>5124</v>
      </c>
      <c r="G6575" s="3">
        <v>0</v>
      </c>
      <c r="H6575" s="2">
        <f t="shared" si="204"/>
        <v>274732</v>
      </c>
      <c r="I6575" t="str">
        <f t="shared" si="205"/>
        <v>Rtn4_274732</v>
      </c>
      <c r="J6575" s="3">
        <v>219874</v>
      </c>
      <c r="K6575" s="3">
        <v>31242</v>
      </c>
      <c r="L6575" s="3">
        <v>18492</v>
      </c>
      <c r="M6575" s="3">
        <v>5124</v>
      </c>
      <c r="N6575" s="3">
        <v>0</v>
      </c>
    </row>
    <row r="6576" spans="1:14" x14ac:dyDescent="0.2">
      <c r="A6576" s="5" t="str">
        <f>HYPERLINK("http://www.ncbi.nlm.nih.gov/protein/34610235","Rtn4")</f>
        <v>Rtn4</v>
      </c>
      <c r="B6576" s="4"/>
      <c r="C6576" s="3">
        <v>218006</v>
      </c>
      <c r="D6576" s="3">
        <v>31242</v>
      </c>
      <c r="E6576" s="3">
        <v>18684</v>
      </c>
      <c r="F6576" s="3">
        <v>4920</v>
      </c>
      <c r="G6576" s="3">
        <v>0</v>
      </c>
      <c r="H6576" s="2">
        <f t="shared" si="204"/>
        <v>272852</v>
      </c>
      <c r="I6576" t="str">
        <f t="shared" si="205"/>
        <v>Rtn4_272852</v>
      </c>
      <c r="J6576" s="3">
        <v>218006</v>
      </c>
      <c r="K6576" s="3">
        <v>31242</v>
      </c>
      <c r="L6576" s="3">
        <v>18684</v>
      </c>
      <c r="M6576" s="3">
        <v>4920</v>
      </c>
      <c r="N6576" s="3">
        <v>0</v>
      </c>
    </row>
    <row r="6577" spans="1:14" x14ac:dyDescent="0.2">
      <c r="A6577" s="5" t="str">
        <f>HYPERLINK("http://www.ncbi.nlm.nih.gov/protein/34610237","Rtn4")</f>
        <v>Rtn4</v>
      </c>
      <c r="B6577" s="4"/>
      <c r="C6577" s="3">
        <v>116152</v>
      </c>
      <c r="D6577" s="3">
        <v>15049</v>
      </c>
      <c r="E6577" s="3">
        <v>13647</v>
      </c>
      <c r="F6577" s="3">
        <v>3561</v>
      </c>
      <c r="G6577" s="3">
        <v>0</v>
      </c>
      <c r="H6577" s="2">
        <f t="shared" si="204"/>
        <v>148409</v>
      </c>
      <c r="I6577" t="str">
        <f t="shared" si="205"/>
        <v>Rtn4_148409</v>
      </c>
      <c r="J6577" s="3">
        <v>116152</v>
      </c>
      <c r="K6577" s="3">
        <v>15049</v>
      </c>
      <c r="L6577" s="3">
        <v>13647</v>
      </c>
      <c r="M6577" s="3">
        <v>3561</v>
      </c>
      <c r="N6577" s="3">
        <v>0</v>
      </c>
    </row>
    <row r="6578" spans="1:14" x14ac:dyDescent="0.2">
      <c r="A6578" s="5" t="str">
        <f>HYPERLINK("http://www.ncbi.nlm.nih.gov/protein/34610241","Rtn4")</f>
        <v>Rtn4</v>
      </c>
      <c r="B6578" s="4"/>
      <c r="C6578" s="3">
        <v>217530</v>
      </c>
      <c r="D6578" s="3">
        <v>31242</v>
      </c>
      <c r="E6578" s="3">
        <v>18492</v>
      </c>
      <c r="F6578" s="3">
        <v>4920</v>
      </c>
      <c r="G6578" s="3">
        <v>0</v>
      </c>
      <c r="H6578" s="2">
        <f t="shared" si="204"/>
        <v>272184</v>
      </c>
      <c r="I6578" t="str">
        <f t="shared" si="205"/>
        <v>Rtn4_272184</v>
      </c>
      <c r="J6578" s="3">
        <v>217530</v>
      </c>
      <c r="K6578" s="3">
        <v>31242</v>
      </c>
      <c r="L6578" s="3">
        <v>18492</v>
      </c>
      <c r="M6578" s="3">
        <v>4920</v>
      </c>
      <c r="N6578" s="3">
        <v>0</v>
      </c>
    </row>
    <row r="6579" spans="1:14" x14ac:dyDescent="0.2">
      <c r="A6579" s="5" t="str">
        <f>HYPERLINK("http://www.ncbi.nlm.nih.gov/protein/31543608","Rtn4ip1")</f>
        <v>Rtn4ip1</v>
      </c>
      <c r="B6579" s="4"/>
      <c r="C6579" s="3">
        <v>1428</v>
      </c>
      <c r="D6579" s="3">
        <v>290</v>
      </c>
      <c r="E6579" s="3">
        <v>0</v>
      </c>
      <c r="F6579" s="3">
        <v>0</v>
      </c>
      <c r="G6579" s="3">
        <v>0</v>
      </c>
      <c r="H6579" s="2">
        <f t="shared" si="204"/>
        <v>1718</v>
      </c>
      <c r="I6579" t="str">
        <f t="shared" si="205"/>
        <v>Rtn4ip1_1718</v>
      </c>
      <c r="J6579" s="3">
        <v>1428</v>
      </c>
      <c r="K6579" s="3">
        <v>290</v>
      </c>
      <c r="L6579" s="3">
        <v>0</v>
      </c>
      <c r="M6579" s="3">
        <v>0</v>
      </c>
      <c r="N6579" s="3">
        <v>0</v>
      </c>
    </row>
    <row r="6580" spans="1:14" x14ac:dyDescent="0.2">
      <c r="A6580" s="5" t="str">
        <f>HYPERLINK("http://www.ncbi.nlm.nih.gov/protein/37704389","Rttn")</f>
        <v>Rttn</v>
      </c>
      <c r="B6580" s="4"/>
      <c r="C6580" s="3">
        <v>7689</v>
      </c>
      <c r="D6580" s="3">
        <v>1459</v>
      </c>
      <c r="E6580" s="3">
        <v>30212</v>
      </c>
      <c r="F6580" s="3">
        <v>36868</v>
      </c>
      <c r="G6580" s="3">
        <v>0</v>
      </c>
      <c r="H6580" s="2">
        <f t="shared" si="204"/>
        <v>76228</v>
      </c>
      <c r="I6580" t="str">
        <f t="shared" si="205"/>
        <v>Rttn_76228</v>
      </c>
      <c r="J6580" s="3">
        <v>7689</v>
      </c>
      <c r="K6580" s="3">
        <v>1459</v>
      </c>
      <c r="L6580" s="3">
        <v>30212</v>
      </c>
      <c r="M6580" s="3">
        <v>36868</v>
      </c>
      <c r="N6580" s="3">
        <v>0</v>
      </c>
    </row>
    <row r="6581" spans="1:14" x14ac:dyDescent="0.2">
      <c r="A6581" s="5" t="str">
        <f>HYPERLINK("http://www.ncbi.nlm.nih.gov/protein/27369788","Rufy1")</f>
        <v>Rufy1</v>
      </c>
      <c r="B6581" s="4"/>
      <c r="C6581" s="3">
        <v>0</v>
      </c>
      <c r="D6581" s="3">
        <v>184</v>
      </c>
      <c r="E6581" s="3">
        <v>78</v>
      </c>
      <c r="F6581" s="3">
        <v>0</v>
      </c>
      <c r="G6581" s="3">
        <v>0</v>
      </c>
      <c r="H6581" s="2">
        <f t="shared" si="204"/>
        <v>262</v>
      </c>
      <c r="I6581" t="str">
        <f t="shared" si="205"/>
        <v>Rufy1_262</v>
      </c>
      <c r="J6581" s="3">
        <v>0</v>
      </c>
      <c r="K6581" s="3">
        <v>184</v>
      </c>
      <c r="L6581" s="3">
        <v>78</v>
      </c>
      <c r="M6581" s="3">
        <v>0</v>
      </c>
      <c r="N6581" s="3">
        <v>0</v>
      </c>
    </row>
    <row r="6582" spans="1:14" x14ac:dyDescent="0.2">
      <c r="A6582" s="5" t="str">
        <f>HYPERLINK("http://www.ncbi.nlm.nih.gov/protein/119637825","Rufy2")</f>
        <v>Rufy2</v>
      </c>
      <c r="B6582" s="4"/>
      <c r="C6582" s="3">
        <v>0</v>
      </c>
      <c r="D6582" s="3">
        <v>1253</v>
      </c>
      <c r="E6582" s="3">
        <v>121</v>
      </c>
      <c r="F6582" s="3">
        <v>0</v>
      </c>
      <c r="G6582" s="3">
        <v>0</v>
      </c>
      <c r="H6582" s="2">
        <f t="shared" si="204"/>
        <v>1374</v>
      </c>
      <c r="I6582" t="str">
        <f t="shared" si="205"/>
        <v>Rufy2_1374</v>
      </c>
      <c r="J6582" s="3">
        <v>0</v>
      </c>
      <c r="K6582" s="3">
        <v>1253</v>
      </c>
      <c r="L6582" s="3">
        <v>121</v>
      </c>
      <c r="M6582" s="3">
        <v>0</v>
      </c>
      <c r="N6582" s="3">
        <v>0</v>
      </c>
    </row>
    <row r="6583" spans="1:14" x14ac:dyDescent="0.2">
      <c r="A6583" s="5" t="str">
        <f>HYPERLINK("http://www.ncbi.nlm.nih.gov/protein/21312036","Rufy3")</f>
        <v>Rufy3</v>
      </c>
      <c r="B6583" s="4"/>
      <c r="C6583" s="3">
        <v>0</v>
      </c>
      <c r="D6583" s="3">
        <v>0</v>
      </c>
      <c r="E6583" s="3">
        <v>48</v>
      </c>
      <c r="F6583" s="3">
        <v>0</v>
      </c>
      <c r="G6583" s="3">
        <v>1896</v>
      </c>
      <c r="H6583" s="2">
        <f t="shared" si="204"/>
        <v>1944</v>
      </c>
      <c r="I6583" t="str">
        <f t="shared" si="205"/>
        <v>Rufy3_1944</v>
      </c>
      <c r="J6583" s="3">
        <v>0</v>
      </c>
      <c r="K6583" s="3">
        <v>0</v>
      </c>
      <c r="L6583" s="3">
        <v>48</v>
      </c>
      <c r="M6583" s="3">
        <v>0</v>
      </c>
      <c r="N6583" s="3">
        <v>1896</v>
      </c>
    </row>
    <row r="6584" spans="1:14" x14ac:dyDescent="0.2">
      <c r="A6584" s="5" t="str">
        <f>HYPERLINK("http://www.ncbi.nlm.nih.gov/protein/139947575","Rusc1")</f>
        <v>Rusc1</v>
      </c>
      <c r="B6584" s="4"/>
      <c r="C6584" s="3">
        <v>0</v>
      </c>
      <c r="D6584" s="3">
        <v>0</v>
      </c>
      <c r="E6584" s="3">
        <v>7</v>
      </c>
      <c r="F6584" s="3">
        <v>0</v>
      </c>
      <c r="G6584" s="3">
        <v>0</v>
      </c>
      <c r="H6584" s="2">
        <f t="shared" si="204"/>
        <v>7</v>
      </c>
      <c r="I6584" t="str">
        <f t="shared" si="205"/>
        <v>Rusc1_7</v>
      </c>
      <c r="J6584" s="3">
        <v>0</v>
      </c>
      <c r="K6584" s="3">
        <v>0</v>
      </c>
      <c r="L6584" s="3">
        <v>7</v>
      </c>
      <c r="M6584" s="3">
        <v>0</v>
      </c>
      <c r="N6584" s="3">
        <v>0</v>
      </c>
    </row>
    <row r="6585" spans="1:14" x14ac:dyDescent="0.2">
      <c r="A6585" s="5" t="str">
        <f>HYPERLINK("http://www.ncbi.nlm.nih.gov/protein/139948764","Rusc1")</f>
        <v>Rusc1</v>
      </c>
      <c r="B6585" s="4"/>
      <c r="C6585" s="3">
        <v>0</v>
      </c>
      <c r="D6585" s="3">
        <v>0</v>
      </c>
      <c r="E6585" s="3">
        <v>7</v>
      </c>
      <c r="F6585" s="3">
        <v>0</v>
      </c>
      <c r="G6585" s="3">
        <v>0</v>
      </c>
      <c r="H6585" s="2">
        <f t="shared" si="204"/>
        <v>7</v>
      </c>
      <c r="I6585" t="str">
        <f t="shared" si="205"/>
        <v>Rusc1_7</v>
      </c>
      <c r="J6585" s="3">
        <v>0</v>
      </c>
      <c r="K6585" s="3">
        <v>0</v>
      </c>
      <c r="L6585" s="3">
        <v>7</v>
      </c>
      <c r="M6585" s="3">
        <v>0</v>
      </c>
      <c r="N6585" s="3">
        <v>0</v>
      </c>
    </row>
    <row r="6586" spans="1:14" x14ac:dyDescent="0.2">
      <c r="A6586" s="5" t="str">
        <f>HYPERLINK("http://www.ncbi.nlm.nih.gov/protein/139949087","Rusc1")</f>
        <v>Rusc1</v>
      </c>
      <c r="B6586" s="4"/>
      <c r="C6586" s="3">
        <v>0</v>
      </c>
      <c r="D6586" s="3">
        <v>0</v>
      </c>
      <c r="E6586" s="3">
        <v>7</v>
      </c>
      <c r="F6586" s="3">
        <v>0</v>
      </c>
      <c r="G6586" s="3">
        <v>0</v>
      </c>
      <c r="H6586" s="2">
        <f t="shared" si="204"/>
        <v>7</v>
      </c>
      <c r="I6586" t="str">
        <f t="shared" si="205"/>
        <v>Rusc1_7</v>
      </c>
      <c r="J6586" s="3">
        <v>0</v>
      </c>
      <c r="K6586" s="3">
        <v>0</v>
      </c>
      <c r="L6586" s="3">
        <v>7</v>
      </c>
      <c r="M6586" s="3">
        <v>0</v>
      </c>
      <c r="N6586" s="3">
        <v>0</v>
      </c>
    </row>
    <row r="6587" spans="1:14" x14ac:dyDescent="0.2">
      <c r="A6587" s="5" t="str">
        <f>HYPERLINK("http://www.ncbi.nlm.nih.gov/protein/9790083","Ruvbl1")</f>
        <v>Ruvbl1</v>
      </c>
      <c r="B6587" s="4"/>
      <c r="C6587" s="3">
        <v>33372</v>
      </c>
      <c r="D6587" s="3">
        <v>13851</v>
      </c>
      <c r="E6587" s="3">
        <v>20978</v>
      </c>
      <c r="F6587" s="3">
        <v>174451</v>
      </c>
      <c r="G6587" s="3">
        <v>24043</v>
      </c>
      <c r="H6587" s="2">
        <f t="shared" si="204"/>
        <v>266695</v>
      </c>
      <c r="I6587" t="str">
        <f t="shared" si="205"/>
        <v>Ruvbl1_266695</v>
      </c>
      <c r="J6587" s="3">
        <v>33372</v>
      </c>
      <c r="K6587" s="3">
        <v>13851</v>
      </c>
      <c r="L6587" s="3">
        <v>20978</v>
      </c>
      <c r="M6587" s="3">
        <v>174451</v>
      </c>
      <c r="N6587" s="3">
        <v>24043</v>
      </c>
    </row>
    <row r="6588" spans="1:14" x14ac:dyDescent="0.2">
      <c r="A6588" s="5" t="str">
        <f>HYPERLINK("http://www.ncbi.nlm.nih.gov/protein/6755382","Ruvbl2")</f>
        <v>Ruvbl2</v>
      </c>
      <c r="B6588" s="4"/>
      <c r="C6588" s="3">
        <v>26324</v>
      </c>
      <c r="D6588" s="3">
        <v>15627</v>
      </c>
      <c r="E6588" s="3">
        <v>43250</v>
      </c>
      <c r="F6588" s="3">
        <v>250445</v>
      </c>
      <c r="G6588" s="3">
        <v>81553</v>
      </c>
      <c r="H6588" s="2">
        <f t="shared" si="204"/>
        <v>417199</v>
      </c>
      <c r="I6588" t="str">
        <f t="shared" si="205"/>
        <v>Ruvbl2_417199</v>
      </c>
      <c r="J6588" s="3">
        <v>26324</v>
      </c>
      <c r="K6588" s="3">
        <v>15627</v>
      </c>
      <c r="L6588" s="3">
        <v>43250</v>
      </c>
      <c r="M6588" s="3">
        <v>250445</v>
      </c>
      <c r="N6588" s="3">
        <v>81553</v>
      </c>
    </row>
    <row r="6589" spans="1:14" x14ac:dyDescent="0.2">
      <c r="A6589" s="5" t="str">
        <f>HYPERLINK("http://www.ncbi.nlm.nih.gov/protein/21735427","Rwdd1")</f>
        <v>Rwdd1</v>
      </c>
      <c r="B6589" s="4"/>
      <c r="C6589" s="3">
        <v>0</v>
      </c>
      <c r="D6589" s="3">
        <v>255</v>
      </c>
      <c r="E6589" s="3">
        <v>1905</v>
      </c>
      <c r="F6589" s="3">
        <v>1408</v>
      </c>
      <c r="G6589" s="3">
        <v>15861</v>
      </c>
      <c r="H6589" s="2">
        <f t="shared" si="204"/>
        <v>19429</v>
      </c>
      <c r="I6589" t="str">
        <f t="shared" si="205"/>
        <v>Rwdd1_19429</v>
      </c>
      <c r="J6589" s="3">
        <v>0</v>
      </c>
      <c r="K6589" s="3">
        <v>255</v>
      </c>
      <c r="L6589" s="3">
        <v>1905</v>
      </c>
      <c r="M6589" s="3">
        <v>1408</v>
      </c>
      <c r="N6589" s="3">
        <v>15861</v>
      </c>
    </row>
    <row r="6590" spans="1:14" x14ac:dyDescent="0.2">
      <c r="A6590" s="5" t="str">
        <f>HYPERLINK("http://www.ncbi.nlm.nih.gov/protein/45356139","Rwdd4a")</f>
        <v>Rwdd4a</v>
      </c>
      <c r="B6590" s="4"/>
      <c r="C6590" s="3">
        <v>0</v>
      </c>
      <c r="D6590" s="3">
        <v>0</v>
      </c>
      <c r="E6590" s="3">
        <v>0</v>
      </c>
      <c r="F6590" s="3">
        <v>0</v>
      </c>
      <c r="G6590" s="3">
        <v>1103</v>
      </c>
      <c r="H6590" s="2">
        <f t="shared" si="204"/>
        <v>1103</v>
      </c>
      <c r="I6590" t="str">
        <f t="shared" si="205"/>
        <v>Rwdd4a_1103</v>
      </c>
      <c r="J6590" s="3">
        <v>0</v>
      </c>
      <c r="K6590" s="3">
        <v>0</v>
      </c>
      <c r="L6590" s="3">
        <v>0</v>
      </c>
      <c r="M6590" s="3">
        <v>0</v>
      </c>
      <c r="N6590" s="3">
        <v>1103</v>
      </c>
    </row>
    <row r="6591" spans="1:14" x14ac:dyDescent="0.2">
      <c r="A6591" s="5" t="str">
        <f>HYPERLINK("http://www.ncbi.nlm.nih.gov/protein/38348308","Rybp")</f>
        <v>Rybp</v>
      </c>
      <c r="B6591" s="4"/>
      <c r="C6591" s="3">
        <v>0</v>
      </c>
      <c r="D6591" s="3">
        <v>0</v>
      </c>
      <c r="E6591" s="3">
        <v>0</v>
      </c>
      <c r="F6591" s="3">
        <v>25</v>
      </c>
      <c r="G6591" s="3">
        <v>0</v>
      </c>
      <c r="H6591" s="2">
        <f t="shared" si="204"/>
        <v>25</v>
      </c>
      <c r="I6591" t="str">
        <f t="shared" si="205"/>
        <v>Rybp_25</v>
      </c>
      <c r="J6591" s="3">
        <v>0</v>
      </c>
      <c r="K6591" s="3">
        <v>0</v>
      </c>
      <c r="L6591" s="3">
        <v>0</v>
      </c>
      <c r="M6591" s="3">
        <v>25</v>
      </c>
      <c r="N6591" s="3">
        <v>0</v>
      </c>
    </row>
    <row r="6592" spans="1:14" x14ac:dyDescent="0.2">
      <c r="A6592" s="5" t="str">
        <f>HYPERLINK("http://www.ncbi.nlm.nih.gov/protein/6755386","S100a1")</f>
        <v>S100a1</v>
      </c>
      <c r="B6592" s="4"/>
      <c r="C6592" s="3">
        <v>73</v>
      </c>
      <c r="D6592" s="3">
        <v>140</v>
      </c>
      <c r="E6592" s="3">
        <v>88</v>
      </c>
      <c r="F6592" s="3">
        <v>0</v>
      </c>
      <c r="G6592" s="3">
        <v>0</v>
      </c>
      <c r="H6592" s="2">
        <f t="shared" si="204"/>
        <v>301</v>
      </c>
      <c r="I6592" t="str">
        <f t="shared" si="205"/>
        <v>S100a1_301</v>
      </c>
      <c r="J6592" s="3">
        <v>73</v>
      </c>
      <c r="K6592" s="3">
        <v>140</v>
      </c>
      <c r="L6592" s="3">
        <v>88</v>
      </c>
      <c r="M6592" s="3">
        <v>0</v>
      </c>
      <c r="N6592" s="3">
        <v>0</v>
      </c>
    </row>
    <row r="6593" spans="1:14" x14ac:dyDescent="0.2">
      <c r="A6593" s="5" t="str">
        <f>HYPERLINK("http://www.ncbi.nlm.nih.gov/protein/6677833","S100a10")</f>
        <v>S100a10</v>
      </c>
      <c r="B6593" s="4"/>
      <c r="C6593" s="3">
        <v>13473</v>
      </c>
      <c r="D6593" s="3">
        <v>1413</v>
      </c>
      <c r="E6593" s="3">
        <v>2548</v>
      </c>
      <c r="F6593" s="3">
        <v>0</v>
      </c>
      <c r="G6593" s="3">
        <v>0</v>
      </c>
      <c r="H6593" s="2">
        <f t="shared" si="204"/>
        <v>17434</v>
      </c>
      <c r="I6593" t="str">
        <f t="shared" si="205"/>
        <v>S100a10_17434</v>
      </c>
      <c r="J6593" s="3">
        <v>13473</v>
      </c>
      <c r="K6593" s="3">
        <v>1413</v>
      </c>
      <c r="L6593" s="3">
        <v>2548</v>
      </c>
      <c r="M6593" s="3">
        <v>0</v>
      </c>
      <c r="N6593" s="3">
        <v>0</v>
      </c>
    </row>
    <row r="6594" spans="1:14" x14ac:dyDescent="0.2">
      <c r="A6594" s="5" t="str">
        <f>HYPERLINK("http://www.ncbi.nlm.nih.gov/protein/21886811","S100a11")</f>
        <v>S100a11</v>
      </c>
      <c r="B6594" s="4"/>
      <c r="C6594" s="3">
        <v>44008</v>
      </c>
      <c r="D6594" s="3">
        <v>420</v>
      </c>
      <c r="E6594" s="3">
        <v>17160</v>
      </c>
      <c r="F6594" s="3">
        <v>180</v>
      </c>
      <c r="G6594" s="3">
        <v>13537</v>
      </c>
      <c r="H6594" s="2">
        <f t="shared" ref="H6594:H6657" si="206">SUM(C6594:G6594)</f>
        <v>75305</v>
      </c>
      <c r="I6594" t="str">
        <f t="shared" ref="I6594:I6657" si="207">A6594&amp;"_"&amp;H6594</f>
        <v>S100a11_75305</v>
      </c>
      <c r="J6594" s="3">
        <v>44008</v>
      </c>
      <c r="K6594" s="3">
        <v>420</v>
      </c>
      <c r="L6594" s="3">
        <v>17160</v>
      </c>
      <c r="M6594" s="3">
        <v>180</v>
      </c>
      <c r="N6594" s="3">
        <v>13537</v>
      </c>
    </row>
    <row r="6595" spans="1:14" x14ac:dyDescent="0.2">
      <c r="A6595" s="5" t="str">
        <f>HYPERLINK("http://www.ncbi.nlm.nih.gov/protein/347582617","S100a13")</f>
        <v>S100a13</v>
      </c>
      <c r="B6595" s="4"/>
      <c r="C6595" s="3">
        <v>1611</v>
      </c>
      <c r="D6595" s="3">
        <v>248</v>
      </c>
      <c r="E6595" s="3">
        <v>552</v>
      </c>
      <c r="F6595" s="3">
        <v>6638</v>
      </c>
      <c r="G6595" s="3">
        <v>3095</v>
      </c>
      <c r="H6595" s="2">
        <f t="shared" si="206"/>
        <v>12144</v>
      </c>
      <c r="I6595" t="str">
        <f t="shared" si="207"/>
        <v>S100a13_12144</v>
      </c>
      <c r="J6595" s="3">
        <v>1611</v>
      </c>
      <c r="K6595" s="3">
        <v>248</v>
      </c>
      <c r="L6595" s="3">
        <v>552</v>
      </c>
      <c r="M6595" s="3">
        <v>6638</v>
      </c>
      <c r="N6595" s="3">
        <v>3095</v>
      </c>
    </row>
    <row r="6596" spans="1:14" x14ac:dyDescent="0.2">
      <c r="A6596" s="5" t="str">
        <f>HYPERLINK("http://www.ncbi.nlm.nih.gov/protein/254587910","S100a14")</f>
        <v>S100a14</v>
      </c>
      <c r="B6596" s="4"/>
      <c r="C6596" s="3">
        <v>16695</v>
      </c>
      <c r="D6596" s="3">
        <v>129</v>
      </c>
      <c r="E6596" s="3">
        <v>2709</v>
      </c>
      <c r="F6596" s="3">
        <v>0</v>
      </c>
      <c r="G6596" s="3">
        <v>0</v>
      </c>
      <c r="H6596" s="2">
        <f t="shared" si="206"/>
        <v>19533</v>
      </c>
      <c r="I6596" t="str">
        <f t="shared" si="207"/>
        <v>S100a14_19533</v>
      </c>
      <c r="J6596" s="3">
        <v>16695</v>
      </c>
      <c r="K6596" s="3">
        <v>129</v>
      </c>
      <c r="L6596" s="3">
        <v>2709</v>
      </c>
      <c r="M6596" s="3">
        <v>0</v>
      </c>
      <c r="N6596" s="3">
        <v>0</v>
      </c>
    </row>
    <row r="6597" spans="1:14" x14ac:dyDescent="0.2">
      <c r="A6597" s="5" t="str">
        <f>HYPERLINK("http://www.ncbi.nlm.nih.gov/protein/254587908;254587904","S100a14")</f>
        <v>S100a14</v>
      </c>
      <c r="B6597" s="4"/>
      <c r="C6597" s="3">
        <v>39431</v>
      </c>
      <c r="D6597" s="3">
        <v>1981</v>
      </c>
      <c r="E6597" s="3">
        <v>22030</v>
      </c>
      <c r="F6597" s="3">
        <v>1670</v>
      </c>
      <c r="G6597" s="3">
        <v>482</v>
      </c>
      <c r="H6597" s="2">
        <f t="shared" si="206"/>
        <v>65594</v>
      </c>
      <c r="I6597" t="str">
        <f t="shared" si="207"/>
        <v>S100a14_65594</v>
      </c>
      <c r="J6597" s="3">
        <v>39431</v>
      </c>
      <c r="K6597" s="3">
        <v>1981</v>
      </c>
      <c r="L6597" s="3">
        <v>22030</v>
      </c>
      <c r="M6597" s="3">
        <v>1670</v>
      </c>
      <c r="N6597" s="3">
        <v>482</v>
      </c>
    </row>
    <row r="6598" spans="1:14" x14ac:dyDescent="0.2">
      <c r="A6598" s="5" t="str">
        <f>HYPERLINK("http://www.ncbi.nlm.nih.gov/protein/21312760","S100a16")</f>
        <v>S100a16</v>
      </c>
      <c r="B6598" s="4"/>
      <c r="C6598" s="3">
        <v>23542</v>
      </c>
      <c r="D6598" s="3">
        <v>1954</v>
      </c>
      <c r="E6598" s="3">
        <v>13937</v>
      </c>
      <c r="F6598" s="3">
        <v>7367</v>
      </c>
      <c r="G6598" s="3">
        <v>793</v>
      </c>
      <c r="H6598" s="2">
        <f t="shared" si="206"/>
        <v>47593</v>
      </c>
      <c r="I6598" t="str">
        <f t="shared" si="207"/>
        <v>S100a16_47593</v>
      </c>
      <c r="J6598" s="3">
        <v>23542</v>
      </c>
      <c r="K6598" s="3">
        <v>1954</v>
      </c>
      <c r="L6598" s="3">
        <v>13937</v>
      </c>
      <c r="M6598" s="3">
        <v>7367</v>
      </c>
      <c r="N6598" s="3">
        <v>793</v>
      </c>
    </row>
    <row r="6599" spans="1:14" x14ac:dyDescent="0.2">
      <c r="A6599" s="5" t="str">
        <f>HYPERLINK("http://www.ncbi.nlm.nih.gov/protein/33859624","S100a4")</f>
        <v>S100a4</v>
      </c>
      <c r="B6599" s="4"/>
      <c r="C6599" s="3">
        <v>0</v>
      </c>
      <c r="D6599" s="3">
        <v>0</v>
      </c>
      <c r="E6599" s="3">
        <v>6</v>
      </c>
      <c r="F6599" s="3">
        <v>0</v>
      </c>
      <c r="G6599" s="3">
        <v>0</v>
      </c>
      <c r="H6599" s="2">
        <f t="shared" si="206"/>
        <v>6</v>
      </c>
      <c r="I6599" t="str">
        <f t="shared" si="207"/>
        <v>S100a4_6</v>
      </c>
      <c r="J6599" s="3">
        <v>0</v>
      </c>
      <c r="K6599" s="3">
        <v>0</v>
      </c>
      <c r="L6599" s="3">
        <v>6</v>
      </c>
      <c r="M6599" s="3">
        <v>0</v>
      </c>
      <c r="N6599" s="3">
        <v>0</v>
      </c>
    </row>
    <row r="6600" spans="1:14" x14ac:dyDescent="0.2">
      <c r="A6600" s="5" t="str">
        <f>HYPERLINK("http://www.ncbi.nlm.nih.gov/protein/6755392","S100a6")</f>
        <v>S100a6</v>
      </c>
      <c r="B6600" s="4"/>
      <c r="C6600" s="3">
        <v>142183</v>
      </c>
      <c r="D6600" s="3">
        <v>9195</v>
      </c>
      <c r="E6600" s="3">
        <v>43799</v>
      </c>
      <c r="F6600" s="3">
        <v>7956</v>
      </c>
      <c r="G6600" s="3">
        <v>5601</v>
      </c>
      <c r="H6600" s="2">
        <f t="shared" si="206"/>
        <v>208734</v>
      </c>
      <c r="I6600" t="str">
        <f t="shared" si="207"/>
        <v>S100a6_208734</v>
      </c>
      <c r="J6600" s="3">
        <v>142183</v>
      </c>
      <c r="K6600" s="3">
        <v>9195</v>
      </c>
      <c r="L6600" s="3">
        <v>43799</v>
      </c>
      <c r="M6600" s="3">
        <v>7956</v>
      </c>
      <c r="N6600" s="3">
        <v>5601</v>
      </c>
    </row>
    <row r="6601" spans="1:14" x14ac:dyDescent="0.2">
      <c r="A6601" s="5" t="str">
        <f>HYPERLINK("http://www.ncbi.nlm.nih.gov/protein/198278397","Saal1")</f>
        <v>Saal1</v>
      </c>
      <c r="B6601" s="4"/>
      <c r="C6601" s="3">
        <v>0</v>
      </c>
      <c r="D6601" s="3">
        <v>603</v>
      </c>
      <c r="E6601" s="3">
        <v>383</v>
      </c>
      <c r="F6601" s="3">
        <v>2971</v>
      </c>
      <c r="G6601" s="3">
        <v>0</v>
      </c>
      <c r="H6601" s="2">
        <f t="shared" si="206"/>
        <v>3957</v>
      </c>
      <c r="I6601" t="str">
        <f t="shared" si="207"/>
        <v>Saal1_3957</v>
      </c>
      <c r="J6601" s="3">
        <v>0</v>
      </c>
      <c r="K6601" s="3">
        <v>603</v>
      </c>
      <c r="L6601" s="3">
        <v>383</v>
      </c>
      <c r="M6601" s="3">
        <v>2971</v>
      </c>
      <c r="N6601" s="3">
        <v>0</v>
      </c>
    </row>
    <row r="6602" spans="1:14" x14ac:dyDescent="0.2">
      <c r="A6602" s="5" t="str">
        <f>HYPERLINK("http://www.ncbi.nlm.nih.gov/protein/13507622","Sacm1l")</f>
        <v>Sacm1l</v>
      </c>
      <c r="B6602" s="4"/>
      <c r="C6602" s="3">
        <v>10032</v>
      </c>
      <c r="D6602" s="3">
        <v>6043</v>
      </c>
      <c r="E6602" s="3">
        <v>11118</v>
      </c>
      <c r="F6602" s="3">
        <v>0</v>
      </c>
      <c r="G6602" s="3">
        <v>0</v>
      </c>
      <c r="H6602" s="2">
        <f t="shared" si="206"/>
        <v>27193</v>
      </c>
      <c r="I6602" t="str">
        <f t="shared" si="207"/>
        <v>Sacm1l_27193</v>
      </c>
      <c r="J6602" s="3">
        <v>10032</v>
      </c>
      <c r="K6602" s="3">
        <v>6043</v>
      </c>
      <c r="L6602" s="3">
        <v>11118</v>
      </c>
      <c r="M6602" s="3">
        <v>0</v>
      </c>
      <c r="N6602" s="3">
        <v>0</v>
      </c>
    </row>
    <row r="6603" spans="1:14" x14ac:dyDescent="0.2">
      <c r="A6603" s="5" t="str">
        <f>HYPERLINK("http://www.ncbi.nlm.nih.gov/protein/9790247","Sae1")</f>
        <v>Sae1</v>
      </c>
      <c r="B6603" s="4"/>
      <c r="C6603" s="3">
        <v>0</v>
      </c>
      <c r="D6603" s="3">
        <v>52</v>
      </c>
      <c r="E6603" s="3">
        <v>3320</v>
      </c>
      <c r="F6603" s="3">
        <v>0</v>
      </c>
      <c r="G6603" s="3">
        <v>54961</v>
      </c>
      <c r="H6603" s="2">
        <f t="shared" si="206"/>
        <v>58333</v>
      </c>
      <c r="I6603" t="str">
        <f t="shared" si="207"/>
        <v>Sae1_58333</v>
      </c>
      <c r="J6603" s="3">
        <v>0</v>
      </c>
      <c r="K6603" s="3">
        <v>52</v>
      </c>
      <c r="L6603" s="3">
        <v>3320</v>
      </c>
      <c r="M6603" s="3">
        <v>0</v>
      </c>
      <c r="N6603" s="3">
        <v>54961</v>
      </c>
    </row>
    <row r="6604" spans="1:14" x14ac:dyDescent="0.2">
      <c r="A6604" s="5" t="str">
        <f>HYPERLINK("http://www.ncbi.nlm.nih.gov/protein/254028159","Safb")</f>
        <v>Safb</v>
      </c>
      <c r="B6604" s="4"/>
      <c r="C6604" s="3">
        <v>29143</v>
      </c>
      <c r="D6604" s="3">
        <v>0</v>
      </c>
      <c r="E6604" s="3">
        <v>138</v>
      </c>
      <c r="F6604" s="3">
        <v>0</v>
      </c>
      <c r="G6604" s="3">
        <v>0</v>
      </c>
      <c r="H6604" s="2">
        <f t="shared" si="206"/>
        <v>29281</v>
      </c>
      <c r="I6604" t="str">
        <f t="shared" si="207"/>
        <v>Safb_29281</v>
      </c>
      <c r="J6604" s="3">
        <v>29143</v>
      </c>
      <c r="K6604" s="3">
        <v>0</v>
      </c>
      <c r="L6604" s="3">
        <v>138</v>
      </c>
      <c r="M6604" s="3">
        <v>0</v>
      </c>
      <c r="N6604" s="3">
        <v>0</v>
      </c>
    </row>
    <row r="6605" spans="1:14" x14ac:dyDescent="0.2">
      <c r="A6605" s="5" t="str">
        <f>HYPERLINK("http://www.ncbi.nlm.nih.gov/protein/153945866","Safb2")</f>
        <v>Safb2</v>
      </c>
      <c r="B6605" s="4"/>
      <c r="C6605" s="3">
        <v>30132</v>
      </c>
      <c r="D6605" s="3">
        <v>0</v>
      </c>
      <c r="E6605" s="3">
        <v>138</v>
      </c>
      <c r="F6605" s="3">
        <v>0</v>
      </c>
      <c r="G6605" s="3">
        <v>0</v>
      </c>
      <c r="H6605" s="2">
        <f t="shared" si="206"/>
        <v>30270</v>
      </c>
      <c r="I6605" t="str">
        <f t="shared" si="207"/>
        <v>Safb2_30270</v>
      </c>
      <c r="J6605" s="3">
        <v>30132</v>
      </c>
      <c r="K6605" s="3">
        <v>0</v>
      </c>
      <c r="L6605" s="3">
        <v>138</v>
      </c>
      <c r="M6605" s="3">
        <v>0</v>
      </c>
      <c r="N6605" s="3">
        <v>0</v>
      </c>
    </row>
    <row r="6606" spans="1:14" x14ac:dyDescent="0.2">
      <c r="A6606" s="5" t="str">
        <f>HYPERLINK("http://www.ncbi.nlm.nih.gov/protein/159032064","Sall1")</f>
        <v>Sall1</v>
      </c>
      <c r="B6606" s="4"/>
      <c r="C6606" s="3">
        <v>0</v>
      </c>
      <c r="D6606" s="3">
        <v>0</v>
      </c>
      <c r="E6606" s="3">
        <v>0</v>
      </c>
      <c r="F6606" s="3">
        <v>24982</v>
      </c>
      <c r="G6606" s="3">
        <v>0</v>
      </c>
      <c r="H6606" s="2">
        <f t="shared" si="206"/>
        <v>24982</v>
      </c>
      <c r="I6606" t="str">
        <f t="shared" si="207"/>
        <v>Sall1_24982</v>
      </c>
      <c r="J6606" s="3">
        <v>0</v>
      </c>
      <c r="K6606" s="3">
        <v>0</v>
      </c>
      <c r="L6606" s="3">
        <v>0</v>
      </c>
      <c r="M6606" s="3">
        <v>24982</v>
      </c>
      <c r="N6606" s="3">
        <v>0</v>
      </c>
    </row>
    <row r="6607" spans="1:14" x14ac:dyDescent="0.2">
      <c r="A6607" s="5" t="str">
        <f>HYPERLINK("http://www.ncbi.nlm.nih.gov/protein/28893263","Samd12")</f>
        <v>Samd12</v>
      </c>
      <c r="B6607" s="4"/>
      <c r="C6607" s="3">
        <v>0</v>
      </c>
      <c r="D6607" s="3">
        <v>0</v>
      </c>
      <c r="E6607" s="3">
        <v>0</v>
      </c>
      <c r="F6607" s="3">
        <v>0</v>
      </c>
      <c r="G6607" s="3">
        <v>600</v>
      </c>
      <c r="H6607" s="2">
        <f t="shared" si="206"/>
        <v>600</v>
      </c>
      <c r="I6607" t="str">
        <f t="shared" si="207"/>
        <v>Samd12_600</v>
      </c>
      <c r="J6607" s="3">
        <v>0</v>
      </c>
      <c r="K6607" s="3">
        <v>0</v>
      </c>
      <c r="L6607" s="3">
        <v>0</v>
      </c>
      <c r="M6607" s="3">
        <v>0</v>
      </c>
      <c r="N6607" s="3">
        <v>600</v>
      </c>
    </row>
    <row r="6608" spans="1:14" x14ac:dyDescent="0.2">
      <c r="A6608" s="5" t="str">
        <f>HYPERLINK("http://www.ncbi.nlm.nih.gov/protein/226958514","Samd9l")</f>
        <v>Samd9l</v>
      </c>
      <c r="B6608" s="4"/>
      <c r="C6608" s="3">
        <v>659</v>
      </c>
      <c r="D6608" s="3">
        <v>186</v>
      </c>
      <c r="E6608" s="3">
        <v>73574</v>
      </c>
      <c r="F6608" s="3">
        <v>77951</v>
      </c>
      <c r="G6608" s="3">
        <v>62276</v>
      </c>
      <c r="H6608" s="2">
        <f t="shared" si="206"/>
        <v>214646</v>
      </c>
      <c r="I6608" t="str">
        <f t="shared" si="207"/>
        <v>Samd9l_214646</v>
      </c>
      <c r="J6608" s="3">
        <v>659</v>
      </c>
      <c r="K6608" s="3">
        <v>186</v>
      </c>
      <c r="L6608" s="3">
        <v>73574</v>
      </c>
      <c r="M6608" s="3">
        <v>77951</v>
      </c>
      <c r="N6608" s="3">
        <v>62276</v>
      </c>
    </row>
    <row r="6609" spans="1:14" x14ac:dyDescent="0.2">
      <c r="A6609" s="5" t="str">
        <f>HYPERLINK("http://www.ncbi.nlm.nih.gov/protein/213418055","Samhd1")</f>
        <v>Samhd1</v>
      </c>
      <c r="B6609" s="4"/>
      <c r="C6609" s="3">
        <v>0</v>
      </c>
      <c r="D6609" s="3">
        <v>2465</v>
      </c>
      <c r="E6609" s="3">
        <v>5306</v>
      </c>
      <c r="F6609" s="3">
        <v>71435</v>
      </c>
      <c r="G6609" s="3">
        <v>25510</v>
      </c>
      <c r="H6609" s="2">
        <f t="shared" si="206"/>
        <v>104716</v>
      </c>
      <c r="I6609" t="str">
        <f t="shared" si="207"/>
        <v>Samhd1_104716</v>
      </c>
      <c r="J6609" s="3">
        <v>0</v>
      </c>
      <c r="K6609" s="3">
        <v>2465</v>
      </c>
      <c r="L6609" s="3">
        <v>5306</v>
      </c>
      <c r="M6609" s="3">
        <v>71435</v>
      </c>
      <c r="N6609" s="3">
        <v>25510</v>
      </c>
    </row>
    <row r="6610" spans="1:14" x14ac:dyDescent="0.2">
      <c r="A6610" s="5" t="str">
        <f>HYPERLINK("http://www.ncbi.nlm.nih.gov/protein/213418079","Samhd1")</f>
        <v>Samhd1</v>
      </c>
      <c r="B6610" s="4"/>
      <c r="C6610" s="3">
        <v>0</v>
      </c>
      <c r="D6610" s="3">
        <v>2465</v>
      </c>
      <c r="E6610" s="3">
        <v>4674</v>
      </c>
      <c r="F6610" s="3">
        <v>66606</v>
      </c>
      <c r="G6610" s="3">
        <v>25510</v>
      </c>
      <c r="H6610" s="2">
        <f t="shared" si="206"/>
        <v>99255</v>
      </c>
      <c r="I6610" t="str">
        <f t="shared" si="207"/>
        <v>Samhd1_99255</v>
      </c>
      <c r="J6610" s="3">
        <v>0</v>
      </c>
      <c r="K6610" s="3">
        <v>2465</v>
      </c>
      <c r="L6610" s="3">
        <v>4674</v>
      </c>
      <c r="M6610" s="3">
        <v>66606</v>
      </c>
      <c r="N6610" s="3">
        <v>25510</v>
      </c>
    </row>
    <row r="6611" spans="1:14" x14ac:dyDescent="0.2">
      <c r="A6611" s="5" t="str">
        <f>HYPERLINK("http://www.ncbi.nlm.nih.gov/protein/30519943","Samm50")</f>
        <v>Samm50</v>
      </c>
      <c r="B6611" s="4"/>
      <c r="C6611" s="3">
        <v>23230</v>
      </c>
      <c r="D6611" s="3">
        <v>32670</v>
      </c>
      <c r="E6611" s="3">
        <v>1834</v>
      </c>
      <c r="F6611" s="3">
        <v>0</v>
      </c>
      <c r="G6611" s="3">
        <v>0</v>
      </c>
      <c r="H6611" s="2">
        <f t="shared" si="206"/>
        <v>57734</v>
      </c>
      <c r="I6611" t="str">
        <f t="shared" si="207"/>
        <v>Samm50_57734</v>
      </c>
      <c r="J6611" s="3">
        <v>23230</v>
      </c>
      <c r="K6611" s="3">
        <v>32670</v>
      </c>
      <c r="L6611" s="3">
        <v>1834</v>
      </c>
      <c r="M6611" s="3">
        <v>0</v>
      </c>
      <c r="N6611" s="3">
        <v>0</v>
      </c>
    </row>
    <row r="6612" spans="1:14" x14ac:dyDescent="0.2">
      <c r="A6612" s="5" t="str">
        <f>HYPERLINK("http://www.ncbi.nlm.nih.gov/protein/31560336","Sap30bp")</f>
        <v>Sap30bp</v>
      </c>
      <c r="B6612" s="4"/>
      <c r="C6612" s="3">
        <v>0</v>
      </c>
      <c r="D6612" s="3">
        <v>319</v>
      </c>
      <c r="E6612" s="3">
        <v>566</v>
      </c>
      <c r="F6612" s="3">
        <v>0</v>
      </c>
      <c r="G6612" s="3">
        <v>4798</v>
      </c>
      <c r="H6612" s="2">
        <f t="shared" si="206"/>
        <v>5683</v>
      </c>
      <c r="I6612" t="str">
        <f t="shared" si="207"/>
        <v>Sap30bp_5683</v>
      </c>
      <c r="J6612" s="3">
        <v>0</v>
      </c>
      <c r="K6612" s="3">
        <v>319</v>
      </c>
      <c r="L6612" s="3">
        <v>566</v>
      </c>
      <c r="M6612" s="3">
        <v>0</v>
      </c>
      <c r="N6612" s="3">
        <v>4798</v>
      </c>
    </row>
    <row r="6613" spans="1:14" x14ac:dyDescent="0.2">
      <c r="A6613" s="5" t="str">
        <f>HYPERLINK("http://www.ncbi.nlm.nih.gov/protein/21703344","Sar1a")</f>
        <v>Sar1a</v>
      </c>
      <c r="B6613" s="4"/>
      <c r="C6613" s="3">
        <v>4595</v>
      </c>
      <c r="D6613" s="3">
        <v>14558</v>
      </c>
      <c r="E6613" s="3">
        <v>10839</v>
      </c>
      <c r="F6613" s="3">
        <v>14840</v>
      </c>
      <c r="G6613" s="3">
        <v>42999</v>
      </c>
      <c r="H6613" s="2">
        <f t="shared" si="206"/>
        <v>87831</v>
      </c>
      <c r="I6613" t="str">
        <f t="shared" si="207"/>
        <v>Sar1a_87831</v>
      </c>
      <c r="J6613" s="3">
        <v>4595</v>
      </c>
      <c r="K6613" s="3">
        <v>14558</v>
      </c>
      <c r="L6613" s="3">
        <v>10839</v>
      </c>
      <c r="M6613" s="3">
        <v>14840</v>
      </c>
      <c r="N6613" s="3">
        <v>42999</v>
      </c>
    </row>
    <row r="6614" spans="1:14" x14ac:dyDescent="0.2">
      <c r="A6614" s="5" t="str">
        <f>HYPERLINK("http://www.ncbi.nlm.nih.gov/protein/21313476","Sar1b")</f>
        <v>Sar1b</v>
      </c>
      <c r="B6614" s="4"/>
      <c r="C6614" s="3">
        <v>4595</v>
      </c>
      <c r="D6614" s="3">
        <v>17374</v>
      </c>
      <c r="E6614" s="3">
        <v>8635</v>
      </c>
      <c r="F6614" s="3">
        <v>11533</v>
      </c>
      <c r="G6614" s="3">
        <v>33221</v>
      </c>
      <c r="H6614" s="2">
        <f t="shared" si="206"/>
        <v>75358</v>
      </c>
      <c r="I6614" t="str">
        <f t="shared" si="207"/>
        <v>Sar1b_75358</v>
      </c>
      <c r="J6614" s="3">
        <v>4595</v>
      </c>
      <c r="K6614" s="3">
        <v>17374</v>
      </c>
      <c r="L6614" s="3">
        <v>8635</v>
      </c>
      <c r="M6614" s="3">
        <v>11533</v>
      </c>
      <c r="N6614" s="3">
        <v>33221</v>
      </c>
    </row>
    <row r="6615" spans="1:14" x14ac:dyDescent="0.2">
      <c r="A6615" s="5" t="str">
        <f>HYPERLINK("http://www.ncbi.nlm.nih.gov/protein/20149748","Sardh")</f>
        <v>Sardh</v>
      </c>
      <c r="B6615" s="4"/>
      <c r="C6615" s="3">
        <v>0</v>
      </c>
      <c r="D6615" s="3">
        <v>1768</v>
      </c>
      <c r="E6615" s="3">
        <v>0</v>
      </c>
      <c r="F6615" s="3">
        <v>0</v>
      </c>
      <c r="G6615" s="3">
        <v>0</v>
      </c>
      <c r="H6615" s="2">
        <f t="shared" si="206"/>
        <v>1768</v>
      </c>
      <c r="I6615" t="str">
        <f t="shared" si="207"/>
        <v>Sardh_1768</v>
      </c>
      <c r="J6615" s="3">
        <v>0</v>
      </c>
      <c r="K6615" s="3">
        <v>1768</v>
      </c>
      <c r="L6615" s="3">
        <v>0</v>
      </c>
      <c r="M6615" s="3">
        <v>0</v>
      </c>
      <c r="N6615" s="3">
        <v>0</v>
      </c>
    </row>
    <row r="6616" spans="1:14" x14ac:dyDescent="0.2">
      <c r="A6616" s="5" t="str">
        <f>HYPERLINK("http://www.ncbi.nlm.nih.gov/protein/13384730","Sarnp")</f>
        <v>Sarnp</v>
      </c>
      <c r="B6616" s="4"/>
      <c r="C6616" s="3">
        <v>20796</v>
      </c>
      <c r="D6616" s="3">
        <v>190</v>
      </c>
      <c r="E6616" s="3">
        <v>2404</v>
      </c>
      <c r="F6616" s="3">
        <v>17452</v>
      </c>
      <c r="G6616" s="3">
        <v>6758</v>
      </c>
      <c r="H6616" s="2">
        <f t="shared" si="206"/>
        <v>47600</v>
      </c>
      <c r="I6616" t="str">
        <f t="shared" si="207"/>
        <v>Sarnp_47600</v>
      </c>
      <c r="J6616" s="3">
        <v>20796</v>
      </c>
      <c r="K6616" s="3">
        <v>190</v>
      </c>
      <c r="L6616" s="3">
        <v>2404</v>
      </c>
      <c r="M6616" s="3">
        <v>17452</v>
      </c>
      <c r="N6616" s="3">
        <v>6758</v>
      </c>
    </row>
    <row r="6617" spans="1:14" x14ac:dyDescent="0.2">
      <c r="A6617" s="5" t="str">
        <f>HYPERLINK("http://www.ncbi.nlm.nih.gov/protein/326381098","Sars")</f>
        <v>Sars</v>
      </c>
      <c r="B6617" s="4"/>
      <c r="C6617" s="3">
        <v>12906</v>
      </c>
      <c r="D6617" s="3">
        <v>16763</v>
      </c>
      <c r="E6617" s="3">
        <v>35023</v>
      </c>
      <c r="F6617" s="3">
        <v>138655</v>
      </c>
      <c r="G6617" s="3">
        <v>114056</v>
      </c>
      <c r="H6617" s="2">
        <f t="shared" si="206"/>
        <v>317403</v>
      </c>
      <c r="I6617" t="str">
        <f t="shared" si="207"/>
        <v>Sars_317403</v>
      </c>
      <c r="J6617" s="3">
        <v>12906</v>
      </c>
      <c r="K6617" s="3">
        <v>16763</v>
      </c>
      <c r="L6617" s="3">
        <v>35023</v>
      </c>
      <c r="M6617" s="3">
        <v>138655</v>
      </c>
      <c r="N6617" s="3">
        <v>114056</v>
      </c>
    </row>
    <row r="6618" spans="1:14" x14ac:dyDescent="0.2">
      <c r="A6618" s="5" t="str">
        <f>HYPERLINK("http://www.ncbi.nlm.nih.gov/protein/33468931","Sars")</f>
        <v>Sars</v>
      </c>
      <c r="B6618" s="4"/>
      <c r="C6618" s="3">
        <v>12906</v>
      </c>
      <c r="D6618" s="3">
        <v>16763</v>
      </c>
      <c r="E6618" s="3">
        <v>35023</v>
      </c>
      <c r="F6618" s="3">
        <v>138655</v>
      </c>
      <c r="G6618" s="3">
        <v>114056</v>
      </c>
      <c r="H6618" s="2">
        <f t="shared" si="206"/>
        <v>317403</v>
      </c>
      <c r="I6618" t="str">
        <f t="shared" si="207"/>
        <v>Sars_317403</v>
      </c>
      <c r="J6618" s="3">
        <v>12906</v>
      </c>
      <c r="K6618" s="3">
        <v>16763</v>
      </c>
      <c r="L6618" s="3">
        <v>35023</v>
      </c>
      <c r="M6618" s="3">
        <v>138655</v>
      </c>
      <c r="N6618" s="3">
        <v>114056</v>
      </c>
    </row>
    <row r="6619" spans="1:14" x14ac:dyDescent="0.2">
      <c r="A6619" s="5" t="str">
        <f>HYPERLINK("http://www.ncbi.nlm.nih.gov/protein/228008415","Sars2")</f>
        <v>Sars2</v>
      </c>
      <c r="B6619" s="4"/>
      <c r="C6619" s="3">
        <v>0</v>
      </c>
      <c r="D6619" s="3">
        <v>1200</v>
      </c>
      <c r="E6619" s="3">
        <v>0</v>
      </c>
      <c r="F6619" s="3">
        <v>0</v>
      </c>
      <c r="G6619" s="3">
        <v>300</v>
      </c>
      <c r="H6619" s="2">
        <f t="shared" si="206"/>
        <v>1500</v>
      </c>
      <c r="I6619" t="str">
        <f t="shared" si="207"/>
        <v>Sars2_1500</v>
      </c>
      <c r="J6619" s="3">
        <v>0</v>
      </c>
      <c r="K6619" s="3">
        <v>1200</v>
      </c>
      <c r="L6619" s="3">
        <v>0</v>
      </c>
      <c r="M6619" s="3">
        <v>0</v>
      </c>
      <c r="N6619" s="3">
        <v>300</v>
      </c>
    </row>
    <row r="6620" spans="1:14" x14ac:dyDescent="0.2">
      <c r="A6620" s="5" t="str">
        <f>HYPERLINK("http://www.ncbi.nlm.nih.gov/protein/124244096","Sart1")</f>
        <v>Sart1</v>
      </c>
      <c r="B6620" s="4"/>
      <c r="C6620" s="3">
        <v>12906</v>
      </c>
      <c r="D6620" s="3">
        <v>31</v>
      </c>
      <c r="E6620" s="3">
        <v>6425</v>
      </c>
      <c r="F6620" s="3">
        <v>7703</v>
      </c>
      <c r="G6620" s="3">
        <v>0</v>
      </c>
      <c r="H6620" s="2">
        <f t="shared" si="206"/>
        <v>27065</v>
      </c>
      <c r="I6620" t="str">
        <f t="shared" si="207"/>
        <v>Sart1_27065</v>
      </c>
      <c r="J6620" s="3">
        <v>12906</v>
      </c>
      <c r="K6620" s="3">
        <v>31</v>
      </c>
      <c r="L6620" s="3">
        <v>6425</v>
      </c>
      <c r="M6620" s="3">
        <v>7703</v>
      </c>
      <c r="N6620" s="3">
        <v>0</v>
      </c>
    </row>
    <row r="6621" spans="1:14" x14ac:dyDescent="0.2">
      <c r="A6621" s="5" t="str">
        <f>HYPERLINK("http://www.ncbi.nlm.nih.gov/protein/8394239","Sart3")</f>
        <v>Sart3</v>
      </c>
      <c r="B6621" s="4"/>
      <c r="C6621" s="3">
        <v>0</v>
      </c>
      <c r="D6621" s="3">
        <v>2695</v>
      </c>
      <c r="E6621" s="3">
        <v>9386</v>
      </c>
      <c r="F6621" s="3">
        <v>164964</v>
      </c>
      <c r="G6621" s="3">
        <v>85162</v>
      </c>
      <c r="H6621" s="2">
        <f t="shared" si="206"/>
        <v>262207</v>
      </c>
      <c r="I6621" t="str">
        <f t="shared" si="207"/>
        <v>Sart3_262207</v>
      </c>
      <c r="J6621" s="3">
        <v>0</v>
      </c>
      <c r="K6621" s="3">
        <v>2695</v>
      </c>
      <c r="L6621" s="3">
        <v>9386</v>
      </c>
      <c r="M6621" s="3">
        <v>164964</v>
      </c>
      <c r="N6621" s="3">
        <v>85162</v>
      </c>
    </row>
    <row r="6622" spans="1:14" x14ac:dyDescent="0.2">
      <c r="A6622" s="5" t="str">
        <f>HYPERLINK("http://www.ncbi.nlm.nih.gov/protein/124249210","Sat2")</f>
        <v>Sat2</v>
      </c>
      <c r="B6622" s="4"/>
      <c r="C6622" s="3">
        <v>0</v>
      </c>
      <c r="D6622" s="3">
        <v>0</v>
      </c>
      <c r="E6622" s="3">
        <v>0</v>
      </c>
      <c r="F6622" s="3">
        <v>0</v>
      </c>
      <c r="G6622" s="3">
        <v>3738</v>
      </c>
      <c r="H6622" s="2">
        <f t="shared" si="206"/>
        <v>3738</v>
      </c>
      <c r="I6622" t="str">
        <f t="shared" si="207"/>
        <v>Sat2_3738</v>
      </c>
      <c r="J6622" s="3">
        <v>0</v>
      </c>
      <c r="K6622" s="3">
        <v>0</v>
      </c>
      <c r="L6622" s="3">
        <v>0</v>
      </c>
      <c r="M6622" s="3">
        <v>0</v>
      </c>
      <c r="N6622" s="3">
        <v>3738</v>
      </c>
    </row>
    <row r="6623" spans="1:14" x14ac:dyDescent="0.2">
      <c r="A6623" s="5" t="str">
        <f>HYPERLINK("http://www.ncbi.nlm.nih.gov/protein/218751888","Saysd1")</f>
        <v>Saysd1</v>
      </c>
      <c r="B6623" s="4"/>
      <c r="C6623" s="3">
        <v>0</v>
      </c>
      <c r="D6623" s="3">
        <v>48</v>
      </c>
      <c r="E6623" s="3">
        <v>0</v>
      </c>
      <c r="F6623" s="3">
        <v>0</v>
      </c>
      <c r="G6623" s="3">
        <v>0</v>
      </c>
      <c r="H6623" s="2">
        <f t="shared" si="206"/>
        <v>48</v>
      </c>
      <c r="I6623" t="str">
        <f t="shared" si="207"/>
        <v>Saysd1_48</v>
      </c>
      <c r="J6623" s="3">
        <v>0</v>
      </c>
      <c r="K6623" s="3">
        <v>48</v>
      </c>
      <c r="L6623" s="3">
        <v>0</v>
      </c>
      <c r="M6623" s="3">
        <v>0</v>
      </c>
      <c r="N6623" s="3">
        <v>0</v>
      </c>
    </row>
    <row r="6624" spans="1:14" x14ac:dyDescent="0.2">
      <c r="A6624" s="5" t="str">
        <f>HYPERLINK("http://www.ncbi.nlm.nih.gov/protein/23956138","Sbds")</f>
        <v>Sbds</v>
      </c>
      <c r="B6624" s="4"/>
      <c r="C6624" s="3">
        <v>0</v>
      </c>
      <c r="D6624" s="3">
        <v>2340</v>
      </c>
      <c r="E6624" s="3">
        <v>7571</v>
      </c>
      <c r="F6624" s="3">
        <v>129201</v>
      </c>
      <c r="G6624" s="3">
        <v>1628</v>
      </c>
      <c r="H6624" s="2">
        <f t="shared" si="206"/>
        <v>140740</v>
      </c>
      <c r="I6624" t="str">
        <f t="shared" si="207"/>
        <v>Sbds_140740</v>
      </c>
      <c r="J6624" s="3">
        <v>0</v>
      </c>
      <c r="K6624" s="3">
        <v>2340</v>
      </c>
      <c r="L6624" s="3">
        <v>7571</v>
      </c>
      <c r="M6624" s="3">
        <v>129201</v>
      </c>
      <c r="N6624" s="3">
        <v>1628</v>
      </c>
    </row>
    <row r="6625" spans="1:14" x14ac:dyDescent="0.2">
      <c r="A6625" s="5" t="str">
        <f>HYPERLINK("http://www.ncbi.nlm.nih.gov/protein/124487087","Sbno1")</f>
        <v>Sbno1</v>
      </c>
      <c r="B6625" s="4"/>
      <c r="C6625" s="3">
        <v>0</v>
      </c>
      <c r="D6625" s="3">
        <v>234</v>
      </c>
      <c r="E6625" s="3">
        <v>0</v>
      </c>
      <c r="F6625" s="3">
        <v>467</v>
      </c>
      <c r="G6625" s="3">
        <v>9617</v>
      </c>
      <c r="H6625" s="2">
        <f t="shared" si="206"/>
        <v>10318</v>
      </c>
      <c r="I6625" t="str">
        <f t="shared" si="207"/>
        <v>Sbno1_10318</v>
      </c>
      <c r="J6625" s="3">
        <v>0</v>
      </c>
      <c r="K6625" s="3">
        <v>234</v>
      </c>
      <c r="L6625" s="3">
        <v>0</v>
      </c>
      <c r="M6625" s="3">
        <v>467</v>
      </c>
      <c r="N6625" s="3">
        <v>9617</v>
      </c>
    </row>
    <row r="6626" spans="1:14" x14ac:dyDescent="0.2">
      <c r="A6626" s="5" t="str">
        <f>HYPERLINK("http://www.ncbi.nlm.nih.gov/protein/34556193","Sbno2")</f>
        <v>Sbno2</v>
      </c>
      <c r="B6626" s="4"/>
      <c r="C6626" s="3">
        <v>0</v>
      </c>
      <c r="D6626" s="3">
        <v>234</v>
      </c>
      <c r="E6626" s="3">
        <v>0</v>
      </c>
      <c r="F6626" s="3">
        <v>467</v>
      </c>
      <c r="G6626" s="3">
        <v>4048</v>
      </c>
      <c r="H6626" s="2">
        <f t="shared" si="206"/>
        <v>4749</v>
      </c>
      <c r="I6626" t="str">
        <f t="shared" si="207"/>
        <v>Sbno2_4749</v>
      </c>
      <c r="J6626" s="3">
        <v>0</v>
      </c>
      <c r="K6626" s="3">
        <v>234</v>
      </c>
      <c r="L6626" s="3">
        <v>0</v>
      </c>
      <c r="M6626" s="3">
        <v>467</v>
      </c>
      <c r="N6626" s="3">
        <v>4048</v>
      </c>
    </row>
    <row r="6627" spans="1:14" x14ac:dyDescent="0.2">
      <c r="A6627" s="5" t="str">
        <f>HYPERLINK("http://www.ncbi.nlm.nih.gov/protein/13384836","Sc4mol")</f>
        <v>Sc4mol</v>
      </c>
      <c r="B6627" s="4"/>
      <c r="C6627" s="3">
        <v>0</v>
      </c>
      <c r="D6627" s="3">
        <v>129</v>
      </c>
      <c r="E6627" s="3">
        <v>0</v>
      </c>
      <c r="F6627" s="3">
        <v>0</v>
      </c>
      <c r="G6627" s="3">
        <v>0</v>
      </c>
      <c r="H6627" s="2">
        <f t="shared" si="206"/>
        <v>129</v>
      </c>
      <c r="I6627" t="str">
        <f t="shared" si="207"/>
        <v>Sc4mol_129</v>
      </c>
      <c r="J6627" s="3">
        <v>0</v>
      </c>
      <c r="K6627" s="3">
        <v>129</v>
      </c>
      <c r="L6627" s="3">
        <v>0</v>
      </c>
      <c r="M6627" s="3">
        <v>0</v>
      </c>
      <c r="N6627" s="3">
        <v>0</v>
      </c>
    </row>
    <row r="6628" spans="1:14" x14ac:dyDescent="0.2">
      <c r="A6628" s="5" t="str">
        <f>HYPERLINK("http://www.ncbi.nlm.nih.gov/protein/56605682","Scaf1")</f>
        <v>Scaf1</v>
      </c>
      <c r="B6628" s="4"/>
      <c r="C6628" s="3">
        <v>0</v>
      </c>
      <c r="D6628" s="3">
        <v>0</v>
      </c>
      <c r="E6628" s="3">
        <v>4</v>
      </c>
      <c r="F6628" s="3">
        <v>0</v>
      </c>
      <c r="G6628" s="3">
        <v>0</v>
      </c>
      <c r="H6628" s="2">
        <f t="shared" si="206"/>
        <v>4</v>
      </c>
      <c r="I6628" t="str">
        <f t="shared" si="207"/>
        <v>Scaf1_4</v>
      </c>
      <c r="J6628" s="3">
        <v>0</v>
      </c>
      <c r="K6628" s="3">
        <v>0</v>
      </c>
      <c r="L6628" s="3">
        <v>4</v>
      </c>
      <c r="M6628" s="3">
        <v>0</v>
      </c>
      <c r="N6628" s="3">
        <v>0</v>
      </c>
    </row>
    <row r="6629" spans="1:14" x14ac:dyDescent="0.2">
      <c r="A6629" s="5" t="str">
        <f>HYPERLINK("http://www.ncbi.nlm.nih.gov/protein/109150409","Scaf4")</f>
        <v>Scaf4</v>
      </c>
      <c r="B6629" s="4"/>
      <c r="C6629" s="3">
        <v>1794</v>
      </c>
      <c r="D6629" s="3">
        <v>0</v>
      </c>
      <c r="E6629" s="3">
        <v>53</v>
      </c>
      <c r="F6629" s="3">
        <v>0</v>
      </c>
      <c r="G6629" s="3">
        <v>0</v>
      </c>
      <c r="H6629" s="2">
        <f t="shared" si="206"/>
        <v>1847</v>
      </c>
      <c r="I6629" t="str">
        <f t="shared" si="207"/>
        <v>Scaf4_1847</v>
      </c>
      <c r="J6629" s="3">
        <v>1794</v>
      </c>
      <c r="K6629" s="3">
        <v>0</v>
      </c>
      <c r="L6629" s="3">
        <v>53</v>
      </c>
      <c r="M6629" s="3">
        <v>0</v>
      </c>
      <c r="N6629" s="3">
        <v>0</v>
      </c>
    </row>
    <row r="6630" spans="1:14" x14ac:dyDescent="0.2">
      <c r="A6630" s="5" t="str">
        <f>HYPERLINK("http://www.ncbi.nlm.nih.gov/protein/30527367","Scaf8")</f>
        <v>Scaf8</v>
      </c>
      <c r="B6630" s="4"/>
      <c r="C6630" s="3">
        <v>1794</v>
      </c>
      <c r="D6630" s="3">
        <v>0</v>
      </c>
      <c r="E6630" s="3">
        <v>53</v>
      </c>
      <c r="F6630" s="3">
        <v>0</v>
      </c>
      <c r="G6630" s="3">
        <v>0</v>
      </c>
      <c r="H6630" s="2">
        <f t="shared" si="206"/>
        <v>1847</v>
      </c>
      <c r="I6630" t="str">
        <f t="shared" si="207"/>
        <v>Scaf8_1847</v>
      </c>
      <c r="J6630" s="3">
        <v>1794</v>
      </c>
      <c r="K6630" s="3">
        <v>0</v>
      </c>
      <c r="L6630" s="3">
        <v>53</v>
      </c>
      <c r="M6630" s="3">
        <v>0</v>
      </c>
      <c r="N6630" s="3">
        <v>0</v>
      </c>
    </row>
    <row r="6631" spans="1:14" x14ac:dyDescent="0.2">
      <c r="A6631" s="5" t="str">
        <f>HYPERLINK("http://www.ncbi.nlm.nih.gov/protein/58037395","Scamp1")</f>
        <v>Scamp1</v>
      </c>
      <c r="B6631" s="4"/>
      <c r="C6631" s="3">
        <v>0</v>
      </c>
      <c r="D6631" s="3">
        <v>3814</v>
      </c>
      <c r="E6631" s="3">
        <v>2382</v>
      </c>
      <c r="F6631" s="3">
        <v>5779</v>
      </c>
      <c r="G6631" s="3">
        <v>0</v>
      </c>
      <c r="H6631" s="2">
        <f t="shared" si="206"/>
        <v>11975</v>
      </c>
      <c r="I6631" t="str">
        <f t="shared" si="207"/>
        <v>Scamp1_11975</v>
      </c>
      <c r="J6631" s="3">
        <v>0</v>
      </c>
      <c r="K6631" s="3">
        <v>3814</v>
      </c>
      <c r="L6631" s="3">
        <v>2382</v>
      </c>
      <c r="M6631" s="3">
        <v>5779</v>
      </c>
      <c r="N6631" s="3">
        <v>0</v>
      </c>
    </row>
    <row r="6632" spans="1:14" x14ac:dyDescent="0.2">
      <c r="A6632" s="5" t="str">
        <f>HYPERLINK("http://www.ncbi.nlm.nih.gov/protein/12331398","Scamp2")</f>
        <v>Scamp2</v>
      </c>
      <c r="B6632" s="4"/>
      <c r="C6632" s="3">
        <v>0</v>
      </c>
      <c r="D6632" s="3">
        <v>1142</v>
      </c>
      <c r="E6632" s="3">
        <v>2957</v>
      </c>
      <c r="F6632" s="3">
        <v>4224</v>
      </c>
      <c r="G6632" s="3">
        <v>0</v>
      </c>
      <c r="H6632" s="2">
        <f t="shared" si="206"/>
        <v>8323</v>
      </c>
      <c r="I6632" t="str">
        <f t="shared" si="207"/>
        <v>Scamp2_8323</v>
      </c>
      <c r="J6632" s="3">
        <v>0</v>
      </c>
      <c r="K6632" s="3">
        <v>1142</v>
      </c>
      <c r="L6632" s="3">
        <v>2957</v>
      </c>
      <c r="M6632" s="3">
        <v>4224</v>
      </c>
      <c r="N6632" s="3">
        <v>0</v>
      </c>
    </row>
    <row r="6633" spans="1:14" x14ac:dyDescent="0.2">
      <c r="A6633" s="5" t="str">
        <f>HYPERLINK("http://www.ncbi.nlm.nih.gov/protein/118601011","Scamp3")</f>
        <v>Scamp3</v>
      </c>
      <c r="B6633" s="4"/>
      <c r="C6633" s="3">
        <v>4284</v>
      </c>
      <c r="D6633" s="3">
        <v>6010</v>
      </c>
      <c r="E6633" s="3">
        <v>8790</v>
      </c>
      <c r="F6633" s="3">
        <v>14005</v>
      </c>
      <c r="G6633" s="3">
        <v>0</v>
      </c>
      <c r="H6633" s="2">
        <f t="shared" si="206"/>
        <v>33089</v>
      </c>
      <c r="I6633" t="str">
        <f t="shared" si="207"/>
        <v>Scamp3_33089</v>
      </c>
      <c r="J6633" s="3">
        <v>4284</v>
      </c>
      <c r="K6633" s="3">
        <v>6010</v>
      </c>
      <c r="L6633" s="3">
        <v>8790</v>
      </c>
      <c r="M6633" s="3">
        <v>14005</v>
      </c>
      <c r="N6633" s="3">
        <v>0</v>
      </c>
    </row>
    <row r="6634" spans="1:14" x14ac:dyDescent="0.2">
      <c r="A6634" s="5" t="str">
        <f>HYPERLINK("http://www.ncbi.nlm.nih.gov/protein/9625033","Scamp4")</f>
        <v>Scamp4</v>
      </c>
      <c r="B6634" s="4"/>
      <c r="C6634" s="3">
        <v>0</v>
      </c>
      <c r="D6634" s="3">
        <v>981</v>
      </c>
      <c r="E6634" s="3">
        <v>939</v>
      </c>
      <c r="F6634" s="3">
        <v>229</v>
      </c>
      <c r="G6634" s="3">
        <v>0</v>
      </c>
      <c r="H6634" s="2">
        <f t="shared" si="206"/>
        <v>2149</v>
      </c>
      <c r="I6634" t="str">
        <f t="shared" si="207"/>
        <v>Scamp4_2149</v>
      </c>
      <c r="J6634" s="3">
        <v>0</v>
      </c>
      <c r="K6634" s="3">
        <v>981</v>
      </c>
      <c r="L6634" s="3">
        <v>939</v>
      </c>
      <c r="M6634" s="3">
        <v>229</v>
      </c>
      <c r="N6634" s="3">
        <v>0</v>
      </c>
    </row>
    <row r="6635" spans="1:14" x14ac:dyDescent="0.2">
      <c r="A6635" s="5" t="str">
        <f>HYPERLINK("http://www.ncbi.nlm.nih.gov/protein/9937988","Scamp5")</f>
        <v>Scamp5</v>
      </c>
      <c r="B6635" s="4"/>
      <c r="C6635" s="3">
        <v>0</v>
      </c>
      <c r="D6635" s="3">
        <v>2785</v>
      </c>
      <c r="E6635" s="3">
        <v>541</v>
      </c>
      <c r="F6635" s="3">
        <v>0</v>
      </c>
      <c r="G6635" s="3">
        <v>0</v>
      </c>
      <c r="H6635" s="2">
        <f t="shared" si="206"/>
        <v>3326</v>
      </c>
      <c r="I6635" t="str">
        <f t="shared" si="207"/>
        <v>Scamp5_3326</v>
      </c>
      <c r="J6635" s="3">
        <v>0</v>
      </c>
      <c r="K6635" s="3">
        <v>2785</v>
      </c>
      <c r="L6635" s="3">
        <v>541</v>
      </c>
      <c r="M6635" s="3">
        <v>0</v>
      </c>
      <c r="N6635" s="3">
        <v>0</v>
      </c>
    </row>
    <row r="6636" spans="1:14" x14ac:dyDescent="0.2">
      <c r="A6636" s="5" t="str">
        <f>HYPERLINK("http://www.ncbi.nlm.nih.gov/protein/124486797","Scaper")</f>
        <v>Scaper</v>
      </c>
      <c r="B6636" s="4"/>
      <c r="C6636" s="3">
        <v>0</v>
      </c>
      <c r="D6636" s="3">
        <v>0</v>
      </c>
      <c r="E6636" s="3">
        <v>5553</v>
      </c>
      <c r="F6636" s="3">
        <v>0</v>
      </c>
      <c r="G6636" s="3">
        <v>0</v>
      </c>
      <c r="H6636" s="2">
        <f t="shared" si="206"/>
        <v>5553</v>
      </c>
      <c r="I6636" t="str">
        <f t="shared" si="207"/>
        <v>Scaper_5553</v>
      </c>
      <c r="J6636" s="3">
        <v>0</v>
      </c>
      <c r="K6636" s="3">
        <v>0</v>
      </c>
      <c r="L6636" s="3">
        <v>5553</v>
      </c>
      <c r="M6636" s="3">
        <v>0</v>
      </c>
      <c r="N6636" s="3">
        <v>0</v>
      </c>
    </row>
    <row r="6637" spans="1:14" x14ac:dyDescent="0.2">
      <c r="A6637" s="5" t="str">
        <f>HYPERLINK("http://www.ncbi.nlm.nih.gov/protein/14389423","Scarb1")</f>
        <v>Scarb1</v>
      </c>
      <c r="B6637" s="4"/>
      <c r="C6637" s="3">
        <v>0</v>
      </c>
      <c r="D6637" s="3">
        <v>1054</v>
      </c>
      <c r="E6637" s="3">
        <v>421</v>
      </c>
      <c r="F6637" s="3">
        <v>0</v>
      </c>
      <c r="G6637" s="3">
        <v>0</v>
      </c>
      <c r="H6637" s="2">
        <f t="shared" si="206"/>
        <v>1475</v>
      </c>
      <c r="I6637" t="str">
        <f t="shared" si="207"/>
        <v>Scarb1_1475</v>
      </c>
      <c r="J6637" s="3">
        <v>0</v>
      </c>
      <c r="K6637" s="3">
        <v>1054</v>
      </c>
      <c r="L6637" s="3">
        <v>421</v>
      </c>
      <c r="M6637" s="3">
        <v>0</v>
      </c>
      <c r="N6637" s="3">
        <v>0</v>
      </c>
    </row>
    <row r="6638" spans="1:14" x14ac:dyDescent="0.2">
      <c r="A6638" s="5" t="str">
        <f>HYPERLINK("http://www.ncbi.nlm.nih.gov/protein/326537322","Scarb1")</f>
        <v>Scarb1</v>
      </c>
      <c r="B6638" s="4"/>
      <c r="C6638" s="3">
        <v>0</v>
      </c>
      <c r="D6638" s="3">
        <v>1054</v>
      </c>
      <c r="E6638" s="3">
        <v>421</v>
      </c>
      <c r="F6638" s="3">
        <v>0</v>
      </c>
      <c r="G6638" s="3">
        <v>0</v>
      </c>
      <c r="H6638" s="2">
        <f t="shared" si="206"/>
        <v>1475</v>
      </c>
      <c r="I6638" t="str">
        <f t="shared" si="207"/>
        <v>Scarb1_1475</v>
      </c>
      <c r="J6638" s="3">
        <v>0</v>
      </c>
      <c r="K6638" s="3">
        <v>1054</v>
      </c>
      <c r="L6638" s="3">
        <v>421</v>
      </c>
      <c r="M6638" s="3">
        <v>0</v>
      </c>
      <c r="N6638" s="3">
        <v>0</v>
      </c>
    </row>
    <row r="6639" spans="1:14" x14ac:dyDescent="0.2">
      <c r="A6639" s="5" t="str">
        <f>HYPERLINK("http://www.ncbi.nlm.nih.gov/protein/326537324","Scarb1")</f>
        <v>Scarb1</v>
      </c>
      <c r="B6639" s="4"/>
      <c r="C6639" s="3">
        <v>0</v>
      </c>
      <c r="D6639" s="3">
        <v>1054</v>
      </c>
      <c r="E6639" s="3">
        <v>421</v>
      </c>
      <c r="F6639" s="3">
        <v>0</v>
      </c>
      <c r="G6639" s="3">
        <v>0</v>
      </c>
      <c r="H6639" s="2">
        <f t="shared" si="206"/>
        <v>1475</v>
      </c>
      <c r="I6639" t="str">
        <f t="shared" si="207"/>
        <v>Scarb1_1475</v>
      </c>
      <c r="J6639" s="3">
        <v>0</v>
      </c>
      <c r="K6639" s="3">
        <v>1054</v>
      </c>
      <c r="L6639" s="3">
        <v>421</v>
      </c>
      <c r="M6639" s="3">
        <v>0</v>
      </c>
      <c r="N6639" s="3">
        <v>0</v>
      </c>
    </row>
    <row r="6640" spans="1:14" x14ac:dyDescent="0.2">
      <c r="A6640" s="5" t="str">
        <f>HYPERLINK("http://www.ncbi.nlm.nih.gov/protein/6680878","Scarb2")</f>
        <v>Scarb2</v>
      </c>
      <c r="B6640" s="4"/>
      <c r="C6640" s="3">
        <v>6499</v>
      </c>
      <c r="D6640" s="3">
        <v>11220</v>
      </c>
      <c r="E6640" s="3">
        <v>23126</v>
      </c>
      <c r="F6640" s="3">
        <v>10396</v>
      </c>
      <c r="G6640" s="3">
        <v>0</v>
      </c>
      <c r="H6640" s="2">
        <f t="shared" si="206"/>
        <v>51241</v>
      </c>
      <c r="I6640" t="str">
        <f t="shared" si="207"/>
        <v>Scarb2_51241</v>
      </c>
      <c r="J6640" s="3">
        <v>6499</v>
      </c>
      <c r="K6640" s="3">
        <v>11220</v>
      </c>
      <c r="L6640" s="3">
        <v>23126</v>
      </c>
      <c r="M6640" s="3">
        <v>10396</v>
      </c>
      <c r="N6640" s="3">
        <v>0</v>
      </c>
    </row>
    <row r="6641" spans="1:14" x14ac:dyDescent="0.2">
      <c r="A6641" s="5" t="str">
        <f>HYPERLINK("http://www.ncbi.nlm.nih.gov/protein/30520019","Sccpdh")</f>
        <v>Sccpdh</v>
      </c>
      <c r="B6641" s="4"/>
      <c r="C6641" s="3">
        <v>0</v>
      </c>
      <c r="D6641" s="3">
        <v>605</v>
      </c>
      <c r="E6641" s="3">
        <v>19</v>
      </c>
      <c r="F6641" s="3">
        <v>0</v>
      </c>
      <c r="G6641" s="3">
        <v>0</v>
      </c>
      <c r="H6641" s="2">
        <f t="shared" si="206"/>
        <v>624</v>
      </c>
      <c r="I6641" t="str">
        <f t="shared" si="207"/>
        <v>Sccpdh_624</v>
      </c>
      <c r="J6641" s="3">
        <v>0</v>
      </c>
      <c r="K6641" s="3">
        <v>605</v>
      </c>
      <c r="L6641" s="3">
        <v>19</v>
      </c>
      <c r="M6641" s="3">
        <v>0</v>
      </c>
      <c r="N6641" s="3">
        <v>0</v>
      </c>
    </row>
    <row r="6642" spans="1:14" x14ac:dyDescent="0.2">
      <c r="A6642" s="5" t="str">
        <f>HYPERLINK("http://www.ncbi.nlm.nih.gov/protein/70909345","Scel")</f>
        <v>Scel</v>
      </c>
      <c r="B6642" s="4"/>
      <c r="C6642" s="3">
        <v>641</v>
      </c>
      <c r="D6642" s="3">
        <v>8</v>
      </c>
      <c r="E6642" s="3">
        <v>5193</v>
      </c>
      <c r="F6642" s="3">
        <v>188</v>
      </c>
      <c r="G6642" s="3">
        <v>600</v>
      </c>
      <c r="H6642" s="2">
        <f t="shared" si="206"/>
        <v>6630</v>
      </c>
      <c r="I6642" t="str">
        <f t="shared" si="207"/>
        <v>Scel_6630</v>
      </c>
      <c r="J6642" s="3">
        <v>641</v>
      </c>
      <c r="K6642" s="3">
        <v>8</v>
      </c>
      <c r="L6642" s="3">
        <v>5193</v>
      </c>
      <c r="M6642" s="3">
        <v>188</v>
      </c>
      <c r="N6642" s="3">
        <v>600</v>
      </c>
    </row>
    <row r="6643" spans="1:14" x14ac:dyDescent="0.2">
      <c r="A6643" s="5" t="str">
        <f>HYPERLINK("http://www.ncbi.nlm.nih.gov/protein/58037481","Scfd1")</f>
        <v>Scfd1</v>
      </c>
      <c r="B6643" s="4"/>
      <c r="C6643" s="3">
        <v>43934</v>
      </c>
      <c r="D6643" s="3">
        <v>12805</v>
      </c>
      <c r="E6643" s="3">
        <v>8298</v>
      </c>
      <c r="F6643" s="3">
        <v>11558</v>
      </c>
      <c r="G6643" s="3">
        <v>0</v>
      </c>
      <c r="H6643" s="2">
        <f t="shared" si="206"/>
        <v>76595</v>
      </c>
      <c r="I6643" t="str">
        <f t="shared" si="207"/>
        <v>Scfd1_76595</v>
      </c>
      <c r="J6643" s="3">
        <v>43934</v>
      </c>
      <c r="K6643" s="3">
        <v>12805</v>
      </c>
      <c r="L6643" s="3">
        <v>8298</v>
      </c>
      <c r="M6643" s="3">
        <v>11558</v>
      </c>
      <c r="N6643" s="3">
        <v>0</v>
      </c>
    </row>
    <row r="6644" spans="1:14" x14ac:dyDescent="0.2">
      <c r="A6644" s="5" t="str">
        <f>HYPERLINK("http://www.ncbi.nlm.nih.gov/protein/167900448","Scfd2")</f>
        <v>Scfd2</v>
      </c>
      <c r="B6644" s="4"/>
      <c r="C6644" s="3">
        <v>0</v>
      </c>
      <c r="D6644" s="3">
        <v>1048</v>
      </c>
      <c r="E6644" s="3">
        <v>0</v>
      </c>
      <c r="F6644" s="3">
        <v>0</v>
      </c>
      <c r="G6644" s="3">
        <v>0</v>
      </c>
      <c r="H6644" s="2">
        <f t="shared" si="206"/>
        <v>1048</v>
      </c>
      <c r="I6644" t="str">
        <f t="shared" si="207"/>
        <v>Scfd2_1048</v>
      </c>
      <c r="J6644" s="3">
        <v>0</v>
      </c>
      <c r="K6644" s="3">
        <v>1048</v>
      </c>
      <c r="L6644" s="3">
        <v>0</v>
      </c>
      <c r="M6644" s="3">
        <v>0</v>
      </c>
      <c r="N6644" s="3">
        <v>0</v>
      </c>
    </row>
    <row r="6645" spans="1:14" x14ac:dyDescent="0.2">
      <c r="A6645" s="5" t="str">
        <f>HYPERLINK("http://www.ncbi.nlm.nih.gov/protein/21703798","Scgn")</f>
        <v>Scgn</v>
      </c>
      <c r="B6645" s="4"/>
      <c r="C6645" s="3">
        <v>0</v>
      </c>
      <c r="D6645" s="3">
        <v>0</v>
      </c>
      <c r="E6645" s="3">
        <v>0</v>
      </c>
      <c r="F6645" s="3">
        <v>0</v>
      </c>
      <c r="G6645" s="3">
        <v>1274</v>
      </c>
      <c r="H6645" s="2">
        <f t="shared" si="206"/>
        <v>1274</v>
      </c>
      <c r="I6645" t="str">
        <f t="shared" si="207"/>
        <v>Scgn_1274</v>
      </c>
      <c r="J6645" s="3">
        <v>0</v>
      </c>
      <c r="K6645" s="3">
        <v>0</v>
      </c>
      <c r="L6645" s="3">
        <v>0</v>
      </c>
      <c r="M6645" s="3">
        <v>0</v>
      </c>
      <c r="N6645" s="3">
        <v>1274</v>
      </c>
    </row>
    <row r="6646" spans="1:14" x14ac:dyDescent="0.2">
      <c r="A6646" s="5" t="str">
        <f>HYPERLINK("http://www.ncbi.nlm.nih.gov/protein/226246550","Scin")</f>
        <v>Scin</v>
      </c>
      <c r="B6646" s="4"/>
      <c r="C6646" s="3">
        <v>153899</v>
      </c>
      <c r="D6646" s="3">
        <v>31054</v>
      </c>
      <c r="E6646" s="3">
        <v>155093</v>
      </c>
      <c r="F6646" s="3">
        <v>511811</v>
      </c>
      <c r="G6646" s="3">
        <v>432750</v>
      </c>
      <c r="H6646" s="2">
        <f t="shared" si="206"/>
        <v>1284607</v>
      </c>
      <c r="I6646" t="str">
        <f t="shared" si="207"/>
        <v>Scin_1284607</v>
      </c>
      <c r="J6646" s="3">
        <v>153899</v>
      </c>
      <c r="K6646" s="3">
        <v>31054</v>
      </c>
      <c r="L6646" s="3">
        <v>155093</v>
      </c>
      <c r="M6646" s="3">
        <v>511811</v>
      </c>
      <c r="N6646" s="3">
        <v>432750</v>
      </c>
    </row>
    <row r="6647" spans="1:14" x14ac:dyDescent="0.2">
      <c r="A6647" s="5" t="str">
        <f>HYPERLINK("http://www.ncbi.nlm.nih.gov/protein/226246552","Scin")</f>
        <v>Scin</v>
      </c>
      <c r="B6647" s="4"/>
      <c r="C6647" s="3">
        <v>147821</v>
      </c>
      <c r="D6647" s="3">
        <v>27561</v>
      </c>
      <c r="E6647" s="3">
        <v>108195</v>
      </c>
      <c r="F6647" s="3">
        <v>444492</v>
      </c>
      <c r="G6647" s="3">
        <v>321349</v>
      </c>
      <c r="H6647" s="2">
        <f t="shared" si="206"/>
        <v>1049418</v>
      </c>
      <c r="I6647" t="str">
        <f t="shared" si="207"/>
        <v>Scin_1049418</v>
      </c>
      <c r="J6647" s="3">
        <v>147821</v>
      </c>
      <c r="K6647" s="3">
        <v>27561</v>
      </c>
      <c r="L6647" s="3">
        <v>108195</v>
      </c>
      <c r="M6647" s="3">
        <v>444492</v>
      </c>
      <c r="N6647" s="3">
        <v>321349</v>
      </c>
    </row>
    <row r="6648" spans="1:14" x14ac:dyDescent="0.2">
      <c r="A6648" s="5" t="str">
        <f>HYPERLINK("http://www.ncbi.nlm.nih.gov/protein/27804323","Scly")</f>
        <v>Scly</v>
      </c>
      <c r="B6648" s="4"/>
      <c r="C6648" s="3">
        <v>0</v>
      </c>
      <c r="D6648" s="3">
        <v>566</v>
      </c>
      <c r="E6648" s="3">
        <v>2185</v>
      </c>
      <c r="F6648" s="3">
        <v>0</v>
      </c>
      <c r="G6648" s="3">
        <v>61087</v>
      </c>
      <c r="H6648" s="2">
        <f t="shared" si="206"/>
        <v>63838</v>
      </c>
      <c r="I6648" t="str">
        <f t="shared" si="207"/>
        <v>Scly_63838</v>
      </c>
      <c r="J6648" s="3">
        <v>0</v>
      </c>
      <c r="K6648" s="3">
        <v>566</v>
      </c>
      <c r="L6648" s="3">
        <v>2185</v>
      </c>
      <c r="M6648" s="3">
        <v>0</v>
      </c>
      <c r="N6648" s="3">
        <v>61087</v>
      </c>
    </row>
    <row r="6649" spans="1:14" x14ac:dyDescent="0.2">
      <c r="A6649" s="5" t="str">
        <f>HYPERLINK("http://www.ncbi.nlm.nih.gov/protein/133987591","Scn11a")</f>
        <v>Scn11a</v>
      </c>
      <c r="B6649" s="4"/>
      <c r="C6649" s="3">
        <v>0</v>
      </c>
      <c r="D6649" s="3">
        <v>0</v>
      </c>
      <c r="E6649" s="3">
        <v>0</v>
      </c>
      <c r="F6649" s="3">
        <v>0</v>
      </c>
      <c r="G6649" s="3">
        <v>332</v>
      </c>
      <c r="H6649" s="2">
        <f t="shared" si="206"/>
        <v>332</v>
      </c>
      <c r="I6649" t="str">
        <f t="shared" si="207"/>
        <v>Scn11a_332</v>
      </c>
      <c r="J6649" s="3">
        <v>0</v>
      </c>
      <c r="K6649" s="3">
        <v>0</v>
      </c>
      <c r="L6649" s="3">
        <v>0</v>
      </c>
      <c r="M6649" s="3">
        <v>0</v>
      </c>
      <c r="N6649" s="3">
        <v>332</v>
      </c>
    </row>
    <row r="6650" spans="1:14" x14ac:dyDescent="0.2">
      <c r="A6650" s="5" t="str">
        <f>HYPERLINK("http://www.ncbi.nlm.nih.gov/protein/90991710","Sco1")</f>
        <v>Sco1</v>
      </c>
      <c r="B6650" s="4"/>
      <c r="C6650" s="3">
        <v>0</v>
      </c>
      <c r="D6650" s="3">
        <v>29</v>
      </c>
      <c r="E6650" s="3">
        <v>0</v>
      </c>
      <c r="F6650" s="3">
        <v>0</v>
      </c>
      <c r="G6650" s="3">
        <v>0</v>
      </c>
      <c r="H6650" s="2">
        <f t="shared" si="206"/>
        <v>29</v>
      </c>
      <c r="I6650" t="str">
        <f t="shared" si="207"/>
        <v>Sco1_29</v>
      </c>
      <c r="J6650" s="3">
        <v>0</v>
      </c>
      <c r="K6650" s="3">
        <v>29</v>
      </c>
      <c r="L6650" s="3">
        <v>0</v>
      </c>
      <c r="M6650" s="3">
        <v>0</v>
      </c>
      <c r="N6650" s="3">
        <v>0</v>
      </c>
    </row>
    <row r="6651" spans="1:14" x14ac:dyDescent="0.2">
      <c r="A6651" s="5" t="str">
        <f>HYPERLINK("http://www.ncbi.nlm.nih.gov/protein/162329549","Sco2")</f>
        <v>Sco2</v>
      </c>
      <c r="B6651" s="4"/>
      <c r="C6651" s="3">
        <v>0</v>
      </c>
      <c r="D6651" s="3">
        <v>3507</v>
      </c>
      <c r="E6651" s="3">
        <v>0</v>
      </c>
      <c r="F6651" s="3">
        <v>0</v>
      </c>
      <c r="G6651" s="3">
        <v>0</v>
      </c>
      <c r="H6651" s="2">
        <f t="shared" si="206"/>
        <v>3507</v>
      </c>
      <c r="I6651" t="str">
        <f t="shared" si="207"/>
        <v>Sco2_3507</v>
      </c>
      <c r="J6651" s="3">
        <v>0</v>
      </c>
      <c r="K6651" s="3">
        <v>3507</v>
      </c>
      <c r="L6651" s="3">
        <v>0</v>
      </c>
      <c r="M6651" s="3">
        <v>0</v>
      </c>
      <c r="N6651" s="3">
        <v>0</v>
      </c>
    </row>
    <row r="6652" spans="1:14" x14ac:dyDescent="0.2">
      <c r="A6652" s="5" t="str">
        <f>HYPERLINK("http://www.ncbi.nlm.nih.gov/protein/85362711","Scoc")</f>
        <v>Scoc</v>
      </c>
      <c r="B6652" s="4"/>
      <c r="C6652" s="3">
        <v>0</v>
      </c>
      <c r="D6652" s="3">
        <v>0</v>
      </c>
      <c r="E6652" s="3">
        <v>6</v>
      </c>
      <c r="F6652" s="3">
        <v>0</v>
      </c>
      <c r="G6652" s="3">
        <v>96</v>
      </c>
      <c r="H6652" s="2">
        <f t="shared" si="206"/>
        <v>102</v>
      </c>
      <c r="I6652" t="str">
        <f t="shared" si="207"/>
        <v>Scoc_102</v>
      </c>
      <c r="J6652" s="3">
        <v>0</v>
      </c>
      <c r="K6652" s="3">
        <v>0</v>
      </c>
      <c r="L6652" s="3">
        <v>6</v>
      </c>
      <c r="M6652" s="3">
        <v>0</v>
      </c>
      <c r="N6652" s="3">
        <v>96</v>
      </c>
    </row>
    <row r="6653" spans="1:14" x14ac:dyDescent="0.2">
      <c r="A6653" s="5" t="str">
        <f>HYPERLINK("http://www.ncbi.nlm.nih.gov/protein/9790207","Scoc")</f>
        <v>Scoc</v>
      </c>
      <c r="B6653" s="4"/>
      <c r="C6653" s="3">
        <v>0</v>
      </c>
      <c r="D6653" s="3">
        <v>0</v>
      </c>
      <c r="E6653" s="3">
        <v>6</v>
      </c>
      <c r="F6653" s="3">
        <v>0</v>
      </c>
      <c r="G6653" s="3">
        <v>96</v>
      </c>
      <c r="H6653" s="2">
        <f t="shared" si="206"/>
        <v>102</v>
      </c>
      <c r="I6653" t="str">
        <f t="shared" si="207"/>
        <v>Scoc_102</v>
      </c>
      <c r="J6653" s="3">
        <v>0</v>
      </c>
      <c r="K6653" s="3">
        <v>0</v>
      </c>
      <c r="L6653" s="3">
        <v>6</v>
      </c>
      <c r="M6653" s="3">
        <v>0</v>
      </c>
      <c r="N6653" s="3">
        <v>96</v>
      </c>
    </row>
    <row r="6654" spans="1:14" x14ac:dyDescent="0.2">
      <c r="A6654" s="5" t="str">
        <f>HYPERLINK("http://www.ncbi.nlm.nih.gov/protein/45476581","Scp2")</f>
        <v>Scp2</v>
      </c>
      <c r="B6654" s="4"/>
      <c r="C6654" s="3">
        <v>45710</v>
      </c>
      <c r="D6654" s="3">
        <v>27100</v>
      </c>
      <c r="E6654" s="3">
        <v>31618</v>
      </c>
      <c r="F6654" s="3">
        <v>0</v>
      </c>
      <c r="G6654" s="3">
        <v>6458</v>
      </c>
      <c r="H6654" s="2">
        <f t="shared" si="206"/>
        <v>110886</v>
      </c>
      <c r="I6654" t="str">
        <f t="shared" si="207"/>
        <v>Scp2_110886</v>
      </c>
      <c r="J6654" s="3">
        <v>45710</v>
      </c>
      <c r="K6654" s="3">
        <v>27100</v>
      </c>
      <c r="L6654" s="3">
        <v>31618</v>
      </c>
      <c r="M6654" s="3">
        <v>0</v>
      </c>
      <c r="N6654" s="3">
        <v>6458</v>
      </c>
    </row>
    <row r="6655" spans="1:14" x14ac:dyDescent="0.2">
      <c r="A6655" s="5" t="str">
        <f>HYPERLINK("http://www.ncbi.nlm.nih.gov/protein/253970508","Scpep1")</f>
        <v>Scpep1</v>
      </c>
      <c r="B6655" s="4"/>
      <c r="C6655" s="3">
        <v>24036</v>
      </c>
      <c r="D6655" s="3">
        <v>14107</v>
      </c>
      <c r="E6655" s="3">
        <v>3739</v>
      </c>
      <c r="F6655" s="3">
        <v>1752</v>
      </c>
      <c r="G6655" s="3">
        <v>17007</v>
      </c>
      <c r="H6655" s="2">
        <f t="shared" si="206"/>
        <v>60641</v>
      </c>
      <c r="I6655" t="str">
        <f t="shared" si="207"/>
        <v>Scpep1_60641</v>
      </c>
      <c r="J6655" s="3">
        <v>24036</v>
      </c>
      <c r="K6655" s="3">
        <v>14107</v>
      </c>
      <c r="L6655" s="3">
        <v>3739</v>
      </c>
      <c r="M6655" s="3">
        <v>1752</v>
      </c>
      <c r="N6655" s="3">
        <v>17007</v>
      </c>
    </row>
    <row r="6656" spans="1:14" x14ac:dyDescent="0.2">
      <c r="A6656" s="5" t="str">
        <f>HYPERLINK("http://www.ncbi.nlm.nih.gov/protein/20373163","Scrib")</f>
        <v>Scrib</v>
      </c>
      <c r="B6656" s="4"/>
      <c r="C6656" s="3">
        <v>11624</v>
      </c>
      <c r="D6656" s="3">
        <v>5490</v>
      </c>
      <c r="E6656" s="3">
        <v>10249</v>
      </c>
      <c r="F6656" s="3">
        <v>0</v>
      </c>
      <c r="G6656" s="3">
        <v>0</v>
      </c>
      <c r="H6656" s="2">
        <f t="shared" si="206"/>
        <v>27363</v>
      </c>
      <c r="I6656" t="str">
        <f t="shared" si="207"/>
        <v>Scrib_27363</v>
      </c>
      <c r="J6656" s="3">
        <v>11624</v>
      </c>
      <c r="K6656" s="3">
        <v>5490</v>
      </c>
      <c r="L6656" s="3">
        <v>10249</v>
      </c>
      <c r="M6656" s="3">
        <v>0</v>
      </c>
      <c r="N6656" s="3">
        <v>0</v>
      </c>
    </row>
    <row r="6657" spans="1:14" x14ac:dyDescent="0.2">
      <c r="A6657" s="5" t="str">
        <f>HYPERLINK("http://www.ncbi.nlm.nih.gov/protein/22122499","Scrn2")</f>
        <v>Scrn2</v>
      </c>
      <c r="B6657" s="4"/>
      <c r="C6657" s="3">
        <v>0</v>
      </c>
      <c r="D6657" s="3">
        <v>635</v>
      </c>
      <c r="E6657" s="3">
        <v>120</v>
      </c>
      <c r="F6657" s="3">
        <v>65</v>
      </c>
      <c r="G6657" s="3">
        <v>90977</v>
      </c>
      <c r="H6657" s="2">
        <f t="shared" si="206"/>
        <v>91797</v>
      </c>
      <c r="I6657" t="str">
        <f t="shared" si="207"/>
        <v>Scrn2_91797</v>
      </c>
      <c r="J6657" s="3">
        <v>0</v>
      </c>
      <c r="K6657" s="3">
        <v>635</v>
      </c>
      <c r="L6657" s="3">
        <v>120</v>
      </c>
      <c r="M6657" s="3">
        <v>65</v>
      </c>
      <c r="N6657" s="3">
        <v>90977</v>
      </c>
    </row>
    <row r="6658" spans="1:14" x14ac:dyDescent="0.2">
      <c r="A6658" s="5" t="str">
        <f>HYPERLINK("http://www.ncbi.nlm.nih.gov/protein/12963867","Scyl1")</f>
        <v>Scyl1</v>
      </c>
      <c r="B6658" s="4"/>
      <c r="C6658" s="3">
        <v>0</v>
      </c>
      <c r="D6658" s="3">
        <v>399</v>
      </c>
      <c r="E6658" s="3">
        <v>638</v>
      </c>
      <c r="F6658" s="3">
        <v>10281</v>
      </c>
      <c r="G6658" s="3">
        <v>0</v>
      </c>
      <c r="H6658" s="2">
        <f t="shared" ref="H6658:H6721" si="208">SUM(C6658:G6658)</f>
        <v>11318</v>
      </c>
      <c r="I6658" t="str">
        <f t="shared" ref="I6658:I6721" si="209">A6658&amp;"_"&amp;H6658</f>
        <v>Scyl1_11318</v>
      </c>
      <c r="J6658" s="3">
        <v>0</v>
      </c>
      <c r="K6658" s="3">
        <v>399</v>
      </c>
      <c r="L6658" s="3">
        <v>638</v>
      </c>
      <c r="M6658" s="3">
        <v>10281</v>
      </c>
      <c r="N6658" s="3">
        <v>0</v>
      </c>
    </row>
    <row r="6659" spans="1:14" x14ac:dyDescent="0.2">
      <c r="A6659" s="5" t="str">
        <f>HYPERLINK("http://www.ncbi.nlm.nih.gov/protein/37574121","Scyl2")</f>
        <v>Scyl2</v>
      </c>
      <c r="B6659" s="4"/>
      <c r="C6659" s="3">
        <v>805</v>
      </c>
      <c r="D6659" s="3">
        <v>1265</v>
      </c>
      <c r="E6659" s="3">
        <v>3720</v>
      </c>
      <c r="F6659" s="3">
        <v>0</v>
      </c>
      <c r="G6659" s="3">
        <v>10185</v>
      </c>
      <c r="H6659" s="2">
        <f t="shared" si="208"/>
        <v>15975</v>
      </c>
      <c r="I6659" t="str">
        <f t="shared" si="209"/>
        <v>Scyl2_15975</v>
      </c>
      <c r="J6659" s="3">
        <v>805</v>
      </c>
      <c r="K6659" s="3">
        <v>1265</v>
      </c>
      <c r="L6659" s="3">
        <v>3720</v>
      </c>
      <c r="M6659" s="3">
        <v>0</v>
      </c>
      <c r="N6659" s="3">
        <v>10185</v>
      </c>
    </row>
    <row r="6660" spans="1:14" x14ac:dyDescent="0.2">
      <c r="A6660" s="5" t="str">
        <f>HYPERLINK("http://www.ncbi.nlm.nih.gov/protein/21311917","Scyl3")</f>
        <v>Scyl3</v>
      </c>
      <c r="B6660" s="4"/>
      <c r="C6660" s="3">
        <v>0</v>
      </c>
      <c r="D6660" s="3">
        <v>106</v>
      </c>
      <c r="E6660" s="3">
        <v>4</v>
      </c>
      <c r="F6660" s="3">
        <v>49</v>
      </c>
      <c r="G6660" s="3">
        <v>0</v>
      </c>
      <c r="H6660" s="2">
        <f t="shared" si="208"/>
        <v>159</v>
      </c>
      <c r="I6660" t="str">
        <f t="shared" si="209"/>
        <v>Scyl3_159</v>
      </c>
      <c r="J6660" s="3">
        <v>0</v>
      </c>
      <c r="K6660" s="3">
        <v>106</v>
      </c>
      <c r="L6660" s="3">
        <v>4</v>
      </c>
      <c r="M6660" s="3">
        <v>49</v>
      </c>
      <c r="N6660" s="3">
        <v>0</v>
      </c>
    </row>
    <row r="6661" spans="1:14" x14ac:dyDescent="0.2">
      <c r="A6661" s="5" t="str">
        <f>HYPERLINK("http://www.ncbi.nlm.nih.gov/protein/27370042","Sdad1")</f>
        <v>Sdad1</v>
      </c>
      <c r="B6661" s="4"/>
      <c r="C6661" s="3">
        <v>0</v>
      </c>
      <c r="D6661" s="3">
        <v>0</v>
      </c>
      <c r="E6661" s="3">
        <v>0</v>
      </c>
      <c r="F6661" s="3">
        <v>753</v>
      </c>
      <c r="G6661" s="3">
        <v>0</v>
      </c>
      <c r="H6661" s="2">
        <f t="shared" si="208"/>
        <v>753</v>
      </c>
      <c r="I6661" t="str">
        <f t="shared" si="209"/>
        <v>Sdad1_753</v>
      </c>
      <c r="J6661" s="3">
        <v>0</v>
      </c>
      <c r="K6661" s="3">
        <v>0</v>
      </c>
      <c r="L6661" s="3">
        <v>0</v>
      </c>
      <c r="M6661" s="3">
        <v>753</v>
      </c>
      <c r="N6661" s="3">
        <v>0</v>
      </c>
    </row>
    <row r="6662" spans="1:14" x14ac:dyDescent="0.2">
      <c r="A6662" s="5" t="str">
        <f>HYPERLINK("http://www.ncbi.nlm.nih.gov/protein/6755438","Sdc1")</f>
        <v>Sdc1</v>
      </c>
      <c r="B6662" s="4"/>
      <c r="C6662" s="3">
        <v>0</v>
      </c>
      <c r="D6662" s="3">
        <v>447</v>
      </c>
      <c r="E6662" s="3">
        <v>1474</v>
      </c>
      <c r="F6662" s="3">
        <v>0</v>
      </c>
      <c r="G6662" s="3">
        <v>0</v>
      </c>
      <c r="H6662" s="2">
        <f t="shared" si="208"/>
        <v>1921</v>
      </c>
      <c r="I6662" t="str">
        <f t="shared" si="209"/>
        <v>Sdc1_1921</v>
      </c>
      <c r="J6662" s="3">
        <v>0</v>
      </c>
      <c r="K6662" s="3">
        <v>447</v>
      </c>
      <c r="L6662" s="3">
        <v>1474</v>
      </c>
      <c r="M6662" s="3">
        <v>0</v>
      </c>
      <c r="N6662" s="3">
        <v>0</v>
      </c>
    </row>
    <row r="6663" spans="1:14" x14ac:dyDescent="0.2">
      <c r="A6663" s="5" t="str">
        <f>HYPERLINK("http://www.ncbi.nlm.nih.gov/protein/6755442","Sdc4")</f>
        <v>Sdc4</v>
      </c>
      <c r="B6663" s="4"/>
      <c r="C6663" s="3">
        <v>3570</v>
      </c>
      <c r="D6663" s="3">
        <v>3545</v>
      </c>
      <c r="E6663" s="3">
        <v>1261</v>
      </c>
      <c r="F6663" s="3">
        <v>13850</v>
      </c>
      <c r="G6663" s="3">
        <v>0</v>
      </c>
      <c r="H6663" s="2">
        <f t="shared" si="208"/>
        <v>22226</v>
      </c>
      <c r="I6663" t="str">
        <f t="shared" si="209"/>
        <v>Sdc4_22226</v>
      </c>
      <c r="J6663" s="3">
        <v>3570</v>
      </c>
      <c r="K6663" s="3">
        <v>3545</v>
      </c>
      <c r="L6663" s="3">
        <v>1261</v>
      </c>
      <c r="M6663" s="3">
        <v>13850</v>
      </c>
      <c r="N6663" s="3">
        <v>0</v>
      </c>
    </row>
    <row r="6664" spans="1:14" x14ac:dyDescent="0.2">
      <c r="A6664" s="5" t="str">
        <f>HYPERLINK("http://www.ncbi.nlm.nih.gov/protein/148277591","Sdcbp")</f>
        <v>Sdcbp</v>
      </c>
      <c r="B6664" s="4"/>
      <c r="C6664" s="3">
        <v>0</v>
      </c>
      <c r="D6664" s="3">
        <v>480</v>
      </c>
      <c r="E6664" s="3">
        <v>694</v>
      </c>
      <c r="F6664" s="3">
        <v>761</v>
      </c>
      <c r="G6664" s="3">
        <v>0</v>
      </c>
      <c r="H6664" s="2">
        <f t="shared" si="208"/>
        <v>1935</v>
      </c>
      <c r="I6664" t="str">
        <f t="shared" si="209"/>
        <v>Sdcbp_1935</v>
      </c>
      <c r="J6664" s="3">
        <v>0</v>
      </c>
      <c r="K6664" s="3">
        <v>480</v>
      </c>
      <c r="L6664" s="3">
        <v>694</v>
      </c>
      <c r="M6664" s="3">
        <v>761</v>
      </c>
      <c r="N6664" s="3">
        <v>0</v>
      </c>
    </row>
    <row r="6665" spans="1:14" x14ac:dyDescent="0.2">
      <c r="A6665" s="5" t="str">
        <f>HYPERLINK("http://www.ncbi.nlm.nih.gov/protein/148277640","Sdcbp")</f>
        <v>Sdcbp</v>
      </c>
      <c r="B6665" s="4"/>
      <c r="C6665" s="3">
        <v>0</v>
      </c>
      <c r="D6665" s="3">
        <v>480</v>
      </c>
      <c r="E6665" s="3">
        <v>694</v>
      </c>
      <c r="F6665" s="3">
        <v>761</v>
      </c>
      <c r="G6665" s="3">
        <v>0</v>
      </c>
      <c r="H6665" s="2">
        <f t="shared" si="208"/>
        <v>1935</v>
      </c>
      <c r="I6665" t="str">
        <f t="shared" si="209"/>
        <v>Sdcbp_1935</v>
      </c>
      <c r="J6665" s="3">
        <v>0</v>
      </c>
      <c r="K6665" s="3">
        <v>480</v>
      </c>
      <c r="L6665" s="3">
        <v>694</v>
      </c>
      <c r="M6665" s="3">
        <v>761</v>
      </c>
      <c r="N6665" s="3">
        <v>0</v>
      </c>
    </row>
    <row r="6666" spans="1:14" x14ac:dyDescent="0.2">
      <c r="A6666" s="5" t="str">
        <f>HYPERLINK("http://www.ncbi.nlm.nih.gov/protein/29789245","Sdccag8")</f>
        <v>Sdccag8</v>
      </c>
      <c r="B6666" s="4"/>
      <c r="C6666" s="3">
        <v>0</v>
      </c>
      <c r="D6666" s="3">
        <v>0</v>
      </c>
      <c r="E6666" s="3">
        <v>219</v>
      </c>
      <c r="F6666" s="3">
        <v>0</v>
      </c>
      <c r="G6666" s="3">
        <v>3791</v>
      </c>
      <c r="H6666" s="2">
        <f t="shared" si="208"/>
        <v>4010</v>
      </c>
      <c r="I6666" t="str">
        <f t="shared" si="209"/>
        <v>Sdccag8_4010</v>
      </c>
      <c r="J6666" s="3">
        <v>0</v>
      </c>
      <c r="K6666" s="3">
        <v>0</v>
      </c>
      <c r="L6666" s="3">
        <v>219</v>
      </c>
      <c r="M6666" s="3">
        <v>0</v>
      </c>
      <c r="N6666" s="3">
        <v>3791</v>
      </c>
    </row>
    <row r="6667" spans="1:14" x14ac:dyDescent="0.2">
      <c r="A6667" s="5" t="str">
        <f>HYPERLINK("http://www.ncbi.nlm.nih.gov/protein/11612505","Sdf2l1")</f>
        <v>Sdf2l1</v>
      </c>
      <c r="B6667" s="4"/>
      <c r="C6667" s="3">
        <v>1483</v>
      </c>
      <c r="D6667" s="3">
        <v>1207</v>
      </c>
      <c r="E6667" s="3">
        <v>1681</v>
      </c>
      <c r="F6667" s="3">
        <v>0</v>
      </c>
      <c r="G6667" s="3">
        <v>0</v>
      </c>
      <c r="H6667" s="2">
        <f t="shared" si="208"/>
        <v>4371</v>
      </c>
      <c r="I6667" t="str">
        <f t="shared" si="209"/>
        <v>Sdf2l1_4371</v>
      </c>
      <c r="J6667" s="3">
        <v>1483</v>
      </c>
      <c r="K6667" s="3">
        <v>1207</v>
      </c>
      <c r="L6667" s="3">
        <v>1681</v>
      </c>
      <c r="M6667" s="3">
        <v>0</v>
      </c>
      <c r="N6667" s="3">
        <v>0</v>
      </c>
    </row>
    <row r="6668" spans="1:14" x14ac:dyDescent="0.2">
      <c r="A6668" s="5" t="str">
        <f>HYPERLINK("http://www.ncbi.nlm.nih.gov/protein/54607098","Sdha")</f>
        <v>Sdha</v>
      </c>
      <c r="B6668" s="4"/>
      <c r="C6668" s="3">
        <v>196771</v>
      </c>
      <c r="D6668" s="3">
        <v>70092</v>
      </c>
      <c r="E6668" s="3">
        <v>12738</v>
      </c>
      <c r="F6668" s="3">
        <v>0</v>
      </c>
      <c r="G6668" s="3">
        <v>0</v>
      </c>
      <c r="H6668" s="2">
        <f t="shared" si="208"/>
        <v>279601</v>
      </c>
      <c r="I6668" t="str">
        <f t="shared" si="209"/>
        <v>Sdha_279601</v>
      </c>
      <c r="J6668" s="3">
        <v>196771</v>
      </c>
      <c r="K6668" s="3">
        <v>70092</v>
      </c>
      <c r="L6668" s="3">
        <v>12738</v>
      </c>
      <c r="M6668" s="3">
        <v>0</v>
      </c>
      <c r="N6668" s="3">
        <v>0</v>
      </c>
    </row>
    <row r="6669" spans="1:14" x14ac:dyDescent="0.2">
      <c r="A6669" s="5" t="str">
        <f>HYPERLINK("http://www.ncbi.nlm.nih.gov/protein/110815822","Sdhaf1")</f>
        <v>Sdhaf1</v>
      </c>
      <c r="B6669" s="4"/>
      <c r="C6669" s="3">
        <v>0</v>
      </c>
      <c r="D6669" s="3">
        <v>15</v>
      </c>
      <c r="E6669" s="3">
        <v>0</v>
      </c>
      <c r="F6669" s="3">
        <v>16</v>
      </c>
      <c r="G6669" s="3">
        <v>0</v>
      </c>
      <c r="H6669" s="2">
        <f t="shared" si="208"/>
        <v>31</v>
      </c>
      <c r="I6669" t="str">
        <f t="shared" si="209"/>
        <v>Sdhaf1_31</v>
      </c>
      <c r="J6669" s="3">
        <v>0</v>
      </c>
      <c r="K6669" s="3">
        <v>15</v>
      </c>
      <c r="L6669" s="3">
        <v>0</v>
      </c>
      <c r="M6669" s="3">
        <v>16</v>
      </c>
      <c r="N6669" s="3">
        <v>0</v>
      </c>
    </row>
    <row r="6670" spans="1:14" x14ac:dyDescent="0.2">
      <c r="A6670" s="5" t="str">
        <f>HYPERLINK("http://www.ncbi.nlm.nih.gov/protein/34328286","Sdhb")</f>
        <v>Sdhb</v>
      </c>
      <c r="B6670" s="4"/>
      <c r="C6670" s="3">
        <v>25171</v>
      </c>
      <c r="D6670" s="3">
        <v>27520</v>
      </c>
      <c r="E6670" s="3">
        <v>3304</v>
      </c>
      <c r="F6670" s="3">
        <v>0</v>
      </c>
      <c r="G6670" s="3">
        <v>0</v>
      </c>
      <c r="H6670" s="2">
        <f t="shared" si="208"/>
        <v>55995</v>
      </c>
      <c r="I6670" t="str">
        <f t="shared" si="209"/>
        <v>Sdhb_55995</v>
      </c>
      <c r="J6670" s="3">
        <v>25171</v>
      </c>
      <c r="K6670" s="3">
        <v>27520</v>
      </c>
      <c r="L6670" s="3">
        <v>3304</v>
      </c>
      <c r="M6670" s="3">
        <v>0</v>
      </c>
      <c r="N6670" s="3">
        <v>0</v>
      </c>
    </row>
    <row r="6671" spans="1:14" x14ac:dyDescent="0.2">
      <c r="A6671" s="5" t="str">
        <f>HYPERLINK("http://www.ncbi.nlm.nih.gov/protein/228008307","Sdhc")</f>
        <v>Sdhc</v>
      </c>
      <c r="B6671" s="4"/>
      <c r="C6671" s="3">
        <v>952</v>
      </c>
      <c r="D6671" s="3">
        <v>3874</v>
      </c>
      <c r="E6671" s="3">
        <v>410</v>
      </c>
      <c r="F6671" s="3">
        <v>0</v>
      </c>
      <c r="G6671" s="3">
        <v>0</v>
      </c>
      <c r="H6671" s="2">
        <f t="shared" si="208"/>
        <v>5236</v>
      </c>
      <c r="I6671" t="str">
        <f t="shared" si="209"/>
        <v>Sdhc_5236</v>
      </c>
      <c r="J6671" s="3">
        <v>952</v>
      </c>
      <c r="K6671" s="3">
        <v>3874</v>
      </c>
      <c r="L6671" s="3">
        <v>410</v>
      </c>
      <c r="M6671" s="3">
        <v>0</v>
      </c>
      <c r="N6671" s="3">
        <v>0</v>
      </c>
    </row>
    <row r="6672" spans="1:14" x14ac:dyDescent="0.2">
      <c r="A6672" s="5" t="str">
        <f>HYPERLINK("http://www.ncbi.nlm.nih.gov/protein/27229021","Sdhd")</f>
        <v>Sdhd</v>
      </c>
      <c r="B6672" s="4"/>
      <c r="C6672" s="3">
        <v>2014</v>
      </c>
      <c r="D6672" s="3">
        <v>647</v>
      </c>
      <c r="E6672" s="3">
        <v>0</v>
      </c>
      <c r="F6672" s="3">
        <v>0</v>
      </c>
      <c r="G6672" s="3">
        <v>0</v>
      </c>
      <c r="H6672" s="2">
        <f t="shared" si="208"/>
        <v>2661</v>
      </c>
      <c r="I6672" t="str">
        <f t="shared" si="209"/>
        <v>Sdhd_2661</v>
      </c>
      <c r="J6672" s="3">
        <v>2014</v>
      </c>
      <c r="K6672" s="3">
        <v>647</v>
      </c>
      <c r="L6672" s="3">
        <v>0</v>
      </c>
      <c r="M6672" s="3">
        <v>0</v>
      </c>
      <c r="N6672" s="3">
        <v>0</v>
      </c>
    </row>
    <row r="6673" spans="1:14" x14ac:dyDescent="0.2">
      <c r="A6673" s="5" t="str">
        <f>HYPERLINK("http://www.ncbi.nlm.nih.gov/protein/131889222","Sdr39u1")</f>
        <v>Sdr39u1</v>
      </c>
      <c r="B6673" s="4"/>
      <c r="C6673" s="3">
        <v>1043</v>
      </c>
      <c r="D6673" s="3">
        <v>3780</v>
      </c>
      <c r="E6673" s="3">
        <v>0</v>
      </c>
      <c r="F6673" s="3">
        <v>0</v>
      </c>
      <c r="G6673" s="3">
        <v>0</v>
      </c>
      <c r="H6673" s="2">
        <f t="shared" si="208"/>
        <v>4823</v>
      </c>
      <c r="I6673" t="str">
        <f t="shared" si="209"/>
        <v>Sdr39u1_4823</v>
      </c>
      <c r="J6673" s="3">
        <v>1043</v>
      </c>
      <c r="K6673" s="3">
        <v>3780</v>
      </c>
      <c r="L6673" s="3">
        <v>0</v>
      </c>
      <c r="M6673" s="3">
        <v>0</v>
      </c>
      <c r="N6673" s="3">
        <v>0</v>
      </c>
    </row>
    <row r="6674" spans="1:14" x14ac:dyDescent="0.2">
      <c r="A6674" s="5" t="str">
        <f>HYPERLINK("http://www.ncbi.nlm.nih.gov/protein/20589949","Sdsl")</f>
        <v>Sdsl</v>
      </c>
      <c r="B6674" s="4"/>
      <c r="C6674" s="3">
        <v>0</v>
      </c>
      <c r="D6674" s="3">
        <v>0</v>
      </c>
      <c r="E6674" s="3">
        <v>0</v>
      </c>
      <c r="F6674" s="3">
        <v>0</v>
      </c>
      <c r="G6674" s="3">
        <v>2806</v>
      </c>
      <c r="H6674" s="2">
        <f t="shared" si="208"/>
        <v>2806</v>
      </c>
      <c r="I6674" t="str">
        <f t="shared" si="209"/>
        <v>Sdsl_2806</v>
      </c>
      <c r="J6674" s="3">
        <v>0</v>
      </c>
      <c r="K6674" s="3">
        <v>0</v>
      </c>
      <c r="L6674" s="3">
        <v>0</v>
      </c>
      <c r="M6674" s="3">
        <v>0</v>
      </c>
      <c r="N6674" s="3">
        <v>2806</v>
      </c>
    </row>
    <row r="6675" spans="1:14" x14ac:dyDescent="0.2">
      <c r="A6675" s="5" t="str">
        <f>HYPERLINK("http://www.ncbi.nlm.nih.gov/protein/9910550","Sec11a")</f>
        <v>Sec11a</v>
      </c>
      <c r="B6675" s="4"/>
      <c r="C6675" s="3">
        <v>46534</v>
      </c>
      <c r="D6675" s="3">
        <v>7895</v>
      </c>
      <c r="E6675" s="3">
        <v>4230</v>
      </c>
      <c r="F6675" s="3">
        <v>1473</v>
      </c>
      <c r="G6675" s="3">
        <v>0</v>
      </c>
      <c r="H6675" s="2">
        <f t="shared" si="208"/>
        <v>60132</v>
      </c>
      <c r="I6675" t="str">
        <f t="shared" si="209"/>
        <v>Sec11a_60132</v>
      </c>
      <c r="J6675" s="3">
        <v>46534</v>
      </c>
      <c r="K6675" s="3">
        <v>7895</v>
      </c>
      <c r="L6675" s="3">
        <v>4230</v>
      </c>
      <c r="M6675" s="3">
        <v>1473</v>
      </c>
      <c r="N6675" s="3">
        <v>0</v>
      </c>
    </row>
    <row r="6676" spans="1:14" x14ac:dyDescent="0.2">
      <c r="A6676" s="5" t="str">
        <f>HYPERLINK("http://www.ncbi.nlm.nih.gov/protein/29150272","Sec13")</f>
        <v>Sec13</v>
      </c>
      <c r="B6676" s="4"/>
      <c r="C6676" s="3">
        <v>1739</v>
      </c>
      <c r="D6676" s="3">
        <v>5265</v>
      </c>
      <c r="E6676" s="3">
        <v>7984</v>
      </c>
      <c r="F6676" s="3">
        <v>14071</v>
      </c>
      <c r="G6676" s="3">
        <v>29023</v>
      </c>
      <c r="H6676" s="2">
        <f t="shared" si="208"/>
        <v>58082</v>
      </c>
      <c r="I6676" t="str">
        <f t="shared" si="209"/>
        <v>Sec13_58082</v>
      </c>
      <c r="J6676" s="3">
        <v>1739</v>
      </c>
      <c r="K6676" s="3">
        <v>5265</v>
      </c>
      <c r="L6676" s="3">
        <v>7984</v>
      </c>
      <c r="M6676" s="3">
        <v>14071</v>
      </c>
      <c r="N6676" s="3">
        <v>29023</v>
      </c>
    </row>
    <row r="6677" spans="1:14" x14ac:dyDescent="0.2">
      <c r="A6677" s="5" t="str">
        <f>HYPERLINK("http://www.ncbi.nlm.nih.gov/protein/262073064","Sec14l1")</f>
        <v>Sec14l1</v>
      </c>
      <c r="B6677" s="4"/>
      <c r="C6677" s="3">
        <v>3661</v>
      </c>
      <c r="D6677" s="3">
        <v>0</v>
      </c>
      <c r="E6677" s="3">
        <v>2919</v>
      </c>
      <c r="F6677" s="3">
        <v>5984</v>
      </c>
      <c r="G6677" s="3">
        <v>0</v>
      </c>
      <c r="H6677" s="2">
        <f t="shared" si="208"/>
        <v>12564</v>
      </c>
      <c r="I6677" t="str">
        <f t="shared" si="209"/>
        <v>Sec14l1_12564</v>
      </c>
      <c r="J6677" s="3">
        <v>3661</v>
      </c>
      <c r="K6677" s="3">
        <v>0</v>
      </c>
      <c r="L6677" s="3">
        <v>2919</v>
      </c>
      <c r="M6677" s="3">
        <v>5984</v>
      </c>
      <c r="N6677" s="3">
        <v>0</v>
      </c>
    </row>
    <row r="6678" spans="1:14" x14ac:dyDescent="0.2">
      <c r="A6678" s="5" t="str">
        <f>HYPERLINK("http://www.ncbi.nlm.nih.gov/protein/262073066","Sec14l1")</f>
        <v>Sec14l1</v>
      </c>
      <c r="B6678" s="4"/>
      <c r="C6678" s="3">
        <v>3661</v>
      </c>
      <c r="D6678" s="3">
        <v>0</v>
      </c>
      <c r="E6678" s="3">
        <v>2919</v>
      </c>
      <c r="F6678" s="3">
        <v>5984</v>
      </c>
      <c r="G6678" s="3">
        <v>0</v>
      </c>
      <c r="H6678" s="2">
        <f t="shared" si="208"/>
        <v>12564</v>
      </c>
      <c r="I6678" t="str">
        <f t="shared" si="209"/>
        <v>Sec14l1_12564</v>
      </c>
      <c r="J6678" s="3">
        <v>3661</v>
      </c>
      <c r="K6678" s="3">
        <v>0</v>
      </c>
      <c r="L6678" s="3">
        <v>2919</v>
      </c>
      <c r="M6678" s="3">
        <v>5984</v>
      </c>
      <c r="N6678" s="3">
        <v>0</v>
      </c>
    </row>
    <row r="6679" spans="1:14" x14ac:dyDescent="0.2">
      <c r="A6679" s="5" t="str">
        <f>HYPERLINK("http://www.ncbi.nlm.nih.gov/protein/262073068","Sec14l1")</f>
        <v>Sec14l1</v>
      </c>
      <c r="B6679" s="4"/>
      <c r="C6679" s="3">
        <v>3661</v>
      </c>
      <c r="D6679" s="3">
        <v>0</v>
      </c>
      <c r="E6679" s="3">
        <v>2919</v>
      </c>
      <c r="F6679" s="3">
        <v>5984</v>
      </c>
      <c r="G6679" s="3">
        <v>0</v>
      </c>
      <c r="H6679" s="2">
        <f t="shared" si="208"/>
        <v>12564</v>
      </c>
      <c r="I6679" t="str">
        <f t="shared" si="209"/>
        <v>Sec14l1_12564</v>
      </c>
      <c r="J6679" s="3">
        <v>3661</v>
      </c>
      <c r="K6679" s="3">
        <v>0</v>
      </c>
      <c r="L6679" s="3">
        <v>2919</v>
      </c>
      <c r="M6679" s="3">
        <v>5984</v>
      </c>
      <c r="N6679" s="3">
        <v>0</v>
      </c>
    </row>
    <row r="6680" spans="1:14" x14ac:dyDescent="0.2">
      <c r="A6680" s="5" t="str">
        <f>HYPERLINK("http://www.ncbi.nlm.nih.gov/protein/189181692","Sec14l5")</f>
        <v>Sec14l5</v>
      </c>
      <c r="B6680" s="4"/>
      <c r="C6680" s="3">
        <v>0</v>
      </c>
      <c r="D6680" s="3">
        <v>0</v>
      </c>
      <c r="E6680" s="3">
        <v>597</v>
      </c>
      <c r="F6680" s="3">
        <v>0</v>
      </c>
      <c r="G6680" s="3">
        <v>0</v>
      </c>
      <c r="H6680" s="2">
        <f t="shared" si="208"/>
        <v>597</v>
      </c>
      <c r="I6680" t="str">
        <f t="shared" si="209"/>
        <v>Sec14l5_597</v>
      </c>
      <c r="J6680" s="3">
        <v>0</v>
      </c>
      <c r="K6680" s="3">
        <v>0</v>
      </c>
      <c r="L6680" s="3">
        <v>597</v>
      </c>
      <c r="M6680" s="3">
        <v>0</v>
      </c>
      <c r="N6680" s="3">
        <v>0</v>
      </c>
    </row>
    <row r="6681" spans="1:14" x14ac:dyDescent="0.2">
      <c r="A6681" s="5" t="str">
        <f>HYPERLINK("http://www.ncbi.nlm.nih.gov/protein/124378050","Sec16a")</f>
        <v>Sec16a</v>
      </c>
      <c r="B6681" s="4"/>
      <c r="C6681" s="3">
        <v>0</v>
      </c>
      <c r="D6681" s="3">
        <v>0</v>
      </c>
      <c r="E6681" s="3">
        <v>10</v>
      </c>
      <c r="F6681" s="3">
        <v>237</v>
      </c>
      <c r="G6681" s="3">
        <v>2110</v>
      </c>
      <c r="H6681" s="2">
        <f t="shared" si="208"/>
        <v>2357</v>
      </c>
      <c r="I6681" t="str">
        <f t="shared" si="209"/>
        <v>Sec16a_2357</v>
      </c>
      <c r="J6681" s="3">
        <v>0</v>
      </c>
      <c r="K6681" s="3">
        <v>0</v>
      </c>
      <c r="L6681" s="3">
        <v>10</v>
      </c>
      <c r="M6681" s="3">
        <v>237</v>
      </c>
      <c r="N6681" s="3">
        <v>2110</v>
      </c>
    </row>
    <row r="6682" spans="1:14" x14ac:dyDescent="0.2">
      <c r="A6682" s="5" t="str">
        <f>HYPERLINK("http://www.ncbi.nlm.nih.gov/protein/27819645","Sec22a")</f>
        <v>Sec22a</v>
      </c>
      <c r="B6682" s="4"/>
      <c r="C6682" s="3">
        <v>0</v>
      </c>
      <c r="D6682" s="3">
        <v>670</v>
      </c>
      <c r="E6682" s="3">
        <v>0</v>
      </c>
      <c r="F6682" s="3">
        <v>0</v>
      </c>
      <c r="G6682" s="3">
        <v>0</v>
      </c>
      <c r="H6682" s="2">
        <f t="shared" si="208"/>
        <v>670</v>
      </c>
      <c r="I6682" t="str">
        <f t="shared" si="209"/>
        <v>Sec22a_670</v>
      </c>
      <c r="J6682" s="3">
        <v>0</v>
      </c>
      <c r="K6682" s="3">
        <v>670</v>
      </c>
      <c r="L6682" s="3">
        <v>0</v>
      </c>
      <c r="M6682" s="3">
        <v>0</v>
      </c>
      <c r="N6682" s="3">
        <v>0</v>
      </c>
    </row>
    <row r="6683" spans="1:14" x14ac:dyDescent="0.2">
      <c r="A6683" s="5" t="str">
        <f>HYPERLINK("http://www.ncbi.nlm.nih.gov/protein/6755448","Sec22b")</f>
        <v>Sec22b</v>
      </c>
      <c r="B6683" s="4"/>
      <c r="C6683" s="3">
        <v>81315</v>
      </c>
      <c r="D6683" s="3">
        <v>16303</v>
      </c>
      <c r="E6683" s="3">
        <v>21741</v>
      </c>
      <c r="F6683" s="3">
        <v>19760</v>
      </c>
      <c r="G6683" s="3">
        <v>450</v>
      </c>
      <c r="H6683" s="2">
        <f t="shared" si="208"/>
        <v>139569</v>
      </c>
      <c r="I6683" t="str">
        <f t="shared" si="209"/>
        <v>Sec22b_139569</v>
      </c>
      <c r="J6683" s="3">
        <v>81315</v>
      </c>
      <c r="K6683" s="3">
        <v>16303</v>
      </c>
      <c r="L6683" s="3">
        <v>21741</v>
      </c>
      <c r="M6683" s="3">
        <v>19760</v>
      </c>
      <c r="N6683" s="3">
        <v>450</v>
      </c>
    </row>
    <row r="6684" spans="1:14" x14ac:dyDescent="0.2">
      <c r="A6684" s="5" t="str">
        <f>HYPERLINK("http://www.ncbi.nlm.nih.gov/protein/67906177","Sec23a")</f>
        <v>Sec23a</v>
      </c>
      <c r="B6684" s="4"/>
      <c r="C6684" s="3">
        <v>4943</v>
      </c>
      <c r="D6684" s="3">
        <v>8868</v>
      </c>
      <c r="E6684" s="3">
        <v>19762</v>
      </c>
      <c r="F6684" s="3">
        <v>22952</v>
      </c>
      <c r="G6684" s="3">
        <v>12969</v>
      </c>
      <c r="H6684" s="2">
        <f t="shared" si="208"/>
        <v>69494</v>
      </c>
      <c r="I6684" t="str">
        <f t="shared" si="209"/>
        <v>Sec23a_69494</v>
      </c>
      <c r="J6684" s="3">
        <v>4943</v>
      </c>
      <c r="K6684" s="3">
        <v>8868</v>
      </c>
      <c r="L6684" s="3">
        <v>19762</v>
      </c>
      <c r="M6684" s="3">
        <v>22952</v>
      </c>
      <c r="N6684" s="3">
        <v>12969</v>
      </c>
    </row>
    <row r="6685" spans="1:14" x14ac:dyDescent="0.2">
      <c r="A6685" s="5" t="str">
        <f>HYPERLINK("http://www.ncbi.nlm.nih.gov/protein/529250183","Sec23b")</f>
        <v>Sec23b</v>
      </c>
      <c r="B6685" s="4"/>
      <c r="C6685" s="3">
        <v>3972</v>
      </c>
      <c r="D6685" s="3">
        <v>0</v>
      </c>
      <c r="E6685" s="3">
        <v>0</v>
      </c>
      <c r="F6685" s="3">
        <v>0</v>
      </c>
      <c r="G6685" s="3">
        <v>0</v>
      </c>
      <c r="H6685" s="2">
        <f t="shared" si="208"/>
        <v>3972</v>
      </c>
      <c r="I6685" t="str">
        <f t="shared" si="209"/>
        <v>Sec23b_3972</v>
      </c>
      <c r="J6685" s="3">
        <v>3972</v>
      </c>
      <c r="K6685" s="3">
        <v>0</v>
      </c>
      <c r="L6685" s="3">
        <v>0</v>
      </c>
      <c r="M6685" s="3">
        <v>0</v>
      </c>
      <c r="N6685" s="3">
        <v>0</v>
      </c>
    </row>
    <row r="6686" spans="1:14" x14ac:dyDescent="0.2">
      <c r="A6686" s="5" t="str">
        <f>HYPERLINK("http://www.ncbi.nlm.nih.gov/protein/357527456;31980969","Sec23b")</f>
        <v>Sec23b</v>
      </c>
      <c r="B6686" s="4"/>
      <c r="C6686" s="3">
        <v>0</v>
      </c>
      <c r="D6686" s="3">
        <v>0</v>
      </c>
      <c r="E6686" s="3">
        <v>23909</v>
      </c>
      <c r="F6686" s="3">
        <v>0</v>
      </c>
      <c r="G6686" s="3">
        <v>0</v>
      </c>
      <c r="H6686" s="2">
        <f t="shared" si="208"/>
        <v>23909</v>
      </c>
      <c r="I6686" t="str">
        <f t="shared" si="209"/>
        <v>Sec23b_23909</v>
      </c>
      <c r="J6686" s="3">
        <v>0</v>
      </c>
      <c r="K6686" s="3">
        <v>0</v>
      </c>
      <c r="L6686" s="3">
        <v>23909</v>
      </c>
      <c r="M6686" s="3">
        <v>0</v>
      </c>
      <c r="N6686" s="3">
        <v>0</v>
      </c>
    </row>
    <row r="6687" spans="1:14" x14ac:dyDescent="0.2">
      <c r="A6687" s="5" t="str">
        <f>HYPERLINK("http://www.ncbi.nlm.nih.gov/protein/31980969","Sec23b")</f>
        <v>Sec23b</v>
      </c>
      <c r="B6687" s="4"/>
      <c r="C6687" s="3">
        <v>5565</v>
      </c>
      <c r="D6687" s="3">
        <v>8317</v>
      </c>
      <c r="E6687" s="3">
        <v>0</v>
      </c>
      <c r="F6687" s="3">
        <v>43187</v>
      </c>
      <c r="G6687" s="3">
        <v>10078</v>
      </c>
      <c r="H6687" s="2">
        <f t="shared" si="208"/>
        <v>67147</v>
      </c>
      <c r="I6687" t="str">
        <f t="shared" si="209"/>
        <v>Sec23b_67147</v>
      </c>
      <c r="J6687" s="3">
        <v>5565</v>
      </c>
      <c r="K6687" s="3">
        <v>8317</v>
      </c>
      <c r="L6687" s="3">
        <v>0</v>
      </c>
      <c r="M6687" s="3">
        <v>43187</v>
      </c>
      <c r="N6687" s="3">
        <v>10078</v>
      </c>
    </row>
    <row r="6688" spans="1:14" x14ac:dyDescent="0.2">
      <c r="A6688" s="5" t="str">
        <f>HYPERLINK("http://www.ncbi.nlm.nih.gov/protein/254692911","Sec23ip")</f>
        <v>Sec23ip</v>
      </c>
      <c r="B6688" s="4"/>
      <c r="C6688" s="3">
        <v>0</v>
      </c>
      <c r="D6688" s="3">
        <v>0</v>
      </c>
      <c r="E6688" s="3">
        <v>3538</v>
      </c>
      <c r="F6688" s="3">
        <v>2701</v>
      </c>
      <c r="G6688" s="3">
        <v>2174</v>
      </c>
      <c r="H6688" s="2">
        <f t="shared" si="208"/>
        <v>8413</v>
      </c>
      <c r="I6688" t="str">
        <f t="shared" si="209"/>
        <v>Sec23ip_8413</v>
      </c>
      <c r="J6688" s="3">
        <v>0</v>
      </c>
      <c r="K6688" s="3">
        <v>0</v>
      </c>
      <c r="L6688" s="3">
        <v>3538</v>
      </c>
      <c r="M6688" s="3">
        <v>2701</v>
      </c>
      <c r="N6688" s="3">
        <v>2174</v>
      </c>
    </row>
    <row r="6689" spans="1:14" x14ac:dyDescent="0.2">
      <c r="A6689" s="5" t="str">
        <f>HYPERLINK("http://www.ncbi.nlm.nih.gov/protein/116174774","Sec24a")</f>
        <v>Sec24a</v>
      </c>
      <c r="B6689" s="4"/>
      <c r="C6689" s="3">
        <v>0</v>
      </c>
      <c r="D6689" s="3">
        <v>0</v>
      </c>
      <c r="E6689" s="3">
        <v>22</v>
      </c>
      <c r="F6689" s="3">
        <v>0</v>
      </c>
      <c r="G6689" s="3">
        <v>1360</v>
      </c>
      <c r="H6689" s="2">
        <f t="shared" si="208"/>
        <v>1382</v>
      </c>
      <c r="I6689" t="str">
        <f t="shared" si="209"/>
        <v>Sec24a_1382</v>
      </c>
      <c r="J6689" s="3">
        <v>0</v>
      </c>
      <c r="K6689" s="3">
        <v>0</v>
      </c>
      <c r="L6689" s="3">
        <v>22</v>
      </c>
      <c r="M6689" s="3">
        <v>0</v>
      </c>
      <c r="N6689" s="3">
        <v>1360</v>
      </c>
    </row>
    <row r="6690" spans="1:14" x14ac:dyDescent="0.2">
      <c r="A6690" s="5" t="str">
        <f>HYPERLINK("http://www.ncbi.nlm.nih.gov/protein/46402179","Sec24b")</f>
        <v>Sec24b</v>
      </c>
      <c r="B6690" s="4"/>
      <c r="C6690" s="3">
        <v>275</v>
      </c>
      <c r="D6690" s="3">
        <v>353</v>
      </c>
      <c r="E6690" s="3">
        <v>1569</v>
      </c>
      <c r="F6690" s="3">
        <v>5370</v>
      </c>
      <c r="G6690" s="3">
        <v>2067</v>
      </c>
      <c r="H6690" s="2">
        <f t="shared" si="208"/>
        <v>9634</v>
      </c>
      <c r="I6690" t="str">
        <f t="shared" si="209"/>
        <v>Sec24b_9634</v>
      </c>
      <c r="J6690" s="3">
        <v>275</v>
      </c>
      <c r="K6690" s="3">
        <v>353</v>
      </c>
      <c r="L6690" s="3">
        <v>1569</v>
      </c>
      <c r="M6690" s="3">
        <v>5370</v>
      </c>
      <c r="N6690" s="3">
        <v>2067</v>
      </c>
    </row>
    <row r="6691" spans="1:14" x14ac:dyDescent="0.2">
      <c r="A6691" s="5" t="str">
        <f>HYPERLINK("http://www.ncbi.nlm.nih.gov/protein/269954698","Sec24c")</f>
        <v>Sec24c</v>
      </c>
      <c r="B6691" s="4"/>
      <c r="C6691" s="3">
        <v>183</v>
      </c>
      <c r="D6691" s="3">
        <v>65</v>
      </c>
      <c r="E6691" s="3">
        <v>10375</v>
      </c>
      <c r="F6691" s="3">
        <v>2668</v>
      </c>
      <c r="G6691" s="3">
        <v>36798</v>
      </c>
      <c r="H6691" s="2">
        <f t="shared" si="208"/>
        <v>50089</v>
      </c>
      <c r="I6691" t="str">
        <f t="shared" si="209"/>
        <v>Sec24c_50089</v>
      </c>
      <c r="J6691" s="3">
        <v>183</v>
      </c>
      <c r="K6691" s="3">
        <v>65</v>
      </c>
      <c r="L6691" s="3">
        <v>10375</v>
      </c>
      <c r="M6691" s="3">
        <v>2668</v>
      </c>
      <c r="N6691" s="3">
        <v>36798</v>
      </c>
    </row>
    <row r="6692" spans="1:14" x14ac:dyDescent="0.2">
      <c r="A6692" s="5" t="str">
        <f>HYPERLINK("http://www.ncbi.nlm.nih.gov/protein/269954700","Sec24c")</f>
        <v>Sec24c</v>
      </c>
      <c r="B6692" s="4"/>
      <c r="C6692" s="3">
        <v>183</v>
      </c>
      <c r="D6692" s="3">
        <v>65</v>
      </c>
      <c r="E6692" s="3">
        <v>10375</v>
      </c>
      <c r="F6692" s="3">
        <v>2668</v>
      </c>
      <c r="G6692" s="3">
        <v>36798</v>
      </c>
      <c r="H6692" s="2">
        <f t="shared" si="208"/>
        <v>50089</v>
      </c>
      <c r="I6692" t="str">
        <f t="shared" si="209"/>
        <v>Sec24c_50089</v>
      </c>
      <c r="J6692" s="3">
        <v>183</v>
      </c>
      <c r="K6692" s="3">
        <v>65</v>
      </c>
      <c r="L6692" s="3">
        <v>10375</v>
      </c>
      <c r="M6692" s="3">
        <v>2668</v>
      </c>
      <c r="N6692" s="3">
        <v>36798</v>
      </c>
    </row>
    <row r="6693" spans="1:14" x14ac:dyDescent="0.2">
      <c r="A6693" s="5" t="str">
        <f>HYPERLINK("http://www.ncbi.nlm.nih.gov/protein/46560565","Sec24d")</f>
        <v>Sec24d</v>
      </c>
      <c r="B6693" s="4"/>
      <c r="C6693" s="3">
        <v>0</v>
      </c>
      <c r="D6693" s="3">
        <v>0</v>
      </c>
      <c r="E6693" s="3">
        <v>236</v>
      </c>
      <c r="F6693" s="3">
        <v>0</v>
      </c>
      <c r="G6693" s="3">
        <v>1756</v>
      </c>
      <c r="H6693" s="2">
        <f t="shared" si="208"/>
        <v>1992</v>
      </c>
      <c r="I6693" t="str">
        <f t="shared" si="209"/>
        <v>Sec24d_1992</v>
      </c>
      <c r="J6693" s="3">
        <v>0</v>
      </c>
      <c r="K6693" s="3">
        <v>0</v>
      </c>
      <c r="L6693" s="3">
        <v>236</v>
      </c>
      <c r="M6693" s="3">
        <v>0</v>
      </c>
      <c r="N6693" s="3">
        <v>1756</v>
      </c>
    </row>
    <row r="6694" spans="1:14" x14ac:dyDescent="0.2">
      <c r="A6694" s="5" t="str">
        <f>HYPERLINK("http://www.ncbi.nlm.nih.gov/protein/244791271","Sec31a")</f>
        <v>Sec31a</v>
      </c>
      <c r="B6694" s="4"/>
      <c r="C6694" s="3">
        <v>19880</v>
      </c>
      <c r="D6694" s="3">
        <v>4693</v>
      </c>
      <c r="E6694" s="3">
        <v>20274</v>
      </c>
      <c r="F6694" s="3">
        <v>13711</v>
      </c>
      <c r="G6694" s="3">
        <v>50892</v>
      </c>
      <c r="H6694" s="2">
        <f t="shared" si="208"/>
        <v>109450</v>
      </c>
      <c r="I6694" t="str">
        <f t="shared" si="209"/>
        <v>Sec31a_109450</v>
      </c>
      <c r="J6694" s="3">
        <v>19880</v>
      </c>
      <c r="K6694" s="3">
        <v>4693</v>
      </c>
      <c r="L6694" s="3">
        <v>20274</v>
      </c>
      <c r="M6694" s="3">
        <v>13711</v>
      </c>
      <c r="N6694" s="3">
        <v>50892</v>
      </c>
    </row>
    <row r="6695" spans="1:14" x14ac:dyDescent="0.2">
      <c r="A6695" s="5" t="str">
        <f>HYPERLINK("http://www.ncbi.nlm.nih.gov/protein/133504851","Sec31b")</f>
        <v>Sec31b</v>
      </c>
      <c r="B6695" s="4"/>
      <c r="C6695" s="3">
        <v>33573</v>
      </c>
      <c r="D6695" s="3">
        <v>624</v>
      </c>
      <c r="E6695" s="3">
        <v>136</v>
      </c>
      <c r="F6695" s="3">
        <v>0</v>
      </c>
      <c r="G6695" s="3">
        <v>407</v>
      </c>
      <c r="H6695" s="2">
        <f t="shared" si="208"/>
        <v>34740</v>
      </c>
      <c r="I6695" t="str">
        <f t="shared" si="209"/>
        <v>Sec31b_34740</v>
      </c>
      <c r="J6695" s="3">
        <v>33573</v>
      </c>
      <c r="K6695" s="3">
        <v>624</v>
      </c>
      <c r="L6695" s="3">
        <v>136</v>
      </c>
      <c r="M6695" s="3">
        <v>0</v>
      </c>
      <c r="N6695" s="3">
        <v>407</v>
      </c>
    </row>
    <row r="6696" spans="1:14" x14ac:dyDescent="0.2">
      <c r="A6696" s="5" t="str">
        <f>HYPERLINK("http://www.ncbi.nlm.nih.gov/protein/8394252","Sec61a1")</f>
        <v>Sec61a1</v>
      </c>
      <c r="B6696" s="4"/>
      <c r="C6696" s="3">
        <v>11661</v>
      </c>
      <c r="D6696" s="3">
        <v>0</v>
      </c>
      <c r="E6696" s="3">
        <v>8123</v>
      </c>
      <c r="F6696" s="3">
        <v>671</v>
      </c>
      <c r="G6696" s="3">
        <v>0</v>
      </c>
      <c r="H6696" s="2">
        <f t="shared" si="208"/>
        <v>20455</v>
      </c>
      <c r="I6696" t="str">
        <f t="shared" si="209"/>
        <v>Sec61a1_20455</v>
      </c>
      <c r="J6696" s="3">
        <v>11661</v>
      </c>
      <c r="K6696" s="3">
        <v>0</v>
      </c>
      <c r="L6696" s="3">
        <v>8123</v>
      </c>
      <c r="M6696" s="3">
        <v>671</v>
      </c>
      <c r="N6696" s="3">
        <v>0</v>
      </c>
    </row>
    <row r="6697" spans="1:14" x14ac:dyDescent="0.2">
      <c r="A6697" s="5" t="str">
        <f>HYPERLINK("http://www.ncbi.nlm.nih.gov/protein/10946604","Sec61a2")</f>
        <v>Sec61a2</v>
      </c>
      <c r="B6697" s="4"/>
      <c r="C6697" s="3">
        <v>0</v>
      </c>
      <c r="D6697" s="3">
        <v>0</v>
      </c>
      <c r="E6697" s="3">
        <v>3168</v>
      </c>
      <c r="F6697" s="3">
        <v>0</v>
      </c>
      <c r="G6697" s="3">
        <v>0</v>
      </c>
      <c r="H6697" s="2">
        <f t="shared" si="208"/>
        <v>3168</v>
      </c>
      <c r="I6697" t="str">
        <f t="shared" si="209"/>
        <v>Sec61a2_3168</v>
      </c>
      <c r="J6697" s="3">
        <v>0</v>
      </c>
      <c r="K6697" s="3">
        <v>0</v>
      </c>
      <c r="L6697" s="3">
        <v>3168</v>
      </c>
      <c r="M6697" s="3">
        <v>0</v>
      </c>
      <c r="N6697" s="3">
        <v>0</v>
      </c>
    </row>
    <row r="6698" spans="1:14" x14ac:dyDescent="0.2">
      <c r="A6698" s="5" t="str">
        <f>HYPERLINK("http://www.ncbi.nlm.nih.gov/protein/13324684","Sec61b")</f>
        <v>Sec61b</v>
      </c>
      <c r="B6698" s="4"/>
      <c r="C6698" s="3">
        <v>9391</v>
      </c>
      <c r="D6698" s="3">
        <v>1482</v>
      </c>
      <c r="E6698" s="3">
        <v>2662</v>
      </c>
      <c r="F6698" s="3">
        <v>729</v>
      </c>
      <c r="G6698" s="3">
        <v>0</v>
      </c>
      <c r="H6698" s="2">
        <f t="shared" si="208"/>
        <v>14264</v>
      </c>
      <c r="I6698" t="str">
        <f t="shared" si="209"/>
        <v>Sec61b_14264</v>
      </c>
      <c r="J6698" s="3">
        <v>9391</v>
      </c>
      <c r="K6698" s="3">
        <v>1482</v>
      </c>
      <c r="L6698" s="3">
        <v>2662</v>
      </c>
      <c r="M6698" s="3">
        <v>729</v>
      </c>
      <c r="N6698" s="3">
        <v>0</v>
      </c>
    </row>
    <row r="6699" spans="1:14" x14ac:dyDescent="0.2">
      <c r="A6699" s="5" t="str">
        <f>HYPERLINK("http://www.ncbi.nlm.nih.gov/protein/39930429","Sec62")</f>
        <v>Sec62</v>
      </c>
      <c r="B6699" s="4"/>
      <c r="C6699" s="3">
        <v>22040</v>
      </c>
      <c r="D6699" s="3">
        <v>2244</v>
      </c>
      <c r="E6699" s="3">
        <v>7321</v>
      </c>
      <c r="F6699" s="3">
        <v>98</v>
      </c>
      <c r="G6699" s="3">
        <v>0</v>
      </c>
      <c r="H6699" s="2">
        <f t="shared" si="208"/>
        <v>31703</v>
      </c>
      <c r="I6699" t="str">
        <f t="shared" si="209"/>
        <v>Sec62_31703</v>
      </c>
      <c r="J6699" s="3">
        <v>22040</v>
      </c>
      <c r="K6699" s="3">
        <v>2244</v>
      </c>
      <c r="L6699" s="3">
        <v>7321</v>
      </c>
      <c r="M6699" s="3">
        <v>98</v>
      </c>
      <c r="N6699" s="3">
        <v>0</v>
      </c>
    </row>
    <row r="6700" spans="1:14" x14ac:dyDescent="0.2">
      <c r="A6700" s="5" t="str">
        <f>HYPERLINK("http://www.ncbi.nlm.nih.gov/protein/158937300","Sec63")</f>
        <v>Sec63</v>
      </c>
      <c r="B6700" s="4"/>
      <c r="C6700" s="3">
        <v>0</v>
      </c>
      <c r="D6700" s="3">
        <v>1714</v>
      </c>
      <c r="E6700" s="3">
        <v>12163</v>
      </c>
      <c r="F6700" s="3">
        <v>0</v>
      </c>
      <c r="G6700" s="3">
        <v>0</v>
      </c>
      <c r="H6700" s="2">
        <f t="shared" si="208"/>
        <v>13877</v>
      </c>
      <c r="I6700" t="str">
        <f t="shared" si="209"/>
        <v>Sec63_13877</v>
      </c>
      <c r="J6700" s="3">
        <v>0</v>
      </c>
      <c r="K6700" s="3">
        <v>1714</v>
      </c>
      <c r="L6700" s="3">
        <v>12163</v>
      </c>
      <c r="M6700" s="3">
        <v>0</v>
      </c>
      <c r="N6700" s="3">
        <v>0</v>
      </c>
    </row>
    <row r="6701" spans="1:14" x14ac:dyDescent="0.2">
      <c r="A6701" s="5" t="str">
        <f>HYPERLINK("http://www.ncbi.nlm.nih.gov/protein/20532338","Seh1l")</f>
        <v>Seh1l</v>
      </c>
      <c r="B6701" s="4"/>
      <c r="C6701" s="3">
        <v>0</v>
      </c>
      <c r="D6701" s="3">
        <v>0</v>
      </c>
      <c r="E6701" s="3">
        <v>467</v>
      </c>
      <c r="F6701" s="3">
        <v>3070</v>
      </c>
      <c r="G6701" s="3">
        <v>0</v>
      </c>
      <c r="H6701" s="2">
        <f t="shared" si="208"/>
        <v>3537</v>
      </c>
      <c r="I6701" t="str">
        <f t="shared" si="209"/>
        <v>Seh1l_3537</v>
      </c>
      <c r="J6701" s="3">
        <v>0</v>
      </c>
      <c r="K6701" s="3">
        <v>0</v>
      </c>
      <c r="L6701" s="3">
        <v>467</v>
      </c>
      <c r="M6701" s="3">
        <v>3070</v>
      </c>
      <c r="N6701" s="3">
        <v>0</v>
      </c>
    </row>
    <row r="6702" spans="1:14" x14ac:dyDescent="0.2">
      <c r="A6702" s="5" t="str">
        <f>HYPERLINK("http://www.ncbi.nlm.nih.gov/protein/84875515","Seh1l")</f>
        <v>Seh1l</v>
      </c>
      <c r="B6702" s="4"/>
      <c r="C6702" s="3">
        <v>0</v>
      </c>
      <c r="D6702" s="3">
        <v>0</v>
      </c>
      <c r="E6702" s="3">
        <v>467</v>
      </c>
      <c r="F6702" s="3">
        <v>3070</v>
      </c>
      <c r="G6702" s="3">
        <v>0</v>
      </c>
      <c r="H6702" s="2">
        <f t="shared" si="208"/>
        <v>3537</v>
      </c>
      <c r="I6702" t="str">
        <f t="shared" si="209"/>
        <v>Seh1l_3537</v>
      </c>
      <c r="J6702" s="3">
        <v>0</v>
      </c>
      <c r="K6702" s="3">
        <v>0</v>
      </c>
      <c r="L6702" s="3">
        <v>467</v>
      </c>
      <c r="M6702" s="3">
        <v>3070</v>
      </c>
      <c r="N6702" s="3">
        <v>0</v>
      </c>
    </row>
    <row r="6703" spans="1:14" x14ac:dyDescent="0.2">
      <c r="A6703" s="5" t="str">
        <f>HYPERLINK("http://www.ncbi.nlm.nih.gov/protein/46309573","Sel1l")</f>
        <v>Sel1l</v>
      </c>
      <c r="B6703" s="4"/>
      <c r="C6703" s="3">
        <v>2435</v>
      </c>
      <c r="D6703" s="3">
        <v>1194</v>
      </c>
      <c r="E6703" s="3">
        <v>214</v>
      </c>
      <c r="F6703" s="3">
        <v>0</v>
      </c>
      <c r="G6703" s="3">
        <v>0</v>
      </c>
      <c r="H6703" s="2">
        <f t="shared" si="208"/>
        <v>3843</v>
      </c>
      <c r="I6703" t="str">
        <f t="shared" si="209"/>
        <v>Sel1l_3843</v>
      </c>
      <c r="J6703" s="3">
        <v>2435</v>
      </c>
      <c r="K6703" s="3">
        <v>1194</v>
      </c>
      <c r="L6703" s="3">
        <v>214</v>
      </c>
      <c r="M6703" s="3">
        <v>0</v>
      </c>
      <c r="N6703" s="3">
        <v>0</v>
      </c>
    </row>
    <row r="6704" spans="1:14" x14ac:dyDescent="0.2">
      <c r="A6704" s="5" t="str">
        <f>HYPERLINK("http://www.ncbi.nlm.nih.gov/protein/84875513","Sel1l")</f>
        <v>Sel1l</v>
      </c>
      <c r="B6704" s="4"/>
      <c r="C6704" s="3">
        <v>2435</v>
      </c>
      <c r="D6704" s="3">
        <v>1194</v>
      </c>
      <c r="E6704" s="3">
        <v>214</v>
      </c>
      <c r="F6704" s="3">
        <v>0</v>
      </c>
      <c r="G6704" s="3">
        <v>0</v>
      </c>
      <c r="H6704" s="2">
        <f t="shared" si="208"/>
        <v>3843</v>
      </c>
      <c r="I6704" t="str">
        <f t="shared" si="209"/>
        <v>Sel1l_3843</v>
      </c>
      <c r="J6704" s="3">
        <v>2435</v>
      </c>
      <c r="K6704" s="3">
        <v>1194</v>
      </c>
      <c r="L6704" s="3">
        <v>214</v>
      </c>
      <c r="M6704" s="3">
        <v>0</v>
      </c>
      <c r="N6704" s="3">
        <v>0</v>
      </c>
    </row>
    <row r="6705" spans="1:14" x14ac:dyDescent="0.2">
      <c r="A6705" s="5" t="str">
        <f>HYPERLINK("http://www.ncbi.nlm.nih.gov/protein/22164798","Selenbp1")</f>
        <v>Selenbp1</v>
      </c>
      <c r="B6705" s="4"/>
      <c r="C6705" s="3">
        <v>2984</v>
      </c>
      <c r="D6705" s="3">
        <v>34064</v>
      </c>
      <c r="E6705" s="3">
        <v>40006</v>
      </c>
      <c r="F6705" s="3">
        <v>23828</v>
      </c>
      <c r="G6705" s="3">
        <v>643116</v>
      </c>
      <c r="H6705" s="2">
        <f t="shared" si="208"/>
        <v>743998</v>
      </c>
      <c r="I6705" t="str">
        <f t="shared" si="209"/>
        <v>Selenbp1_743998</v>
      </c>
      <c r="J6705" s="3">
        <v>2984</v>
      </c>
      <c r="K6705" s="3">
        <v>34064</v>
      </c>
      <c r="L6705" s="3">
        <v>40006</v>
      </c>
      <c r="M6705" s="3">
        <v>23828</v>
      </c>
      <c r="N6705" s="3">
        <v>643116</v>
      </c>
    </row>
    <row r="6706" spans="1:14" x14ac:dyDescent="0.2">
      <c r="A6706" s="5" t="str">
        <f>HYPERLINK("http://www.ncbi.nlm.nih.gov/protein/9507079","Selenbp2")</f>
        <v>Selenbp2</v>
      </c>
      <c r="B6706" s="4"/>
      <c r="C6706" s="3">
        <v>2984</v>
      </c>
      <c r="D6706" s="3">
        <v>27605</v>
      </c>
      <c r="E6706" s="3">
        <v>31678</v>
      </c>
      <c r="F6706" s="3">
        <v>18082</v>
      </c>
      <c r="G6706" s="3">
        <v>643363</v>
      </c>
      <c r="H6706" s="2">
        <f t="shared" si="208"/>
        <v>723712</v>
      </c>
      <c r="I6706" t="str">
        <f t="shared" si="209"/>
        <v>Selenbp2_723712</v>
      </c>
      <c r="J6706" s="3">
        <v>2984</v>
      </c>
      <c r="K6706" s="3">
        <v>27605</v>
      </c>
      <c r="L6706" s="3">
        <v>31678</v>
      </c>
      <c r="M6706" s="3">
        <v>18082</v>
      </c>
      <c r="N6706" s="3">
        <v>643363</v>
      </c>
    </row>
    <row r="6707" spans="1:14" x14ac:dyDescent="0.2">
      <c r="A6707" s="5" t="str">
        <f>HYPERLINK("http://www.ncbi.nlm.nih.gov/protein/111119001","Selk")</f>
        <v>Selk</v>
      </c>
      <c r="B6707" s="4"/>
      <c r="C6707" s="3">
        <v>0</v>
      </c>
      <c r="D6707" s="3">
        <v>202</v>
      </c>
      <c r="E6707" s="3">
        <v>63</v>
      </c>
      <c r="F6707" s="3">
        <v>0</v>
      </c>
      <c r="G6707" s="3">
        <v>0</v>
      </c>
      <c r="H6707" s="2">
        <f t="shared" si="208"/>
        <v>265</v>
      </c>
      <c r="I6707" t="str">
        <f t="shared" si="209"/>
        <v>Selk_265</v>
      </c>
      <c r="J6707" s="3">
        <v>0</v>
      </c>
      <c r="K6707" s="3">
        <v>202</v>
      </c>
      <c r="L6707" s="3">
        <v>63</v>
      </c>
      <c r="M6707" s="3">
        <v>0</v>
      </c>
      <c r="N6707" s="3">
        <v>0</v>
      </c>
    </row>
    <row r="6708" spans="1:14" x14ac:dyDescent="0.2">
      <c r="A6708" s="5" t="str">
        <f>HYPERLINK("http://www.ncbi.nlm.nih.gov/protein/81295807","Selo")</f>
        <v>Selo</v>
      </c>
      <c r="B6708" s="4"/>
      <c r="C6708" s="3">
        <v>0</v>
      </c>
      <c r="D6708" s="3">
        <v>804</v>
      </c>
      <c r="E6708" s="3">
        <v>0</v>
      </c>
      <c r="F6708" s="3">
        <v>0</v>
      </c>
      <c r="G6708" s="3">
        <v>7871</v>
      </c>
      <c r="H6708" s="2">
        <f t="shared" si="208"/>
        <v>8675</v>
      </c>
      <c r="I6708" t="str">
        <f t="shared" si="209"/>
        <v>Selo_8675</v>
      </c>
      <c r="J6708" s="3">
        <v>0</v>
      </c>
      <c r="K6708" s="3">
        <v>804</v>
      </c>
      <c r="L6708" s="3">
        <v>0</v>
      </c>
      <c r="M6708" s="3">
        <v>0</v>
      </c>
      <c r="N6708" s="3">
        <v>7871</v>
      </c>
    </row>
    <row r="6709" spans="1:14" x14ac:dyDescent="0.2">
      <c r="A6709" s="5" t="str">
        <f>HYPERLINK("http://www.ncbi.nlm.nih.gov/protein/143770878","Selt")</f>
        <v>Selt</v>
      </c>
      <c r="B6709" s="4"/>
      <c r="C6709" s="3">
        <v>4503</v>
      </c>
      <c r="D6709" s="3">
        <v>1509</v>
      </c>
      <c r="E6709" s="3">
        <v>972</v>
      </c>
      <c r="F6709" s="3">
        <v>180</v>
      </c>
      <c r="G6709" s="3">
        <v>0</v>
      </c>
      <c r="H6709" s="2">
        <f t="shared" si="208"/>
        <v>7164</v>
      </c>
      <c r="I6709" t="str">
        <f t="shared" si="209"/>
        <v>Selt_7164</v>
      </c>
      <c r="J6709" s="3">
        <v>4503</v>
      </c>
      <c r="K6709" s="3">
        <v>1509</v>
      </c>
      <c r="L6709" s="3">
        <v>972</v>
      </c>
      <c r="M6709" s="3">
        <v>180</v>
      </c>
      <c r="N6709" s="3">
        <v>0</v>
      </c>
    </row>
    <row r="6710" spans="1:14" x14ac:dyDescent="0.2">
      <c r="A6710" s="5" t="str">
        <f>HYPERLINK("http://www.ncbi.nlm.nih.gov/protein/46048361","Sema3c")</f>
        <v>Sema3c</v>
      </c>
      <c r="B6710" s="4"/>
      <c r="C6710" s="3">
        <v>0</v>
      </c>
      <c r="D6710" s="3">
        <v>13</v>
      </c>
      <c r="E6710" s="3">
        <v>0</v>
      </c>
      <c r="F6710" s="3">
        <v>0</v>
      </c>
      <c r="G6710" s="3">
        <v>0</v>
      </c>
      <c r="H6710" s="2">
        <f t="shared" si="208"/>
        <v>13</v>
      </c>
      <c r="I6710" t="str">
        <f t="shared" si="209"/>
        <v>Sema3c_13</v>
      </c>
      <c r="J6710" s="3">
        <v>0</v>
      </c>
      <c r="K6710" s="3">
        <v>13</v>
      </c>
      <c r="L6710" s="3">
        <v>0</v>
      </c>
      <c r="M6710" s="3">
        <v>0</v>
      </c>
      <c r="N6710" s="3">
        <v>0</v>
      </c>
    </row>
    <row r="6711" spans="1:14" x14ac:dyDescent="0.2">
      <c r="A6711" s="5" t="str">
        <f>HYPERLINK("http://www.ncbi.nlm.nih.gov/protein/110625636","Sema4b")</f>
        <v>Sema4b</v>
      </c>
      <c r="B6711" s="4"/>
      <c r="C6711" s="3">
        <v>0</v>
      </c>
      <c r="D6711" s="3">
        <v>61</v>
      </c>
      <c r="E6711" s="3">
        <v>0</v>
      </c>
      <c r="F6711" s="3">
        <v>0</v>
      </c>
      <c r="G6711" s="3">
        <v>0</v>
      </c>
      <c r="H6711" s="2">
        <f t="shared" si="208"/>
        <v>61</v>
      </c>
      <c r="I6711" t="str">
        <f t="shared" si="209"/>
        <v>Sema4b_61</v>
      </c>
      <c r="J6711" s="3">
        <v>0</v>
      </c>
      <c r="K6711" s="3">
        <v>61</v>
      </c>
      <c r="L6711" s="3">
        <v>0</v>
      </c>
      <c r="M6711" s="3">
        <v>0</v>
      </c>
      <c r="N6711" s="3">
        <v>0</v>
      </c>
    </row>
    <row r="6712" spans="1:14" x14ac:dyDescent="0.2">
      <c r="A6712" s="5" t="str">
        <f>HYPERLINK("http://www.ncbi.nlm.nih.gov/protein/530232771","Sema4d")</f>
        <v>Sema4d</v>
      </c>
      <c r="B6712" s="4"/>
      <c r="C6712" s="3">
        <v>50946</v>
      </c>
      <c r="D6712" s="3">
        <v>0</v>
      </c>
      <c r="E6712" s="3">
        <v>0</v>
      </c>
      <c r="F6712" s="3">
        <v>0</v>
      </c>
      <c r="G6712" s="3">
        <v>0</v>
      </c>
      <c r="H6712" s="2">
        <f t="shared" si="208"/>
        <v>50946</v>
      </c>
      <c r="I6712" t="str">
        <f t="shared" si="209"/>
        <v>Sema4d_50946</v>
      </c>
      <c r="J6712" s="3">
        <v>50946</v>
      </c>
      <c r="K6712" s="3">
        <v>0</v>
      </c>
      <c r="L6712" s="3">
        <v>0</v>
      </c>
      <c r="M6712" s="3">
        <v>0</v>
      </c>
      <c r="N6712" s="3">
        <v>0</v>
      </c>
    </row>
    <row r="6713" spans="1:14" x14ac:dyDescent="0.2">
      <c r="A6713" s="5" t="str">
        <f>HYPERLINK("http://www.ncbi.nlm.nih.gov/protein/49274623","Sema4d")</f>
        <v>Sema4d</v>
      </c>
      <c r="B6713" s="4"/>
      <c r="C6713" s="3">
        <v>0</v>
      </c>
      <c r="D6713" s="3">
        <v>0</v>
      </c>
      <c r="E6713" s="3">
        <v>0</v>
      </c>
      <c r="F6713" s="3">
        <v>524</v>
      </c>
      <c r="G6713" s="3">
        <v>739</v>
      </c>
      <c r="H6713" s="2">
        <f t="shared" si="208"/>
        <v>1263</v>
      </c>
      <c r="I6713" t="str">
        <f t="shared" si="209"/>
        <v>Sema4d_1263</v>
      </c>
      <c r="J6713" s="3">
        <v>0</v>
      </c>
      <c r="K6713" s="3">
        <v>0</v>
      </c>
      <c r="L6713" s="3">
        <v>0</v>
      </c>
      <c r="M6713" s="3">
        <v>524</v>
      </c>
      <c r="N6713" s="3">
        <v>739</v>
      </c>
    </row>
    <row r="6714" spans="1:14" x14ac:dyDescent="0.2">
      <c r="A6714" s="5" t="str">
        <f>HYPERLINK("http://www.ncbi.nlm.nih.gov/protein/164698454","Sema4f")</f>
        <v>Sema4f</v>
      </c>
      <c r="B6714" s="4"/>
      <c r="C6714" s="3">
        <v>0</v>
      </c>
      <c r="D6714" s="3">
        <v>0</v>
      </c>
      <c r="E6714" s="3">
        <v>0</v>
      </c>
      <c r="F6714" s="3">
        <v>0</v>
      </c>
      <c r="G6714" s="3">
        <v>7561</v>
      </c>
      <c r="H6714" s="2">
        <f t="shared" si="208"/>
        <v>7561</v>
      </c>
      <c r="I6714" t="str">
        <f t="shared" si="209"/>
        <v>Sema4f_7561</v>
      </c>
      <c r="J6714" s="3">
        <v>0</v>
      </c>
      <c r="K6714" s="3">
        <v>0</v>
      </c>
      <c r="L6714" s="3">
        <v>0</v>
      </c>
      <c r="M6714" s="3">
        <v>0</v>
      </c>
      <c r="N6714" s="3">
        <v>7561</v>
      </c>
    </row>
    <row r="6715" spans="1:14" x14ac:dyDescent="0.2">
      <c r="A6715" s="5" t="str">
        <f>HYPERLINK("http://www.ncbi.nlm.nih.gov/protein/164698456","Sema4f")</f>
        <v>Sema4f</v>
      </c>
      <c r="B6715" s="4"/>
      <c r="C6715" s="3">
        <v>0</v>
      </c>
      <c r="D6715" s="3">
        <v>0</v>
      </c>
      <c r="E6715" s="3">
        <v>0</v>
      </c>
      <c r="F6715" s="3">
        <v>0</v>
      </c>
      <c r="G6715" s="3">
        <v>7561</v>
      </c>
      <c r="H6715" s="2">
        <f t="shared" si="208"/>
        <v>7561</v>
      </c>
      <c r="I6715" t="str">
        <f t="shared" si="209"/>
        <v>Sema4f_7561</v>
      </c>
      <c r="J6715" s="3">
        <v>0</v>
      </c>
      <c r="K6715" s="3">
        <v>0</v>
      </c>
      <c r="L6715" s="3">
        <v>0</v>
      </c>
      <c r="M6715" s="3">
        <v>0</v>
      </c>
      <c r="N6715" s="3">
        <v>7561</v>
      </c>
    </row>
    <row r="6716" spans="1:14" x14ac:dyDescent="0.2">
      <c r="A6716" s="5" t="str">
        <f>HYPERLINK("http://www.ncbi.nlm.nih.gov/protein/6755462","Sema4g")</f>
        <v>Sema4g</v>
      </c>
      <c r="B6716" s="4"/>
      <c r="C6716" s="3">
        <v>0</v>
      </c>
      <c r="D6716" s="3">
        <v>0</v>
      </c>
      <c r="E6716" s="3">
        <v>82</v>
      </c>
      <c r="F6716" s="3">
        <v>0</v>
      </c>
      <c r="G6716" s="3">
        <v>0</v>
      </c>
      <c r="H6716" s="2">
        <f t="shared" si="208"/>
        <v>82</v>
      </c>
      <c r="I6716" t="str">
        <f t="shared" si="209"/>
        <v>Sema4g_82</v>
      </c>
      <c r="J6716" s="3">
        <v>0</v>
      </c>
      <c r="K6716" s="3">
        <v>0</v>
      </c>
      <c r="L6716" s="3">
        <v>82</v>
      </c>
      <c r="M6716" s="3">
        <v>0</v>
      </c>
      <c r="N6716" s="3">
        <v>0</v>
      </c>
    </row>
    <row r="6717" spans="1:14" x14ac:dyDescent="0.2">
      <c r="A6717" s="5" t="str">
        <f>HYPERLINK("http://www.ncbi.nlm.nih.gov/protein/254939663","Senp3")</f>
        <v>Senp3</v>
      </c>
      <c r="B6717" s="4"/>
      <c r="C6717" s="3">
        <v>0</v>
      </c>
      <c r="D6717" s="3">
        <v>0</v>
      </c>
      <c r="E6717" s="3">
        <v>4</v>
      </c>
      <c r="F6717" s="3">
        <v>3749</v>
      </c>
      <c r="G6717" s="3">
        <v>0</v>
      </c>
      <c r="H6717" s="2">
        <f t="shared" si="208"/>
        <v>3753</v>
      </c>
      <c r="I6717" t="str">
        <f t="shared" si="209"/>
        <v>Senp3_3753</v>
      </c>
      <c r="J6717" s="3">
        <v>0</v>
      </c>
      <c r="K6717" s="3">
        <v>0</v>
      </c>
      <c r="L6717" s="3">
        <v>4</v>
      </c>
      <c r="M6717" s="3">
        <v>3749</v>
      </c>
      <c r="N6717" s="3">
        <v>0</v>
      </c>
    </row>
    <row r="6718" spans="1:14" x14ac:dyDescent="0.2">
      <c r="A6718" s="5" t="str">
        <f>HYPERLINK("http://www.ncbi.nlm.nih.gov/protein/16716395","Sep15")</f>
        <v>Sep15</v>
      </c>
      <c r="B6718" s="4"/>
      <c r="C6718" s="3">
        <v>1940</v>
      </c>
      <c r="D6718" s="3">
        <v>781</v>
      </c>
      <c r="E6718" s="3">
        <v>1127</v>
      </c>
      <c r="F6718" s="3">
        <v>0</v>
      </c>
      <c r="G6718" s="3">
        <v>1478</v>
      </c>
      <c r="H6718" s="2">
        <f t="shared" si="208"/>
        <v>5326</v>
      </c>
      <c r="I6718" t="str">
        <f t="shared" si="209"/>
        <v>Sep15_5326</v>
      </c>
      <c r="J6718" s="3">
        <v>1940</v>
      </c>
      <c r="K6718" s="3">
        <v>781</v>
      </c>
      <c r="L6718" s="3">
        <v>1127</v>
      </c>
      <c r="M6718" s="3">
        <v>0</v>
      </c>
      <c r="N6718" s="3">
        <v>1478</v>
      </c>
    </row>
    <row r="6719" spans="1:14" x14ac:dyDescent="0.2">
      <c r="A6719" s="5" t="str">
        <f>HYPERLINK("http://www.ncbi.nlm.nih.gov/protein/156713463","Sephs1")</f>
        <v>Sephs1</v>
      </c>
      <c r="B6719" s="4"/>
      <c r="C6719" s="3">
        <v>0</v>
      </c>
      <c r="D6719" s="3">
        <v>1699</v>
      </c>
      <c r="E6719" s="3">
        <v>958</v>
      </c>
      <c r="F6719" s="3">
        <v>3700</v>
      </c>
      <c r="G6719" s="3">
        <v>25810</v>
      </c>
      <c r="H6719" s="2">
        <f t="shared" si="208"/>
        <v>32167</v>
      </c>
      <c r="I6719" t="str">
        <f t="shared" si="209"/>
        <v>Sephs1_32167</v>
      </c>
      <c r="J6719" s="3">
        <v>0</v>
      </c>
      <c r="K6719" s="3">
        <v>1699</v>
      </c>
      <c r="L6719" s="3">
        <v>958</v>
      </c>
      <c r="M6719" s="3">
        <v>3700</v>
      </c>
      <c r="N6719" s="3">
        <v>25810</v>
      </c>
    </row>
    <row r="6720" spans="1:14" x14ac:dyDescent="0.2">
      <c r="A6720" s="5" t="str">
        <f>HYPERLINK("http://www.ncbi.nlm.nih.gov/protein/15011843","Sephs2")</f>
        <v>Sephs2</v>
      </c>
      <c r="B6720" s="4"/>
      <c r="C6720" s="3">
        <v>0</v>
      </c>
      <c r="D6720" s="3">
        <v>0</v>
      </c>
      <c r="E6720" s="3">
        <v>0</v>
      </c>
      <c r="F6720" s="3">
        <v>0</v>
      </c>
      <c r="G6720" s="3">
        <v>1649</v>
      </c>
      <c r="H6720" s="2">
        <f t="shared" si="208"/>
        <v>1649</v>
      </c>
      <c r="I6720" t="str">
        <f t="shared" si="209"/>
        <v>Sephs2_1649</v>
      </c>
      <c r="J6720" s="3">
        <v>0</v>
      </c>
      <c r="K6720" s="3">
        <v>0</v>
      </c>
      <c r="L6720" s="3">
        <v>0</v>
      </c>
      <c r="M6720" s="3">
        <v>0</v>
      </c>
      <c r="N6720" s="3">
        <v>1649</v>
      </c>
    </row>
    <row r="6721" spans="1:14" x14ac:dyDescent="0.2">
      <c r="A6721" s="5" t="str">
        <f>HYPERLINK("http://www.ncbi.nlm.nih.gov/protein/111118964","Sepn1")</f>
        <v>Sepn1</v>
      </c>
      <c r="B6721" s="4"/>
      <c r="C6721" s="3">
        <v>0</v>
      </c>
      <c r="D6721" s="3">
        <v>65</v>
      </c>
      <c r="E6721" s="3">
        <v>0</v>
      </c>
      <c r="F6721" s="3">
        <v>0</v>
      </c>
      <c r="G6721" s="3">
        <v>0</v>
      </c>
      <c r="H6721" s="2">
        <f t="shared" si="208"/>
        <v>65</v>
      </c>
      <c r="I6721" t="str">
        <f t="shared" si="209"/>
        <v>Sepn1_65</v>
      </c>
      <c r="J6721" s="3">
        <v>0</v>
      </c>
      <c r="K6721" s="3">
        <v>65</v>
      </c>
      <c r="L6721" s="3">
        <v>0</v>
      </c>
      <c r="M6721" s="3">
        <v>0</v>
      </c>
      <c r="N6721" s="3">
        <v>0</v>
      </c>
    </row>
    <row r="6722" spans="1:14" x14ac:dyDescent="0.2">
      <c r="A6722" s="5" t="str">
        <f>HYPERLINK("http://www.ncbi.nlm.nih.gov/protein/27369676","Sepsecs")</f>
        <v>Sepsecs</v>
      </c>
      <c r="B6722" s="4"/>
      <c r="C6722" s="3">
        <v>0</v>
      </c>
      <c r="D6722" s="3">
        <v>0</v>
      </c>
      <c r="E6722" s="3">
        <v>0</v>
      </c>
      <c r="F6722" s="3">
        <v>3217</v>
      </c>
      <c r="G6722" s="3">
        <v>0</v>
      </c>
      <c r="H6722" s="2">
        <f t="shared" ref="H6722:H6785" si="210">SUM(C6722:G6722)</f>
        <v>3217</v>
      </c>
      <c r="I6722" t="str">
        <f t="shared" ref="I6722:I6785" si="211">A6722&amp;"_"&amp;H6722</f>
        <v>Sepsecs_3217</v>
      </c>
      <c r="J6722" s="3">
        <v>0</v>
      </c>
      <c r="K6722" s="3">
        <v>0</v>
      </c>
      <c r="L6722" s="3">
        <v>0</v>
      </c>
      <c r="M6722" s="3">
        <v>3217</v>
      </c>
      <c r="N6722" s="3">
        <v>0</v>
      </c>
    </row>
    <row r="6723" spans="1:14" x14ac:dyDescent="0.2">
      <c r="A6723" s="5" t="str">
        <f>HYPERLINK("http://www.ncbi.nlm.nih.gov/protein/226442740","Sept10")</f>
        <v>Sept10</v>
      </c>
      <c r="B6723" s="4"/>
      <c r="C6723" s="3">
        <v>30095</v>
      </c>
      <c r="D6723" s="3">
        <v>9613</v>
      </c>
      <c r="E6723" s="3">
        <v>22045</v>
      </c>
      <c r="F6723" s="3">
        <v>23836</v>
      </c>
      <c r="G6723" s="3">
        <v>23400</v>
      </c>
      <c r="H6723" s="2">
        <f t="shared" si="210"/>
        <v>108989</v>
      </c>
      <c r="I6723" t="str">
        <f t="shared" si="211"/>
        <v>Sept10_108989</v>
      </c>
      <c r="J6723" s="3">
        <v>30095</v>
      </c>
      <c r="K6723" s="3">
        <v>9613</v>
      </c>
      <c r="L6723" s="3">
        <v>22045</v>
      </c>
      <c r="M6723" s="3">
        <v>23836</v>
      </c>
      <c r="N6723" s="3">
        <v>23400</v>
      </c>
    </row>
    <row r="6724" spans="1:14" x14ac:dyDescent="0.2">
      <c r="A6724" s="5" t="str">
        <f>HYPERLINK("http://www.ncbi.nlm.nih.gov/protein/67906175","Sept10")</f>
        <v>Sept10</v>
      </c>
      <c r="B6724" s="4"/>
      <c r="C6724" s="3">
        <v>30095</v>
      </c>
      <c r="D6724" s="3">
        <v>9613</v>
      </c>
      <c r="E6724" s="3">
        <v>22045</v>
      </c>
      <c r="F6724" s="3">
        <v>34085</v>
      </c>
      <c r="G6724" s="3">
        <v>23400</v>
      </c>
      <c r="H6724" s="2">
        <f t="shared" si="210"/>
        <v>119238</v>
      </c>
      <c r="I6724" t="str">
        <f t="shared" si="211"/>
        <v>Sept10_119238</v>
      </c>
      <c r="J6724" s="3">
        <v>30095</v>
      </c>
      <c r="K6724" s="3">
        <v>9613</v>
      </c>
      <c r="L6724" s="3">
        <v>22045</v>
      </c>
      <c r="M6724" s="3">
        <v>34085</v>
      </c>
      <c r="N6724" s="3">
        <v>23400</v>
      </c>
    </row>
    <row r="6725" spans="1:14" x14ac:dyDescent="0.2">
      <c r="A6725" s="5" t="str">
        <f>HYPERLINK("http://www.ncbi.nlm.nih.gov/protein/57634518","Sept11")</f>
        <v>Sept11</v>
      </c>
      <c r="B6725" s="4"/>
      <c r="C6725" s="3">
        <v>47010</v>
      </c>
      <c r="D6725" s="3">
        <v>21449</v>
      </c>
      <c r="E6725" s="3">
        <v>54705</v>
      </c>
      <c r="F6725" s="3">
        <v>68947</v>
      </c>
      <c r="G6725" s="3">
        <v>67813</v>
      </c>
      <c r="H6725" s="2">
        <f t="shared" si="210"/>
        <v>259924</v>
      </c>
      <c r="I6725" t="str">
        <f t="shared" si="211"/>
        <v>Sept11_259924</v>
      </c>
      <c r="J6725" s="3">
        <v>47010</v>
      </c>
      <c r="K6725" s="3">
        <v>21449</v>
      </c>
      <c r="L6725" s="3">
        <v>54705</v>
      </c>
      <c r="M6725" s="3">
        <v>68947</v>
      </c>
      <c r="N6725" s="3">
        <v>67813</v>
      </c>
    </row>
    <row r="6726" spans="1:14" x14ac:dyDescent="0.2">
      <c r="A6726" s="5" t="str">
        <f>HYPERLINK("http://www.ncbi.nlm.nih.gov/protein/160333377","Sept14")</f>
        <v>Sept14</v>
      </c>
      <c r="B6726" s="4"/>
      <c r="C6726" s="3">
        <v>28539</v>
      </c>
      <c r="D6726" s="3">
        <v>3058</v>
      </c>
      <c r="E6726" s="3">
        <v>19651</v>
      </c>
      <c r="F6726" s="3">
        <v>32055</v>
      </c>
      <c r="G6726" s="3">
        <v>16964</v>
      </c>
      <c r="H6726" s="2">
        <f t="shared" si="210"/>
        <v>100267</v>
      </c>
      <c r="I6726" t="str">
        <f t="shared" si="211"/>
        <v>Sept14_100267</v>
      </c>
      <c r="J6726" s="3">
        <v>28539</v>
      </c>
      <c r="K6726" s="3">
        <v>3058</v>
      </c>
      <c r="L6726" s="3">
        <v>19651</v>
      </c>
      <c r="M6726" s="3">
        <v>32055</v>
      </c>
      <c r="N6726" s="3">
        <v>16964</v>
      </c>
    </row>
    <row r="6727" spans="1:14" x14ac:dyDescent="0.2">
      <c r="A6727" s="5" t="str">
        <f>HYPERLINK("http://www.ncbi.nlm.nih.gov/protein/228480253","Sept2")</f>
        <v>Sept2</v>
      </c>
      <c r="B6727" s="4"/>
      <c r="C6727" s="3">
        <v>95100</v>
      </c>
      <c r="D6727" s="3">
        <v>16268</v>
      </c>
      <c r="E6727" s="3">
        <v>23126</v>
      </c>
      <c r="F6727" s="3">
        <v>146481</v>
      </c>
      <c r="G6727" s="3">
        <v>85226</v>
      </c>
      <c r="H6727" s="2">
        <f t="shared" si="210"/>
        <v>366201</v>
      </c>
      <c r="I6727" t="str">
        <f t="shared" si="211"/>
        <v>Sept2_366201</v>
      </c>
      <c r="J6727" s="3">
        <v>95100</v>
      </c>
      <c r="K6727" s="3">
        <v>16268</v>
      </c>
      <c r="L6727" s="3">
        <v>23126</v>
      </c>
      <c r="M6727" s="3">
        <v>146481</v>
      </c>
      <c r="N6727" s="3">
        <v>85226</v>
      </c>
    </row>
    <row r="6728" spans="1:14" x14ac:dyDescent="0.2">
      <c r="A6728" s="5" t="str">
        <f>HYPERLINK("http://www.ncbi.nlm.nih.gov/protein/228480255","Sept2")</f>
        <v>Sept2</v>
      </c>
      <c r="B6728" s="4"/>
      <c r="C6728" s="3">
        <v>98743</v>
      </c>
      <c r="D6728" s="3">
        <v>16268</v>
      </c>
      <c r="E6728" s="3">
        <v>23717</v>
      </c>
      <c r="F6728" s="3">
        <v>153618</v>
      </c>
      <c r="G6728" s="3">
        <v>85226</v>
      </c>
      <c r="H6728" s="2">
        <f t="shared" si="210"/>
        <v>377572</v>
      </c>
      <c r="I6728" t="str">
        <f t="shared" si="211"/>
        <v>Sept2_377572</v>
      </c>
      <c r="J6728" s="3">
        <v>98743</v>
      </c>
      <c r="K6728" s="3">
        <v>16268</v>
      </c>
      <c r="L6728" s="3">
        <v>23717</v>
      </c>
      <c r="M6728" s="3">
        <v>153618</v>
      </c>
      <c r="N6728" s="3">
        <v>85226</v>
      </c>
    </row>
    <row r="6729" spans="1:14" x14ac:dyDescent="0.2">
      <c r="A6729" s="5" t="str">
        <f>HYPERLINK("http://www.ncbi.nlm.nih.gov/protein/548923742","Sept4")</f>
        <v>Sept4</v>
      </c>
      <c r="B6729" s="4"/>
      <c r="C6729" s="3">
        <v>293</v>
      </c>
      <c r="D6729" s="3">
        <v>0</v>
      </c>
      <c r="E6729" s="3">
        <v>0</v>
      </c>
      <c r="F6729" s="3">
        <v>0</v>
      </c>
      <c r="G6729" s="3">
        <v>0</v>
      </c>
      <c r="H6729" s="2">
        <f t="shared" si="210"/>
        <v>293</v>
      </c>
      <c r="I6729" t="str">
        <f t="shared" si="211"/>
        <v>Sept4_293</v>
      </c>
      <c r="J6729" s="3">
        <v>293</v>
      </c>
      <c r="K6729" s="3">
        <v>0</v>
      </c>
      <c r="L6729" s="3">
        <v>0</v>
      </c>
      <c r="M6729" s="3">
        <v>0</v>
      </c>
      <c r="N6729" s="3">
        <v>0</v>
      </c>
    </row>
    <row r="6730" spans="1:14" x14ac:dyDescent="0.2">
      <c r="A6730" s="5" t="str">
        <f>HYPERLINK("http://www.ncbi.nlm.nih.gov/protein/548923858","Sept4")</f>
        <v>Sept4</v>
      </c>
      <c r="B6730" s="4"/>
      <c r="C6730" s="3">
        <v>293</v>
      </c>
      <c r="D6730" s="3">
        <v>0</v>
      </c>
      <c r="E6730" s="3">
        <v>0</v>
      </c>
      <c r="F6730" s="3">
        <v>0</v>
      </c>
      <c r="G6730" s="3">
        <v>0</v>
      </c>
      <c r="H6730" s="2">
        <f t="shared" si="210"/>
        <v>293</v>
      </c>
      <c r="I6730" t="str">
        <f t="shared" si="211"/>
        <v>Sept4_293</v>
      </c>
      <c r="J6730" s="3">
        <v>293</v>
      </c>
      <c r="K6730" s="3">
        <v>0</v>
      </c>
      <c r="L6730" s="3">
        <v>0</v>
      </c>
      <c r="M6730" s="3">
        <v>0</v>
      </c>
      <c r="N6730" s="3">
        <v>0</v>
      </c>
    </row>
    <row r="6731" spans="1:14" x14ac:dyDescent="0.2">
      <c r="A6731" s="5" t="str">
        <f>HYPERLINK("http://www.ncbi.nlm.nih.gov/protein/548923884","Sept4")</f>
        <v>Sept4</v>
      </c>
      <c r="B6731" s="4"/>
      <c r="C6731" s="3">
        <v>293</v>
      </c>
      <c r="D6731" s="3">
        <v>0</v>
      </c>
      <c r="E6731" s="3">
        <v>0</v>
      </c>
      <c r="F6731" s="3">
        <v>0</v>
      </c>
      <c r="G6731" s="3">
        <v>0</v>
      </c>
      <c r="H6731" s="2">
        <f t="shared" si="210"/>
        <v>293</v>
      </c>
      <c r="I6731" t="str">
        <f t="shared" si="211"/>
        <v>Sept4_293</v>
      </c>
      <c r="J6731" s="3">
        <v>293</v>
      </c>
      <c r="K6731" s="3">
        <v>0</v>
      </c>
      <c r="L6731" s="3">
        <v>0</v>
      </c>
      <c r="M6731" s="3">
        <v>0</v>
      </c>
      <c r="N6731" s="3">
        <v>0</v>
      </c>
    </row>
    <row r="6732" spans="1:14" x14ac:dyDescent="0.2">
      <c r="A6732" s="5" t="str">
        <f>HYPERLINK("http://www.ncbi.nlm.nih.gov/protein/6755120","Sept4")</f>
        <v>Sept4</v>
      </c>
      <c r="B6732" s="4"/>
      <c r="C6732" s="3">
        <v>293</v>
      </c>
      <c r="D6732" s="3">
        <v>670</v>
      </c>
      <c r="E6732" s="3">
        <v>1465</v>
      </c>
      <c r="F6732" s="3">
        <v>14407</v>
      </c>
      <c r="G6732" s="3">
        <v>0</v>
      </c>
      <c r="H6732" s="2">
        <f t="shared" si="210"/>
        <v>16835</v>
      </c>
      <c r="I6732" t="str">
        <f t="shared" si="211"/>
        <v>Sept4_16835</v>
      </c>
      <c r="J6732" s="3">
        <v>293</v>
      </c>
      <c r="K6732" s="3">
        <v>670</v>
      </c>
      <c r="L6732" s="3">
        <v>1465</v>
      </c>
      <c r="M6732" s="3">
        <v>14407</v>
      </c>
      <c r="N6732" s="3">
        <v>0</v>
      </c>
    </row>
    <row r="6733" spans="1:14" x14ac:dyDescent="0.2">
      <c r="A6733" s="5" t="str">
        <f>HYPERLINK("http://www.ncbi.nlm.nih.gov/protein/158508501","Sept5")</f>
        <v>Sept5</v>
      </c>
      <c r="B6733" s="4"/>
      <c r="C6733" s="3">
        <v>0</v>
      </c>
      <c r="D6733" s="3">
        <v>674</v>
      </c>
      <c r="E6733" s="3">
        <v>1538</v>
      </c>
      <c r="F6733" s="3">
        <v>13252</v>
      </c>
      <c r="G6733" s="3">
        <v>0</v>
      </c>
      <c r="H6733" s="2">
        <f t="shared" si="210"/>
        <v>15464</v>
      </c>
      <c r="I6733" t="str">
        <f t="shared" si="211"/>
        <v>Sept5_15464</v>
      </c>
      <c r="J6733" s="3">
        <v>0</v>
      </c>
      <c r="K6733" s="3">
        <v>674</v>
      </c>
      <c r="L6733" s="3">
        <v>1538</v>
      </c>
      <c r="M6733" s="3">
        <v>13252</v>
      </c>
      <c r="N6733" s="3">
        <v>0</v>
      </c>
    </row>
    <row r="6734" spans="1:14" x14ac:dyDescent="0.2">
      <c r="A6734" s="5" t="str">
        <f>HYPERLINK("http://www.ncbi.nlm.nih.gov/protein/293597551","Sept6")</f>
        <v>Sept6</v>
      </c>
      <c r="B6734" s="4"/>
      <c r="C6734" s="3">
        <v>0</v>
      </c>
      <c r="D6734" s="3">
        <v>6601</v>
      </c>
      <c r="E6734" s="3">
        <v>16009</v>
      </c>
      <c r="F6734" s="3">
        <v>26955</v>
      </c>
      <c r="G6734" s="3">
        <v>13408</v>
      </c>
      <c r="H6734" s="2">
        <f t="shared" si="210"/>
        <v>62973</v>
      </c>
      <c r="I6734" t="str">
        <f t="shared" si="211"/>
        <v>Sept6_62973</v>
      </c>
      <c r="J6734" s="3">
        <v>0</v>
      </c>
      <c r="K6734" s="3">
        <v>6601</v>
      </c>
      <c r="L6734" s="3">
        <v>16009</v>
      </c>
      <c r="M6734" s="3">
        <v>26955</v>
      </c>
      <c r="N6734" s="3">
        <v>13408</v>
      </c>
    </row>
    <row r="6735" spans="1:14" x14ac:dyDescent="0.2">
      <c r="A6735" s="5" t="str">
        <f>HYPERLINK("http://www.ncbi.nlm.nih.gov/protein/293597553","Sept6")</f>
        <v>Sept6</v>
      </c>
      <c r="B6735" s="4"/>
      <c r="C6735" s="3">
        <v>0</v>
      </c>
      <c r="D6735" s="3">
        <v>6601</v>
      </c>
      <c r="E6735" s="3">
        <v>16009</v>
      </c>
      <c r="F6735" s="3">
        <v>26955</v>
      </c>
      <c r="G6735" s="3">
        <v>13408</v>
      </c>
      <c r="H6735" s="2">
        <f t="shared" si="210"/>
        <v>62973</v>
      </c>
      <c r="I6735" t="str">
        <f t="shared" si="211"/>
        <v>Sept6_62973</v>
      </c>
      <c r="J6735" s="3">
        <v>0</v>
      </c>
      <c r="K6735" s="3">
        <v>6601</v>
      </c>
      <c r="L6735" s="3">
        <v>16009</v>
      </c>
      <c r="M6735" s="3">
        <v>26955</v>
      </c>
      <c r="N6735" s="3">
        <v>13408</v>
      </c>
    </row>
    <row r="6736" spans="1:14" x14ac:dyDescent="0.2">
      <c r="A6736" s="5" t="str">
        <f>HYPERLINK("http://www.ncbi.nlm.nih.gov/protein/31560370","Sept6")</f>
        <v>Sept6</v>
      </c>
      <c r="B6736" s="4"/>
      <c r="C6736" s="3">
        <v>0</v>
      </c>
      <c r="D6736" s="3">
        <v>6601</v>
      </c>
      <c r="E6736" s="3">
        <v>16009</v>
      </c>
      <c r="F6736" s="3">
        <v>26955</v>
      </c>
      <c r="G6736" s="3">
        <v>13408</v>
      </c>
      <c r="H6736" s="2">
        <f t="shared" si="210"/>
        <v>62973</v>
      </c>
      <c r="I6736" t="str">
        <f t="shared" si="211"/>
        <v>Sept6_62973</v>
      </c>
      <c r="J6736" s="3">
        <v>0</v>
      </c>
      <c r="K6736" s="3">
        <v>6601</v>
      </c>
      <c r="L6736" s="3">
        <v>16009</v>
      </c>
      <c r="M6736" s="3">
        <v>26955</v>
      </c>
      <c r="N6736" s="3">
        <v>13408</v>
      </c>
    </row>
    <row r="6737" spans="1:14" x14ac:dyDescent="0.2">
      <c r="A6737" s="5" t="str">
        <f>HYPERLINK("http://www.ncbi.nlm.nih.gov/protein/358679344","Sept6")</f>
        <v>Sept6</v>
      </c>
      <c r="B6737" s="4"/>
      <c r="C6737" s="3">
        <v>0</v>
      </c>
      <c r="D6737" s="3">
        <v>6601</v>
      </c>
      <c r="E6737" s="3">
        <v>16009</v>
      </c>
      <c r="F6737" s="3">
        <v>26955</v>
      </c>
      <c r="G6737" s="3">
        <v>13408</v>
      </c>
      <c r="H6737" s="2">
        <f t="shared" si="210"/>
        <v>62973</v>
      </c>
      <c r="I6737" t="str">
        <f t="shared" si="211"/>
        <v>Sept6_62973</v>
      </c>
      <c r="J6737" s="3">
        <v>0</v>
      </c>
      <c r="K6737" s="3">
        <v>6601</v>
      </c>
      <c r="L6737" s="3">
        <v>16009</v>
      </c>
      <c r="M6737" s="3">
        <v>26955</v>
      </c>
      <c r="N6737" s="3">
        <v>13408</v>
      </c>
    </row>
    <row r="6738" spans="1:14" x14ac:dyDescent="0.2">
      <c r="A6738" s="5" t="str">
        <f>HYPERLINK("http://www.ncbi.nlm.nih.gov/protein/28173550","Sept7")</f>
        <v>Sept7</v>
      </c>
      <c r="B6738" s="4"/>
      <c r="C6738" s="3">
        <v>58231</v>
      </c>
      <c r="D6738" s="3">
        <v>17445</v>
      </c>
      <c r="E6738" s="3">
        <v>56828</v>
      </c>
      <c r="F6738" s="3">
        <v>160282</v>
      </c>
      <c r="G6738" s="3">
        <v>98163</v>
      </c>
      <c r="H6738" s="2">
        <f t="shared" si="210"/>
        <v>390949</v>
      </c>
      <c r="I6738" t="str">
        <f t="shared" si="211"/>
        <v>Sept7_390949</v>
      </c>
      <c r="J6738" s="3">
        <v>58231</v>
      </c>
      <c r="K6738" s="3">
        <v>17445</v>
      </c>
      <c r="L6738" s="3">
        <v>56828</v>
      </c>
      <c r="M6738" s="3">
        <v>160282</v>
      </c>
      <c r="N6738" s="3">
        <v>98163</v>
      </c>
    </row>
    <row r="6739" spans="1:14" x14ac:dyDescent="0.2">
      <c r="A6739" s="5" t="str">
        <f>HYPERLINK("http://www.ncbi.nlm.nih.gov/protein/329299065","Sept7")</f>
        <v>Sept7</v>
      </c>
      <c r="B6739" s="4"/>
      <c r="C6739" s="3">
        <v>58231</v>
      </c>
      <c r="D6739" s="3">
        <v>17305</v>
      </c>
      <c r="E6739" s="3">
        <v>56162</v>
      </c>
      <c r="F6739" s="3">
        <v>158579</v>
      </c>
      <c r="G6739" s="3">
        <v>96396</v>
      </c>
      <c r="H6739" s="2">
        <f t="shared" si="210"/>
        <v>386673</v>
      </c>
      <c r="I6739" t="str">
        <f t="shared" si="211"/>
        <v>Sept7_386673</v>
      </c>
      <c r="J6739" s="3">
        <v>58231</v>
      </c>
      <c r="K6739" s="3">
        <v>17305</v>
      </c>
      <c r="L6739" s="3">
        <v>56162</v>
      </c>
      <c r="M6739" s="3">
        <v>158579</v>
      </c>
      <c r="N6739" s="3">
        <v>96396</v>
      </c>
    </row>
    <row r="6740" spans="1:14" x14ac:dyDescent="0.2">
      <c r="A6740" s="5" t="str">
        <f>HYPERLINK("http://www.ncbi.nlm.nih.gov/protein/356640208","Sept8")</f>
        <v>Sept8</v>
      </c>
      <c r="B6740" s="4"/>
      <c r="C6740" s="3">
        <v>28539</v>
      </c>
      <c r="D6740" s="3">
        <v>7763</v>
      </c>
      <c r="E6740" s="3">
        <v>22826</v>
      </c>
      <c r="F6740" s="3">
        <v>48532</v>
      </c>
      <c r="G6740" s="3">
        <v>27909</v>
      </c>
      <c r="H6740" s="2">
        <f t="shared" si="210"/>
        <v>135569</v>
      </c>
      <c r="I6740" t="str">
        <f t="shared" si="211"/>
        <v>Sept8_135569</v>
      </c>
      <c r="J6740" s="3">
        <v>28539</v>
      </c>
      <c r="K6740" s="3">
        <v>7763</v>
      </c>
      <c r="L6740" s="3">
        <v>22826</v>
      </c>
      <c r="M6740" s="3">
        <v>48532</v>
      </c>
      <c r="N6740" s="3">
        <v>27909</v>
      </c>
    </row>
    <row r="6741" spans="1:14" x14ac:dyDescent="0.2">
      <c r="A6741" s="5" t="str">
        <f>HYPERLINK("http://www.ncbi.nlm.nih.gov/protein/356640210","Sept8")</f>
        <v>Sept8</v>
      </c>
      <c r="B6741" s="4"/>
      <c r="C6741" s="3">
        <v>28539</v>
      </c>
      <c r="D6741" s="3">
        <v>7763</v>
      </c>
      <c r="E6741" s="3">
        <v>22826</v>
      </c>
      <c r="F6741" s="3">
        <v>48532</v>
      </c>
      <c r="G6741" s="3">
        <v>27909</v>
      </c>
      <c r="H6741" s="2">
        <f t="shared" si="210"/>
        <v>135569</v>
      </c>
      <c r="I6741" t="str">
        <f t="shared" si="211"/>
        <v>Sept8_135569</v>
      </c>
      <c r="J6741" s="3">
        <v>28539</v>
      </c>
      <c r="K6741" s="3">
        <v>7763</v>
      </c>
      <c r="L6741" s="3">
        <v>22826</v>
      </c>
      <c r="M6741" s="3">
        <v>48532</v>
      </c>
      <c r="N6741" s="3">
        <v>27909</v>
      </c>
    </row>
    <row r="6742" spans="1:14" x14ac:dyDescent="0.2">
      <c r="A6742" s="5" t="str">
        <f>HYPERLINK("http://www.ncbi.nlm.nih.gov/protein/39930477","Sept8")</f>
        <v>Sept8</v>
      </c>
      <c r="B6742" s="4"/>
      <c r="C6742" s="3">
        <v>28539</v>
      </c>
      <c r="D6742" s="3">
        <v>7763</v>
      </c>
      <c r="E6742" s="3">
        <v>22826</v>
      </c>
      <c r="F6742" s="3">
        <v>48532</v>
      </c>
      <c r="G6742" s="3">
        <v>27909</v>
      </c>
      <c r="H6742" s="2">
        <f t="shared" si="210"/>
        <v>135569</v>
      </c>
      <c r="I6742" t="str">
        <f t="shared" si="211"/>
        <v>Sept8_135569</v>
      </c>
      <c r="J6742" s="3">
        <v>28539</v>
      </c>
      <c r="K6742" s="3">
        <v>7763</v>
      </c>
      <c r="L6742" s="3">
        <v>22826</v>
      </c>
      <c r="M6742" s="3">
        <v>48532</v>
      </c>
      <c r="N6742" s="3">
        <v>27909</v>
      </c>
    </row>
    <row r="6743" spans="1:14" x14ac:dyDescent="0.2">
      <c r="A6743" s="5" t="str">
        <f>HYPERLINK("http://www.ncbi.nlm.nih.gov/protein/164698479","Sept9")</f>
        <v>Sept9</v>
      </c>
      <c r="B6743" s="4"/>
      <c r="C6743" s="3">
        <v>68227</v>
      </c>
      <c r="D6743" s="3">
        <v>4129</v>
      </c>
      <c r="E6743" s="3">
        <v>17790</v>
      </c>
      <c r="F6743" s="3">
        <v>67948</v>
      </c>
      <c r="G6743" s="3">
        <v>10624</v>
      </c>
      <c r="H6743" s="2">
        <f t="shared" si="210"/>
        <v>168718</v>
      </c>
      <c r="I6743" t="str">
        <f t="shared" si="211"/>
        <v>Sept9_168718</v>
      </c>
      <c r="J6743" s="3">
        <v>68227</v>
      </c>
      <c r="K6743" s="3">
        <v>4129</v>
      </c>
      <c r="L6743" s="3">
        <v>17790</v>
      </c>
      <c r="M6743" s="3">
        <v>67948</v>
      </c>
      <c r="N6743" s="3">
        <v>10624</v>
      </c>
    </row>
    <row r="6744" spans="1:14" x14ac:dyDescent="0.2">
      <c r="A6744" s="5" t="str">
        <f>HYPERLINK("http://www.ncbi.nlm.nih.gov/protein/164698481","Sept9")</f>
        <v>Sept9</v>
      </c>
      <c r="B6744" s="4"/>
      <c r="C6744" s="3">
        <v>68227</v>
      </c>
      <c r="D6744" s="3">
        <v>4129</v>
      </c>
      <c r="E6744" s="3">
        <v>17790</v>
      </c>
      <c r="F6744" s="3">
        <v>67948</v>
      </c>
      <c r="G6744" s="3">
        <v>10624</v>
      </c>
      <c r="H6744" s="2">
        <f t="shared" si="210"/>
        <v>168718</v>
      </c>
      <c r="I6744" t="str">
        <f t="shared" si="211"/>
        <v>Sept9_168718</v>
      </c>
      <c r="J6744" s="3">
        <v>68227</v>
      </c>
      <c r="K6744" s="3">
        <v>4129</v>
      </c>
      <c r="L6744" s="3">
        <v>17790</v>
      </c>
      <c r="M6744" s="3">
        <v>67948</v>
      </c>
      <c r="N6744" s="3">
        <v>10624</v>
      </c>
    </row>
    <row r="6745" spans="1:14" x14ac:dyDescent="0.2">
      <c r="A6745" s="5" t="str">
        <f>HYPERLINK("http://www.ncbi.nlm.nih.gov/protein/8393784","Sept9")</f>
        <v>Sept9</v>
      </c>
      <c r="B6745" s="4"/>
      <c r="C6745" s="3">
        <v>10910</v>
      </c>
      <c r="D6745" s="3">
        <v>1144</v>
      </c>
      <c r="E6745" s="3">
        <v>8562</v>
      </c>
      <c r="F6745" s="3">
        <v>21381</v>
      </c>
      <c r="G6745" s="3">
        <v>932</v>
      </c>
      <c r="H6745" s="2">
        <f t="shared" si="210"/>
        <v>42929</v>
      </c>
      <c r="I6745" t="str">
        <f t="shared" si="211"/>
        <v>Sept9_42929</v>
      </c>
      <c r="J6745" s="3">
        <v>10910</v>
      </c>
      <c r="K6745" s="3">
        <v>1144</v>
      </c>
      <c r="L6745" s="3">
        <v>8562</v>
      </c>
      <c r="M6745" s="3">
        <v>21381</v>
      </c>
      <c r="N6745" s="3">
        <v>932</v>
      </c>
    </row>
    <row r="6746" spans="1:14" x14ac:dyDescent="0.2">
      <c r="A6746" s="5" t="str">
        <f>HYPERLINK("http://www.ncbi.nlm.nih.gov/protein/6677917","Sepw1")</f>
        <v>Sepw1</v>
      </c>
      <c r="B6746" s="4"/>
      <c r="C6746" s="3">
        <v>92</v>
      </c>
      <c r="D6746" s="3">
        <v>0</v>
      </c>
      <c r="E6746" s="3">
        <v>6</v>
      </c>
      <c r="F6746" s="3">
        <v>0</v>
      </c>
      <c r="G6746" s="3">
        <v>0</v>
      </c>
      <c r="H6746" s="2">
        <f t="shared" si="210"/>
        <v>98</v>
      </c>
      <c r="I6746" t="str">
        <f t="shared" si="211"/>
        <v>Sepw1_98</v>
      </c>
      <c r="J6746" s="3">
        <v>92</v>
      </c>
      <c r="K6746" s="3">
        <v>0</v>
      </c>
      <c r="L6746" s="3">
        <v>6</v>
      </c>
      <c r="M6746" s="3">
        <v>0</v>
      </c>
      <c r="N6746" s="3">
        <v>0</v>
      </c>
    </row>
    <row r="6747" spans="1:14" x14ac:dyDescent="0.2">
      <c r="A6747" s="5" t="str">
        <f>HYPERLINK("http://www.ncbi.nlm.nih.gov/protein/161169008","Serac1")</f>
        <v>Serac1</v>
      </c>
      <c r="B6747" s="4"/>
      <c r="C6747" s="3">
        <v>0</v>
      </c>
      <c r="D6747" s="3">
        <v>0</v>
      </c>
      <c r="E6747" s="3">
        <v>15</v>
      </c>
      <c r="F6747" s="3">
        <v>0</v>
      </c>
      <c r="G6747" s="3">
        <v>0</v>
      </c>
      <c r="H6747" s="2">
        <f t="shared" si="210"/>
        <v>15</v>
      </c>
      <c r="I6747" t="str">
        <f t="shared" si="211"/>
        <v>Serac1_15</v>
      </c>
      <c r="J6747" s="3">
        <v>0</v>
      </c>
      <c r="K6747" s="3">
        <v>0</v>
      </c>
      <c r="L6747" s="3">
        <v>15</v>
      </c>
      <c r="M6747" s="3">
        <v>0</v>
      </c>
      <c r="N6747" s="3">
        <v>0</v>
      </c>
    </row>
    <row r="6748" spans="1:14" x14ac:dyDescent="0.2">
      <c r="A6748" s="5" t="str">
        <f>HYPERLINK("http://www.ncbi.nlm.nih.gov/protein/161169010","Serac1")</f>
        <v>Serac1</v>
      </c>
      <c r="B6748" s="4"/>
      <c r="C6748" s="3">
        <v>0</v>
      </c>
      <c r="D6748" s="3">
        <v>0</v>
      </c>
      <c r="E6748" s="3">
        <v>15</v>
      </c>
      <c r="F6748" s="3">
        <v>0</v>
      </c>
      <c r="G6748" s="3">
        <v>0</v>
      </c>
      <c r="H6748" s="2">
        <f t="shared" si="210"/>
        <v>15</v>
      </c>
      <c r="I6748" t="str">
        <f t="shared" si="211"/>
        <v>Serac1_15</v>
      </c>
      <c r="J6748" s="3">
        <v>0</v>
      </c>
      <c r="K6748" s="3">
        <v>0</v>
      </c>
      <c r="L6748" s="3">
        <v>15</v>
      </c>
      <c r="M6748" s="3">
        <v>0</v>
      </c>
      <c r="N6748" s="3">
        <v>0</v>
      </c>
    </row>
    <row r="6749" spans="1:14" x14ac:dyDescent="0.2">
      <c r="A6749" s="5" t="str">
        <f>HYPERLINK("http://www.ncbi.nlm.nih.gov/protein/165932375","Serbp1")</f>
        <v>Serbp1</v>
      </c>
      <c r="B6749" s="4"/>
      <c r="C6749" s="3">
        <v>24493</v>
      </c>
      <c r="D6749" s="3">
        <v>14803</v>
      </c>
      <c r="E6749" s="3">
        <v>100713</v>
      </c>
      <c r="F6749" s="3">
        <v>62251</v>
      </c>
      <c r="G6749" s="3">
        <v>21</v>
      </c>
      <c r="H6749" s="2">
        <f t="shared" si="210"/>
        <v>202281</v>
      </c>
      <c r="I6749" t="str">
        <f t="shared" si="211"/>
        <v>Serbp1_202281</v>
      </c>
      <c r="J6749" s="3">
        <v>24493</v>
      </c>
      <c r="K6749" s="3">
        <v>14803</v>
      </c>
      <c r="L6749" s="3">
        <v>100713</v>
      </c>
      <c r="M6749" s="3">
        <v>62251</v>
      </c>
      <c r="N6749" s="3">
        <v>21</v>
      </c>
    </row>
    <row r="6750" spans="1:14" x14ac:dyDescent="0.2">
      <c r="A6750" s="5" t="str">
        <f>HYPERLINK("http://www.ncbi.nlm.nih.gov/protein/165932377","Serbp1")</f>
        <v>Serbp1</v>
      </c>
      <c r="B6750" s="4"/>
      <c r="C6750" s="3">
        <v>24493</v>
      </c>
      <c r="D6750" s="3">
        <v>14803</v>
      </c>
      <c r="E6750" s="3">
        <v>91308</v>
      </c>
      <c r="F6750" s="3">
        <v>61523</v>
      </c>
      <c r="G6750" s="3">
        <v>21</v>
      </c>
      <c r="H6750" s="2">
        <f t="shared" si="210"/>
        <v>192148</v>
      </c>
      <c r="I6750" t="str">
        <f t="shared" si="211"/>
        <v>Serbp1_192148</v>
      </c>
      <c r="J6750" s="3">
        <v>24493</v>
      </c>
      <c r="K6750" s="3">
        <v>14803</v>
      </c>
      <c r="L6750" s="3">
        <v>91308</v>
      </c>
      <c r="M6750" s="3">
        <v>61523</v>
      </c>
      <c r="N6750" s="3">
        <v>21</v>
      </c>
    </row>
    <row r="6751" spans="1:14" x14ac:dyDescent="0.2">
      <c r="A6751" s="5" t="str">
        <f>HYPERLINK("http://www.ncbi.nlm.nih.gov/protein/165932379","Serbp1")</f>
        <v>Serbp1</v>
      </c>
      <c r="B6751" s="4"/>
      <c r="C6751" s="3">
        <v>24493</v>
      </c>
      <c r="D6751" s="3">
        <v>14727</v>
      </c>
      <c r="E6751" s="3">
        <v>94533</v>
      </c>
      <c r="F6751" s="3">
        <v>64682</v>
      </c>
      <c r="G6751" s="3">
        <v>21</v>
      </c>
      <c r="H6751" s="2">
        <f t="shared" si="210"/>
        <v>198456</v>
      </c>
      <c r="I6751" t="str">
        <f t="shared" si="211"/>
        <v>Serbp1_198456</v>
      </c>
      <c r="J6751" s="3">
        <v>24493</v>
      </c>
      <c r="K6751" s="3">
        <v>14727</v>
      </c>
      <c r="L6751" s="3">
        <v>94533</v>
      </c>
      <c r="M6751" s="3">
        <v>64682</v>
      </c>
      <c r="N6751" s="3">
        <v>21</v>
      </c>
    </row>
    <row r="6752" spans="1:14" x14ac:dyDescent="0.2">
      <c r="A6752" s="5" t="str">
        <f>HYPERLINK("http://www.ncbi.nlm.nih.gov/protein/165932381","Serbp1")</f>
        <v>Serbp1</v>
      </c>
      <c r="B6752" s="4"/>
      <c r="C6752" s="3">
        <v>24493</v>
      </c>
      <c r="D6752" s="3">
        <v>14727</v>
      </c>
      <c r="E6752" s="3">
        <v>85129</v>
      </c>
      <c r="F6752" s="3">
        <v>64036</v>
      </c>
      <c r="G6752" s="3">
        <v>21</v>
      </c>
      <c r="H6752" s="2">
        <f t="shared" si="210"/>
        <v>188406</v>
      </c>
      <c r="I6752" t="str">
        <f t="shared" si="211"/>
        <v>Serbp1_188406</v>
      </c>
      <c r="J6752" s="3">
        <v>24493</v>
      </c>
      <c r="K6752" s="3">
        <v>14727</v>
      </c>
      <c r="L6752" s="3">
        <v>85129</v>
      </c>
      <c r="M6752" s="3">
        <v>64036</v>
      </c>
      <c r="N6752" s="3">
        <v>21</v>
      </c>
    </row>
    <row r="6753" spans="1:14" x14ac:dyDescent="0.2">
      <c r="A6753" s="5" t="str">
        <f>HYPERLINK("http://www.ncbi.nlm.nih.gov/protein/6755472","Serf2")</f>
        <v>Serf2</v>
      </c>
      <c r="B6753" s="4"/>
      <c r="C6753" s="3">
        <v>165</v>
      </c>
      <c r="D6753" s="3">
        <v>0</v>
      </c>
      <c r="E6753" s="3">
        <v>130</v>
      </c>
      <c r="F6753" s="3">
        <v>0</v>
      </c>
      <c r="G6753" s="3">
        <v>64</v>
      </c>
      <c r="H6753" s="2">
        <f t="shared" si="210"/>
        <v>359</v>
      </c>
      <c r="I6753" t="str">
        <f t="shared" si="211"/>
        <v>Serf2_359</v>
      </c>
      <c r="J6753" s="3">
        <v>165</v>
      </c>
      <c r="K6753" s="3">
        <v>0</v>
      </c>
      <c r="L6753" s="3">
        <v>130</v>
      </c>
      <c r="M6753" s="3">
        <v>0</v>
      </c>
      <c r="N6753" s="3">
        <v>64</v>
      </c>
    </row>
    <row r="6754" spans="1:14" x14ac:dyDescent="0.2">
      <c r="A6754" s="5" t="str">
        <f>HYPERLINK("http://www.ncbi.nlm.nih.gov/protein/13443008","Serhl")</f>
        <v>Serhl</v>
      </c>
      <c r="B6754" s="4"/>
      <c r="C6754" s="3">
        <v>14956</v>
      </c>
      <c r="D6754" s="3">
        <v>7987</v>
      </c>
      <c r="E6754" s="3">
        <v>2117</v>
      </c>
      <c r="F6754" s="3">
        <v>0</v>
      </c>
      <c r="G6754" s="3">
        <v>0</v>
      </c>
      <c r="H6754" s="2">
        <f t="shared" si="210"/>
        <v>25060</v>
      </c>
      <c r="I6754" t="str">
        <f t="shared" si="211"/>
        <v>Serhl_25060</v>
      </c>
      <c r="J6754" s="3">
        <v>14956</v>
      </c>
      <c r="K6754" s="3">
        <v>7987</v>
      </c>
      <c r="L6754" s="3">
        <v>2117</v>
      </c>
      <c r="M6754" s="3">
        <v>0</v>
      </c>
      <c r="N6754" s="3">
        <v>0</v>
      </c>
    </row>
    <row r="6755" spans="1:14" x14ac:dyDescent="0.2">
      <c r="A6755" s="5" t="str">
        <f>HYPERLINK("http://www.ncbi.nlm.nih.gov/protein/9790269","Serinc1")</f>
        <v>Serinc1</v>
      </c>
      <c r="B6755" s="4"/>
      <c r="C6755" s="3">
        <v>0</v>
      </c>
      <c r="D6755" s="3">
        <v>0</v>
      </c>
      <c r="E6755" s="3">
        <v>117</v>
      </c>
      <c r="F6755" s="3">
        <v>0</v>
      </c>
      <c r="G6755" s="3">
        <v>0</v>
      </c>
      <c r="H6755" s="2">
        <f t="shared" si="210"/>
        <v>117</v>
      </c>
      <c r="I6755" t="str">
        <f t="shared" si="211"/>
        <v>Serinc1_117</v>
      </c>
      <c r="J6755" s="3">
        <v>0</v>
      </c>
      <c r="K6755" s="3">
        <v>0</v>
      </c>
      <c r="L6755" s="3">
        <v>117</v>
      </c>
      <c r="M6755" s="3">
        <v>0</v>
      </c>
      <c r="N6755" s="3">
        <v>0</v>
      </c>
    </row>
    <row r="6756" spans="1:14" x14ac:dyDescent="0.2">
      <c r="A6756" s="5" t="str">
        <f>HYPERLINK("http://www.ncbi.nlm.nih.gov/protein/148277027","Serinc2")</f>
        <v>Serinc2</v>
      </c>
      <c r="B6756" s="4"/>
      <c r="C6756" s="3">
        <v>0</v>
      </c>
      <c r="D6756" s="3">
        <v>0</v>
      </c>
      <c r="E6756" s="3">
        <v>18</v>
      </c>
      <c r="F6756" s="3">
        <v>0</v>
      </c>
      <c r="G6756" s="3">
        <v>0</v>
      </c>
      <c r="H6756" s="2">
        <f t="shared" si="210"/>
        <v>18</v>
      </c>
      <c r="I6756" t="str">
        <f t="shared" si="211"/>
        <v>Serinc2_18</v>
      </c>
      <c r="J6756" s="3">
        <v>0</v>
      </c>
      <c r="K6756" s="3">
        <v>0</v>
      </c>
      <c r="L6756" s="3">
        <v>18</v>
      </c>
      <c r="M6756" s="3">
        <v>0</v>
      </c>
      <c r="N6756" s="3">
        <v>0</v>
      </c>
    </row>
    <row r="6757" spans="1:14" x14ac:dyDescent="0.2">
      <c r="A6757" s="5" t="str">
        <f>HYPERLINK("http://www.ncbi.nlm.nih.gov/protein/358356409","Serinc2")</f>
        <v>Serinc2</v>
      </c>
      <c r="B6757" s="4"/>
      <c r="C6757" s="3">
        <v>0</v>
      </c>
      <c r="D6757" s="3">
        <v>0</v>
      </c>
      <c r="E6757" s="3">
        <v>18</v>
      </c>
      <c r="F6757" s="3">
        <v>0</v>
      </c>
      <c r="G6757" s="3">
        <v>0</v>
      </c>
      <c r="H6757" s="2">
        <f t="shared" si="210"/>
        <v>18</v>
      </c>
      <c r="I6757" t="str">
        <f t="shared" si="211"/>
        <v>Serinc2_18</v>
      </c>
      <c r="J6757" s="3">
        <v>0</v>
      </c>
      <c r="K6757" s="3">
        <v>0</v>
      </c>
      <c r="L6757" s="3">
        <v>18</v>
      </c>
      <c r="M6757" s="3">
        <v>0</v>
      </c>
      <c r="N6757" s="3">
        <v>0</v>
      </c>
    </row>
    <row r="6758" spans="1:14" x14ac:dyDescent="0.2">
      <c r="A6758" s="5" t="str">
        <f>HYPERLINK("http://www.ncbi.nlm.nih.gov/protein/213385301","Serinc3")</f>
        <v>Serinc3</v>
      </c>
      <c r="B6758" s="4"/>
      <c r="C6758" s="3">
        <v>0</v>
      </c>
      <c r="D6758" s="3">
        <v>0</v>
      </c>
      <c r="E6758" s="3">
        <v>59</v>
      </c>
      <c r="F6758" s="3">
        <v>0</v>
      </c>
      <c r="G6758" s="3">
        <v>0</v>
      </c>
      <c r="H6758" s="2">
        <f t="shared" si="210"/>
        <v>59</v>
      </c>
      <c r="I6758" t="str">
        <f t="shared" si="211"/>
        <v>Serinc3_59</v>
      </c>
      <c r="J6758" s="3">
        <v>0</v>
      </c>
      <c r="K6758" s="3">
        <v>0</v>
      </c>
      <c r="L6758" s="3">
        <v>59</v>
      </c>
      <c r="M6758" s="3">
        <v>0</v>
      </c>
      <c r="N6758" s="3">
        <v>0</v>
      </c>
    </row>
    <row r="6759" spans="1:14" x14ac:dyDescent="0.2">
      <c r="A6759" s="5" t="str">
        <f>HYPERLINK("http://www.ncbi.nlm.nih.gov/protein/6680856","Serpina6")</f>
        <v>Serpina6</v>
      </c>
      <c r="B6759" s="4"/>
      <c r="C6759" s="3">
        <v>0</v>
      </c>
      <c r="D6759" s="3">
        <v>0</v>
      </c>
      <c r="E6759" s="3">
        <v>0</v>
      </c>
      <c r="F6759" s="3">
        <v>0</v>
      </c>
      <c r="G6759" s="3">
        <v>20487</v>
      </c>
      <c r="H6759" s="2">
        <f t="shared" si="210"/>
        <v>20487</v>
      </c>
      <c r="I6759" t="str">
        <f t="shared" si="211"/>
        <v>Serpina6_20487</v>
      </c>
      <c r="J6759" s="3">
        <v>0</v>
      </c>
      <c r="K6759" s="3">
        <v>0</v>
      </c>
      <c r="L6759" s="3">
        <v>0</v>
      </c>
      <c r="M6759" s="3">
        <v>0</v>
      </c>
      <c r="N6759" s="3">
        <v>20487</v>
      </c>
    </row>
    <row r="6760" spans="1:14" x14ac:dyDescent="0.2">
      <c r="A6760" s="5" t="str">
        <f>HYPERLINK("http://www.ncbi.nlm.nih.gov/protein/160333613","Serpinb3c")</f>
        <v>Serpinb3c</v>
      </c>
      <c r="B6760" s="4"/>
      <c r="C6760" s="3">
        <v>0</v>
      </c>
      <c r="D6760" s="3">
        <v>0</v>
      </c>
      <c r="E6760" s="3">
        <v>224</v>
      </c>
      <c r="F6760" s="3">
        <v>229</v>
      </c>
      <c r="G6760" s="3">
        <v>0</v>
      </c>
      <c r="H6760" s="2">
        <f t="shared" si="210"/>
        <v>453</v>
      </c>
      <c r="I6760" t="str">
        <f t="shared" si="211"/>
        <v>Serpinb3c_453</v>
      </c>
      <c r="J6760" s="3">
        <v>0</v>
      </c>
      <c r="K6760" s="3">
        <v>0</v>
      </c>
      <c r="L6760" s="3">
        <v>224</v>
      </c>
      <c r="M6760" s="3">
        <v>229</v>
      </c>
      <c r="N6760" s="3">
        <v>0</v>
      </c>
    </row>
    <row r="6761" spans="1:14" x14ac:dyDescent="0.2">
      <c r="A6761" s="5" t="str">
        <f>HYPERLINK("http://www.ncbi.nlm.nih.gov/protein/6678103","Serpinb5")</f>
        <v>Serpinb5</v>
      </c>
      <c r="B6761" s="4"/>
      <c r="C6761" s="3">
        <v>0</v>
      </c>
      <c r="D6761" s="3">
        <v>0</v>
      </c>
      <c r="E6761" s="3">
        <v>0</v>
      </c>
      <c r="F6761" s="3">
        <v>0</v>
      </c>
      <c r="G6761" s="3">
        <v>3470</v>
      </c>
      <c r="H6761" s="2">
        <f t="shared" si="210"/>
        <v>3470</v>
      </c>
      <c r="I6761" t="str">
        <f t="shared" si="211"/>
        <v>Serpinb5_3470</v>
      </c>
      <c r="J6761" s="3">
        <v>0</v>
      </c>
      <c r="K6761" s="3">
        <v>0</v>
      </c>
      <c r="L6761" s="3">
        <v>0</v>
      </c>
      <c r="M6761" s="3">
        <v>0</v>
      </c>
      <c r="N6761" s="3">
        <v>3470</v>
      </c>
    </row>
    <row r="6762" spans="1:14" x14ac:dyDescent="0.2">
      <c r="A6762" s="5" t="str">
        <f>HYPERLINK("http://www.ncbi.nlm.nih.gov/protein/255759941","Serpinb6a")</f>
        <v>Serpinb6a</v>
      </c>
      <c r="B6762" s="4"/>
      <c r="C6762" s="3">
        <v>2526</v>
      </c>
      <c r="D6762" s="3">
        <v>23290</v>
      </c>
      <c r="E6762" s="3">
        <v>26890</v>
      </c>
      <c r="F6762" s="3">
        <v>14325</v>
      </c>
      <c r="G6762" s="3">
        <v>394292</v>
      </c>
      <c r="H6762" s="2">
        <f t="shared" si="210"/>
        <v>461323</v>
      </c>
      <c r="I6762" t="str">
        <f t="shared" si="211"/>
        <v>Serpinb6a_461323</v>
      </c>
      <c r="J6762" s="3">
        <v>2526</v>
      </c>
      <c r="K6762" s="3">
        <v>23290</v>
      </c>
      <c r="L6762" s="3">
        <v>26890</v>
      </c>
      <c r="M6762" s="3">
        <v>14325</v>
      </c>
      <c r="N6762" s="3">
        <v>394292</v>
      </c>
    </row>
    <row r="6763" spans="1:14" x14ac:dyDescent="0.2">
      <c r="A6763" s="5" t="str">
        <f>HYPERLINK("http://www.ncbi.nlm.nih.gov/protein/255759943","Serpinb6a")</f>
        <v>Serpinb6a</v>
      </c>
      <c r="B6763" s="4"/>
      <c r="C6763" s="3">
        <v>2526</v>
      </c>
      <c r="D6763" s="3">
        <v>23290</v>
      </c>
      <c r="E6763" s="3">
        <v>26890</v>
      </c>
      <c r="F6763" s="3">
        <v>14325</v>
      </c>
      <c r="G6763" s="3">
        <v>430447</v>
      </c>
      <c r="H6763" s="2">
        <f t="shared" si="210"/>
        <v>497478</v>
      </c>
      <c r="I6763" t="str">
        <f t="shared" si="211"/>
        <v>Serpinb6a_497478</v>
      </c>
      <c r="J6763" s="3">
        <v>2526</v>
      </c>
      <c r="K6763" s="3">
        <v>23290</v>
      </c>
      <c r="L6763" s="3">
        <v>26890</v>
      </c>
      <c r="M6763" s="3">
        <v>14325</v>
      </c>
      <c r="N6763" s="3">
        <v>430447</v>
      </c>
    </row>
    <row r="6764" spans="1:14" x14ac:dyDescent="0.2">
      <c r="A6764" s="5" t="str">
        <f>HYPERLINK("http://www.ncbi.nlm.nih.gov/protein/15826844","Serpinb6b")</f>
        <v>Serpinb6b</v>
      </c>
      <c r="B6764" s="4"/>
      <c r="C6764" s="3">
        <v>0</v>
      </c>
      <c r="D6764" s="3">
        <v>0</v>
      </c>
      <c r="E6764" s="3">
        <v>42</v>
      </c>
      <c r="F6764" s="3">
        <v>0</v>
      </c>
      <c r="G6764" s="3">
        <v>73842</v>
      </c>
      <c r="H6764" s="2">
        <f t="shared" si="210"/>
        <v>73884</v>
      </c>
      <c r="I6764" t="str">
        <f t="shared" si="211"/>
        <v>Serpinb6b_73884</v>
      </c>
      <c r="J6764" s="3">
        <v>0</v>
      </c>
      <c r="K6764" s="3">
        <v>0</v>
      </c>
      <c r="L6764" s="3">
        <v>42</v>
      </c>
      <c r="M6764" s="3">
        <v>0</v>
      </c>
      <c r="N6764" s="3">
        <v>73842</v>
      </c>
    </row>
    <row r="6765" spans="1:14" x14ac:dyDescent="0.2">
      <c r="A6765" s="5" t="str">
        <f>HYPERLINK("http://www.ncbi.nlm.nih.gov/protein/142347364","Serpinb6c")</f>
        <v>Serpinb6c</v>
      </c>
      <c r="B6765" s="4"/>
      <c r="C6765" s="3">
        <v>0</v>
      </c>
      <c r="D6765" s="3">
        <v>0</v>
      </c>
      <c r="E6765" s="3">
        <v>42</v>
      </c>
      <c r="F6765" s="3">
        <v>0</v>
      </c>
      <c r="G6765" s="3">
        <v>910</v>
      </c>
      <c r="H6765" s="2">
        <f t="shared" si="210"/>
        <v>952</v>
      </c>
      <c r="I6765" t="str">
        <f t="shared" si="211"/>
        <v>Serpinb6c_952</v>
      </c>
      <c r="J6765" s="3">
        <v>0</v>
      </c>
      <c r="K6765" s="3">
        <v>0</v>
      </c>
      <c r="L6765" s="3">
        <v>42</v>
      </c>
      <c r="M6765" s="3">
        <v>0</v>
      </c>
      <c r="N6765" s="3">
        <v>910</v>
      </c>
    </row>
    <row r="6766" spans="1:14" x14ac:dyDescent="0.2">
      <c r="A6766" s="5" t="str">
        <f>HYPERLINK("http://www.ncbi.nlm.nih.gov/protein/115647930","Serpinb6d")</f>
        <v>Serpinb6d</v>
      </c>
      <c r="B6766" s="4"/>
      <c r="C6766" s="3">
        <v>0</v>
      </c>
      <c r="D6766" s="3">
        <v>0</v>
      </c>
      <c r="E6766" s="3">
        <v>0</v>
      </c>
      <c r="F6766" s="3">
        <v>0</v>
      </c>
      <c r="G6766" s="3">
        <v>6426</v>
      </c>
      <c r="H6766" s="2">
        <f t="shared" si="210"/>
        <v>6426</v>
      </c>
      <c r="I6766" t="str">
        <f t="shared" si="211"/>
        <v>Serpinb6d_6426</v>
      </c>
      <c r="J6766" s="3">
        <v>0</v>
      </c>
      <c r="K6766" s="3">
        <v>0</v>
      </c>
      <c r="L6766" s="3">
        <v>0</v>
      </c>
      <c r="M6766" s="3">
        <v>0</v>
      </c>
      <c r="N6766" s="3">
        <v>6426</v>
      </c>
    </row>
    <row r="6767" spans="1:14" x14ac:dyDescent="0.2">
      <c r="A6767" s="5" t="str">
        <f>HYPERLINK("http://www.ncbi.nlm.nih.gov/protein/6678101","Serpinb9")</f>
        <v>Serpinb9</v>
      </c>
      <c r="B6767" s="4"/>
      <c r="C6767" s="3">
        <v>55</v>
      </c>
      <c r="D6767" s="3">
        <v>1651</v>
      </c>
      <c r="E6767" s="3">
        <v>4930</v>
      </c>
      <c r="F6767" s="3">
        <v>0</v>
      </c>
      <c r="G6767" s="3">
        <v>109355</v>
      </c>
      <c r="H6767" s="2">
        <f t="shared" si="210"/>
        <v>115991</v>
      </c>
      <c r="I6767" t="str">
        <f t="shared" si="211"/>
        <v>Serpinb9_115991</v>
      </c>
      <c r="J6767" s="3">
        <v>55</v>
      </c>
      <c r="K6767" s="3">
        <v>1651</v>
      </c>
      <c r="L6767" s="3">
        <v>4930</v>
      </c>
      <c r="M6767" s="3">
        <v>0</v>
      </c>
      <c r="N6767" s="3">
        <v>109355</v>
      </c>
    </row>
    <row r="6768" spans="1:14" x14ac:dyDescent="0.2">
      <c r="A6768" s="5" t="str">
        <f>HYPERLINK("http://www.ncbi.nlm.nih.gov/protein/15826842","Serpinb9b")</f>
        <v>Serpinb9b</v>
      </c>
      <c r="B6768" s="4"/>
      <c r="C6768" s="3">
        <v>0</v>
      </c>
      <c r="D6768" s="3">
        <v>0</v>
      </c>
      <c r="E6768" s="3">
        <v>1115</v>
      </c>
      <c r="F6768" s="3">
        <v>0</v>
      </c>
      <c r="G6768" s="3">
        <v>17478</v>
      </c>
      <c r="H6768" s="2">
        <f t="shared" si="210"/>
        <v>18593</v>
      </c>
      <c r="I6768" t="str">
        <f t="shared" si="211"/>
        <v>Serpinb9b_18593</v>
      </c>
      <c r="J6768" s="3">
        <v>0</v>
      </c>
      <c r="K6768" s="3">
        <v>0</v>
      </c>
      <c r="L6768" s="3">
        <v>1115</v>
      </c>
      <c r="M6768" s="3">
        <v>0</v>
      </c>
      <c r="N6768" s="3">
        <v>17478</v>
      </c>
    </row>
    <row r="6769" spans="1:14" x14ac:dyDescent="0.2">
      <c r="A6769" s="5" t="str">
        <f>HYPERLINK("http://www.ncbi.nlm.nih.gov/protein/33468935","Serpinb9d")</f>
        <v>Serpinb9d</v>
      </c>
      <c r="B6769" s="4"/>
      <c r="C6769" s="3">
        <v>0</v>
      </c>
      <c r="D6769" s="3">
        <v>0</v>
      </c>
      <c r="E6769" s="3">
        <v>0</v>
      </c>
      <c r="F6769" s="3">
        <v>0</v>
      </c>
      <c r="G6769" s="3">
        <v>19588</v>
      </c>
      <c r="H6769" s="2">
        <f t="shared" si="210"/>
        <v>19588</v>
      </c>
      <c r="I6769" t="str">
        <f t="shared" si="211"/>
        <v>Serpinb9d_19588</v>
      </c>
      <c r="J6769" s="3">
        <v>0</v>
      </c>
      <c r="K6769" s="3">
        <v>0</v>
      </c>
      <c r="L6769" s="3">
        <v>0</v>
      </c>
      <c r="M6769" s="3">
        <v>0</v>
      </c>
      <c r="N6769" s="3">
        <v>19588</v>
      </c>
    </row>
    <row r="6770" spans="1:14" x14ac:dyDescent="0.2">
      <c r="A6770" s="5" t="str">
        <f>HYPERLINK("http://www.ncbi.nlm.nih.gov/protein/15826846","Serpinb9e")</f>
        <v>Serpinb9e</v>
      </c>
      <c r="B6770" s="4"/>
      <c r="C6770" s="3">
        <v>0</v>
      </c>
      <c r="D6770" s="3">
        <v>0</v>
      </c>
      <c r="E6770" s="3">
        <v>0</v>
      </c>
      <c r="F6770" s="3">
        <v>0</v>
      </c>
      <c r="G6770" s="3">
        <v>19588</v>
      </c>
      <c r="H6770" s="2">
        <f t="shared" si="210"/>
        <v>19588</v>
      </c>
      <c r="I6770" t="str">
        <f t="shared" si="211"/>
        <v>Serpinb9e_19588</v>
      </c>
      <c r="J6770" s="3">
        <v>0</v>
      </c>
      <c r="K6770" s="3">
        <v>0</v>
      </c>
      <c r="L6770" s="3">
        <v>0</v>
      </c>
      <c r="M6770" s="3">
        <v>0</v>
      </c>
      <c r="N6770" s="3">
        <v>19588</v>
      </c>
    </row>
    <row r="6771" spans="1:14" x14ac:dyDescent="0.2">
      <c r="A6771" s="5" t="str">
        <f>HYPERLINK("http://www.ncbi.nlm.nih.gov/protein/60593101","Serpinb9f")</f>
        <v>Serpinb9f</v>
      </c>
      <c r="B6771" s="4"/>
      <c r="C6771" s="3">
        <v>0</v>
      </c>
      <c r="D6771" s="3">
        <v>0</v>
      </c>
      <c r="E6771" s="3">
        <v>0</v>
      </c>
      <c r="F6771" s="3">
        <v>0</v>
      </c>
      <c r="G6771" s="3">
        <v>19588</v>
      </c>
      <c r="H6771" s="2">
        <f t="shared" si="210"/>
        <v>19588</v>
      </c>
      <c r="I6771" t="str">
        <f t="shared" si="211"/>
        <v>Serpinb9f_19588</v>
      </c>
      <c r="J6771" s="3">
        <v>0</v>
      </c>
      <c r="K6771" s="3">
        <v>0</v>
      </c>
      <c r="L6771" s="3">
        <v>0</v>
      </c>
      <c r="M6771" s="3">
        <v>0</v>
      </c>
      <c r="N6771" s="3">
        <v>19588</v>
      </c>
    </row>
    <row r="6772" spans="1:14" x14ac:dyDescent="0.2">
      <c r="A6772" s="5" t="str">
        <f>HYPERLINK("http://www.ncbi.nlm.nih.gov/protein/254675225","Serpinb9g")</f>
        <v>Serpinb9g</v>
      </c>
      <c r="B6772" s="4"/>
      <c r="C6772" s="3">
        <v>0</v>
      </c>
      <c r="D6772" s="3">
        <v>0</v>
      </c>
      <c r="E6772" s="3">
        <v>0</v>
      </c>
      <c r="F6772" s="3">
        <v>0</v>
      </c>
      <c r="G6772" s="3">
        <v>19588</v>
      </c>
      <c r="H6772" s="2">
        <f t="shared" si="210"/>
        <v>19588</v>
      </c>
      <c r="I6772" t="str">
        <f t="shared" si="211"/>
        <v>Serpinb9g_19588</v>
      </c>
      <c r="J6772" s="3">
        <v>0</v>
      </c>
      <c r="K6772" s="3">
        <v>0</v>
      </c>
      <c r="L6772" s="3">
        <v>0</v>
      </c>
      <c r="M6772" s="3">
        <v>0</v>
      </c>
      <c r="N6772" s="3">
        <v>19588</v>
      </c>
    </row>
    <row r="6773" spans="1:14" x14ac:dyDescent="0.2">
      <c r="A6773" s="5" t="str">
        <f>HYPERLINK("http://www.ncbi.nlm.nih.gov/protein/170172562","Serpine1")</f>
        <v>Serpine1</v>
      </c>
      <c r="B6773" s="4"/>
      <c r="C6773" s="3">
        <v>0</v>
      </c>
      <c r="D6773" s="3">
        <v>136</v>
      </c>
      <c r="E6773" s="3">
        <v>86</v>
      </c>
      <c r="F6773" s="3">
        <v>0</v>
      </c>
      <c r="G6773" s="3">
        <v>0</v>
      </c>
      <c r="H6773" s="2">
        <f t="shared" si="210"/>
        <v>222</v>
      </c>
      <c r="I6773" t="str">
        <f t="shared" si="211"/>
        <v>Serpine1_222</v>
      </c>
      <c r="J6773" s="3">
        <v>0</v>
      </c>
      <c r="K6773" s="3">
        <v>136</v>
      </c>
      <c r="L6773" s="3">
        <v>86</v>
      </c>
      <c r="M6773" s="3">
        <v>0</v>
      </c>
      <c r="N6773" s="3">
        <v>0</v>
      </c>
    </row>
    <row r="6774" spans="1:14" x14ac:dyDescent="0.2">
      <c r="A6774" s="5" t="str">
        <f>HYPERLINK("http://www.ncbi.nlm.nih.gov/protein/161353502","Serpinh1")</f>
        <v>Serpinh1</v>
      </c>
      <c r="B6774" s="4"/>
      <c r="C6774" s="3">
        <v>18214</v>
      </c>
      <c r="D6774" s="3">
        <v>9087</v>
      </c>
      <c r="E6774" s="3">
        <v>1659</v>
      </c>
      <c r="F6774" s="3">
        <v>0</v>
      </c>
      <c r="G6774" s="3">
        <v>1992</v>
      </c>
      <c r="H6774" s="2">
        <f t="shared" si="210"/>
        <v>30952</v>
      </c>
      <c r="I6774" t="str">
        <f t="shared" si="211"/>
        <v>Serpinh1_30952</v>
      </c>
      <c r="J6774" s="3">
        <v>18214</v>
      </c>
      <c r="K6774" s="3">
        <v>9087</v>
      </c>
      <c r="L6774" s="3">
        <v>1659</v>
      </c>
      <c r="M6774" s="3">
        <v>0</v>
      </c>
      <c r="N6774" s="3">
        <v>1992</v>
      </c>
    </row>
    <row r="6775" spans="1:14" x14ac:dyDescent="0.2">
      <c r="A6775" s="5" t="str">
        <f>HYPERLINK("http://www.ncbi.nlm.nih.gov/protein/30425210","Sestd1")</f>
        <v>Sestd1</v>
      </c>
      <c r="B6775" s="4"/>
      <c r="C6775" s="3">
        <v>0</v>
      </c>
      <c r="D6775" s="3">
        <v>939</v>
      </c>
      <c r="E6775" s="3">
        <v>1971</v>
      </c>
      <c r="F6775" s="3">
        <v>10715</v>
      </c>
      <c r="G6775" s="3">
        <v>27116</v>
      </c>
      <c r="H6775" s="2">
        <f t="shared" si="210"/>
        <v>40741</v>
      </c>
      <c r="I6775" t="str">
        <f t="shared" si="211"/>
        <v>Sestd1_40741</v>
      </c>
      <c r="J6775" s="3">
        <v>0</v>
      </c>
      <c r="K6775" s="3">
        <v>939</v>
      </c>
      <c r="L6775" s="3">
        <v>1971</v>
      </c>
      <c r="M6775" s="3">
        <v>10715</v>
      </c>
      <c r="N6775" s="3">
        <v>27116</v>
      </c>
    </row>
    <row r="6776" spans="1:14" x14ac:dyDescent="0.2">
      <c r="A6776" s="5" t="str">
        <f>HYPERLINK("http://www.ncbi.nlm.nih.gov/protein/13591862","Set")</f>
        <v>Set</v>
      </c>
      <c r="B6776" s="4"/>
      <c r="C6776" s="3">
        <v>24109</v>
      </c>
      <c r="D6776" s="3">
        <v>6981</v>
      </c>
      <c r="E6776" s="3">
        <v>28460</v>
      </c>
      <c r="F6776" s="3">
        <v>14611</v>
      </c>
      <c r="G6776" s="3">
        <v>506217</v>
      </c>
      <c r="H6776" s="2">
        <f t="shared" si="210"/>
        <v>580378</v>
      </c>
      <c r="I6776" t="str">
        <f t="shared" si="211"/>
        <v>Set_580378</v>
      </c>
      <c r="J6776" s="3">
        <v>24109</v>
      </c>
      <c r="K6776" s="3">
        <v>6981</v>
      </c>
      <c r="L6776" s="3">
        <v>28460</v>
      </c>
      <c r="M6776" s="3">
        <v>14611</v>
      </c>
      <c r="N6776" s="3">
        <v>506217</v>
      </c>
    </row>
    <row r="6777" spans="1:14" x14ac:dyDescent="0.2">
      <c r="A6777" s="5" t="str">
        <f>HYPERLINK("http://www.ncbi.nlm.nih.gov/protein/325910859","Set")</f>
        <v>Set</v>
      </c>
      <c r="B6777" s="4"/>
      <c r="C6777" s="3">
        <v>24109</v>
      </c>
      <c r="D6777" s="3">
        <v>6981</v>
      </c>
      <c r="E6777" s="3">
        <v>28223</v>
      </c>
      <c r="F6777" s="3">
        <v>19613</v>
      </c>
      <c r="G6777" s="3">
        <v>492819</v>
      </c>
      <c r="H6777" s="2">
        <f t="shared" si="210"/>
        <v>571745</v>
      </c>
      <c r="I6777" t="str">
        <f t="shared" si="211"/>
        <v>Set_571745</v>
      </c>
      <c r="J6777" s="3">
        <v>24109</v>
      </c>
      <c r="K6777" s="3">
        <v>6981</v>
      </c>
      <c r="L6777" s="3">
        <v>28223</v>
      </c>
      <c r="M6777" s="3">
        <v>19613</v>
      </c>
      <c r="N6777" s="3">
        <v>492819</v>
      </c>
    </row>
    <row r="6778" spans="1:14" x14ac:dyDescent="0.2">
      <c r="A6778" s="5" t="str">
        <f>HYPERLINK("http://www.ncbi.nlm.nih.gov/protein/119508422","Setd1a")</f>
        <v>Setd1a</v>
      </c>
      <c r="B6778" s="4"/>
      <c r="C6778" s="3">
        <v>0</v>
      </c>
      <c r="D6778" s="3">
        <v>0</v>
      </c>
      <c r="E6778" s="3">
        <v>0</v>
      </c>
      <c r="F6778" s="3">
        <v>82</v>
      </c>
      <c r="G6778" s="3">
        <v>161</v>
      </c>
      <c r="H6778" s="2">
        <f t="shared" si="210"/>
        <v>243</v>
      </c>
      <c r="I6778" t="str">
        <f t="shared" si="211"/>
        <v>Setd1a_243</v>
      </c>
      <c r="J6778" s="3">
        <v>0</v>
      </c>
      <c r="K6778" s="3">
        <v>0</v>
      </c>
      <c r="L6778" s="3">
        <v>0</v>
      </c>
      <c r="M6778" s="3">
        <v>82</v>
      </c>
      <c r="N6778" s="3">
        <v>161</v>
      </c>
    </row>
    <row r="6779" spans="1:14" x14ac:dyDescent="0.2">
      <c r="A6779" s="5" t="str">
        <f>HYPERLINK("http://www.ncbi.nlm.nih.gov/protein/268370088","Setd3")</f>
        <v>Setd3</v>
      </c>
      <c r="B6779" s="4"/>
      <c r="C6779" s="3">
        <v>0</v>
      </c>
      <c r="D6779" s="3">
        <v>1451</v>
      </c>
      <c r="E6779" s="3">
        <v>32468</v>
      </c>
      <c r="F6779" s="3">
        <v>30565</v>
      </c>
      <c r="G6779" s="3">
        <v>0</v>
      </c>
      <c r="H6779" s="2">
        <f t="shared" si="210"/>
        <v>64484</v>
      </c>
      <c r="I6779" t="str">
        <f t="shared" si="211"/>
        <v>Setd3_64484</v>
      </c>
      <c r="J6779" s="3">
        <v>0</v>
      </c>
      <c r="K6779" s="3">
        <v>1451</v>
      </c>
      <c r="L6779" s="3">
        <v>32468</v>
      </c>
      <c r="M6779" s="3">
        <v>30565</v>
      </c>
      <c r="N6779" s="3">
        <v>0</v>
      </c>
    </row>
    <row r="6780" spans="1:14" x14ac:dyDescent="0.2">
      <c r="A6780" s="5" t="str">
        <f>HYPERLINK("http://www.ncbi.nlm.nih.gov/protein/84490382","Setd7")</f>
        <v>Setd7</v>
      </c>
      <c r="B6780" s="4"/>
      <c r="C6780" s="3">
        <v>0</v>
      </c>
      <c r="D6780" s="3">
        <v>0</v>
      </c>
      <c r="E6780" s="3">
        <v>0</v>
      </c>
      <c r="F6780" s="3">
        <v>0</v>
      </c>
      <c r="G6780" s="3">
        <v>4937</v>
      </c>
      <c r="H6780" s="2">
        <f t="shared" si="210"/>
        <v>4937</v>
      </c>
      <c r="I6780" t="str">
        <f t="shared" si="211"/>
        <v>Setd7_4937</v>
      </c>
      <c r="J6780" s="3">
        <v>0</v>
      </c>
      <c r="K6780" s="3">
        <v>0</v>
      </c>
      <c r="L6780" s="3">
        <v>0</v>
      </c>
      <c r="M6780" s="3">
        <v>0</v>
      </c>
      <c r="N6780" s="3">
        <v>4937</v>
      </c>
    </row>
    <row r="6781" spans="1:14" x14ac:dyDescent="0.2">
      <c r="A6781" s="5" t="str">
        <f>HYPERLINK("http://www.ncbi.nlm.nih.gov/protein/113722131","Setx")</f>
        <v>Setx</v>
      </c>
      <c r="B6781" s="4"/>
      <c r="C6781" s="3">
        <v>0</v>
      </c>
      <c r="D6781" s="3">
        <v>0</v>
      </c>
      <c r="E6781" s="3">
        <v>86</v>
      </c>
      <c r="F6781" s="3">
        <v>0</v>
      </c>
      <c r="G6781" s="3">
        <v>0</v>
      </c>
      <c r="H6781" s="2">
        <f t="shared" si="210"/>
        <v>86</v>
      </c>
      <c r="I6781" t="str">
        <f t="shared" si="211"/>
        <v>Setx_86</v>
      </c>
      <c r="J6781" s="3">
        <v>0</v>
      </c>
      <c r="K6781" s="3">
        <v>0</v>
      </c>
      <c r="L6781" s="3">
        <v>86</v>
      </c>
      <c r="M6781" s="3">
        <v>0</v>
      </c>
      <c r="N6781" s="3">
        <v>0</v>
      </c>
    </row>
    <row r="6782" spans="1:14" x14ac:dyDescent="0.2">
      <c r="A6782" s="5" t="str">
        <f>HYPERLINK("http://www.ncbi.nlm.nih.gov/protein/160707945","Sf1")</f>
        <v>Sf1</v>
      </c>
      <c r="B6782" s="4"/>
      <c r="C6782" s="3">
        <v>7835</v>
      </c>
      <c r="D6782" s="3">
        <v>555</v>
      </c>
      <c r="E6782" s="3">
        <v>440</v>
      </c>
      <c r="F6782" s="3">
        <v>434</v>
      </c>
      <c r="G6782" s="3">
        <v>14286</v>
      </c>
      <c r="H6782" s="2">
        <f t="shared" si="210"/>
        <v>23550</v>
      </c>
      <c r="I6782" t="str">
        <f t="shared" si="211"/>
        <v>Sf1_23550</v>
      </c>
      <c r="J6782" s="3">
        <v>7835</v>
      </c>
      <c r="K6782" s="3">
        <v>555</v>
      </c>
      <c r="L6782" s="3">
        <v>440</v>
      </c>
      <c r="M6782" s="3">
        <v>434</v>
      </c>
      <c r="N6782" s="3">
        <v>14286</v>
      </c>
    </row>
    <row r="6783" spans="1:14" x14ac:dyDescent="0.2">
      <c r="A6783" s="5" t="str">
        <f>HYPERLINK("http://www.ncbi.nlm.nih.gov/protein/160707947","Sf1")</f>
        <v>Sf1</v>
      </c>
      <c r="B6783" s="4"/>
      <c r="C6783" s="3">
        <v>7835</v>
      </c>
      <c r="D6783" s="3">
        <v>555</v>
      </c>
      <c r="E6783" s="3">
        <v>440</v>
      </c>
      <c r="F6783" s="3">
        <v>434</v>
      </c>
      <c r="G6783" s="3">
        <v>14286</v>
      </c>
      <c r="H6783" s="2">
        <f t="shared" si="210"/>
        <v>23550</v>
      </c>
      <c r="I6783" t="str">
        <f t="shared" si="211"/>
        <v>Sf1_23550</v>
      </c>
      <c r="J6783" s="3">
        <v>7835</v>
      </c>
      <c r="K6783" s="3">
        <v>555</v>
      </c>
      <c r="L6783" s="3">
        <v>440</v>
      </c>
      <c r="M6783" s="3">
        <v>434</v>
      </c>
      <c r="N6783" s="3">
        <v>14286</v>
      </c>
    </row>
    <row r="6784" spans="1:14" x14ac:dyDescent="0.2">
      <c r="A6784" s="5" t="str">
        <f>HYPERLINK("http://www.ncbi.nlm.nih.gov/protein/165932270","Sf3a1")</f>
        <v>Sf3a1</v>
      </c>
      <c r="B6784" s="4"/>
      <c r="C6784" s="3">
        <v>82542</v>
      </c>
      <c r="D6784" s="3">
        <v>15</v>
      </c>
      <c r="E6784" s="3">
        <v>5126</v>
      </c>
      <c r="F6784" s="3">
        <v>17828</v>
      </c>
      <c r="G6784" s="3">
        <v>8632</v>
      </c>
      <c r="H6784" s="2">
        <f t="shared" si="210"/>
        <v>114143</v>
      </c>
      <c r="I6784" t="str">
        <f t="shared" si="211"/>
        <v>Sf3a1_114143</v>
      </c>
      <c r="J6784" s="3">
        <v>82542</v>
      </c>
      <c r="K6784" s="3">
        <v>15</v>
      </c>
      <c r="L6784" s="3">
        <v>5126</v>
      </c>
      <c r="M6784" s="3">
        <v>17828</v>
      </c>
      <c r="N6784" s="3">
        <v>8632</v>
      </c>
    </row>
    <row r="6785" spans="1:14" x14ac:dyDescent="0.2">
      <c r="A6785" s="5" t="str">
        <f>HYPERLINK("http://www.ncbi.nlm.nih.gov/protein/158749553","Sf3a2")</f>
        <v>Sf3a2</v>
      </c>
      <c r="B6785" s="4"/>
      <c r="C6785" s="3">
        <v>0</v>
      </c>
      <c r="D6785" s="3">
        <v>0</v>
      </c>
      <c r="E6785" s="3">
        <v>29</v>
      </c>
      <c r="F6785" s="3">
        <v>7408</v>
      </c>
      <c r="G6785" s="3">
        <v>0</v>
      </c>
      <c r="H6785" s="2">
        <f t="shared" si="210"/>
        <v>7437</v>
      </c>
      <c r="I6785" t="str">
        <f t="shared" si="211"/>
        <v>Sf3a2_7437</v>
      </c>
      <c r="J6785" s="3">
        <v>0</v>
      </c>
      <c r="K6785" s="3">
        <v>0</v>
      </c>
      <c r="L6785" s="3">
        <v>29</v>
      </c>
      <c r="M6785" s="3">
        <v>7408</v>
      </c>
      <c r="N6785" s="3">
        <v>0</v>
      </c>
    </row>
    <row r="6786" spans="1:14" x14ac:dyDescent="0.2">
      <c r="A6786" s="5" t="str">
        <f>HYPERLINK("http://www.ncbi.nlm.nih.gov/protein/22095003","Sf3a3")</f>
        <v>Sf3a3</v>
      </c>
      <c r="B6786" s="4"/>
      <c r="C6786" s="3">
        <v>9629</v>
      </c>
      <c r="D6786" s="3">
        <v>2131</v>
      </c>
      <c r="E6786" s="3">
        <v>3317</v>
      </c>
      <c r="F6786" s="3">
        <v>4928</v>
      </c>
      <c r="G6786" s="3">
        <v>0</v>
      </c>
      <c r="H6786" s="2">
        <f t="shared" ref="H6786:H6849" si="212">SUM(C6786:G6786)</f>
        <v>20005</v>
      </c>
      <c r="I6786" t="str">
        <f t="shared" ref="I6786:I6849" si="213">A6786&amp;"_"&amp;H6786</f>
        <v>Sf3a3_20005</v>
      </c>
      <c r="J6786" s="3">
        <v>9629</v>
      </c>
      <c r="K6786" s="3">
        <v>2131</v>
      </c>
      <c r="L6786" s="3">
        <v>3317</v>
      </c>
      <c r="M6786" s="3">
        <v>4928</v>
      </c>
      <c r="N6786" s="3">
        <v>0</v>
      </c>
    </row>
    <row r="6787" spans="1:14" x14ac:dyDescent="0.2">
      <c r="A6787" s="5" t="str">
        <f>HYPERLINK("http://www.ncbi.nlm.nih.gov/protein/153791358","Sf3b1")</f>
        <v>Sf3b1</v>
      </c>
      <c r="B6787" s="4"/>
      <c r="C6787" s="3">
        <v>234225</v>
      </c>
      <c r="D6787" s="3">
        <v>1493</v>
      </c>
      <c r="E6787" s="3">
        <v>16250</v>
      </c>
      <c r="F6787" s="3">
        <v>35247</v>
      </c>
      <c r="G6787" s="3">
        <v>1714</v>
      </c>
      <c r="H6787" s="2">
        <f t="shared" si="212"/>
        <v>288929</v>
      </c>
      <c r="I6787" t="str">
        <f t="shared" si="213"/>
        <v>Sf3b1_288929</v>
      </c>
      <c r="J6787" s="3">
        <v>234225</v>
      </c>
      <c r="K6787" s="3">
        <v>1493</v>
      </c>
      <c r="L6787" s="3">
        <v>16250</v>
      </c>
      <c r="M6787" s="3">
        <v>35247</v>
      </c>
      <c r="N6787" s="3">
        <v>1714</v>
      </c>
    </row>
    <row r="6788" spans="1:14" x14ac:dyDescent="0.2">
      <c r="A6788" s="5" t="str">
        <f>HYPERLINK("http://www.ncbi.nlm.nih.gov/protein/268837785","Sf3b2")</f>
        <v>Sf3b2</v>
      </c>
      <c r="B6788" s="4"/>
      <c r="C6788" s="3">
        <v>70734</v>
      </c>
      <c r="D6788" s="3">
        <v>3234</v>
      </c>
      <c r="E6788" s="3">
        <v>14898</v>
      </c>
      <c r="F6788" s="3">
        <v>1727</v>
      </c>
      <c r="G6788" s="3">
        <v>10902</v>
      </c>
      <c r="H6788" s="2">
        <f t="shared" si="212"/>
        <v>101495</v>
      </c>
      <c r="I6788" t="str">
        <f t="shared" si="213"/>
        <v>Sf3b2_101495</v>
      </c>
      <c r="J6788" s="3">
        <v>70734</v>
      </c>
      <c r="K6788" s="3">
        <v>3234</v>
      </c>
      <c r="L6788" s="3">
        <v>14898</v>
      </c>
      <c r="M6788" s="3">
        <v>1727</v>
      </c>
      <c r="N6788" s="3">
        <v>10902</v>
      </c>
    </row>
    <row r="6789" spans="1:14" x14ac:dyDescent="0.2">
      <c r="A6789" s="5" t="str">
        <f>HYPERLINK("http://www.ncbi.nlm.nih.gov/protein/19527174","Sf3b3")</f>
        <v>Sf3b3</v>
      </c>
      <c r="B6789" s="4"/>
      <c r="C6789" s="3">
        <v>253465</v>
      </c>
      <c r="D6789" s="3">
        <v>12243</v>
      </c>
      <c r="E6789" s="3">
        <v>31707</v>
      </c>
      <c r="F6789" s="3">
        <v>105757</v>
      </c>
      <c r="G6789" s="3">
        <v>44958</v>
      </c>
      <c r="H6789" s="2">
        <f t="shared" si="212"/>
        <v>448130</v>
      </c>
      <c r="I6789" t="str">
        <f t="shared" si="213"/>
        <v>Sf3b3_448130</v>
      </c>
      <c r="J6789" s="3">
        <v>253465</v>
      </c>
      <c r="K6789" s="3">
        <v>12243</v>
      </c>
      <c r="L6789" s="3">
        <v>31707</v>
      </c>
      <c r="M6789" s="3">
        <v>105757</v>
      </c>
      <c r="N6789" s="3">
        <v>44958</v>
      </c>
    </row>
    <row r="6790" spans="1:14" x14ac:dyDescent="0.2">
      <c r="A6790" s="5" t="str">
        <f>HYPERLINK("http://www.ncbi.nlm.nih.gov/protein/23346437","Sf3b4")</f>
        <v>Sf3b4</v>
      </c>
      <c r="B6790" s="4"/>
      <c r="C6790" s="3">
        <v>0</v>
      </c>
      <c r="D6790" s="3">
        <v>278</v>
      </c>
      <c r="E6790" s="3">
        <v>1119</v>
      </c>
      <c r="F6790" s="3">
        <v>0</v>
      </c>
      <c r="G6790" s="3">
        <v>0</v>
      </c>
      <c r="H6790" s="2">
        <f t="shared" si="212"/>
        <v>1397</v>
      </c>
      <c r="I6790" t="str">
        <f t="shared" si="213"/>
        <v>Sf3b4_1397</v>
      </c>
      <c r="J6790" s="3">
        <v>0</v>
      </c>
      <c r="K6790" s="3">
        <v>278</v>
      </c>
      <c r="L6790" s="3">
        <v>1119</v>
      </c>
      <c r="M6790" s="3">
        <v>0</v>
      </c>
      <c r="N6790" s="3">
        <v>0</v>
      </c>
    </row>
    <row r="6791" spans="1:14" x14ac:dyDescent="0.2">
      <c r="A6791" s="5" t="str">
        <f>HYPERLINK("http://www.ncbi.nlm.nih.gov/protein/85540445","Sf3b5")</f>
        <v>Sf3b5</v>
      </c>
      <c r="B6791" s="4"/>
      <c r="C6791" s="3">
        <v>6114</v>
      </c>
      <c r="D6791" s="3">
        <v>111</v>
      </c>
      <c r="E6791" s="3">
        <v>653</v>
      </c>
      <c r="F6791" s="3">
        <v>1342</v>
      </c>
      <c r="G6791" s="3">
        <v>707</v>
      </c>
      <c r="H6791" s="2">
        <f t="shared" si="212"/>
        <v>8927</v>
      </c>
      <c r="I6791" t="str">
        <f t="shared" si="213"/>
        <v>Sf3b5_8927</v>
      </c>
      <c r="J6791" s="3">
        <v>6114</v>
      </c>
      <c r="K6791" s="3">
        <v>111</v>
      </c>
      <c r="L6791" s="3">
        <v>653</v>
      </c>
      <c r="M6791" s="3">
        <v>1342</v>
      </c>
      <c r="N6791" s="3">
        <v>707</v>
      </c>
    </row>
    <row r="6792" spans="1:14" x14ac:dyDescent="0.2">
      <c r="A6792" s="5" t="str">
        <f>HYPERLINK("http://www.ncbi.nlm.nih.gov/protein/134023662","Sfn")</f>
        <v>Sfn</v>
      </c>
      <c r="B6792" s="4"/>
      <c r="C6792" s="3">
        <v>322863</v>
      </c>
      <c r="D6792" s="3">
        <v>52399</v>
      </c>
      <c r="E6792" s="3">
        <v>63893</v>
      </c>
      <c r="F6792" s="3">
        <v>293231</v>
      </c>
      <c r="G6792" s="3">
        <v>492584</v>
      </c>
      <c r="H6792" s="2">
        <f t="shared" si="212"/>
        <v>1224970</v>
      </c>
      <c r="I6792" t="str">
        <f t="shared" si="213"/>
        <v>Sfn_1224970</v>
      </c>
      <c r="J6792" s="3">
        <v>322863</v>
      </c>
      <c r="K6792" s="3">
        <v>52399</v>
      </c>
      <c r="L6792" s="3">
        <v>63893</v>
      </c>
      <c r="M6792" s="3">
        <v>293231</v>
      </c>
      <c r="N6792" s="3">
        <v>492584</v>
      </c>
    </row>
    <row r="6793" spans="1:14" x14ac:dyDescent="0.2">
      <c r="A6793" s="5" t="str">
        <f>HYPERLINK("http://www.ncbi.nlm.nih.gov/protein/23956214","Sfpq")</f>
        <v>Sfpq</v>
      </c>
      <c r="B6793" s="4"/>
      <c r="C6793" s="3">
        <v>347119</v>
      </c>
      <c r="D6793" s="3">
        <v>2881</v>
      </c>
      <c r="E6793" s="3">
        <v>31078</v>
      </c>
      <c r="F6793" s="3">
        <v>9356</v>
      </c>
      <c r="G6793" s="3">
        <v>0</v>
      </c>
      <c r="H6793" s="2">
        <f t="shared" si="212"/>
        <v>390434</v>
      </c>
      <c r="I6793" t="str">
        <f t="shared" si="213"/>
        <v>Sfpq_390434</v>
      </c>
      <c r="J6793" s="3">
        <v>347119</v>
      </c>
      <c r="K6793" s="3">
        <v>2881</v>
      </c>
      <c r="L6793" s="3">
        <v>31078</v>
      </c>
      <c r="M6793" s="3">
        <v>9356</v>
      </c>
      <c r="N6793" s="3">
        <v>0</v>
      </c>
    </row>
    <row r="6794" spans="1:14" x14ac:dyDescent="0.2">
      <c r="A6794" s="5" t="str">
        <f>HYPERLINK("http://www.ncbi.nlm.nih.gov/protein/125662573","Sfr1")</f>
        <v>Sfr1</v>
      </c>
      <c r="B6794" s="4"/>
      <c r="C6794" s="3">
        <v>0</v>
      </c>
      <c r="D6794" s="3">
        <v>0</v>
      </c>
      <c r="E6794" s="3">
        <v>0</v>
      </c>
      <c r="F6794" s="3">
        <v>74</v>
      </c>
      <c r="G6794" s="3">
        <v>12262</v>
      </c>
      <c r="H6794" s="2">
        <f t="shared" si="212"/>
        <v>12336</v>
      </c>
      <c r="I6794" t="str">
        <f t="shared" si="213"/>
        <v>Sfr1_12336</v>
      </c>
      <c r="J6794" s="3">
        <v>0</v>
      </c>
      <c r="K6794" s="3">
        <v>0</v>
      </c>
      <c r="L6794" s="3">
        <v>0</v>
      </c>
      <c r="M6794" s="3">
        <v>74</v>
      </c>
      <c r="N6794" s="3">
        <v>12262</v>
      </c>
    </row>
    <row r="6795" spans="1:14" x14ac:dyDescent="0.2">
      <c r="A6795" s="5" t="str">
        <f>HYPERLINK("http://www.ncbi.nlm.nih.gov/protein/226437597","Sfrs18")</f>
        <v>Sfrs18</v>
      </c>
      <c r="B6795" s="4"/>
      <c r="C6795" s="3">
        <v>0</v>
      </c>
      <c r="D6795" s="3">
        <v>1017</v>
      </c>
      <c r="E6795" s="3">
        <v>189</v>
      </c>
      <c r="F6795" s="3">
        <v>0</v>
      </c>
      <c r="G6795" s="3">
        <v>0</v>
      </c>
      <c r="H6795" s="2">
        <f t="shared" si="212"/>
        <v>1206</v>
      </c>
      <c r="I6795" t="str">
        <f t="shared" si="213"/>
        <v>Sfrs18_1206</v>
      </c>
      <c r="J6795" s="3">
        <v>0</v>
      </c>
      <c r="K6795" s="3">
        <v>1017</v>
      </c>
      <c r="L6795" s="3">
        <v>189</v>
      </c>
      <c r="M6795" s="3">
        <v>0</v>
      </c>
      <c r="N6795" s="3">
        <v>0</v>
      </c>
    </row>
    <row r="6796" spans="1:14" x14ac:dyDescent="0.2">
      <c r="A6796" s="5" t="str">
        <f>HYPERLINK("http://www.ncbi.nlm.nih.gov/protein/21704008","Sft2d2")</f>
        <v>Sft2d2</v>
      </c>
      <c r="B6796" s="4"/>
      <c r="C6796" s="3">
        <v>1227</v>
      </c>
      <c r="D6796" s="3">
        <v>0</v>
      </c>
      <c r="E6796" s="3">
        <v>323</v>
      </c>
      <c r="F6796" s="3">
        <v>25</v>
      </c>
      <c r="G6796" s="3">
        <v>0</v>
      </c>
      <c r="H6796" s="2">
        <f t="shared" si="212"/>
        <v>1575</v>
      </c>
      <c r="I6796" t="str">
        <f t="shared" si="213"/>
        <v>Sft2d2_1575</v>
      </c>
      <c r="J6796" s="3">
        <v>1227</v>
      </c>
      <c r="K6796" s="3">
        <v>0</v>
      </c>
      <c r="L6796" s="3">
        <v>323</v>
      </c>
      <c r="M6796" s="3">
        <v>25</v>
      </c>
      <c r="N6796" s="3">
        <v>0</v>
      </c>
    </row>
    <row r="6797" spans="1:14" x14ac:dyDescent="0.2">
      <c r="A6797" s="5" t="str">
        <f>HYPERLINK("http://www.ncbi.nlm.nih.gov/protein/242247185","Sft2d3")</f>
        <v>Sft2d3</v>
      </c>
      <c r="B6797" s="4"/>
      <c r="C6797" s="3">
        <v>0</v>
      </c>
      <c r="D6797" s="3">
        <v>992</v>
      </c>
      <c r="E6797" s="3">
        <v>0</v>
      </c>
      <c r="F6797" s="3">
        <v>0</v>
      </c>
      <c r="G6797" s="3">
        <v>0</v>
      </c>
      <c r="H6797" s="2">
        <f t="shared" si="212"/>
        <v>992</v>
      </c>
      <c r="I6797" t="str">
        <f t="shared" si="213"/>
        <v>Sft2d3_992</v>
      </c>
      <c r="J6797" s="3">
        <v>0</v>
      </c>
      <c r="K6797" s="3">
        <v>992</v>
      </c>
      <c r="L6797" s="3">
        <v>0</v>
      </c>
      <c r="M6797" s="3">
        <v>0</v>
      </c>
      <c r="N6797" s="3">
        <v>0</v>
      </c>
    </row>
    <row r="6798" spans="1:14" x14ac:dyDescent="0.2">
      <c r="A6798" s="5" t="str">
        <f>HYPERLINK("http://www.ncbi.nlm.nih.gov/protein/15147224","Sfxn1")</f>
        <v>Sfxn1</v>
      </c>
      <c r="B6798" s="4"/>
      <c r="C6798" s="3">
        <v>52868</v>
      </c>
      <c r="D6798" s="3">
        <v>12592</v>
      </c>
      <c r="E6798" s="3">
        <v>1954</v>
      </c>
      <c r="F6798" s="3">
        <v>0</v>
      </c>
      <c r="G6798" s="3">
        <v>0</v>
      </c>
      <c r="H6798" s="2">
        <f t="shared" si="212"/>
        <v>67414</v>
      </c>
      <c r="I6798" t="str">
        <f t="shared" si="213"/>
        <v>Sfxn1_67414</v>
      </c>
      <c r="J6798" s="3">
        <v>52868</v>
      </c>
      <c r="K6798" s="3">
        <v>12592</v>
      </c>
      <c r="L6798" s="3">
        <v>1954</v>
      </c>
      <c r="M6798" s="3">
        <v>0</v>
      </c>
      <c r="N6798" s="3">
        <v>0</v>
      </c>
    </row>
    <row r="6799" spans="1:14" x14ac:dyDescent="0.2">
      <c r="A6799" s="5" t="str">
        <f>HYPERLINK("http://www.ncbi.nlm.nih.gov/protein/86439984","Sfxn2")</f>
        <v>Sfxn2</v>
      </c>
      <c r="B6799" s="4"/>
      <c r="C6799" s="3">
        <v>0</v>
      </c>
      <c r="D6799" s="3">
        <v>2474</v>
      </c>
      <c r="E6799" s="3">
        <v>0</v>
      </c>
      <c r="F6799" s="3">
        <v>0</v>
      </c>
      <c r="G6799" s="3">
        <v>0</v>
      </c>
      <c r="H6799" s="2">
        <f t="shared" si="212"/>
        <v>2474</v>
      </c>
      <c r="I6799" t="str">
        <f t="shared" si="213"/>
        <v>Sfxn2_2474</v>
      </c>
      <c r="J6799" s="3">
        <v>0</v>
      </c>
      <c r="K6799" s="3">
        <v>2474</v>
      </c>
      <c r="L6799" s="3">
        <v>0</v>
      </c>
      <c r="M6799" s="3">
        <v>0</v>
      </c>
      <c r="N6799" s="3">
        <v>0</v>
      </c>
    </row>
    <row r="6800" spans="1:14" x14ac:dyDescent="0.2">
      <c r="A6800" s="5" t="str">
        <f>HYPERLINK("http://www.ncbi.nlm.nih.gov/protein/16716499","Sfxn3")</f>
        <v>Sfxn3</v>
      </c>
      <c r="B6800" s="4"/>
      <c r="C6800" s="3">
        <v>3991</v>
      </c>
      <c r="D6800" s="3">
        <v>24810</v>
      </c>
      <c r="E6800" s="3">
        <v>160</v>
      </c>
      <c r="F6800" s="3">
        <v>0</v>
      </c>
      <c r="G6800" s="3">
        <v>0</v>
      </c>
      <c r="H6800" s="2">
        <f t="shared" si="212"/>
        <v>28961</v>
      </c>
      <c r="I6800" t="str">
        <f t="shared" si="213"/>
        <v>Sfxn3_28961</v>
      </c>
      <c r="J6800" s="3">
        <v>3991</v>
      </c>
      <c r="K6800" s="3">
        <v>24810</v>
      </c>
      <c r="L6800" s="3">
        <v>160</v>
      </c>
      <c r="M6800" s="3">
        <v>0</v>
      </c>
      <c r="N6800" s="3">
        <v>0</v>
      </c>
    </row>
    <row r="6801" spans="1:14" x14ac:dyDescent="0.2">
      <c r="A6801" s="5" t="str">
        <f>HYPERLINK("http://www.ncbi.nlm.nih.gov/protein/295821210","Sfxn3")</f>
        <v>Sfxn3</v>
      </c>
      <c r="B6801" s="4"/>
      <c r="C6801" s="3">
        <v>3991</v>
      </c>
      <c r="D6801" s="3">
        <v>24810</v>
      </c>
      <c r="E6801" s="3">
        <v>160</v>
      </c>
      <c r="F6801" s="3">
        <v>0</v>
      </c>
      <c r="G6801" s="3">
        <v>0</v>
      </c>
      <c r="H6801" s="2">
        <f t="shared" si="212"/>
        <v>28961</v>
      </c>
      <c r="I6801" t="str">
        <f t="shared" si="213"/>
        <v>Sfxn3_28961</v>
      </c>
      <c r="J6801" s="3">
        <v>3991</v>
      </c>
      <c r="K6801" s="3">
        <v>24810</v>
      </c>
      <c r="L6801" s="3">
        <v>160</v>
      </c>
      <c r="M6801" s="3">
        <v>0</v>
      </c>
      <c r="N6801" s="3">
        <v>0</v>
      </c>
    </row>
    <row r="6802" spans="1:14" x14ac:dyDescent="0.2">
      <c r="A6802" s="5" t="str">
        <f>HYPERLINK("http://www.ncbi.nlm.nih.gov/protein/295821212","Sfxn3")</f>
        <v>Sfxn3</v>
      </c>
      <c r="B6802" s="4"/>
      <c r="C6802" s="3">
        <v>3991</v>
      </c>
      <c r="D6802" s="3">
        <v>23796</v>
      </c>
      <c r="E6802" s="3">
        <v>160</v>
      </c>
      <c r="F6802" s="3">
        <v>0</v>
      </c>
      <c r="G6802" s="3">
        <v>0</v>
      </c>
      <c r="H6802" s="2">
        <f t="shared" si="212"/>
        <v>27947</v>
      </c>
      <c r="I6802" t="str">
        <f t="shared" si="213"/>
        <v>Sfxn3_27947</v>
      </c>
      <c r="J6802" s="3">
        <v>3991</v>
      </c>
      <c r="K6802" s="3">
        <v>23796</v>
      </c>
      <c r="L6802" s="3">
        <v>160</v>
      </c>
      <c r="M6802" s="3">
        <v>0</v>
      </c>
      <c r="N6802" s="3">
        <v>0</v>
      </c>
    </row>
    <row r="6803" spans="1:14" x14ac:dyDescent="0.2">
      <c r="A6803" s="5" t="str">
        <f>HYPERLINK("http://www.ncbi.nlm.nih.gov/protein/31543694","Sgpl1")</f>
        <v>Sgpl1</v>
      </c>
      <c r="B6803" s="4"/>
      <c r="C6803" s="3">
        <v>3515</v>
      </c>
      <c r="D6803" s="3">
        <v>3401</v>
      </c>
      <c r="E6803" s="3">
        <v>10375</v>
      </c>
      <c r="F6803" s="3">
        <v>0</v>
      </c>
      <c r="G6803" s="3">
        <v>0</v>
      </c>
      <c r="H6803" s="2">
        <f t="shared" si="212"/>
        <v>17291</v>
      </c>
      <c r="I6803" t="str">
        <f t="shared" si="213"/>
        <v>Sgpl1_17291</v>
      </c>
      <c r="J6803" s="3">
        <v>3515</v>
      </c>
      <c r="K6803" s="3">
        <v>3401</v>
      </c>
      <c r="L6803" s="3">
        <v>10375</v>
      </c>
      <c r="M6803" s="3">
        <v>0</v>
      </c>
      <c r="N6803" s="3">
        <v>0</v>
      </c>
    </row>
    <row r="6804" spans="1:14" x14ac:dyDescent="0.2">
      <c r="A6804" s="5" t="str">
        <f>HYPERLINK("http://www.ncbi.nlm.nih.gov/protein/31543697","Sgsh")</f>
        <v>Sgsh</v>
      </c>
      <c r="B6804" s="4"/>
      <c r="C6804" s="3">
        <v>0</v>
      </c>
      <c r="D6804" s="3">
        <v>800</v>
      </c>
      <c r="E6804" s="3">
        <v>97</v>
      </c>
      <c r="F6804" s="3">
        <v>0</v>
      </c>
      <c r="G6804" s="3">
        <v>8407</v>
      </c>
      <c r="H6804" s="2">
        <f t="shared" si="212"/>
        <v>9304</v>
      </c>
      <c r="I6804" t="str">
        <f t="shared" si="213"/>
        <v>Sgsh_9304</v>
      </c>
      <c r="J6804" s="3">
        <v>0</v>
      </c>
      <c r="K6804" s="3">
        <v>800</v>
      </c>
      <c r="L6804" s="3">
        <v>97</v>
      </c>
      <c r="M6804" s="3">
        <v>0</v>
      </c>
      <c r="N6804" s="3">
        <v>8407</v>
      </c>
    </row>
    <row r="6805" spans="1:14" x14ac:dyDescent="0.2">
      <c r="A6805" s="5" t="str">
        <f>HYPERLINK("http://www.ncbi.nlm.nih.gov/protein/21313588","Sgta")</f>
        <v>Sgta</v>
      </c>
      <c r="B6805" s="4"/>
      <c r="C6805" s="3">
        <v>494</v>
      </c>
      <c r="D6805" s="3">
        <v>4129</v>
      </c>
      <c r="E6805" s="3">
        <v>3770</v>
      </c>
      <c r="F6805" s="3">
        <v>5894</v>
      </c>
      <c r="G6805" s="3">
        <v>120503</v>
      </c>
      <c r="H6805" s="2">
        <f t="shared" si="212"/>
        <v>134790</v>
      </c>
      <c r="I6805" t="str">
        <f t="shared" si="213"/>
        <v>Sgta_134790</v>
      </c>
      <c r="J6805" s="3">
        <v>494</v>
      </c>
      <c r="K6805" s="3">
        <v>4129</v>
      </c>
      <c r="L6805" s="3">
        <v>3770</v>
      </c>
      <c r="M6805" s="3">
        <v>5894</v>
      </c>
      <c r="N6805" s="3">
        <v>120503</v>
      </c>
    </row>
    <row r="6806" spans="1:14" x14ac:dyDescent="0.2">
      <c r="A6806" s="5" t="str">
        <f>HYPERLINK("http://www.ncbi.nlm.nih.gov/protein/206597474","Sh2d4a")</f>
        <v>Sh2d4a</v>
      </c>
      <c r="B6806" s="4"/>
      <c r="C6806" s="3">
        <v>0</v>
      </c>
      <c r="D6806" s="3">
        <v>2330</v>
      </c>
      <c r="E6806" s="3">
        <v>2315</v>
      </c>
      <c r="F6806" s="3">
        <v>0</v>
      </c>
      <c r="G6806" s="3">
        <v>36616</v>
      </c>
      <c r="H6806" s="2">
        <f t="shared" si="212"/>
        <v>41261</v>
      </c>
      <c r="I6806" t="str">
        <f t="shared" si="213"/>
        <v>Sh2d4a_41261</v>
      </c>
      <c r="J6806" s="3">
        <v>0</v>
      </c>
      <c r="K6806" s="3">
        <v>2330</v>
      </c>
      <c r="L6806" s="3">
        <v>2315</v>
      </c>
      <c r="M6806" s="3">
        <v>0</v>
      </c>
      <c r="N6806" s="3">
        <v>36616</v>
      </c>
    </row>
    <row r="6807" spans="1:14" x14ac:dyDescent="0.2">
      <c r="A6807" s="5" t="str">
        <f>HYPERLINK("http://www.ncbi.nlm.nih.gov/protein/9910548","Sh3bgrl")</f>
        <v>Sh3bgrl</v>
      </c>
      <c r="B6807" s="4"/>
      <c r="C6807" s="3">
        <v>73</v>
      </c>
      <c r="D6807" s="3">
        <v>528</v>
      </c>
      <c r="E6807" s="3">
        <v>1690</v>
      </c>
      <c r="F6807" s="3">
        <v>794</v>
      </c>
      <c r="G6807" s="3">
        <v>9296</v>
      </c>
      <c r="H6807" s="2">
        <f t="shared" si="212"/>
        <v>12381</v>
      </c>
      <c r="I6807" t="str">
        <f t="shared" si="213"/>
        <v>Sh3bgrl_12381</v>
      </c>
      <c r="J6807" s="3">
        <v>73</v>
      </c>
      <c r="K6807" s="3">
        <v>528</v>
      </c>
      <c r="L6807" s="3">
        <v>1690</v>
      </c>
      <c r="M6807" s="3">
        <v>794</v>
      </c>
      <c r="N6807" s="3">
        <v>9296</v>
      </c>
    </row>
    <row r="6808" spans="1:14" x14ac:dyDescent="0.2">
      <c r="A6808" s="5" t="str">
        <f>HYPERLINK("http://www.ncbi.nlm.nih.gov/protein/27369694","Sh3bgrl2")</f>
        <v>Sh3bgrl2</v>
      </c>
      <c r="B6808" s="4"/>
      <c r="C6808" s="3">
        <v>1025</v>
      </c>
      <c r="D6808" s="3">
        <v>820</v>
      </c>
      <c r="E6808" s="3">
        <v>1440</v>
      </c>
      <c r="F6808" s="3">
        <v>958</v>
      </c>
      <c r="G6808" s="3">
        <v>1349</v>
      </c>
      <c r="H6808" s="2">
        <f t="shared" si="212"/>
        <v>5592</v>
      </c>
      <c r="I6808" t="str">
        <f t="shared" si="213"/>
        <v>Sh3bgrl2_5592</v>
      </c>
      <c r="J6808" s="3">
        <v>1025</v>
      </c>
      <c r="K6808" s="3">
        <v>820</v>
      </c>
      <c r="L6808" s="3">
        <v>1440</v>
      </c>
      <c r="M6808" s="3">
        <v>958</v>
      </c>
      <c r="N6808" s="3">
        <v>1349</v>
      </c>
    </row>
    <row r="6809" spans="1:14" x14ac:dyDescent="0.2">
      <c r="A6809" s="5" t="str">
        <f>HYPERLINK("http://www.ncbi.nlm.nih.gov/protein/18017602","Sh3bgrl3")</f>
        <v>Sh3bgrl3</v>
      </c>
      <c r="B6809" s="4"/>
      <c r="C6809" s="3">
        <v>5400</v>
      </c>
      <c r="D6809" s="3">
        <v>35</v>
      </c>
      <c r="E6809" s="3">
        <v>1352</v>
      </c>
      <c r="F6809" s="3">
        <v>33</v>
      </c>
      <c r="G6809" s="3">
        <v>2817</v>
      </c>
      <c r="H6809" s="2">
        <f t="shared" si="212"/>
        <v>9637</v>
      </c>
      <c r="I6809" t="str">
        <f t="shared" si="213"/>
        <v>Sh3bgrl3_9637</v>
      </c>
      <c r="J6809" s="3">
        <v>5400</v>
      </c>
      <c r="K6809" s="3">
        <v>35</v>
      </c>
      <c r="L6809" s="3">
        <v>1352</v>
      </c>
      <c r="M6809" s="3">
        <v>33</v>
      </c>
      <c r="N6809" s="3">
        <v>2817</v>
      </c>
    </row>
    <row r="6810" spans="1:14" x14ac:dyDescent="0.2">
      <c r="A6810" s="5" t="str">
        <f>HYPERLINK("http://www.ncbi.nlm.nih.gov/protein/85838509","Sh3bp1")</f>
        <v>Sh3bp1</v>
      </c>
      <c r="B6810" s="4"/>
      <c r="C6810" s="3">
        <v>0</v>
      </c>
      <c r="D6810" s="3">
        <v>58</v>
      </c>
      <c r="E6810" s="3">
        <v>328</v>
      </c>
      <c r="F6810" s="3">
        <v>1989</v>
      </c>
      <c r="G6810" s="3">
        <v>150</v>
      </c>
      <c r="H6810" s="2">
        <f t="shared" si="212"/>
        <v>2525</v>
      </c>
      <c r="I6810" t="str">
        <f t="shared" si="213"/>
        <v>Sh3bp1_2525</v>
      </c>
      <c r="J6810" s="3">
        <v>0</v>
      </c>
      <c r="K6810" s="3">
        <v>58</v>
      </c>
      <c r="L6810" s="3">
        <v>328</v>
      </c>
      <c r="M6810" s="3">
        <v>1989</v>
      </c>
      <c r="N6810" s="3">
        <v>150</v>
      </c>
    </row>
    <row r="6811" spans="1:14" x14ac:dyDescent="0.2">
      <c r="A6811" s="5" t="str">
        <f>HYPERLINK("http://www.ncbi.nlm.nih.gov/protein/19527036","Sh3bp4")</f>
        <v>Sh3bp4</v>
      </c>
      <c r="B6811" s="4"/>
      <c r="C6811" s="3">
        <v>0</v>
      </c>
      <c r="D6811" s="3">
        <v>0</v>
      </c>
      <c r="E6811" s="3">
        <v>1553</v>
      </c>
      <c r="F6811" s="3">
        <v>0</v>
      </c>
      <c r="G6811" s="3">
        <v>0</v>
      </c>
      <c r="H6811" s="2">
        <f t="shared" si="212"/>
        <v>1553</v>
      </c>
      <c r="I6811" t="str">
        <f t="shared" si="213"/>
        <v>Sh3bp4_1553</v>
      </c>
      <c r="J6811" s="3">
        <v>0</v>
      </c>
      <c r="K6811" s="3">
        <v>0</v>
      </c>
      <c r="L6811" s="3">
        <v>1553</v>
      </c>
      <c r="M6811" s="3">
        <v>0</v>
      </c>
      <c r="N6811" s="3">
        <v>0</v>
      </c>
    </row>
    <row r="6812" spans="1:14" x14ac:dyDescent="0.2">
      <c r="A6812" s="5" t="str">
        <f>HYPERLINK("http://www.ncbi.nlm.nih.gov/protein/170671710","Sh3d19")</f>
        <v>Sh3d19</v>
      </c>
      <c r="B6812" s="4"/>
      <c r="C6812" s="3">
        <v>0</v>
      </c>
      <c r="D6812" s="3">
        <v>0</v>
      </c>
      <c r="E6812" s="3">
        <v>85</v>
      </c>
      <c r="F6812" s="3">
        <v>0</v>
      </c>
      <c r="G6812" s="3">
        <v>0</v>
      </c>
      <c r="H6812" s="2">
        <f t="shared" si="212"/>
        <v>85</v>
      </c>
      <c r="I6812" t="str">
        <f t="shared" si="213"/>
        <v>Sh3d19_85</v>
      </c>
      <c r="J6812" s="3">
        <v>0</v>
      </c>
      <c r="K6812" s="3">
        <v>0</v>
      </c>
      <c r="L6812" s="3">
        <v>85</v>
      </c>
      <c r="M6812" s="3">
        <v>0</v>
      </c>
      <c r="N6812" s="3">
        <v>0</v>
      </c>
    </row>
    <row r="6813" spans="1:14" x14ac:dyDescent="0.2">
      <c r="A6813" s="5" t="str">
        <f>HYPERLINK("http://www.ncbi.nlm.nih.gov/protein/357197145","Sh3gl1")</f>
        <v>Sh3gl1</v>
      </c>
      <c r="B6813" s="4"/>
      <c r="C6813" s="3">
        <v>0</v>
      </c>
      <c r="D6813" s="3">
        <v>1657</v>
      </c>
      <c r="E6813" s="3">
        <v>537</v>
      </c>
      <c r="F6813" s="3">
        <v>2660</v>
      </c>
      <c r="G6813" s="3">
        <v>4851</v>
      </c>
      <c r="H6813" s="2">
        <f t="shared" si="212"/>
        <v>9705</v>
      </c>
      <c r="I6813" t="str">
        <f t="shared" si="213"/>
        <v>Sh3gl1_9705</v>
      </c>
      <c r="J6813" s="3">
        <v>0</v>
      </c>
      <c r="K6813" s="3">
        <v>1657</v>
      </c>
      <c r="L6813" s="3">
        <v>537</v>
      </c>
      <c r="M6813" s="3">
        <v>2660</v>
      </c>
      <c r="N6813" s="3">
        <v>4851</v>
      </c>
    </row>
    <row r="6814" spans="1:14" x14ac:dyDescent="0.2">
      <c r="A6814" s="5" t="str">
        <f>HYPERLINK("http://www.ncbi.nlm.nih.gov/protein/7305485","Sh3gl1")</f>
        <v>Sh3gl1</v>
      </c>
      <c r="B6814" s="4"/>
      <c r="C6814" s="3">
        <v>0</v>
      </c>
      <c r="D6814" s="3">
        <v>1657</v>
      </c>
      <c r="E6814" s="3">
        <v>607</v>
      </c>
      <c r="F6814" s="3">
        <v>2718</v>
      </c>
      <c r="G6814" s="3">
        <v>6490</v>
      </c>
      <c r="H6814" s="2">
        <f t="shared" si="212"/>
        <v>11472</v>
      </c>
      <c r="I6814" t="str">
        <f t="shared" si="213"/>
        <v>Sh3gl1_11472</v>
      </c>
      <c r="J6814" s="3">
        <v>0</v>
      </c>
      <c r="K6814" s="3">
        <v>1657</v>
      </c>
      <c r="L6814" s="3">
        <v>607</v>
      </c>
      <c r="M6814" s="3">
        <v>2718</v>
      </c>
      <c r="N6814" s="3">
        <v>6490</v>
      </c>
    </row>
    <row r="6815" spans="1:14" x14ac:dyDescent="0.2">
      <c r="A6815" s="5" t="str">
        <f>HYPERLINK("http://www.ncbi.nlm.nih.gov/protein/31560792","Sh3gl2")</f>
        <v>Sh3gl2</v>
      </c>
      <c r="B6815" s="4"/>
      <c r="C6815" s="3">
        <v>0</v>
      </c>
      <c r="D6815" s="3">
        <v>399</v>
      </c>
      <c r="E6815" s="3">
        <v>318</v>
      </c>
      <c r="F6815" s="3">
        <v>3094</v>
      </c>
      <c r="G6815" s="3">
        <v>2495</v>
      </c>
      <c r="H6815" s="2">
        <f t="shared" si="212"/>
        <v>6306</v>
      </c>
      <c r="I6815" t="str">
        <f t="shared" si="213"/>
        <v>Sh3gl2_6306</v>
      </c>
      <c r="J6815" s="3">
        <v>0</v>
      </c>
      <c r="K6815" s="3">
        <v>399</v>
      </c>
      <c r="L6815" s="3">
        <v>318</v>
      </c>
      <c r="M6815" s="3">
        <v>3094</v>
      </c>
      <c r="N6815" s="3">
        <v>2495</v>
      </c>
    </row>
    <row r="6816" spans="1:14" x14ac:dyDescent="0.2">
      <c r="A6816" s="5" t="str">
        <f>HYPERLINK("http://www.ncbi.nlm.nih.gov/protein/530677952","Sh3glb1")</f>
        <v>Sh3glb1</v>
      </c>
      <c r="B6816" s="4"/>
      <c r="C6816" s="3">
        <v>494</v>
      </c>
      <c r="D6816" s="3">
        <v>0</v>
      </c>
      <c r="E6816" s="3">
        <v>0</v>
      </c>
      <c r="F6816" s="3">
        <v>0</v>
      </c>
      <c r="G6816" s="3">
        <v>0</v>
      </c>
      <c r="H6816" s="2">
        <f t="shared" si="212"/>
        <v>494</v>
      </c>
      <c r="I6816" t="str">
        <f t="shared" si="213"/>
        <v>Sh3glb1_494</v>
      </c>
      <c r="J6816" s="3">
        <v>494</v>
      </c>
      <c r="K6816" s="3">
        <v>0</v>
      </c>
      <c r="L6816" s="3">
        <v>0</v>
      </c>
      <c r="M6816" s="3">
        <v>0</v>
      </c>
      <c r="N6816" s="3">
        <v>0</v>
      </c>
    </row>
    <row r="6817" spans="1:14" x14ac:dyDescent="0.2">
      <c r="A6817" s="5" t="str">
        <f>HYPERLINK("http://www.ncbi.nlm.nih.gov/protein/530677964","Sh3glb1")</f>
        <v>Sh3glb1</v>
      </c>
      <c r="B6817" s="4"/>
      <c r="C6817" s="3">
        <v>494</v>
      </c>
      <c r="D6817" s="3">
        <v>0</v>
      </c>
      <c r="E6817" s="3">
        <v>0</v>
      </c>
      <c r="F6817" s="3">
        <v>0</v>
      </c>
      <c r="G6817" s="3">
        <v>0</v>
      </c>
      <c r="H6817" s="2">
        <f t="shared" si="212"/>
        <v>494</v>
      </c>
      <c r="I6817" t="str">
        <f t="shared" si="213"/>
        <v>Sh3glb1_494</v>
      </c>
      <c r="J6817" s="3">
        <v>494</v>
      </c>
      <c r="K6817" s="3">
        <v>0</v>
      </c>
      <c r="L6817" s="3">
        <v>0</v>
      </c>
      <c r="M6817" s="3">
        <v>0</v>
      </c>
      <c r="N6817" s="3">
        <v>0</v>
      </c>
    </row>
    <row r="6818" spans="1:14" x14ac:dyDescent="0.2">
      <c r="A6818" s="5" t="str">
        <f>HYPERLINK("http://www.ncbi.nlm.nih.gov/protein/9507097","Sh3glb1")</f>
        <v>Sh3glb1</v>
      </c>
      <c r="B6818" s="4"/>
      <c r="C6818" s="3">
        <v>494</v>
      </c>
      <c r="D6818" s="3">
        <v>2649</v>
      </c>
      <c r="E6818" s="3">
        <v>5884</v>
      </c>
      <c r="F6818" s="3">
        <v>5951</v>
      </c>
      <c r="G6818" s="3">
        <v>5676</v>
      </c>
      <c r="H6818" s="2">
        <f t="shared" si="212"/>
        <v>20654</v>
      </c>
      <c r="I6818" t="str">
        <f t="shared" si="213"/>
        <v>Sh3glb1_20654</v>
      </c>
      <c r="J6818" s="3">
        <v>494</v>
      </c>
      <c r="K6818" s="3">
        <v>2649</v>
      </c>
      <c r="L6818" s="3">
        <v>5884</v>
      </c>
      <c r="M6818" s="3">
        <v>5951</v>
      </c>
      <c r="N6818" s="3">
        <v>5676</v>
      </c>
    </row>
    <row r="6819" spans="1:14" x14ac:dyDescent="0.2">
      <c r="A6819" s="5" t="str">
        <f>HYPERLINK("http://www.ncbi.nlm.nih.gov/protein/21314838","Sh3glb2")</f>
        <v>Sh3glb2</v>
      </c>
      <c r="B6819" s="4"/>
      <c r="C6819" s="3">
        <v>0</v>
      </c>
      <c r="D6819" s="3">
        <v>0</v>
      </c>
      <c r="E6819" s="3">
        <v>759</v>
      </c>
      <c r="F6819" s="3">
        <v>0</v>
      </c>
      <c r="G6819" s="3">
        <v>857</v>
      </c>
      <c r="H6819" s="2">
        <f t="shared" si="212"/>
        <v>1616</v>
      </c>
      <c r="I6819" t="str">
        <f t="shared" si="213"/>
        <v>Sh3glb2_1616</v>
      </c>
      <c r="J6819" s="3">
        <v>0</v>
      </c>
      <c r="K6819" s="3">
        <v>0</v>
      </c>
      <c r="L6819" s="3">
        <v>759</v>
      </c>
      <c r="M6819" s="3">
        <v>0</v>
      </c>
      <c r="N6819" s="3">
        <v>857</v>
      </c>
    </row>
    <row r="6820" spans="1:14" x14ac:dyDescent="0.2">
      <c r="A6820" s="5" t="str">
        <f>HYPERLINK("http://www.ncbi.nlm.nih.gov/protein/7305487","Sh3yl1")</f>
        <v>Sh3yl1</v>
      </c>
      <c r="B6820" s="4"/>
      <c r="C6820" s="3">
        <v>0</v>
      </c>
      <c r="D6820" s="3">
        <v>2503</v>
      </c>
      <c r="E6820" s="3">
        <v>3194</v>
      </c>
      <c r="F6820" s="3">
        <v>1252</v>
      </c>
      <c r="G6820" s="3">
        <v>0</v>
      </c>
      <c r="H6820" s="2">
        <f t="shared" si="212"/>
        <v>6949</v>
      </c>
      <c r="I6820" t="str">
        <f t="shared" si="213"/>
        <v>Sh3yl1_6949</v>
      </c>
      <c r="J6820" s="3">
        <v>0</v>
      </c>
      <c r="K6820" s="3">
        <v>2503</v>
      </c>
      <c r="L6820" s="3">
        <v>3194</v>
      </c>
      <c r="M6820" s="3">
        <v>1252</v>
      </c>
      <c r="N6820" s="3">
        <v>0</v>
      </c>
    </row>
    <row r="6821" spans="1:14" x14ac:dyDescent="0.2">
      <c r="A6821" s="5" t="str">
        <f>HYPERLINK("http://www.ncbi.nlm.nih.gov/protein/15778828","Shc1")</f>
        <v>Shc1</v>
      </c>
      <c r="B6821" s="4"/>
      <c r="C6821" s="3">
        <v>0</v>
      </c>
      <c r="D6821" s="3">
        <v>983</v>
      </c>
      <c r="E6821" s="3">
        <v>316</v>
      </c>
      <c r="F6821" s="3">
        <v>0</v>
      </c>
      <c r="G6821" s="3">
        <v>1371</v>
      </c>
      <c r="H6821" s="2">
        <f t="shared" si="212"/>
        <v>2670</v>
      </c>
      <c r="I6821" t="str">
        <f t="shared" si="213"/>
        <v>Shc1_2670</v>
      </c>
      <c r="J6821" s="3">
        <v>0</v>
      </c>
      <c r="K6821" s="3">
        <v>983</v>
      </c>
      <c r="L6821" s="3">
        <v>316</v>
      </c>
      <c r="M6821" s="3">
        <v>0</v>
      </c>
      <c r="N6821" s="3">
        <v>1371</v>
      </c>
    </row>
    <row r="6822" spans="1:14" x14ac:dyDescent="0.2">
      <c r="A6822" s="5" t="str">
        <f>HYPERLINK("http://www.ncbi.nlm.nih.gov/protein/164664522","Shc1")</f>
        <v>Shc1</v>
      </c>
      <c r="B6822" s="4"/>
      <c r="C6822" s="3">
        <v>0</v>
      </c>
      <c r="D6822" s="3">
        <v>983</v>
      </c>
      <c r="E6822" s="3">
        <v>316</v>
      </c>
      <c r="F6822" s="3">
        <v>0</v>
      </c>
      <c r="G6822" s="3">
        <v>1371</v>
      </c>
      <c r="H6822" s="2">
        <f t="shared" si="212"/>
        <v>2670</v>
      </c>
      <c r="I6822" t="str">
        <f t="shared" si="213"/>
        <v>Shc1_2670</v>
      </c>
      <c r="J6822" s="3">
        <v>0</v>
      </c>
      <c r="K6822" s="3">
        <v>983</v>
      </c>
      <c r="L6822" s="3">
        <v>316</v>
      </c>
      <c r="M6822" s="3">
        <v>0</v>
      </c>
      <c r="N6822" s="3">
        <v>1371</v>
      </c>
    </row>
    <row r="6823" spans="1:14" x14ac:dyDescent="0.2">
      <c r="A6823" s="5" t="str">
        <f>HYPERLINK("http://www.ncbi.nlm.nih.gov/protein/6755508","Shcbp1")</f>
        <v>Shcbp1</v>
      </c>
      <c r="B6823" s="4"/>
      <c r="C6823" s="3">
        <v>0</v>
      </c>
      <c r="D6823" s="3">
        <v>0</v>
      </c>
      <c r="E6823" s="3">
        <v>0</v>
      </c>
      <c r="F6823" s="3">
        <v>0</v>
      </c>
      <c r="G6823" s="3">
        <v>289</v>
      </c>
      <c r="H6823" s="2">
        <f t="shared" si="212"/>
        <v>289</v>
      </c>
      <c r="I6823" t="str">
        <f t="shared" si="213"/>
        <v>Shcbp1_289</v>
      </c>
      <c r="J6823" s="3">
        <v>0</v>
      </c>
      <c r="K6823" s="3">
        <v>0</v>
      </c>
      <c r="L6823" s="3">
        <v>0</v>
      </c>
      <c r="M6823" s="3">
        <v>0</v>
      </c>
      <c r="N6823" s="3">
        <v>289</v>
      </c>
    </row>
    <row r="6824" spans="1:14" x14ac:dyDescent="0.2">
      <c r="A6824" s="5" t="str">
        <f>HYPERLINK("http://www.ncbi.nlm.nih.gov/protein/21617861","Shh")</f>
        <v>Shh</v>
      </c>
      <c r="B6824" s="4"/>
      <c r="C6824" s="3">
        <v>0</v>
      </c>
      <c r="D6824" s="3">
        <v>328</v>
      </c>
      <c r="E6824" s="3">
        <v>549</v>
      </c>
      <c r="F6824" s="3">
        <v>0</v>
      </c>
      <c r="G6824" s="3">
        <v>0</v>
      </c>
      <c r="H6824" s="2">
        <f t="shared" si="212"/>
        <v>877</v>
      </c>
      <c r="I6824" t="str">
        <f t="shared" si="213"/>
        <v>Shh_877</v>
      </c>
      <c r="J6824" s="3">
        <v>0</v>
      </c>
      <c r="K6824" s="3">
        <v>328</v>
      </c>
      <c r="L6824" s="3">
        <v>549</v>
      </c>
      <c r="M6824" s="3">
        <v>0</v>
      </c>
      <c r="N6824" s="3">
        <v>0</v>
      </c>
    </row>
    <row r="6825" spans="1:14" x14ac:dyDescent="0.2">
      <c r="A6825" s="5" t="str">
        <f>HYPERLINK("http://www.ncbi.nlm.nih.gov/protein/291463305","Shisa9")</f>
        <v>Shisa9</v>
      </c>
      <c r="B6825" s="4"/>
      <c r="C6825" s="3">
        <v>0</v>
      </c>
      <c r="D6825" s="3">
        <v>0</v>
      </c>
      <c r="E6825" s="3">
        <v>45</v>
      </c>
      <c r="F6825" s="3">
        <v>0</v>
      </c>
      <c r="G6825" s="3">
        <v>0</v>
      </c>
      <c r="H6825" s="2">
        <f t="shared" si="212"/>
        <v>45</v>
      </c>
      <c r="I6825" t="str">
        <f t="shared" si="213"/>
        <v>Shisa9_45</v>
      </c>
      <c r="J6825" s="3">
        <v>0</v>
      </c>
      <c r="K6825" s="3">
        <v>0</v>
      </c>
      <c r="L6825" s="3">
        <v>45</v>
      </c>
      <c r="M6825" s="3">
        <v>0</v>
      </c>
      <c r="N6825" s="3">
        <v>0</v>
      </c>
    </row>
    <row r="6826" spans="1:14" x14ac:dyDescent="0.2">
      <c r="A6826" s="5" t="str">
        <f>HYPERLINK("http://www.ncbi.nlm.nih.gov/protein/291463307","Shisa9")</f>
        <v>Shisa9</v>
      </c>
      <c r="B6826" s="4"/>
      <c r="C6826" s="3">
        <v>0</v>
      </c>
      <c r="D6826" s="3">
        <v>0</v>
      </c>
      <c r="E6826" s="3">
        <v>45</v>
      </c>
      <c r="F6826" s="3">
        <v>0</v>
      </c>
      <c r="G6826" s="3">
        <v>0</v>
      </c>
      <c r="H6826" s="2">
        <f t="shared" si="212"/>
        <v>45</v>
      </c>
      <c r="I6826" t="str">
        <f t="shared" si="213"/>
        <v>Shisa9_45</v>
      </c>
      <c r="J6826" s="3">
        <v>0</v>
      </c>
      <c r="K6826" s="3">
        <v>0</v>
      </c>
      <c r="L6826" s="3">
        <v>45</v>
      </c>
      <c r="M6826" s="3">
        <v>0</v>
      </c>
      <c r="N6826" s="3">
        <v>0</v>
      </c>
    </row>
    <row r="6827" spans="1:14" x14ac:dyDescent="0.2">
      <c r="A6827" s="5" t="str">
        <f>HYPERLINK("http://www.ncbi.nlm.nih.gov/protein/67846103","Shmt1")</f>
        <v>Shmt1</v>
      </c>
      <c r="B6827" s="4"/>
      <c r="C6827" s="3">
        <v>33921</v>
      </c>
      <c r="D6827" s="3">
        <v>16729</v>
      </c>
      <c r="E6827" s="3">
        <v>5689</v>
      </c>
      <c r="F6827" s="3">
        <v>47042</v>
      </c>
      <c r="G6827" s="3">
        <v>94618</v>
      </c>
      <c r="H6827" s="2">
        <f t="shared" si="212"/>
        <v>197999</v>
      </c>
      <c r="I6827" t="str">
        <f t="shared" si="213"/>
        <v>Shmt1_197999</v>
      </c>
      <c r="J6827" s="3">
        <v>33921</v>
      </c>
      <c r="K6827" s="3">
        <v>16729</v>
      </c>
      <c r="L6827" s="3">
        <v>5689</v>
      </c>
      <c r="M6827" s="3">
        <v>47042</v>
      </c>
      <c r="N6827" s="3">
        <v>94618</v>
      </c>
    </row>
    <row r="6828" spans="1:14" x14ac:dyDescent="0.2">
      <c r="A6828" s="5" t="str">
        <f>HYPERLINK("http://www.ncbi.nlm.nih.gov/protein/21312298","Shmt2")</f>
        <v>Shmt2</v>
      </c>
      <c r="B6828" s="4"/>
      <c r="C6828" s="3">
        <v>382211</v>
      </c>
      <c r="D6828" s="3">
        <v>91446</v>
      </c>
      <c r="E6828" s="3">
        <v>7243</v>
      </c>
      <c r="F6828" s="3">
        <v>12606</v>
      </c>
      <c r="G6828" s="3">
        <v>9992</v>
      </c>
      <c r="H6828" s="2">
        <f t="shared" si="212"/>
        <v>503498</v>
      </c>
      <c r="I6828" t="str">
        <f t="shared" si="213"/>
        <v>Shmt2_503498</v>
      </c>
      <c r="J6828" s="3">
        <v>382211</v>
      </c>
      <c r="K6828" s="3">
        <v>91446</v>
      </c>
      <c r="L6828" s="3">
        <v>7243</v>
      </c>
      <c r="M6828" s="3">
        <v>12606</v>
      </c>
      <c r="N6828" s="3">
        <v>9992</v>
      </c>
    </row>
    <row r="6829" spans="1:14" x14ac:dyDescent="0.2">
      <c r="A6829" s="5" t="str">
        <f>HYPERLINK("http://www.ncbi.nlm.nih.gov/protein/356640163","Shmt2")</f>
        <v>Shmt2</v>
      </c>
      <c r="B6829" s="4"/>
      <c r="C6829" s="3">
        <v>382211</v>
      </c>
      <c r="D6829" s="3">
        <v>91446</v>
      </c>
      <c r="E6829" s="3">
        <v>7243</v>
      </c>
      <c r="F6829" s="3">
        <v>12606</v>
      </c>
      <c r="G6829" s="3">
        <v>9992</v>
      </c>
      <c r="H6829" s="2">
        <f t="shared" si="212"/>
        <v>503498</v>
      </c>
      <c r="I6829" t="str">
        <f t="shared" si="213"/>
        <v>Shmt2_503498</v>
      </c>
      <c r="J6829" s="3">
        <v>382211</v>
      </c>
      <c r="K6829" s="3">
        <v>91446</v>
      </c>
      <c r="L6829" s="3">
        <v>7243</v>
      </c>
      <c r="M6829" s="3">
        <v>12606</v>
      </c>
      <c r="N6829" s="3">
        <v>9992</v>
      </c>
    </row>
    <row r="6830" spans="1:14" x14ac:dyDescent="0.2">
      <c r="A6830" s="5" t="str">
        <f>HYPERLINK("http://www.ncbi.nlm.nih.gov/protein/31543701","Shoc2")</f>
        <v>Shoc2</v>
      </c>
      <c r="B6830" s="4"/>
      <c r="C6830" s="3">
        <v>0</v>
      </c>
      <c r="D6830" s="3">
        <v>2152</v>
      </c>
      <c r="E6830" s="3">
        <v>2453</v>
      </c>
      <c r="F6830" s="3">
        <v>704</v>
      </c>
      <c r="G6830" s="3">
        <v>0</v>
      </c>
      <c r="H6830" s="2">
        <f t="shared" si="212"/>
        <v>5309</v>
      </c>
      <c r="I6830" t="str">
        <f t="shared" si="213"/>
        <v>Shoc2_5309</v>
      </c>
      <c r="J6830" s="3">
        <v>0</v>
      </c>
      <c r="K6830" s="3">
        <v>2152</v>
      </c>
      <c r="L6830" s="3">
        <v>2453</v>
      </c>
      <c r="M6830" s="3">
        <v>704</v>
      </c>
      <c r="N6830" s="3">
        <v>0</v>
      </c>
    </row>
    <row r="6831" spans="1:14" x14ac:dyDescent="0.2">
      <c r="A6831" s="5" t="str">
        <f>HYPERLINK("http://www.ncbi.nlm.nih.gov/protein/22095001","Shpk")</f>
        <v>Shpk</v>
      </c>
      <c r="B6831" s="4"/>
      <c r="C6831" s="3">
        <v>0</v>
      </c>
      <c r="D6831" s="3">
        <v>0</v>
      </c>
      <c r="E6831" s="3">
        <v>0</v>
      </c>
      <c r="F6831" s="3">
        <v>0</v>
      </c>
      <c r="G6831" s="3">
        <v>21</v>
      </c>
      <c r="H6831" s="2">
        <f t="shared" si="212"/>
        <v>21</v>
      </c>
      <c r="I6831" t="str">
        <f t="shared" si="213"/>
        <v>Shpk_21</v>
      </c>
      <c r="J6831" s="3">
        <v>0</v>
      </c>
      <c r="K6831" s="3">
        <v>0</v>
      </c>
      <c r="L6831" s="3">
        <v>0</v>
      </c>
      <c r="M6831" s="3">
        <v>0</v>
      </c>
      <c r="N6831" s="3">
        <v>21</v>
      </c>
    </row>
    <row r="6832" spans="1:14" x14ac:dyDescent="0.2">
      <c r="A6832" s="5" t="str">
        <f>HYPERLINK("http://www.ncbi.nlm.nih.gov/protein/166998470","Shq1")</f>
        <v>Shq1</v>
      </c>
      <c r="B6832" s="4"/>
      <c r="C6832" s="3">
        <v>0</v>
      </c>
      <c r="D6832" s="3">
        <v>0</v>
      </c>
      <c r="E6832" s="3">
        <v>0</v>
      </c>
      <c r="F6832" s="3">
        <v>0</v>
      </c>
      <c r="G6832" s="3">
        <v>1007</v>
      </c>
      <c r="H6832" s="2">
        <f t="shared" si="212"/>
        <v>1007</v>
      </c>
      <c r="I6832" t="str">
        <f t="shared" si="213"/>
        <v>Shq1_1007</v>
      </c>
      <c r="J6832" s="3">
        <v>0</v>
      </c>
      <c r="K6832" s="3">
        <v>0</v>
      </c>
      <c r="L6832" s="3">
        <v>0</v>
      </c>
      <c r="M6832" s="3">
        <v>0</v>
      </c>
      <c r="N6832" s="3">
        <v>1007</v>
      </c>
    </row>
    <row r="6833" spans="1:14" x14ac:dyDescent="0.2">
      <c r="A6833" s="5" t="str">
        <f>HYPERLINK("http://www.ncbi.nlm.nih.gov/protein/94818779","Shroom4")</f>
        <v>Shroom4</v>
      </c>
      <c r="B6833" s="4"/>
      <c r="C6833" s="3">
        <v>0</v>
      </c>
      <c r="D6833" s="3">
        <v>0</v>
      </c>
      <c r="E6833" s="3">
        <v>19</v>
      </c>
      <c r="F6833" s="3">
        <v>0</v>
      </c>
      <c r="G6833" s="3">
        <v>0</v>
      </c>
      <c r="H6833" s="2">
        <f t="shared" si="212"/>
        <v>19</v>
      </c>
      <c r="I6833" t="str">
        <f t="shared" si="213"/>
        <v>Shroom4_19</v>
      </c>
      <c r="J6833" s="3">
        <v>0</v>
      </c>
      <c r="K6833" s="3">
        <v>0</v>
      </c>
      <c r="L6833" s="3">
        <v>19</v>
      </c>
      <c r="M6833" s="3">
        <v>0</v>
      </c>
      <c r="N6833" s="3">
        <v>0</v>
      </c>
    </row>
    <row r="6834" spans="1:14" x14ac:dyDescent="0.2">
      <c r="A6834" s="5" t="str">
        <f>HYPERLINK("http://www.ncbi.nlm.nih.gov/protein/31560532","Siae")</f>
        <v>Siae</v>
      </c>
      <c r="B6834" s="4"/>
      <c r="C6834" s="3">
        <v>0</v>
      </c>
      <c r="D6834" s="3">
        <v>3039</v>
      </c>
      <c r="E6834" s="3">
        <v>702</v>
      </c>
      <c r="F6834" s="3">
        <v>0</v>
      </c>
      <c r="G6834" s="3">
        <v>17392</v>
      </c>
      <c r="H6834" s="2">
        <f t="shared" si="212"/>
        <v>21133</v>
      </c>
      <c r="I6834" t="str">
        <f t="shared" si="213"/>
        <v>Siae_21133</v>
      </c>
      <c r="J6834" s="3">
        <v>0</v>
      </c>
      <c r="K6834" s="3">
        <v>3039</v>
      </c>
      <c r="L6834" s="3">
        <v>702</v>
      </c>
      <c r="M6834" s="3">
        <v>0</v>
      </c>
      <c r="N6834" s="3">
        <v>17392</v>
      </c>
    </row>
    <row r="6835" spans="1:14" x14ac:dyDescent="0.2">
      <c r="A6835" s="5" t="str">
        <f>HYPERLINK("http://www.ncbi.nlm.nih.gov/protein/26986551","Sidt2")</f>
        <v>Sidt2</v>
      </c>
      <c r="B6835" s="4"/>
      <c r="C6835" s="3">
        <v>0</v>
      </c>
      <c r="D6835" s="3">
        <v>140</v>
      </c>
      <c r="E6835" s="3">
        <v>440</v>
      </c>
      <c r="F6835" s="3">
        <v>0</v>
      </c>
      <c r="G6835" s="3">
        <v>0</v>
      </c>
      <c r="H6835" s="2">
        <f t="shared" si="212"/>
        <v>580</v>
      </c>
      <c r="I6835" t="str">
        <f t="shared" si="213"/>
        <v>Sidt2_580</v>
      </c>
      <c r="J6835" s="3">
        <v>0</v>
      </c>
      <c r="K6835" s="3">
        <v>140</v>
      </c>
      <c r="L6835" s="3">
        <v>440</v>
      </c>
      <c r="M6835" s="3">
        <v>0</v>
      </c>
      <c r="N6835" s="3">
        <v>0</v>
      </c>
    </row>
    <row r="6836" spans="1:14" x14ac:dyDescent="0.2">
      <c r="A6836" s="5" t="str">
        <f>HYPERLINK("http://www.ncbi.nlm.nih.gov/protein/134032002","Siglece")</f>
        <v>Siglece</v>
      </c>
      <c r="B6836" s="4"/>
      <c r="C6836" s="3">
        <v>0</v>
      </c>
      <c r="D6836" s="3">
        <v>2551</v>
      </c>
      <c r="E6836" s="3">
        <v>0</v>
      </c>
      <c r="F6836" s="3">
        <v>0</v>
      </c>
      <c r="G6836" s="3">
        <v>0</v>
      </c>
      <c r="H6836" s="2">
        <f t="shared" si="212"/>
        <v>2551</v>
      </c>
      <c r="I6836" t="str">
        <f t="shared" si="213"/>
        <v>Siglece_2551</v>
      </c>
      <c r="J6836" s="3">
        <v>0</v>
      </c>
      <c r="K6836" s="3">
        <v>2551</v>
      </c>
      <c r="L6836" s="3">
        <v>0</v>
      </c>
      <c r="M6836" s="3">
        <v>0</v>
      </c>
      <c r="N6836" s="3">
        <v>0</v>
      </c>
    </row>
    <row r="6837" spans="1:14" x14ac:dyDescent="0.2">
      <c r="A6837" s="5" t="str">
        <f>HYPERLINK("http://www.ncbi.nlm.nih.gov/protein/13385140","Sike1")</f>
        <v>Sike1</v>
      </c>
      <c r="B6837" s="4"/>
      <c r="C6837" s="3">
        <v>0</v>
      </c>
      <c r="D6837" s="3">
        <v>0</v>
      </c>
      <c r="E6837" s="3">
        <v>0</v>
      </c>
      <c r="F6837" s="3">
        <v>0</v>
      </c>
      <c r="G6837" s="3">
        <v>54</v>
      </c>
      <c r="H6837" s="2">
        <f t="shared" si="212"/>
        <v>54</v>
      </c>
      <c r="I6837" t="str">
        <f t="shared" si="213"/>
        <v>Sike1_54</v>
      </c>
      <c r="J6837" s="3">
        <v>0</v>
      </c>
      <c r="K6837" s="3">
        <v>0</v>
      </c>
      <c r="L6837" s="3">
        <v>0</v>
      </c>
      <c r="M6837" s="3">
        <v>0</v>
      </c>
      <c r="N6837" s="3">
        <v>54</v>
      </c>
    </row>
    <row r="6838" spans="1:14" x14ac:dyDescent="0.2">
      <c r="A6838" s="5" t="str">
        <f>HYPERLINK("http://www.ncbi.nlm.nih.gov/protein/257196264","Sil1")</f>
        <v>Sil1</v>
      </c>
      <c r="B6838" s="4"/>
      <c r="C6838" s="3">
        <v>0</v>
      </c>
      <c r="D6838" s="3">
        <v>79</v>
      </c>
      <c r="E6838" s="3">
        <v>18</v>
      </c>
      <c r="F6838" s="3">
        <v>0</v>
      </c>
      <c r="G6838" s="3">
        <v>0</v>
      </c>
      <c r="H6838" s="2">
        <f t="shared" si="212"/>
        <v>97</v>
      </c>
      <c r="I6838" t="str">
        <f t="shared" si="213"/>
        <v>Sil1_97</v>
      </c>
      <c r="J6838" s="3">
        <v>0</v>
      </c>
      <c r="K6838" s="3">
        <v>79</v>
      </c>
      <c r="L6838" s="3">
        <v>18</v>
      </c>
      <c r="M6838" s="3">
        <v>0</v>
      </c>
      <c r="N6838" s="3">
        <v>0</v>
      </c>
    </row>
    <row r="6839" spans="1:14" x14ac:dyDescent="0.2">
      <c r="A6839" s="5" t="str">
        <f>HYPERLINK("http://www.ncbi.nlm.nih.gov/protein/160333357","Sin3a")</f>
        <v>Sin3a</v>
      </c>
      <c r="B6839" s="4"/>
      <c r="C6839" s="3">
        <v>110</v>
      </c>
      <c r="D6839" s="3">
        <v>0</v>
      </c>
      <c r="E6839" s="3">
        <v>0</v>
      </c>
      <c r="F6839" s="3">
        <v>0</v>
      </c>
      <c r="G6839" s="3">
        <v>0</v>
      </c>
      <c r="H6839" s="2">
        <f t="shared" si="212"/>
        <v>110</v>
      </c>
      <c r="I6839" t="str">
        <f t="shared" si="213"/>
        <v>Sin3a_110</v>
      </c>
      <c r="J6839" s="3">
        <v>110</v>
      </c>
      <c r="K6839" s="3">
        <v>0</v>
      </c>
      <c r="L6839" s="3">
        <v>0</v>
      </c>
      <c r="M6839" s="3">
        <v>0</v>
      </c>
      <c r="N6839" s="3">
        <v>0</v>
      </c>
    </row>
    <row r="6840" spans="1:14" x14ac:dyDescent="0.2">
      <c r="A6840" s="5" t="str">
        <f>HYPERLINK("http://www.ncbi.nlm.nih.gov/protein/160333360","Sin3a")</f>
        <v>Sin3a</v>
      </c>
      <c r="B6840" s="4"/>
      <c r="C6840" s="3">
        <v>110</v>
      </c>
      <c r="D6840" s="3">
        <v>0</v>
      </c>
      <c r="E6840" s="3">
        <v>0</v>
      </c>
      <c r="F6840" s="3">
        <v>0</v>
      </c>
      <c r="G6840" s="3">
        <v>0</v>
      </c>
      <c r="H6840" s="2">
        <f t="shared" si="212"/>
        <v>110</v>
      </c>
      <c r="I6840" t="str">
        <f t="shared" si="213"/>
        <v>Sin3a_110</v>
      </c>
      <c r="J6840" s="3">
        <v>110</v>
      </c>
      <c r="K6840" s="3">
        <v>0</v>
      </c>
      <c r="L6840" s="3">
        <v>0</v>
      </c>
      <c r="M6840" s="3">
        <v>0</v>
      </c>
      <c r="N6840" s="3">
        <v>0</v>
      </c>
    </row>
    <row r="6841" spans="1:14" x14ac:dyDescent="0.2">
      <c r="A6841" s="5" t="str">
        <f>HYPERLINK("http://www.ncbi.nlm.nih.gov/protein/227430309","Sirt1")</f>
        <v>Sirt1</v>
      </c>
      <c r="B6841" s="4"/>
      <c r="C6841" s="3">
        <v>0</v>
      </c>
      <c r="D6841" s="3">
        <v>0</v>
      </c>
      <c r="E6841" s="3">
        <v>0</v>
      </c>
      <c r="F6841" s="3">
        <v>0</v>
      </c>
      <c r="G6841" s="3">
        <v>1028</v>
      </c>
      <c r="H6841" s="2">
        <f t="shared" si="212"/>
        <v>1028</v>
      </c>
      <c r="I6841" t="str">
        <f t="shared" si="213"/>
        <v>Sirt1_1028</v>
      </c>
      <c r="J6841" s="3">
        <v>0</v>
      </c>
      <c r="K6841" s="3">
        <v>0</v>
      </c>
      <c r="L6841" s="3">
        <v>0</v>
      </c>
      <c r="M6841" s="3">
        <v>0</v>
      </c>
      <c r="N6841" s="3">
        <v>1028</v>
      </c>
    </row>
    <row r="6842" spans="1:14" x14ac:dyDescent="0.2">
      <c r="A6842" s="5" t="str">
        <f>HYPERLINK("http://www.ncbi.nlm.nih.gov/protein/9790229","Sirt1")</f>
        <v>Sirt1</v>
      </c>
      <c r="B6842" s="4"/>
      <c r="C6842" s="3">
        <v>0</v>
      </c>
      <c r="D6842" s="3">
        <v>0</v>
      </c>
      <c r="E6842" s="3">
        <v>0</v>
      </c>
      <c r="F6842" s="3">
        <v>0</v>
      </c>
      <c r="G6842" s="3">
        <v>1028</v>
      </c>
      <c r="H6842" s="2">
        <f t="shared" si="212"/>
        <v>1028</v>
      </c>
      <c r="I6842" t="str">
        <f t="shared" si="213"/>
        <v>Sirt1_1028</v>
      </c>
      <c r="J6842" s="3">
        <v>0</v>
      </c>
      <c r="K6842" s="3">
        <v>0</v>
      </c>
      <c r="L6842" s="3">
        <v>0</v>
      </c>
      <c r="M6842" s="3">
        <v>0</v>
      </c>
      <c r="N6842" s="3">
        <v>1028</v>
      </c>
    </row>
    <row r="6843" spans="1:14" x14ac:dyDescent="0.2">
      <c r="A6843" s="5" t="str">
        <f>HYPERLINK("http://www.ncbi.nlm.nih.gov/protein/170650630","Sirt2")</f>
        <v>Sirt2</v>
      </c>
      <c r="B6843" s="4"/>
      <c r="C6843" s="3">
        <v>0</v>
      </c>
      <c r="D6843" s="3">
        <v>616</v>
      </c>
      <c r="E6843" s="3">
        <v>307</v>
      </c>
      <c r="F6843" s="3">
        <v>0</v>
      </c>
      <c r="G6843" s="3">
        <v>8075</v>
      </c>
      <c r="H6843" s="2">
        <f t="shared" si="212"/>
        <v>8998</v>
      </c>
      <c r="I6843" t="str">
        <f t="shared" si="213"/>
        <v>Sirt2_8998</v>
      </c>
      <c r="J6843" s="3">
        <v>0</v>
      </c>
      <c r="K6843" s="3">
        <v>616</v>
      </c>
      <c r="L6843" s="3">
        <v>307</v>
      </c>
      <c r="M6843" s="3">
        <v>0</v>
      </c>
      <c r="N6843" s="3">
        <v>8075</v>
      </c>
    </row>
    <row r="6844" spans="1:14" x14ac:dyDescent="0.2">
      <c r="A6844" s="5" t="str">
        <f>HYPERLINK("http://www.ncbi.nlm.nih.gov/protein/170650632","Sirt2")</f>
        <v>Sirt2</v>
      </c>
      <c r="B6844" s="4"/>
      <c r="C6844" s="3">
        <v>0</v>
      </c>
      <c r="D6844" s="3">
        <v>616</v>
      </c>
      <c r="E6844" s="3">
        <v>307</v>
      </c>
      <c r="F6844" s="3">
        <v>0</v>
      </c>
      <c r="G6844" s="3">
        <v>8075</v>
      </c>
      <c r="H6844" s="2">
        <f t="shared" si="212"/>
        <v>8998</v>
      </c>
      <c r="I6844" t="str">
        <f t="shared" si="213"/>
        <v>Sirt2_8998</v>
      </c>
      <c r="J6844" s="3">
        <v>0</v>
      </c>
      <c r="K6844" s="3">
        <v>616</v>
      </c>
      <c r="L6844" s="3">
        <v>307</v>
      </c>
      <c r="M6844" s="3">
        <v>0</v>
      </c>
      <c r="N6844" s="3">
        <v>8075</v>
      </c>
    </row>
    <row r="6845" spans="1:14" x14ac:dyDescent="0.2">
      <c r="A6845" s="5" t="str">
        <f>HYPERLINK("http://www.ncbi.nlm.nih.gov/protein/170650634","Sirt2")</f>
        <v>Sirt2</v>
      </c>
      <c r="B6845" s="4"/>
      <c r="C6845" s="3">
        <v>0</v>
      </c>
      <c r="D6845" s="3">
        <v>324</v>
      </c>
      <c r="E6845" s="3">
        <v>48</v>
      </c>
      <c r="F6845" s="3">
        <v>0</v>
      </c>
      <c r="G6845" s="3">
        <v>6115</v>
      </c>
      <c r="H6845" s="2">
        <f t="shared" si="212"/>
        <v>6487</v>
      </c>
      <c r="I6845" t="str">
        <f t="shared" si="213"/>
        <v>Sirt2_6487</v>
      </c>
      <c r="J6845" s="3">
        <v>0</v>
      </c>
      <c r="K6845" s="3">
        <v>324</v>
      </c>
      <c r="L6845" s="3">
        <v>48</v>
      </c>
      <c r="M6845" s="3">
        <v>0</v>
      </c>
      <c r="N6845" s="3">
        <v>6115</v>
      </c>
    </row>
    <row r="6846" spans="1:14" x14ac:dyDescent="0.2">
      <c r="A6846" s="5" t="str">
        <f>HYPERLINK("http://www.ncbi.nlm.nih.gov/protein/267844847","Sirt4")</f>
        <v>Sirt4</v>
      </c>
      <c r="B6846" s="4"/>
      <c r="C6846" s="3">
        <v>0</v>
      </c>
      <c r="D6846" s="3">
        <v>94</v>
      </c>
      <c r="E6846" s="3">
        <v>0</v>
      </c>
      <c r="F6846" s="3">
        <v>0</v>
      </c>
      <c r="G6846" s="3">
        <v>0</v>
      </c>
      <c r="H6846" s="2">
        <f t="shared" si="212"/>
        <v>94</v>
      </c>
      <c r="I6846" t="str">
        <f t="shared" si="213"/>
        <v>Sirt4_94</v>
      </c>
      <c r="J6846" s="3">
        <v>0</v>
      </c>
      <c r="K6846" s="3">
        <v>94</v>
      </c>
      <c r="L6846" s="3">
        <v>0</v>
      </c>
      <c r="M6846" s="3">
        <v>0</v>
      </c>
      <c r="N6846" s="3">
        <v>0</v>
      </c>
    </row>
    <row r="6847" spans="1:14" x14ac:dyDescent="0.2">
      <c r="A6847" s="5" t="str">
        <f>HYPERLINK("http://www.ncbi.nlm.nih.gov/protein/30578432","Sirt5")</f>
        <v>Sirt5</v>
      </c>
      <c r="B6847" s="4"/>
      <c r="C6847" s="3">
        <v>0</v>
      </c>
      <c r="D6847" s="3">
        <v>188</v>
      </c>
      <c r="E6847" s="3">
        <v>6</v>
      </c>
      <c r="F6847" s="3">
        <v>0</v>
      </c>
      <c r="G6847" s="3">
        <v>1328</v>
      </c>
      <c r="H6847" s="2">
        <f t="shared" si="212"/>
        <v>1522</v>
      </c>
      <c r="I6847" t="str">
        <f t="shared" si="213"/>
        <v>Sirt5_1522</v>
      </c>
      <c r="J6847" s="3">
        <v>0</v>
      </c>
      <c r="K6847" s="3">
        <v>188</v>
      </c>
      <c r="L6847" s="3">
        <v>6</v>
      </c>
      <c r="M6847" s="3">
        <v>0</v>
      </c>
      <c r="N6847" s="3">
        <v>1328</v>
      </c>
    </row>
    <row r="6848" spans="1:14" x14ac:dyDescent="0.2">
      <c r="A6848" s="5" t="str">
        <f>HYPERLINK("http://www.ncbi.nlm.nih.gov/protein/254939656","Sirt6")</f>
        <v>Sirt6</v>
      </c>
      <c r="B6848" s="4"/>
      <c r="C6848" s="3">
        <v>0</v>
      </c>
      <c r="D6848" s="3">
        <v>0</v>
      </c>
      <c r="E6848" s="3">
        <v>89</v>
      </c>
      <c r="F6848" s="3">
        <v>0</v>
      </c>
      <c r="G6848" s="3">
        <v>0</v>
      </c>
      <c r="H6848" s="2">
        <f t="shared" si="212"/>
        <v>89</v>
      </c>
      <c r="I6848" t="str">
        <f t="shared" si="213"/>
        <v>Sirt6_89</v>
      </c>
      <c r="J6848" s="3">
        <v>0</v>
      </c>
      <c r="K6848" s="3">
        <v>0</v>
      </c>
      <c r="L6848" s="3">
        <v>89</v>
      </c>
      <c r="M6848" s="3">
        <v>0</v>
      </c>
      <c r="N6848" s="3">
        <v>0</v>
      </c>
    </row>
    <row r="6849" spans="1:14" x14ac:dyDescent="0.2">
      <c r="A6849" s="5" t="str">
        <f>HYPERLINK("http://www.ncbi.nlm.nih.gov/protein/31712018","Sirt6")</f>
        <v>Sirt6</v>
      </c>
      <c r="B6849" s="4"/>
      <c r="C6849" s="3">
        <v>0</v>
      </c>
      <c r="D6849" s="3">
        <v>0</v>
      </c>
      <c r="E6849" s="3">
        <v>89</v>
      </c>
      <c r="F6849" s="3">
        <v>0</v>
      </c>
      <c r="G6849" s="3">
        <v>0</v>
      </c>
      <c r="H6849" s="2">
        <f t="shared" si="212"/>
        <v>89</v>
      </c>
      <c r="I6849" t="str">
        <f t="shared" si="213"/>
        <v>Sirt6_89</v>
      </c>
      <c r="J6849" s="3">
        <v>0</v>
      </c>
      <c r="K6849" s="3">
        <v>0</v>
      </c>
      <c r="L6849" s="3">
        <v>89</v>
      </c>
      <c r="M6849" s="3">
        <v>0</v>
      </c>
      <c r="N6849" s="3">
        <v>0</v>
      </c>
    </row>
    <row r="6850" spans="1:14" x14ac:dyDescent="0.2">
      <c r="A6850" s="5" t="str">
        <f>HYPERLINK("http://www.ncbi.nlm.nih.gov/protein/240120126","Siva1")</f>
        <v>Siva1</v>
      </c>
      <c r="B6850" s="4"/>
      <c r="C6850" s="3">
        <v>0</v>
      </c>
      <c r="D6850" s="3">
        <v>50</v>
      </c>
      <c r="E6850" s="3">
        <v>0</v>
      </c>
      <c r="F6850" s="3">
        <v>0</v>
      </c>
      <c r="G6850" s="3">
        <v>2752</v>
      </c>
      <c r="H6850" s="2">
        <f t="shared" ref="H6850:H6913" si="214">SUM(C6850:G6850)</f>
        <v>2802</v>
      </c>
      <c r="I6850" t="str">
        <f t="shared" ref="I6850:I6913" si="215">A6850&amp;"_"&amp;H6850</f>
        <v>Siva1_2802</v>
      </c>
      <c r="J6850" s="3">
        <v>0</v>
      </c>
      <c r="K6850" s="3">
        <v>50</v>
      </c>
      <c r="L6850" s="3">
        <v>0</v>
      </c>
      <c r="M6850" s="3">
        <v>0</v>
      </c>
      <c r="N6850" s="3">
        <v>2752</v>
      </c>
    </row>
    <row r="6851" spans="1:14" x14ac:dyDescent="0.2">
      <c r="A6851" s="5" t="str">
        <f>HYPERLINK("http://www.ncbi.nlm.nih.gov/protein/240120128","Siva1")</f>
        <v>Siva1</v>
      </c>
      <c r="B6851" s="4"/>
      <c r="C6851" s="3">
        <v>0</v>
      </c>
      <c r="D6851" s="3">
        <v>50</v>
      </c>
      <c r="E6851" s="3">
        <v>0</v>
      </c>
      <c r="F6851" s="3">
        <v>0</v>
      </c>
      <c r="G6851" s="3">
        <v>1382</v>
      </c>
      <c r="H6851" s="2">
        <f t="shared" si="214"/>
        <v>1432</v>
      </c>
      <c r="I6851" t="str">
        <f t="shared" si="215"/>
        <v>Siva1_1432</v>
      </c>
      <c r="J6851" s="3">
        <v>0</v>
      </c>
      <c r="K6851" s="3">
        <v>50</v>
      </c>
      <c r="L6851" s="3">
        <v>0</v>
      </c>
      <c r="M6851" s="3">
        <v>0</v>
      </c>
      <c r="N6851" s="3">
        <v>1382</v>
      </c>
    </row>
    <row r="6852" spans="1:14" x14ac:dyDescent="0.2">
      <c r="A6852" s="5" t="str">
        <f>HYPERLINK("http://www.ncbi.nlm.nih.gov/protein/87252727","Skiv2l")</f>
        <v>Skiv2l</v>
      </c>
      <c r="B6852" s="4"/>
      <c r="C6852" s="3">
        <v>0</v>
      </c>
      <c r="D6852" s="3">
        <v>0</v>
      </c>
      <c r="E6852" s="3">
        <v>1510</v>
      </c>
      <c r="F6852" s="3">
        <v>786</v>
      </c>
      <c r="G6852" s="3">
        <v>0</v>
      </c>
      <c r="H6852" s="2">
        <f t="shared" si="214"/>
        <v>2296</v>
      </c>
      <c r="I6852" t="str">
        <f t="shared" si="215"/>
        <v>Skiv2l_2296</v>
      </c>
      <c r="J6852" s="3">
        <v>0</v>
      </c>
      <c r="K6852" s="3">
        <v>0</v>
      </c>
      <c r="L6852" s="3">
        <v>1510</v>
      </c>
      <c r="M6852" s="3">
        <v>786</v>
      </c>
      <c r="N6852" s="3">
        <v>0</v>
      </c>
    </row>
    <row r="6853" spans="1:14" x14ac:dyDescent="0.2">
      <c r="A6853" s="5" t="str">
        <f>HYPERLINK("http://www.ncbi.nlm.nih.gov/protein/21312352","Skiv2l2")</f>
        <v>Skiv2l2</v>
      </c>
      <c r="B6853" s="4"/>
      <c r="C6853" s="3">
        <v>0</v>
      </c>
      <c r="D6853" s="3">
        <v>0</v>
      </c>
      <c r="E6853" s="3">
        <v>2555</v>
      </c>
      <c r="F6853" s="3">
        <v>28494</v>
      </c>
      <c r="G6853" s="3">
        <v>2292</v>
      </c>
      <c r="H6853" s="2">
        <f t="shared" si="214"/>
        <v>33341</v>
      </c>
      <c r="I6853" t="str">
        <f t="shared" si="215"/>
        <v>Skiv2l2_33341</v>
      </c>
      <c r="J6853" s="3">
        <v>0</v>
      </c>
      <c r="K6853" s="3">
        <v>0</v>
      </c>
      <c r="L6853" s="3">
        <v>2555</v>
      </c>
      <c r="M6853" s="3">
        <v>28494</v>
      </c>
      <c r="N6853" s="3">
        <v>2292</v>
      </c>
    </row>
    <row r="6854" spans="1:14" x14ac:dyDescent="0.2">
      <c r="A6854" s="5" t="str">
        <f>HYPERLINK("http://www.ncbi.nlm.nih.gov/protein/158854016","Skp1a")</f>
        <v>Skp1a</v>
      </c>
      <c r="B6854" s="4"/>
      <c r="C6854" s="3">
        <v>11588</v>
      </c>
      <c r="D6854" s="3">
        <v>5094</v>
      </c>
      <c r="E6854" s="3">
        <v>6712</v>
      </c>
      <c r="F6854" s="3">
        <v>34535</v>
      </c>
      <c r="G6854" s="3">
        <v>27898</v>
      </c>
      <c r="H6854" s="2">
        <f t="shared" si="214"/>
        <v>85827</v>
      </c>
      <c r="I6854" t="str">
        <f t="shared" si="215"/>
        <v>Skp1a_85827</v>
      </c>
      <c r="J6854" s="3">
        <v>11588</v>
      </c>
      <c r="K6854" s="3">
        <v>5094</v>
      </c>
      <c r="L6854" s="3">
        <v>6712</v>
      </c>
      <c r="M6854" s="3">
        <v>34535</v>
      </c>
      <c r="N6854" s="3">
        <v>27898</v>
      </c>
    </row>
    <row r="6855" spans="1:14" x14ac:dyDescent="0.2">
      <c r="A6855" s="5" t="str">
        <f>HYPERLINK("http://www.ncbi.nlm.nih.gov/protein/371119693","Slc10a3")</f>
        <v>Slc10a3</v>
      </c>
      <c r="B6855" s="4"/>
      <c r="C6855" s="3">
        <v>1556</v>
      </c>
      <c r="D6855" s="3">
        <v>0</v>
      </c>
      <c r="E6855" s="3">
        <v>0</v>
      </c>
      <c r="F6855" s="3">
        <v>0</v>
      </c>
      <c r="G6855" s="3">
        <v>0</v>
      </c>
      <c r="H6855" s="2">
        <f t="shared" si="214"/>
        <v>1556</v>
      </c>
      <c r="I6855" t="str">
        <f t="shared" si="215"/>
        <v>Slc10a3_1556</v>
      </c>
      <c r="J6855" s="3">
        <v>1556</v>
      </c>
      <c r="K6855" s="3">
        <v>0</v>
      </c>
      <c r="L6855" s="3">
        <v>0</v>
      </c>
      <c r="M6855" s="3">
        <v>0</v>
      </c>
      <c r="N6855" s="3">
        <v>0</v>
      </c>
    </row>
    <row r="6856" spans="1:14" x14ac:dyDescent="0.2">
      <c r="A6856" s="5" t="str">
        <f>HYPERLINK("http://www.ncbi.nlm.nih.gov/protein/119226231","Slc12a1")</f>
        <v>Slc12a1</v>
      </c>
      <c r="B6856" s="4"/>
      <c r="C6856" s="3">
        <v>0</v>
      </c>
      <c r="D6856" s="3">
        <v>0</v>
      </c>
      <c r="E6856" s="3">
        <v>480</v>
      </c>
      <c r="F6856" s="3">
        <v>0</v>
      </c>
      <c r="G6856" s="3">
        <v>0</v>
      </c>
      <c r="H6856" s="2">
        <f t="shared" si="214"/>
        <v>480</v>
      </c>
      <c r="I6856" t="str">
        <f t="shared" si="215"/>
        <v>Slc12a1_480</v>
      </c>
      <c r="J6856" s="3">
        <v>0</v>
      </c>
      <c r="K6856" s="3">
        <v>0</v>
      </c>
      <c r="L6856" s="3">
        <v>480</v>
      </c>
      <c r="M6856" s="3">
        <v>0</v>
      </c>
      <c r="N6856" s="3">
        <v>0</v>
      </c>
    </row>
    <row r="6857" spans="1:14" x14ac:dyDescent="0.2">
      <c r="A6857" s="5" t="str">
        <f>HYPERLINK("http://www.ncbi.nlm.nih.gov/protein/119226233","Slc12a1")</f>
        <v>Slc12a1</v>
      </c>
      <c r="B6857" s="4"/>
      <c r="C6857" s="3">
        <v>0</v>
      </c>
      <c r="D6857" s="3">
        <v>0</v>
      </c>
      <c r="E6857" s="3">
        <v>480</v>
      </c>
      <c r="F6857" s="3">
        <v>0</v>
      </c>
      <c r="G6857" s="3">
        <v>0</v>
      </c>
      <c r="H6857" s="2">
        <f t="shared" si="214"/>
        <v>480</v>
      </c>
      <c r="I6857" t="str">
        <f t="shared" si="215"/>
        <v>Slc12a1_480</v>
      </c>
      <c r="J6857" s="3">
        <v>0</v>
      </c>
      <c r="K6857" s="3">
        <v>0</v>
      </c>
      <c r="L6857" s="3">
        <v>480</v>
      </c>
      <c r="M6857" s="3">
        <v>0</v>
      </c>
      <c r="N6857" s="3">
        <v>0</v>
      </c>
    </row>
    <row r="6858" spans="1:14" x14ac:dyDescent="0.2">
      <c r="A6858" s="5" t="str">
        <f>HYPERLINK("http://www.ncbi.nlm.nih.gov/protein/124517716","Slc12a2")</f>
        <v>Slc12a2</v>
      </c>
      <c r="B6858" s="4"/>
      <c r="C6858" s="3">
        <v>330</v>
      </c>
      <c r="D6858" s="3">
        <v>4430</v>
      </c>
      <c r="E6858" s="3">
        <v>8123</v>
      </c>
      <c r="F6858" s="3">
        <v>0</v>
      </c>
      <c r="G6858" s="3">
        <v>0</v>
      </c>
      <c r="H6858" s="2">
        <f t="shared" si="214"/>
        <v>12883</v>
      </c>
      <c r="I6858" t="str">
        <f t="shared" si="215"/>
        <v>Slc12a2_12883</v>
      </c>
      <c r="J6858" s="3">
        <v>330</v>
      </c>
      <c r="K6858" s="3">
        <v>4430</v>
      </c>
      <c r="L6858" s="3">
        <v>8123</v>
      </c>
      <c r="M6858" s="3">
        <v>0</v>
      </c>
      <c r="N6858" s="3">
        <v>0</v>
      </c>
    </row>
    <row r="6859" spans="1:14" x14ac:dyDescent="0.2">
      <c r="A6859" s="5" t="str">
        <f>HYPERLINK("http://www.ncbi.nlm.nih.gov/protein/6755534","Slc12a7")</f>
        <v>Slc12a7</v>
      </c>
      <c r="B6859" s="4"/>
      <c r="C6859" s="3">
        <v>0</v>
      </c>
      <c r="D6859" s="3">
        <v>119</v>
      </c>
      <c r="E6859" s="3">
        <v>2562</v>
      </c>
      <c r="F6859" s="3">
        <v>0</v>
      </c>
      <c r="G6859" s="3">
        <v>0</v>
      </c>
      <c r="H6859" s="2">
        <f t="shared" si="214"/>
        <v>2681</v>
      </c>
      <c r="I6859" t="str">
        <f t="shared" si="215"/>
        <v>Slc12a7_2681</v>
      </c>
      <c r="J6859" s="3">
        <v>0</v>
      </c>
      <c r="K6859" s="3">
        <v>119</v>
      </c>
      <c r="L6859" s="3">
        <v>2562</v>
      </c>
      <c r="M6859" s="3">
        <v>0</v>
      </c>
      <c r="N6859" s="3">
        <v>0</v>
      </c>
    </row>
    <row r="6860" spans="1:14" x14ac:dyDescent="0.2">
      <c r="A6860" s="5" t="str">
        <f>HYPERLINK("http://www.ncbi.nlm.nih.gov/protein/281371456","Slc12a9")</f>
        <v>Slc12a9</v>
      </c>
      <c r="B6860" s="4"/>
      <c r="C6860" s="3">
        <v>0</v>
      </c>
      <c r="D6860" s="3">
        <v>507</v>
      </c>
      <c r="E6860" s="3">
        <v>1234</v>
      </c>
      <c r="F6860" s="3">
        <v>0</v>
      </c>
      <c r="G6860" s="3">
        <v>0</v>
      </c>
      <c r="H6860" s="2">
        <f t="shared" si="214"/>
        <v>1741</v>
      </c>
      <c r="I6860" t="str">
        <f t="shared" si="215"/>
        <v>Slc12a9_1741</v>
      </c>
      <c r="J6860" s="3">
        <v>0</v>
      </c>
      <c r="K6860" s="3">
        <v>507</v>
      </c>
      <c r="L6860" s="3">
        <v>1234</v>
      </c>
      <c r="M6860" s="3">
        <v>0</v>
      </c>
      <c r="N6860" s="3">
        <v>0</v>
      </c>
    </row>
    <row r="6861" spans="1:14" x14ac:dyDescent="0.2">
      <c r="A6861" s="5" t="str">
        <f>HYPERLINK("http://www.ncbi.nlm.nih.gov/protein/19527112","Slc15a4")</f>
        <v>Slc15a4</v>
      </c>
      <c r="B6861" s="4"/>
      <c r="C6861" s="3">
        <v>0</v>
      </c>
      <c r="D6861" s="3">
        <v>4</v>
      </c>
      <c r="E6861" s="3">
        <v>4</v>
      </c>
      <c r="F6861" s="3">
        <v>0</v>
      </c>
      <c r="G6861" s="3">
        <v>0</v>
      </c>
      <c r="H6861" s="2">
        <f t="shared" si="214"/>
        <v>8</v>
      </c>
      <c r="I6861" t="str">
        <f t="shared" si="215"/>
        <v>Slc15a4_8</v>
      </c>
      <c r="J6861" s="3">
        <v>0</v>
      </c>
      <c r="K6861" s="3">
        <v>4</v>
      </c>
      <c r="L6861" s="3">
        <v>4</v>
      </c>
      <c r="M6861" s="3">
        <v>0</v>
      </c>
      <c r="N6861" s="3">
        <v>0</v>
      </c>
    </row>
    <row r="6862" spans="1:14" x14ac:dyDescent="0.2">
      <c r="A6862" s="5" t="str">
        <f>HYPERLINK("http://www.ncbi.nlm.nih.gov/protein/6677995","Slc16a1")</f>
        <v>Slc16a1</v>
      </c>
      <c r="B6862" s="4"/>
      <c r="C6862" s="3">
        <v>64236</v>
      </c>
      <c r="D6862" s="3">
        <v>12373</v>
      </c>
      <c r="E6862" s="3">
        <v>70852</v>
      </c>
      <c r="F6862" s="3">
        <v>5280</v>
      </c>
      <c r="G6862" s="3">
        <v>0</v>
      </c>
      <c r="H6862" s="2">
        <f t="shared" si="214"/>
        <v>152741</v>
      </c>
      <c r="I6862" t="str">
        <f t="shared" si="215"/>
        <v>Slc16a1_152741</v>
      </c>
      <c r="J6862" s="3">
        <v>64236</v>
      </c>
      <c r="K6862" s="3">
        <v>12373</v>
      </c>
      <c r="L6862" s="3">
        <v>70852</v>
      </c>
      <c r="M6862" s="3">
        <v>5280</v>
      </c>
      <c r="N6862" s="3">
        <v>0</v>
      </c>
    </row>
    <row r="6863" spans="1:14" x14ac:dyDescent="0.2">
      <c r="A6863" s="5" t="str">
        <f>HYPERLINK("http://www.ncbi.nlm.nih.gov/protein/166999494","Slc16a10")</f>
        <v>Slc16a10</v>
      </c>
      <c r="B6863" s="4"/>
      <c r="C6863" s="3">
        <v>0</v>
      </c>
      <c r="D6863" s="3">
        <v>380</v>
      </c>
      <c r="E6863" s="3">
        <v>544</v>
      </c>
      <c r="F6863" s="3">
        <v>0</v>
      </c>
      <c r="G6863" s="3">
        <v>0</v>
      </c>
      <c r="H6863" s="2">
        <f t="shared" si="214"/>
        <v>924</v>
      </c>
      <c r="I6863" t="str">
        <f t="shared" si="215"/>
        <v>Slc16a10_924</v>
      </c>
      <c r="J6863" s="3">
        <v>0</v>
      </c>
      <c r="K6863" s="3">
        <v>380</v>
      </c>
      <c r="L6863" s="3">
        <v>544</v>
      </c>
      <c r="M6863" s="3">
        <v>0</v>
      </c>
      <c r="N6863" s="3">
        <v>0</v>
      </c>
    </row>
    <row r="6864" spans="1:14" x14ac:dyDescent="0.2">
      <c r="A6864" s="5" t="str">
        <f>HYPERLINK("http://www.ncbi.nlm.nih.gov/protein/30794382","Slc16a10")</f>
        <v>Slc16a10</v>
      </c>
      <c r="B6864" s="4"/>
      <c r="C6864" s="3">
        <v>0</v>
      </c>
      <c r="D6864" s="3">
        <v>127</v>
      </c>
      <c r="E6864" s="3">
        <v>306</v>
      </c>
      <c r="F6864" s="3">
        <v>0</v>
      </c>
      <c r="G6864" s="3">
        <v>0</v>
      </c>
      <c r="H6864" s="2">
        <f t="shared" si="214"/>
        <v>433</v>
      </c>
      <c r="I6864" t="str">
        <f t="shared" si="215"/>
        <v>Slc16a10_433</v>
      </c>
      <c r="J6864" s="3">
        <v>0</v>
      </c>
      <c r="K6864" s="3">
        <v>127</v>
      </c>
      <c r="L6864" s="3">
        <v>306</v>
      </c>
      <c r="M6864" s="3">
        <v>0</v>
      </c>
      <c r="N6864" s="3">
        <v>0</v>
      </c>
    </row>
    <row r="6865" spans="1:14" x14ac:dyDescent="0.2">
      <c r="A6865" s="5" t="str">
        <f>HYPERLINK("http://www.ncbi.nlm.nih.gov/protein/114326474","Slc1a5")</f>
        <v>Slc1a5</v>
      </c>
      <c r="B6865" s="4"/>
      <c r="C6865" s="3">
        <v>0</v>
      </c>
      <c r="D6865" s="3">
        <v>649</v>
      </c>
      <c r="E6865" s="3">
        <v>1263</v>
      </c>
      <c r="F6865" s="3">
        <v>0</v>
      </c>
      <c r="G6865" s="3">
        <v>0</v>
      </c>
      <c r="H6865" s="2">
        <f t="shared" si="214"/>
        <v>1912</v>
      </c>
      <c r="I6865" t="str">
        <f t="shared" si="215"/>
        <v>Slc1a5_1912</v>
      </c>
      <c r="J6865" s="3">
        <v>0</v>
      </c>
      <c r="K6865" s="3">
        <v>649</v>
      </c>
      <c r="L6865" s="3">
        <v>1263</v>
      </c>
      <c r="M6865" s="3">
        <v>0</v>
      </c>
      <c r="N6865" s="3">
        <v>0</v>
      </c>
    </row>
    <row r="6866" spans="1:14" x14ac:dyDescent="0.2">
      <c r="A6866" s="5" t="str">
        <f>HYPERLINK("http://www.ncbi.nlm.nih.gov/protein/42741686","Slc23a1")</f>
        <v>Slc23a1</v>
      </c>
      <c r="B6866" s="4"/>
      <c r="C6866" s="3">
        <v>0</v>
      </c>
      <c r="D6866" s="3">
        <v>0</v>
      </c>
      <c r="E6866" s="3">
        <v>373</v>
      </c>
      <c r="F6866" s="3">
        <v>0</v>
      </c>
      <c r="G6866" s="3">
        <v>0</v>
      </c>
      <c r="H6866" s="2">
        <f t="shared" si="214"/>
        <v>373</v>
      </c>
      <c r="I6866" t="str">
        <f t="shared" si="215"/>
        <v>Slc23a1_373</v>
      </c>
      <c r="J6866" s="3">
        <v>0</v>
      </c>
      <c r="K6866" s="3">
        <v>0</v>
      </c>
      <c r="L6866" s="3">
        <v>373</v>
      </c>
      <c r="M6866" s="3">
        <v>0</v>
      </c>
      <c r="N6866" s="3">
        <v>0</v>
      </c>
    </row>
    <row r="6867" spans="1:14" x14ac:dyDescent="0.2">
      <c r="A6867" s="5" t="str">
        <f>HYPERLINK("http://www.ncbi.nlm.nih.gov/protein/23943838","Slc25a1")</f>
        <v>Slc25a1</v>
      </c>
      <c r="B6867" s="4"/>
      <c r="C6867" s="3">
        <v>110385</v>
      </c>
      <c r="D6867" s="3">
        <v>31962</v>
      </c>
      <c r="E6867" s="3">
        <v>4568</v>
      </c>
      <c r="F6867" s="3">
        <v>0</v>
      </c>
      <c r="G6867" s="3">
        <v>0</v>
      </c>
      <c r="H6867" s="2">
        <f t="shared" si="214"/>
        <v>146915</v>
      </c>
      <c r="I6867" t="str">
        <f t="shared" si="215"/>
        <v>Slc25a1_146915</v>
      </c>
      <c r="J6867" s="3">
        <v>110385</v>
      </c>
      <c r="K6867" s="3">
        <v>31962</v>
      </c>
      <c r="L6867" s="3">
        <v>4568</v>
      </c>
      <c r="M6867" s="3">
        <v>0</v>
      </c>
      <c r="N6867" s="3">
        <v>0</v>
      </c>
    </row>
    <row r="6868" spans="1:14" x14ac:dyDescent="0.2">
      <c r="A6868" s="5" t="str">
        <f>HYPERLINK("http://www.ncbi.nlm.nih.gov/protein/254826790","Slc25a10")</f>
        <v>Slc25a10</v>
      </c>
      <c r="B6868" s="4"/>
      <c r="C6868" s="3">
        <v>90761</v>
      </c>
      <c r="D6868" s="3">
        <v>44222</v>
      </c>
      <c r="E6868" s="3">
        <v>7322</v>
      </c>
      <c r="F6868" s="3">
        <v>0</v>
      </c>
      <c r="G6868" s="3">
        <v>0</v>
      </c>
      <c r="H6868" s="2">
        <f t="shared" si="214"/>
        <v>142305</v>
      </c>
      <c r="I6868" t="str">
        <f t="shared" si="215"/>
        <v>Slc25a10_142305</v>
      </c>
      <c r="J6868" s="3">
        <v>90761</v>
      </c>
      <c r="K6868" s="3">
        <v>44222</v>
      </c>
      <c r="L6868" s="3">
        <v>7322</v>
      </c>
      <c r="M6868" s="3">
        <v>0</v>
      </c>
      <c r="N6868" s="3">
        <v>0</v>
      </c>
    </row>
    <row r="6869" spans="1:14" x14ac:dyDescent="0.2">
      <c r="A6869" s="5" t="str">
        <f>HYPERLINK("http://www.ncbi.nlm.nih.gov/protein/21312994","Slc25a11")</f>
        <v>Slc25a11</v>
      </c>
      <c r="B6869" s="4"/>
      <c r="C6869" s="3">
        <v>183463</v>
      </c>
      <c r="D6869" s="3">
        <v>29380</v>
      </c>
      <c r="E6869" s="3">
        <v>10109</v>
      </c>
      <c r="F6869" s="3">
        <v>0</v>
      </c>
      <c r="G6869" s="3">
        <v>0</v>
      </c>
      <c r="H6869" s="2">
        <f t="shared" si="214"/>
        <v>222952</v>
      </c>
      <c r="I6869" t="str">
        <f t="shared" si="215"/>
        <v>Slc25a11_222952</v>
      </c>
      <c r="J6869" s="3">
        <v>183463</v>
      </c>
      <c r="K6869" s="3">
        <v>29380</v>
      </c>
      <c r="L6869" s="3">
        <v>10109</v>
      </c>
      <c r="M6869" s="3">
        <v>0</v>
      </c>
      <c r="N6869" s="3">
        <v>0</v>
      </c>
    </row>
    <row r="6870" spans="1:14" x14ac:dyDescent="0.2">
      <c r="A6870" s="5" t="str">
        <f>HYPERLINK("http://www.ncbi.nlm.nih.gov/protein/27369581","Slc25a12")</f>
        <v>Slc25a12</v>
      </c>
      <c r="B6870" s="4"/>
      <c r="C6870" s="3">
        <v>71485</v>
      </c>
      <c r="D6870" s="3">
        <v>60223</v>
      </c>
      <c r="E6870" s="3">
        <v>2729</v>
      </c>
      <c r="F6870" s="3">
        <v>0</v>
      </c>
      <c r="G6870" s="3">
        <v>0</v>
      </c>
      <c r="H6870" s="2">
        <f t="shared" si="214"/>
        <v>134437</v>
      </c>
      <c r="I6870" t="str">
        <f t="shared" si="215"/>
        <v>Slc25a12_134437</v>
      </c>
      <c r="J6870" s="3">
        <v>71485</v>
      </c>
      <c r="K6870" s="3">
        <v>60223</v>
      </c>
      <c r="L6870" s="3">
        <v>2729</v>
      </c>
      <c r="M6870" s="3">
        <v>0</v>
      </c>
      <c r="N6870" s="3">
        <v>0</v>
      </c>
    </row>
    <row r="6871" spans="1:14" x14ac:dyDescent="0.2">
      <c r="A6871" s="5" t="str">
        <f>HYPERLINK("http://www.ncbi.nlm.nih.gov/protein/294832028","Slc25a13")</f>
        <v>Slc25a13</v>
      </c>
      <c r="B6871" s="4"/>
      <c r="C6871" s="3">
        <v>99182</v>
      </c>
      <c r="D6871" s="3">
        <v>89204</v>
      </c>
      <c r="E6871" s="3">
        <v>8162</v>
      </c>
      <c r="F6871" s="3">
        <v>0</v>
      </c>
      <c r="G6871" s="3">
        <v>0</v>
      </c>
      <c r="H6871" s="2">
        <f t="shared" si="214"/>
        <v>196548</v>
      </c>
      <c r="I6871" t="str">
        <f t="shared" si="215"/>
        <v>Slc25a13_196548</v>
      </c>
      <c r="J6871" s="3">
        <v>99182</v>
      </c>
      <c r="K6871" s="3">
        <v>89204</v>
      </c>
      <c r="L6871" s="3">
        <v>8162</v>
      </c>
      <c r="M6871" s="3">
        <v>0</v>
      </c>
      <c r="N6871" s="3">
        <v>0</v>
      </c>
    </row>
    <row r="6872" spans="1:14" x14ac:dyDescent="0.2">
      <c r="A6872" s="5" t="str">
        <f>HYPERLINK("http://www.ncbi.nlm.nih.gov/protein/7657583","Slc25a13")</f>
        <v>Slc25a13</v>
      </c>
      <c r="B6872" s="4"/>
      <c r="C6872" s="3">
        <v>99182</v>
      </c>
      <c r="D6872" s="3">
        <v>89204</v>
      </c>
      <c r="E6872" s="3">
        <v>8162</v>
      </c>
      <c r="F6872" s="3">
        <v>0</v>
      </c>
      <c r="G6872" s="3">
        <v>0</v>
      </c>
      <c r="H6872" s="2">
        <f t="shared" si="214"/>
        <v>196548</v>
      </c>
      <c r="I6872" t="str">
        <f t="shared" si="215"/>
        <v>Slc25a13_196548</v>
      </c>
      <c r="J6872" s="3">
        <v>99182</v>
      </c>
      <c r="K6872" s="3">
        <v>89204</v>
      </c>
      <c r="L6872" s="3">
        <v>8162</v>
      </c>
      <c r="M6872" s="3">
        <v>0</v>
      </c>
      <c r="N6872" s="3">
        <v>0</v>
      </c>
    </row>
    <row r="6873" spans="1:14" x14ac:dyDescent="0.2">
      <c r="A6873" s="5" t="str">
        <f>HYPERLINK("http://www.ncbi.nlm.nih.gov/protein/31044465","Slc25a15")</f>
        <v>Slc25a15</v>
      </c>
      <c r="B6873" s="4"/>
      <c r="C6873" s="3">
        <v>0</v>
      </c>
      <c r="D6873" s="3">
        <v>386</v>
      </c>
      <c r="E6873" s="3">
        <v>0</v>
      </c>
      <c r="F6873" s="3">
        <v>0</v>
      </c>
      <c r="G6873" s="3">
        <v>0</v>
      </c>
      <c r="H6873" s="2">
        <f t="shared" si="214"/>
        <v>386</v>
      </c>
      <c r="I6873" t="str">
        <f t="shared" si="215"/>
        <v>Slc25a15_386</v>
      </c>
      <c r="J6873" s="3">
        <v>0</v>
      </c>
      <c r="K6873" s="3">
        <v>386</v>
      </c>
      <c r="L6873" s="3">
        <v>0</v>
      </c>
      <c r="M6873" s="3">
        <v>0</v>
      </c>
      <c r="N6873" s="3">
        <v>0</v>
      </c>
    </row>
    <row r="6874" spans="1:14" x14ac:dyDescent="0.2">
      <c r="A6874" s="5" t="str">
        <f>HYPERLINK("http://www.ncbi.nlm.nih.gov/protein/30424808","Slc25a16")</f>
        <v>Slc25a16</v>
      </c>
      <c r="B6874" s="4"/>
      <c r="C6874" s="3">
        <v>0</v>
      </c>
      <c r="D6874" s="3">
        <v>1756</v>
      </c>
      <c r="E6874" s="3">
        <v>0</v>
      </c>
      <c r="F6874" s="3">
        <v>0</v>
      </c>
      <c r="G6874" s="3">
        <v>0</v>
      </c>
      <c r="H6874" s="2">
        <f t="shared" si="214"/>
        <v>1756</v>
      </c>
      <c r="I6874" t="str">
        <f t="shared" si="215"/>
        <v>Slc25a16_1756</v>
      </c>
      <c r="J6874" s="3">
        <v>0</v>
      </c>
      <c r="K6874" s="3">
        <v>1756</v>
      </c>
      <c r="L6874" s="3">
        <v>0</v>
      </c>
      <c r="M6874" s="3">
        <v>0</v>
      </c>
      <c r="N6874" s="3">
        <v>0</v>
      </c>
    </row>
    <row r="6875" spans="1:14" x14ac:dyDescent="0.2">
      <c r="A6875" s="5" t="str">
        <f>HYPERLINK("http://www.ncbi.nlm.nih.gov/protein/29789024","Slc25a17")</f>
        <v>Slc25a17</v>
      </c>
      <c r="B6875" s="4"/>
      <c r="C6875" s="3">
        <v>1190</v>
      </c>
      <c r="D6875" s="3">
        <v>2363</v>
      </c>
      <c r="E6875" s="3">
        <v>1032</v>
      </c>
      <c r="F6875" s="3">
        <v>0</v>
      </c>
      <c r="G6875" s="3">
        <v>0</v>
      </c>
      <c r="H6875" s="2">
        <f t="shared" si="214"/>
        <v>4585</v>
      </c>
      <c r="I6875" t="str">
        <f t="shared" si="215"/>
        <v>Slc25a17_4585</v>
      </c>
      <c r="J6875" s="3">
        <v>1190</v>
      </c>
      <c r="K6875" s="3">
        <v>2363</v>
      </c>
      <c r="L6875" s="3">
        <v>1032</v>
      </c>
      <c r="M6875" s="3">
        <v>0</v>
      </c>
      <c r="N6875" s="3">
        <v>0</v>
      </c>
    </row>
    <row r="6876" spans="1:14" x14ac:dyDescent="0.2">
      <c r="A6876" s="5" t="str">
        <f>HYPERLINK("http://www.ncbi.nlm.nih.gov/protein/10048462","Slc25a20")</f>
        <v>Slc25a20</v>
      </c>
      <c r="B6876" s="4"/>
      <c r="C6876" s="3">
        <v>12814</v>
      </c>
      <c r="D6876" s="3">
        <v>15239</v>
      </c>
      <c r="E6876" s="3">
        <v>1585</v>
      </c>
      <c r="F6876" s="3">
        <v>0</v>
      </c>
      <c r="G6876" s="3">
        <v>0</v>
      </c>
      <c r="H6876" s="2">
        <f t="shared" si="214"/>
        <v>29638</v>
      </c>
      <c r="I6876" t="str">
        <f t="shared" si="215"/>
        <v>Slc25a20_29638</v>
      </c>
      <c r="J6876" s="3">
        <v>12814</v>
      </c>
      <c r="K6876" s="3">
        <v>15239</v>
      </c>
      <c r="L6876" s="3">
        <v>1585</v>
      </c>
      <c r="M6876" s="3">
        <v>0</v>
      </c>
      <c r="N6876" s="3">
        <v>0</v>
      </c>
    </row>
    <row r="6877" spans="1:14" x14ac:dyDescent="0.2">
      <c r="A6877" s="5" t="str">
        <f>HYPERLINK("http://www.ncbi.nlm.nih.gov/protein/294831970","Slc25a22")</f>
        <v>Slc25a22</v>
      </c>
      <c r="B6877" s="4"/>
      <c r="C6877" s="3">
        <v>0</v>
      </c>
      <c r="D6877" s="3">
        <v>2401</v>
      </c>
      <c r="E6877" s="3">
        <v>0</v>
      </c>
      <c r="F6877" s="3">
        <v>0</v>
      </c>
      <c r="G6877" s="3">
        <v>0</v>
      </c>
      <c r="H6877" s="2">
        <f t="shared" si="214"/>
        <v>2401</v>
      </c>
      <c r="I6877" t="str">
        <f t="shared" si="215"/>
        <v>Slc25a22_2401</v>
      </c>
      <c r="J6877" s="3">
        <v>0</v>
      </c>
      <c r="K6877" s="3">
        <v>2401</v>
      </c>
      <c r="L6877" s="3">
        <v>0</v>
      </c>
      <c r="M6877" s="3">
        <v>0</v>
      </c>
      <c r="N6877" s="3">
        <v>0</v>
      </c>
    </row>
    <row r="6878" spans="1:14" x14ac:dyDescent="0.2">
      <c r="A6878" s="5" t="str">
        <f>HYPERLINK("http://www.ncbi.nlm.nih.gov/protein/27369998","Slc25a24")</f>
        <v>Slc25a24</v>
      </c>
      <c r="B6878" s="4"/>
      <c r="C6878" s="3">
        <v>16201</v>
      </c>
      <c r="D6878" s="3">
        <v>14942</v>
      </c>
      <c r="E6878" s="3">
        <v>7182</v>
      </c>
      <c r="F6878" s="3">
        <v>0</v>
      </c>
      <c r="G6878" s="3">
        <v>0</v>
      </c>
      <c r="H6878" s="2">
        <f t="shared" si="214"/>
        <v>38325</v>
      </c>
      <c r="I6878" t="str">
        <f t="shared" si="215"/>
        <v>Slc25a24_38325</v>
      </c>
      <c r="J6878" s="3">
        <v>16201</v>
      </c>
      <c r="K6878" s="3">
        <v>14942</v>
      </c>
      <c r="L6878" s="3">
        <v>7182</v>
      </c>
      <c r="M6878" s="3">
        <v>0</v>
      </c>
      <c r="N6878" s="3">
        <v>0</v>
      </c>
    </row>
    <row r="6879" spans="1:14" x14ac:dyDescent="0.2">
      <c r="A6879" s="5" t="str">
        <f>HYPERLINK("http://www.ncbi.nlm.nih.gov/protein/27754081","Slc25a26")</f>
        <v>Slc25a26</v>
      </c>
      <c r="B6879" s="4"/>
      <c r="C6879" s="3">
        <v>73</v>
      </c>
      <c r="D6879" s="3">
        <v>0</v>
      </c>
      <c r="E6879" s="3">
        <v>0</v>
      </c>
      <c r="F6879" s="3">
        <v>0</v>
      </c>
      <c r="G6879" s="3">
        <v>0</v>
      </c>
      <c r="H6879" s="2">
        <f t="shared" si="214"/>
        <v>73</v>
      </c>
      <c r="I6879" t="str">
        <f t="shared" si="215"/>
        <v>Slc25a26_73</v>
      </c>
      <c r="J6879" s="3">
        <v>73</v>
      </c>
      <c r="K6879" s="3">
        <v>0</v>
      </c>
      <c r="L6879" s="3">
        <v>0</v>
      </c>
      <c r="M6879" s="3">
        <v>0</v>
      </c>
      <c r="N6879" s="3">
        <v>0</v>
      </c>
    </row>
    <row r="6880" spans="1:14" x14ac:dyDescent="0.2">
      <c r="A6880" s="5" t="str">
        <f>HYPERLINK("http://www.ncbi.nlm.nih.gov/protein/21312006","Slc25a27")</f>
        <v>Slc25a27</v>
      </c>
      <c r="B6880" s="4"/>
      <c r="C6880" s="3">
        <v>0</v>
      </c>
      <c r="D6880" s="3">
        <v>1728</v>
      </c>
      <c r="E6880" s="3">
        <v>866</v>
      </c>
      <c r="F6880" s="3">
        <v>0</v>
      </c>
      <c r="G6880" s="3">
        <v>0</v>
      </c>
      <c r="H6880" s="2">
        <f t="shared" si="214"/>
        <v>2594</v>
      </c>
      <c r="I6880" t="str">
        <f t="shared" si="215"/>
        <v>Slc25a27_2594</v>
      </c>
      <c r="J6880" s="3">
        <v>0</v>
      </c>
      <c r="K6880" s="3">
        <v>1728</v>
      </c>
      <c r="L6880" s="3">
        <v>866</v>
      </c>
      <c r="M6880" s="3">
        <v>0</v>
      </c>
      <c r="N6880" s="3">
        <v>0</v>
      </c>
    </row>
    <row r="6881" spans="1:14" x14ac:dyDescent="0.2">
      <c r="A6881" s="5" t="str">
        <f>HYPERLINK("http://www.ncbi.nlm.nih.gov/protein/31044469","Slc25a29")</f>
        <v>Slc25a29</v>
      </c>
      <c r="B6881" s="4"/>
      <c r="C6881" s="3">
        <v>0</v>
      </c>
      <c r="D6881" s="3">
        <v>286</v>
      </c>
      <c r="E6881" s="3">
        <v>0</v>
      </c>
      <c r="F6881" s="3">
        <v>0</v>
      </c>
      <c r="G6881" s="3">
        <v>0</v>
      </c>
      <c r="H6881" s="2">
        <f t="shared" si="214"/>
        <v>286</v>
      </c>
      <c r="I6881" t="str">
        <f t="shared" si="215"/>
        <v>Slc25a29_286</v>
      </c>
      <c r="J6881" s="3">
        <v>0</v>
      </c>
      <c r="K6881" s="3">
        <v>286</v>
      </c>
      <c r="L6881" s="3">
        <v>0</v>
      </c>
      <c r="M6881" s="3">
        <v>0</v>
      </c>
      <c r="N6881" s="3">
        <v>0</v>
      </c>
    </row>
    <row r="6882" spans="1:14" x14ac:dyDescent="0.2">
      <c r="A6882" s="5" t="str">
        <f>HYPERLINK("http://www.ncbi.nlm.nih.gov/protein/19526818","Slc25a3")</f>
        <v>Slc25a3</v>
      </c>
      <c r="B6882" s="4"/>
      <c r="C6882" s="3">
        <v>2506789</v>
      </c>
      <c r="D6882" s="3">
        <v>256530</v>
      </c>
      <c r="E6882" s="3">
        <v>67557</v>
      </c>
      <c r="F6882" s="3">
        <v>6999</v>
      </c>
      <c r="G6882" s="3">
        <v>0</v>
      </c>
      <c r="H6882" s="2">
        <f t="shared" si="214"/>
        <v>2837875</v>
      </c>
      <c r="I6882" t="str">
        <f t="shared" si="215"/>
        <v>Slc25a3_2837875</v>
      </c>
      <c r="J6882" s="3">
        <v>2506789</v>
      </c>
      <c r="K6882" s="3">
        <v>256530</v>
      </c>
      <c r="L6882" s="3">
        <v>67557</v>
      </c>
      <c r="M6882" s="3">
        <v>6999</v>
      </c>
      <c r="N6882" s="3">
        <v>0</v>
      </c>
    </row>
    <row r="6883" spans="1:14" x14ac:dyDescent="0.2">
      <c r="A6883" s="5" t="str">
        <f>HYPERLINK("http://www.ncbi.nlm.nih.gov/protein/13385736","Slc25a30")</f>
        <v>Slc25a30</v>
      </c>
      <c r="B6883" s="4"/>
      <c r="C6883" s="3">
        <v>0</v>
      </c>
      <c r="D6883" s="3">
        <v>286</v>
      </c>
      <c r="E6883" s="3">
        <v>0</v>
      </c>
      <c r="F6883" s="3">
        <v>0</v>
      </c>
      <c r="G6883" s="3">
        <v>0</v>
      </c>
      <c r="H6883" s="2">
        <f t="shared" si="214"/>
        <v>286</v>
      </c>
      <c r="I6883" t="str">
        <f t="shared" si="215"/>
        <v>Slc25a30_286</v>
      </c>
      <c r="J6883" s="3">
        <v>0</v>
      </c>
      <c r="K6883" s="3">
        <v>286</v>
      </c>
      <c r="L6883" s="3">
        <v>0</v>
      </c>
      <c r="M6883" s="3">
        <v>0</v>
      </c>
      <c r="N6883" s="3">
        <v>0</v>
      </c>
    </row>
    <row r="6884" spans="1:14" x14ac:dyDescent="0.2">
      <c r="A6884" s="5" t="str">
        <f>HYPERLINK("http://www.ncbi.nlm.nih.gov/protein/254692892","Slc25a31")</f>
        <v>Slc25a31</v>
      </c>
      <c r="B6884" s="4"/>
      <c r="C6884" s="3">
        <v>847093</v>
      </c>
      <c r="D6884" s="3">
        <v>30695</v>
      </c>
      <c r="E6884" s="3">
        <v>13742</v>
      </c>
      <c r="F6884" s="3">
        <v>655</v>
      </c>
      <c r="G6884" s="3">
        <v>0</v>
      </c>
      <c r="H6884" s="2">
        <f t="shared" si="214"/>
        <v>892185</v>
      </c>
      <c r="I6884" t="str">
        <f t="shared" si="215"/>
        <v>Slc25a31_892185</v>
      </c>
      <c r="J6884" s="3">
        <v>847093</v>
      </c>
      <c r="K6884" s="3">
        <v>30695</v>
      </c>
      <c r="L6884" s="3">
        <v>13742</v>
      </c>
      <c r="M6884" s="3">
        <v>655</v>
      </c>
      <c r="N6884" s="3">
        <v>0</v>
      </c>
    </row>
    <row r="6885" spans="1:14" x14ac:dyDescent="0.2">
      <c r="A6885" s="5" t="str">
        <f>HYPERLINK("http://www.ncbi.nlm.nih.gov/protein/168480117","Slc25a32")</f>
        <v>Slc25a32</v>
      </c>
      <c r="B6885" s="4"/>
      <c r="C6885" s="3">
        <v>0</v>
      </c>
      <c r="D6885" s="3">
        <v>96</v>
      </c>
      <c r="E6885" s="3">
        <v>0</v>
      </c>
      <c r="F6885" s="3">
        <v>0</v>
      </c>
      <c r="G6885" s="3">
        <v>0</v>
      </c>
      <c r="H6885" s="2">
        <f t="shared" si="214"/>
        <v>96</v>
      </c>
      <c r="I6885" t="str">
        <f t="shared" si="215"/>
        <v>Slc25a32_96</v>
      </c>
      <c r="J6885" s="3">
        <v>0</v>
      </c>
      <c r="K6885" s="3">
        <v>96</v>
      </c>
      <c r="L6885" s="3">
        <v>0</v>
      </c>
      <c r="M6885" s="3">
        <v>0</v>
      </c>
      <c r="N6885" s="3">
        <v>0</v>
      </c>
    </row>
    <row r="6886" spans="1:14" x14ac:dyDescent="0.2">
      <c r="A6886" s="5" t="str">
        <f>HYPERLINK("http://www.ncbi.nlm.nih.gov/protein/148747424","Slc25a4")</f>
        <v>Slc25a4</v>
      </c>
      <c r="B6886" s="4"/>
      <c r="C6886" s="3">
        <v>1325374</v>
      </c>
      <c r="D6886" s="3">
        <v>149585</v>
      </c>
      <c r="E6886" s="3">
        <v>44716</v>
      </c>
      <c r="F6886" s="3">
        <v>3986</v>
      </c>
      <c r="G6886" s="3">
        <v>0</v>
      </c>
      <c r="H6886" s="2">
        <f t="shared" si="214"/>
        <v>1523661</v>
      </c>
      <c r="I6886" t="str">
        <f t="shared" si="215"/>
        <v>Slc25a4_1523661</v>
      </c>
      <c r="J6886" s="3">
        <v>1325374</v>
      </c>
      <c r="K6886" s="3">
        <v>149585</v>
      </c>
      <c r="L6886" s="3">
        <v>44716</v>
      </c>
      <c r="M6886" s="3">
        <v>3986</v>
      </c>
      <c r="N6886" s="3">
        <v>0</v>
      </c>
    </row>
    <row r="6887" spans="1:14" x14ac:dyDescent="0.2">
      <c r="A6887" s="5" t="str">
        <f>HYPERLINK("http://www.ncbi.nlm.nih.gov/protein/158749545","Slc25a40")</f>
        <v>Slc25a40</v>
      </c>
      <c r="B6887" s="4"/>
      <c r="C6887" s="3">
        <v>586</v>
      </c>
      <c r="D6887" s="3">
        <v>701</v>
      </c>
      <c r="E6887" s="3">
        <v>0</v>
      </c>
      <c r="F6887" s="3">
        <v>0</v>
      </c>
      <c r="G6887" s="3">
        <v>0</v>
      </c>
      <c r="H6887" s="2">
        <f t="shared" si="214"/>
        <v>1287</v>
      </c>
      <c r="I6887" t="str">
        <f t="shared" si="215"/>
        <v>Slc25a40_1287</v>
      </c>
      <c r="J6887" s="3">
        <v>586</v>
      </c>
      <c r="K6887" s="3">
        <v>701</v>
      </c>
      <c r="L6887" s="3">
        <v>0</v>
      </c>
      <c r="M6887" s="3">
        <v>0</v>
      </c>
      <c r="N6887" s="3">
        <v>0</v>
      </c>
    </row>
    <row r="6888" spans="1:14" x14ac:dyDescent="0.2">
      <c r="A6888" s="5" t="str">
        <f>HYPERLINK("http://www.ncbi.nlm.nih.gov/protein/23956272","Slc25a45")</f>
        <v>Slc25a45</v>
      </c>
      <c r="B6888" s="4"/>
      <c r="C6888" s="3">
        <v>0</v>
      </c>
      <c r="D6888" s="3">
        <v>92</v>
      </c>
      <c r="E6888" s="3">
        <v>0</v>
      </c>
      <c r="F6888" s="3">
        <v>0</v>
      </c>
      <c r="G6888" s="3">
        <v>0</v>
      </c>
      <c r="H6888" s="2">
        <f t="shared" si="214"/>
        <v>92</v>
      </c>
      <c r="I6888" t="str">
        <f t="shared" si="215"/>
        <v>Slc25a45_92</v>
      </c>
      <c r="J6888" s="3">
        <v>0</v>
      </c>
      <c r="K6888" s="3">
        <v>92</v>
      </c>
      <c r="L6888" s="3">
        <v>0</v>
      </c>
      <c r="M6888" s="3">
        <v>0</v>
      </c>
      <c r="N6888" s="3">
        <v>0</v>
      </c>
    </row>
    <row r="6889" spans="1:14" x14ac:dyDescent="0.2">
      <c r="A6889" s="5" t="str">
        <f>HYPERLINK("http://www.ncbi.nlm.nih.gov/protein/254692847","Slc25a48")</f>
        <v>Slc25a48</v>
      </c>
      <c r="B6889" s="4"/>
      <c r="C6889" s="3">
        <v>0</v>
      </c>
      <c r="D6889" s="3">
        <v>2323</v>
      </c>
      <c r="E6889" s="3">
        <v>0</v>
      </c>
      <c r="F6889" s="3">
        <v>0</v>
      </c>
      <c r="G6889" s="3">
        <v>0</v>
      </c>
      <c r="H6889" s="2">
        <f t="shared" si="214"/>
        <v>2323</v>
      </c>
      <c r="I6889" t="str">
        <f t="shared" si="215"/>
        <v>Slc25a48_2323</v>
      </c>
      <c r="J6889" s="3">
        <v>0</v>
      </c>
      <c r="K6889" s="3">
        <v>2323</v>
      </c>
      <c r="L6889" s="3">
        <v>0</v>
      </c>
      <c r="M6889" s="3">
        <v>0</v>
      </c>
      <c r="N6889" s="3">
        <v>0</v>
      </c>
    </row>
    <row r="6890" spans="1:14" x14ac:dyDescent="0.2">
      <c r="A6890" s="5" t="str">
        <f>HYPERLINK("http://www.ncbi.nlm.nih.gov/protein/22094075","Slc25a5")</f>
        <v>Slc25a5</v>
      </c>
      <c r="B6890" s="4"/>
      <c r="C6890" s="3">
        <v>1426185</v>
      </c>
      <c r="D6890" s="3">
        <v>249692</v>
      </c>
      <c r="E6890" s="3">
        <v>43878</v>
      </c>
      <c r="F6890" s="3">
        <v>2922</v>
      </c>
      <c r="G6890" s="3">
        <v>0</v>
      </c>
      <c r="H6890" s="2">
        <f t="shared" si="214"/>
        <v>1722677</v>
      </c>
      <c r="I6890" t="str">
        <f t="shared" si="215"/>
        <v>Slc25a5_1722677</v>
      </c>
      <c r="J6890" s="3">
        <v>1426185</v>
      </c>
      <c r="K6890" s="3">
        <v>249692</v>
      </c>
      <c r="L6890" s="3">
        <v>43878</v>
      </c>
      <c r="M6890" s="3">
        <v>2922</v>
      </c>
      <c r="N6890" s="3">
        <v>0</v>
      </c>
    </row>
    <row r="6891" spans="1:14" x14ac:dyDescent="0.2">
      <c r="A6891" s="5" t="str">
        <f>HYPERLINK("http://www.ncbi.nlm.nih.gov/protein/6755546","Slc27a1")</f>
        <v>Slc27a1</v>
      </c>
      <c r="B6891" s="4"/>
      <c r="C6891" s="3">
        <v>0</v>
      </c>
      <c r="D6891" s="3">
        <v>102</v>
      </c>
      <c r="E6891" s="3">
        <v>105</v>
      </c>
      <c r="F6891" s="3">
        <v>0</v>
      </c>
      <c r="G6891" s="3">
        <v>0</v>
      </c>
      <c r="H6891" s="2">
        <f t="shared" si="214"/>
        <v>207</v>
      </c>
      <c r="I6891" t="str">
        <f t="shared" si="215"/>
        <v>Slc27a1_207</v>
      </c>
      <c r="J6891" s="3">
        <v>0</v>
      </c>
      <c r="K6891" s="3">
        <v>102</v>
      </c>
      <c r="L6891" s="3">
        <v>105</v>
      </c>
      <c r="M6891" s="3">
        <v>0</v>
      </c>
      <c r="N6891" s="3">
        <v>0</v>
      </c>
    </row>
    <row r="6892" spans="1:14" x14ac:dyDescent="0.2">
      <c r="A6892" s="5" t="str">
        <f>HYPERLINK("http://www.ncbi.nlm.nih.gov/protein/45597453","Slc27a4")</f>
        <v>Slc27a4</v>
      </c>
      <c r="B6892" s="4"/>
      <c r="C6892" s="3">
        <v>0</v>
      </c>
      <c r="D6892" s="3">
        <v>1344</v>
      </c>
      <c r="E6892" s="3">
        <v>994</v>
      </c>
      <c r="F6892" s="3">
        <v>0</v>
      </c>
      <c r="G6892" s="3">
        <v>0</v>
      </c>
      <c r="H6892" s="2">
        <f t="shared" si="214"/>
        <v>2338</v>
      </c>
      <c r="I6892" t="str">
        <f t="shared" si="215"/>
        <v>Slc27a4_2338</v>
      </c>
      <c r="J6892" s="3">
        <v>0</v>
      </c>
      <c r="K6892" s="3">
        <v>1344</v>
      </c>
      <c r="L6892" s="3">
        <v>994</v>
      </c>
      <c r="M6892" s="3">
        <v>0</v>
      </c>
      <c r="N6892" s="3">
        <v>0</v>
      </c>
    </row>
    <row r="6893" spans="1:14" x14ac:dyDescent="0.2">
      <c r="A6893" s="5" t="str">
        <f>HYPERLINK("http://www.ncbi.nlm.nih.gov/protein/12584968","Slc29a1")</f>
        <v>Slc29a1</v>
      </c>
      <c r="B6893" s="4"/>
      <c r="C6893" s="3">
        <v>0</v>
      </c>
      <c r="D6893" s="3">
        <v>8</v>
      </c>
      <c r="E6893" s="3">
        <v>38</v>
      </c>
      <c r="F6893" s="3">
        <v>0</v>
      </c>
      <c r="G6893" s="3">
        <v>0</v>
      </c>
      <c r="H6893" s="2">
        <f t="shared" si="214"/>
        <v>46</v>
      </c>
      <c r="I6893" t="str">
        <f t="shared" si="215"/>
        <v>Slc29a1_46</v>
      </c>
      <c r="J6893" s="3">
        <v>0</v>
      </c>
      <c r="K6893" s="3">
        <v>8</v>
      </c>
      <c r="L6893" s="3">
        <v>38</v>
      </c>
      <c r="M6893" s="3">
        <v>0</v>
      </c>
      <c r="N6893" s="3">
        <v>0</v>
      </c>
    </row>
    <row r="6894" spans="1:14" x14ac:dyDescent="0.2">
      <c r="A6894" s="5" t="str">
        <f>HYPERLINK("http://www.ncbi.nlm.nih.gov/protein/312283707","Slc29a1")</f>
        <v>Slc29a1</v>
      </c>
      <c r="B6894" s="4"/>
      <c r="C6894" s="3">
        <v>0</v>
      </c>
      <c r="D6894" s="3">
        <v>8</v>
      </c>
      <c r="E6894" s="3">
        <v>38</v>
      </c>
      <c r="F6894" s="3">
        <v>0</v>
      </c>
      <c r="G6894" s="3">
        <v>0</v>
      </c>
      <c r="H6894" s="2">
        <f t="shared" si="214"/>
        <v>46</v>
      </c>
      <c r="I6894" t="str">
        <f t="shared" si="215"/>
        <v>Slc29a1_46</v>
      </c>
      <c r="J6894" s="3">
        <v>0</v>
      </c>
      <c r="K6894" s="3">
        <v>8</v>
      </c>
      <c r="L6894" s="3">
        <v>38</v>
      </c>
      <c r="M6894" s="3">
        <v>0</v>
      </c>
      <c r="N6894" s="3">
        <v>0</v>
      </c>
    </row>
    <row r="6895" spans="1:14" x14ac:dyDescent="0.2">
      <c r="A6895" s="5" t="str">
        <f>HYPERLINK("http://www.ncbi.nlm.nih.gov/protein/165377226","Slc2a1")</f>
        <v>Slc2a1</v>
      </c>
      <c r="B6895" s="4"/>
      <c r="C6895" s="3">
        <v>3057</v>
      </c>
      <c r="D6895" s="3">
        <v>2382</v>
      </c>
      <c r="E6895" s="3">
        <v>6651</v>
      </c>
      <c r="F6895" s="3">
        <v>3855</v>
      </c>
      <c r="G6895" s="3">
        <v>0</v>
      </c>
      <c r="H6895" s="2">
        <f t="shared" si="214"/>
        <v>15945</v>
      </c>
      <c r="I6895" t="str">
        <f t="shared" si="215"/>
        <v>Slc2a1_15945</v>
      </c>
      <c r="J6895" s="3">
        <v>3057</v>
      </c>
      <c r="K6895" s="3">
        <v>2382</v>
      </c>
      <c r="L6895" s="3">
        <v>6651</v>
      </c>
      <c r="M6895" s="3">
        <v>3855</v>
      </c>
      <c r="N6895" s="3">
        <v>0</v>
      </c>
    </row>
    <row r="6896" spans="1:14" x14ac:dyDescent="0.2">
      <c r="A6896" s="5" t="str">
        <f>HYPERLINK("http://www.ncbi.nlm.nih.gov/protein/6678017","Slc30a1")</f>
        <v>Slc30a1</v>
      </c>
      <c r="B6896" s="4"/>
      <c r="C6896" s="3">
        <v>0</v>
      </c>
      <c r="D6896" s="3">
        <v>0</v>
      </c>
      <c r="E6896" s="3">
        <v>367</v>
      </c>
      <c r="F6896" s="3">
        <v>0</v>
      </c>
      <c r="G6896" s="3">
        <v>0</v>
      </c>
      <c r="H6896" s="2">
        <f t="shared" si="214"/>
        <v>367</v>
      </c>
      <c r="I6896" t="str">
        <f t="shared" si="215"/>
        <v>Slc30a1_367</v>
      </c>
      <c r="J6896" s="3">
        <v>0</v>
      </c>
      <c r="K6896" s="3">
        <v>0</v>
      </c>
      <c r="L6896" s="3">
        <v>367</v>
      </c>
      <c r="M6896" s="3">
        <v>0</v>
      </c>
      <c r="N6896" s="3">
        <v>0</v>
      </c>
    </row>
    <row r="6897" spans="1:14" x14ac:dyDescent="0.2">
      <c r="A6897" s="5" t="str">
        <f>HYPERLINK("http://www.ncbi.nlm.nih.gov/protein/12963579","Slc30a7")</f>
        <v>Slc30a7</v>
      </c>
      <c r="B6897" s="4"/>
      <c r="C6897" s="3">
        <v>4522</v>
      </c>
      <c r="D6897" s="3">
        <v>4110</v>
      </c>
      <c r="E6897" s="3">
        <v>1959</v>
      </c>
      <c r="F6897" s="3">
        <v>0</v>
      </c>
      <c r="G6897" s="3">
        <v>0</v>
      </c>
      <c r="H6897" s="2">
        <f t="shared" si="214"/>
        <v>10591</v>
      </c>
      <c r="I6897" t="str">
        <f t="shared" si="215"/>
        <v>Slc30a7_10591</v>
      </c>
      <c r="J6897" s="3">
        <v>4522</v>
      </c>
      <c r="K6897" s="3">
        <v>4110</v>
      </c>
      <c r="L6897" s="3">
        <v>1959</v>
      </c>
      <c r="M6897" s="3">
        <v>0</v>
      </c>
      <c r="N6897" s="3">
        <v>0</v>
      </c>
    </row>
    <row r="6898" spans="1:14" x14ac:dyDescent="0.2">
      <c r="A6898" s="5" t="str">
        <f>HYPERLINK("http://www.ncbi.nlm.nih.gov/protein/227116313","Slc31a1")</f>
        <v>Slc31a1</v>
      </c>
      <c r="B6898" s="4"/>
      <c r="C6898" s="3">
        <v>0</v>
      </c>
      <c r="D6898" s="3">
        <v>0</v>
      </c>
      <c r="E6898" s="3">
        <v>79</v>
      </c>
      <c r="F6898" s="3">
        <v>0</v>
      </c>
      <c r="G6898" s="3">
        <v>0</v>
      </c>
      <c r="H6898" s="2">
        <f t="shared" si="214"/>
        <v>79</v>
      </c>
      <c r="I6898" t="str">
        <f t="shared" si="215"/>
        <v>Slc31a1_79</v>
      </c>
      <c r="J6898" s="3">
        <v>0</v>
      </c>
      <c r="K6898" s="3">
        <v>0</v>
      </c>
      <c r="L6898" s="3">
        <v>79</v>
      </c>
      <c r="M6898" s="3">
        <v>0</v>
      </c>
      <c r="N6898" s="3">
        <v>0</v>
      </c>
    </row>
    <row r="6899" spans="1:14" x14ac:dyDescent="0.2">
      <c r="A6899" s="5" t="str">
        <f>HYPERLINK("http://www.ncbi.nlm.nih.gov/protein/13384632","Slc31a2")</f>
        <v>Slc31a2</v>
      </c>
      <c r="B6899" s="4"/>
      <c r="C6899" s="3">
        <v>0</v>
      </c>
      <c r="D6899" s="3">
        <v>0</v>
      </c>
      <c r="E6899" s="3">
        <v>23</v>
      </c>
      <c r="F6899" s="3">
        <v>0</v>
      </c>
      <c r="G6899" s="3">
        <v>0</v>
      </c>
      <c r="H6899" s="2">
        <f t="shared" si="214"/>
        <v>23</v>
      </c>
      <c r="I6899" t="str">
        <f t="shared" si="215"/>
        <v>Slc31a2_23</v>
      </c>
      <c r="J6899" s="3">
        <v>0</v>
      </c>
      <c r="K6899" s="3">
        <v>0</v>
      </c>
      <c r="L6899" s="3">
        <v>23</v>
      </c>
      <c r="M6899" s="3">
        <v>0</v>
      </c>
      <c r="N6899" s="3">
        <v>0</v>
      </c>
    </row>
    <row r="6900" spans="1:14" x14ac:dyDescent="0.2">
      <c r="A6900" s="5" t="str">
        <f>HYPERLINK("http://www.ncbi.nlm.nih.gov/protein/31543730","Slc33a1")</f>
        <v>Slc33a1</v>
      </c>
      <c r="B6900" s="4"/>
      <c r="C6900" s="3">
        <v>1281</v>
      </c>
      <c r="D6900" s="3">
        <v>1635</v>
      </c>
      <c r="E6900" s="3">
        <v>1156</v>
      </c>
      <c r="F6900" s="3">
        <v>0</v>
      </c>
      <c r="G6900" s="3">
        <v>0</v>
      </c>
      <c r="H6900" s="2">
        <f t="shared" si="214"/>
        <v>4072</v>
      </c>
      <c r="I6900" t="str">
        <f t="shared" si="215"/>
        <v>Slc33a1_4072</v>
      </c>
      <c r="J6900" s="3">
        <v>1281</v>
      </c>
      <c r="K6900" s="3">
        <v>1635</v>
      </c>
      <c r="L6900" s="3">
        <v>1156</v>
      </c>
      <c r="M6900" s="3">
        <v>0</v>
      </c>
      <c r="N6900" s="3">
        <v>0</v>
      </c>
    </row>
    <row r="6901" spans="1:14" x14ac:dyDescent="0.2">
      <c r="A6901" s="5" t="str">
        <f>HYPERLINK("http://www.ncbi.nlm.nih.gov/protein/225543514","Slc35a1")</f>
        <v>Slc35a1</v>
      </c>
      <c r="B6901" s="4"/>
      <c r="C6901" s="3">
        <v>0</v>
      </c>
      <c r="D6901" s="3">
        <v>213</v>
      </c>
      <c r="E6901" s="3">
        <v>23</v>
      </c>
      <c r="F6901" s="3">
        <v>0</v>
      </c>
      <c r="G6901" s="3">
        <v>0</v>
      </c>
      <c r="H6901" s="2">
        <f t="shared" si="214"/>
        <v>236</v>
      </c>
      <c r="I6901" t="str">
        <f t="shared" si="215"/>
        <v>Slc35a1_236</v>
      </c>
      <c r="J6901" s="3">
        <v>0</v>
      </c>
      <c r="K6901" s="3">
        <v>213</v>
      </c>
      <c r="L6901" s="3">
        <v>23</v>
      </c>
      <c r="M6901" s="3">
        <v>0</v>
      </c>
      <c r="N6901" s="3">
        <v>0</v>
      </c>
    </row>
    <row r="6902" spans="1:14" x14ac:dyDescent="0.2">
      <c r="A6902" s="5" t="str">
        <f>HYPERLINK("http://www.ncbi.nlm.nih.gov/protein/145279183","Slc35a2")</f>
        <v>Slc35a2</v>
      </c>
      <c r="B6902" s="4"/>
      <c r="C6902" s="3">
        <v>0</v>
      </c>
      <c r="D6902" s="3">
        <v>144</v>
      </c>
      <c r="E6902" s="3">
        <v>0</v>
      </c>
      <c r="F6902" s="3">
        <v>0</v>
      </c>
      <c r="G6902" s="3">
        <v>0</v>
      </c>
      <c r="H6902" s="2">
        <f t="shared" si="214"/>
        <v>144</v>
      </c>
      <c r="I6902" t="str">
        <f t="shared" si="215"/>
        <v>Slc35a2_144</v>
      </c>
      <c r="J6902" s="3">
        <v>0</v>
      </c>
      <c r="K6902" s="3">
        <v>144</v>
      </c>
      <c r="L6902" s="3">
        <v>0</v>
      </c>
      <c r="M6902" s="3">
        <v>0</v>
      </c>
      <c r="N6902" s="3">
        <v>0</v>
      </c>
    </row>
    <row r="6903" spans="1:14" x14ac:dyDescent="0.2">
      <c r="A6903" s="5" t="str">
        <f>HYPERLINK("http://www.ncbi.nlm.nih.gov/protein/145279202","Slc35a2")</f>
        <v>Slc35a2</v>
      </c>
      <c r="B6903" s="4"/>
      <c r="C6903" s="3">
        <v>0</v>
      </c>
      <c r="D6903" s="3">
        <v>144</v>
      </c>
      <c r="E6903" s="3">
        <v>0</v>
      </c>
      <c r="F6903" s="3">
        <v>0</v>
      </c>
      <c r="G6903" s="3">
        <v>0</v>
      </c>
      <c r="H6903" s="2">
        <f t="shared" si="214"/>
        <v>144</v>
      </c>
      <c r="I6903" t="str">
        <f t="shared" si="215"/>
        <v>Slc35a2_144</v>
      </c>
      <c r="J6903" s="3">
        <v>0</v>
      </c>
      <c r="K6903" s="3">
        <v>144</v>
      </c>
      <c r="L6903" s="3">
        <v>0</v>
      </c>
      <c r="M6903" s="3">
        <v>0</v>
      </c>
      <c r="N6903" s="3">
        <v>0</v>
      </c>
    </row>
    <row r="6904" spans="1:14" x14ac:dyDescent="0.2">
      <c r="A6904" s="5" t="str">
        <f>HYPERLINK("http://www.ncbi.nlm.nih.gov/protein/21450281","Slc35a3")</f>
        <v>Slc35a3</v>
      </c>
      <c r="B6904" s="4"/>
      <c r="C6904" s="3">
        <v>0</v>
      </c>
      <c r="D6904" s="3">
        <v>480</v>
      </c>
      <c r="E6904" s="3">
        <v>88</v>
      </c>
      <c r="F6904" s="3">
        <v>0</v>
      </c>
      <c r="G6904" s="3">
        <v>0</v>
      </c>
      <c r="H6904" s="2">
        <f t="shared" si="214"/>
        <v>568</v>
      </c>
      <c r="I6904" t="str">
        <f t="shared" si="215"/>
        <v>Slc35a3_568</v>
      </c>
      <c r="J6904" s="3">
        <v>0</v>
      </c>
      <c r="K6904" s="3">
        <v>480</v>
      </c>
      <c r="L6904" s="3">
        <v>88</v>
      </c>
      <c r="M6904" s="3">
        <v>0</v>
      </c>
      <c r="N6904" s="3">
        <v>0</v>
      </c>
    </row>
    <row r="6905" spans="1:14" x14ac:dyDescent="0.2">
      <c r="A6905" s="5" t="str">
        <f>HYPERLINK("http://www.ncbi.nlm.nih.gov/protein/7949137","Slc35b1")</f>
        <v>Slc35b1</v>
      </c>
      <c r="B6905" s="4"/>
      <c r="C6905" s="3">
        <v>0</v>
      </c>
      <c r="D6905" s="3">
        <v>127</v>
      </c>
      <c r="E6905" s="3">
        <v>13</v>
      </c>
      <c r="F6905" s="3">
        <v>0</v>
      </c>
      <c r="G6905" s="3">
        <v>0</v>
      </c>
      <c r="H6905" s="2">
        <f t="shared" si="214"/>
        <v>140</v>
      </c>
      <c r="I6905" t="str">
        <f t="shared" si="215"/>
        <v>Slc35b1_140</v>
      </c>
      <c r="J6905" s="3">
        <v>0</v>
      </c>
      <c r="K6905" s="3">
        <v>127</v>
      </c>
      <c r="L6905" s="3">
        <v>13</v>
      </c>
      <c r="M6905" s="3">
        <v>0</v>
      </c>
      <c r="N6905" s="3">
        <v>0</v>
      </c>
    </row>
    <row r="6906" spans="1:14" x14ac:dyDescent="0.2">
      <c r="A6906" s="5" t="str">
        <f>HYPERLINK("http://www.ncbi.nlm.nih.gov/protein/110625963","Slc35b2")</f>
        <v>Slc35b2</v>
      </c>
      <c r="B6906" s="4"/>
      <c r="C6906" s="3">
        <v>0</v>
      </c>
      <c r="D6906" s="3">
        <v>23867</v>
      </c>
      <c r="E6906" s="3">
        <v>17310</v>
      </c>
      <c r="F6906" s="3">
        <v>0</v>
      </c>
      <c r="G6906" s="3">
        <v>0</v>
      </c>
      <c r="H6906" s="2">
        <f t="shared" si="214"/>
        <v>41177</v>
      </c>
      <c r="I6906" t="str">
        <f t="shared" si="215"/>
        <v>Slc35b2_41177</v>
      </c>
      <c r="J6906" s="3">
        <v>0</v>
      </c>
      <c r="K6906" s="3">
        <v>23867</v>
      </c>
      <c r="L6906" s="3">
        <v>17310</v>
      </c>
      <c r="M6906" s="3">
        <v>0</v>
      </c>
      <c r="N6906" s="3">
        <v>0</v>
      </c>
    </row>
    <row r="6907" spans="1:14" x14ac:dyDescent="0.2">
      <c r="A6907" s="5" t="str">
        <f>HYPERLINK("http://www.ncbi.nlm.nih.gov/protein/165377022","Slc35e1")</f>
        <v>Slc35e1</v>
      </c>
      <c r="B6907" s="4"/>
      <c r="C6907" s="3">
        <v>73</v>
      </c>
      <c r="D6907" s="3">
        <v>38</v>
      </c>
      <c r="E6907" s="3">
        <v>0</v>
      </c>
      <c r="F6907" s="3">
        <v>0</v>
      </c>
      <c r="G6907" s="3">
        <v>0</v>
      </c>
      <c r="H6907" s="2">
        <f t="shared" si="214"/>
        <v>111</v>
      </c>
      <c r="I6907" t="str">
        <f t="shared" si="215"/>
        <v>Slc35e1_111</v>
      </c>
      <c r="J6907" s="3">
        <v>73</v>
      </c>
      <c r="K6907" s="3">
        <v>38</v>
      </c>
      <c r="L6907" s="3">
        <v>0</v>
      </c>
      <c r="M6907" s="3">
        <v>0</v>
      </c>
      <c r="N6907" s="3">
        <v>0</v>
      </c>
    </row>
    <row r="6908" spans="1:14" x14ac:dyDescent="0.2">
      <c r="A6908" s="5" t="str">
        <f>HYPERLINK("http://www.ncbi.nlm.nih.gov/protein/160333206","Slc35f2")</f>
        <v>Slc35f2</v>
      </c>
      <c r="B6908" s="4"/>
      <c r="C6908" s="3">
        <v>0</v>
      </c>
      <c r="D6908" s="3">
        <v>0</v>
      </c>
      <c r="E6908" s="3">
        <v>692</v>
      </c>
      <c r="F6908" s="3">
        <v>0</v>
      </c>
      <c r="G6908" s="3">
        <v>0</v>
      </c>
      <c r="H6908" s="2">
        <f t="shared" si="214"/>
        <v>692</v>
      </c>
      <c r="I6908" t="str">
        <f t="shared" si="215"/>
        <v>Slc35f2_692</v>
      </c>
      <c r="J6908" s="3">
        <v>0</v>
      </c>
      <c r="K6908" s="3">
        <v>0</v>
      </c>
      <c r="L6908" s="3">
        <v>692</v>
      </c>
      <c r="M6908" s="3">
        <v>0</v>
      </c>
      <c r="N6908" s="3">
        <v>0</v>
      </c>
    </row>
    <row r="6909" spans="1:14" x14ac:dyDescent="0.2">
      <c r="A6909" s="5" t="str">
        <f>HYPERLINK("http://www.ncbi.nlm.nih.gov/protein/188497646","Slc35f6")</f>
        <v>Slc35f6</v>
      </c>
      <c r="B6909" s="4"/>
      <c r="C6909" s="3">
        <v>12228</v>
      </c>
      <c r="D6909" s="3">
        <v>44</v>
      </c>
      <c r="E6909" s="3">
        <v>375</v>
      </c>
      <c r="F6909" s="3">
        <v>0</v>
      </c>
      <c r="G6909" s="3">
        <v>0</v>
      </c>
      <c r="H6909" s="2">
        <f t="shared" si="214"/>
        <v>12647</v>
      </c>
      <c r="I6909" t="str">
        <f t="shared" si="215"/>
        <v>Slc35f6_12647</v>
      </c>
      <c r="J6909" s="3">
        <v>12228</v>
      </c>
      <c r="K6909" s="3">
        <v>44</v>
      </c>
      <c r="L6909" s="3">
        <v>375</v>
      </c>
      <c r="M6909" s="3">
        <v>0</v>
      </c>
      <c r="N6909" s="3">
        <v>0</v>
      </c>
    </row>
    <row r="6910" spans="1:14" x14ac:dyDescent="0.2">
      <c r="A6910" s="5" t="str">
        <f>HYPERLINK("http://www.ncbi.nlm.nih.gov/protein/145207965","Slc36a1")</f>
        <v>Slc36a1</v>
      </c>
      <c r="B6910" s="4"/>
      <c r="C6910" s="3">
        <v>0</v>
      </c>
      <c r="D6910" s="3">
        <v>0</v>
      </c>
      <c r="E6910" s="3">
        <v>22</v>
      </c>
      <c r="F6910" s="3">
        <v>0</v>
      </c>
      <c r="G6910" s="3">
        <v>0</v>
      </c>
      <c r="H6910" s="2">
        <f t="shared" si="214"/>
        <v>22</v>
      </c>
      <c r="I6910" t="str">
        <f t="shared" si="215"/>
        <v>Slc36a1_22</v>
      </c>
      <c r="J6910" s="3">
        <v>0</v>
      </c>
      <c r="K6910" s="3">
        <v>0</v>
      </c>
      <c r="L6910" s="3">
        <v>22</v>
      </c>
      <c r="M6910" s="3">
        <v>0</v>
      </c>
      <c r="N6910" s="3">
        <v>0</v>
      </c>
    </row>
    <row r="6911" spans="1:14" x14ac:dyDescent="0.2">
      <c r="A6911" s="5" t="str">
        <f>HYPERLINK("http://www.ncbi.nlm.nih.gov/protein/258645131","Slc38a10")</f>
        <v>Slc38a10</v>
      </c>
      <c r="B6911" s="4"/>
      <c r="C6911" s="3">
        <v>0</v>
      </c>
      <c r="D6911" s="3">
        <v>127</v>
      </c>
      <c r="E6911" s="3">
        <v>0</v>
      </c>
      <c r="F6911" s="3">
        <v>0</v>
      </c>
      <c r="G6911" s="3">
        <v>0</v>
      </c>
      <c r="H6911" s="2">
        <f t="shared" si="214"/>
        <v>127</v>
      </c>
      <c r="I6911" t="str">
        <f t="shared" si="215"/>
        <v>Slc38a10_127</v>
      </c>
      <c r="J6911" s="3">
        <v>0</v>
      </c>
      <c r="K6911" s="3">
        <v>127</v>
      </c>
      <c r="L6911" s="3">
        <v>0</v>
      </c>
      <c r="M6911" s="3">
        <v>0</v>
      </c>
      <c r="N6911" s="3">
        <v>0</v>
      </c>
    </row>
    <row r="6912" spans="1:14" x14ac:dyDescent="0.2">
      <c r="A6912" s="5" t="str">
        <f>HYPERLINK("http://www.ncbi.nlm.nih.gov/protein/258645133","Slc38a10")</f>
        <v>Slc38a10</v>
      </c>
      <c r="B6912" s="4"/>
      <c r="C6912" s="3">
        <v>0</v>
      </c>
      <c r="D6912" s="3">
        <v>127</v>
      </c>
      <c r="E6912" s="3">
        <v>0</v>
      </c>
      <c r="F6912" s="3">
        <v>0</v>
      </c>
      <c r="G6912" s="3">
        <v>0</v>
      </c>
      <c r="H6912" s="2">
        <f t="shared" si="214"/>
        <v>127</v>
      </c>
      <c r="I6912" t="str">
        <f t="shared" si="215"/>
        <v>Slc38a10_127</v>
      </c>
      <c r="J6912" s="3">
        <v>0</v>
      </c>
      <c r="K6912" s="3">
        <v>127</v>
      </c>
      <c r="L6912" s="3">
        <v>0</v>
      </c>
      <c r="M6912" s="3">
        <v>0</v>
      </c>
      <c r="N6912" s="3">
        <v>0</v>
      </c>
    </row>
    <row r="6913" spans="1:14" x14ac:dyDescent="0.2">
      <c r="A6913" s="5" t="str">
        <f>HYPERLINK("http://www.ncbi.nlm.nih.gov/protein/258645135","Slc38a10")</f>
        <v>Slc38a10</v>
      </c>
      <c r="B6913" s="4"/>
      <c r="C6913" s="3">
        <v>0</v>
      </c>
      <c r="D6913" s="3">
        <v>127</v>
      </c>
      <c r="E6913" s="3">
        <v>0</v>
      </c>
      <c r="F6913" s="3">
        <v>0</v>
      </c>
      <c r="G6913" s="3">
        <v>0</v>
      </c>
      <c r="H6913" s="2">
        <f t="shared" si="214"/>
        <v>127</v>
      </c>
      <c r="I6913" t="str">
        <f t="shared" si="215"/>
        <v>Slc38a10_127</v>
      </c>
      <c r="J6913" s="3">
        <v>0</v>
      </c>
      <c r="K6913" s="3">
        <v>127</v>
      </c>
      <c r="L6913" s="3">
        <v>0</v>
      </c>
      <c r="M6913" s="3">
        <v>0</v>
      </c>
      <c r="N6913" s="3">
        <v>0</v>
      </c>
    </row>
    <row r="6914" spans="1:14" x14ac:dyDescent="0.2">
      <c r="A6914" s="5" t="str">
        <f>HYPERLINK("http://www.ncbi.nlm.nih.gov/protein/258645137","Slc38a10")</f>
        <v>Slc38a10</v>
      </c>
      <c r="B6914" s="4"/>
      <c r="C6914" s="3">
        <v>0</v>
      </c>
      <c r="D6914" s="3">
        <v>127</v>
      </c>
      <c r="E6914" s="3">
        <v>0</v>
      </c>
      <c r="F6914" s="3">
        <v>0</v>
      </c>
      <c r="G6914" s="3">
        <v>0</v>
      </c>
      <c r="H6914" s="2">
        <f t="shared" ref="H6914:H6977" si="216">SUM(C6914:G6914)</f>
        <v>127</v>
      </c>
      <c r="I6914" t="str">
        <f t="shared" ref="I6914:I6977" si="217">A6914&amp;"_"&amp;H6914</f>
        <v>Slc38a10_127</v>
      </c>
      <c r="J6914" s="3">
        <v>0</v>
      </c>
      <c r="K6914" s="3">
        <v>127</v>
      </c>
      <c r="L6914" s="3">
        <v>0</v>
      </c>
      <c r="M6914" s="3">
        <v>0</v>
      </c>
      <c r="N6914" s="3">
        <v>0</v>
      </c>
    </row>
    <row r="6915" spans="1:14" x14ac:dyDescent="0.2">
      <c r="A6915" s="5" t="str">
        <f>HYPERLINK("http://www.ncbi.nlm.nih.gov/protein/27370116","Slc38a7")</f>
        <v>Slc38a7</v>
      </c>
      <c r="B6915" s="4"/>
      <c r="C6915" s="3">
        <v>0</v>
      </c>
      <c r="D6915" s="3">
        <v>1142</v>
      </c>
      <c r="E6915" s="3">
        <v>752</v>
      </c>
      <c r="F6915" s="3">
        <v>0</v>
      </c>
      <c r="G6915" s="3">
        <v>0</v>
      </c>
      <c r="H6915" s="2">
        <f t="shared" si="216"/>
        <v>1894</v>
      </c>
      <c r="I6915" t="str">
        <f t="shared" si="217"/>
        <v>Slc38a7_1894</v>
      </c>
      <c r="J6915" s="3">
        <v>0</v>
      </c>
      <c r="K6915" s="3">
        <v>1142</v>
      </c>
      <c r="L6915" s="3">
        <v>752</v>
      </c>
      <c r="M6915" s="3">
        <v>0</v>
      </c>
      <c r="N6915" s="3">
        <v>0</v>
      </c>
    </row>
    <row r="6916" spans="1:14" x14ac:dyDescent="0.2">
      <c r="A6916" s="5" t="str">
        <f>HYPERLINK("http://www.ncbi.nlm.nih.gov/protein/262073041","Slc39a11")</f>
        <v>Slc39a11</v>
      </c>
      <c r="B6916" s="4"/>
      <c r="C6916" s="3">
        <v>0</v>
      </c>
      <c r="D6916" s="3">
        <v>0</v>
      </c>
      <c r="E6916" s="3">
        <v>16</v>
      </c>
      <c r="F6916" s="3">
        <v>0</v>
      </c>
      <c r="G6916" s="3">
        <v>0</v>
      </c>
      <c r="H6916" s="2">
        <f t="shared" si="216"/>
        <v>16</v>
      </c>
      <c r="I6916" t="str">
        <f t="shared" si="217"/>
        <v>Slc39a11_16</v>
      </c>
      <c r="J6916" s="3">
        <v>0</v>
      </c>
      <c r="K6916" s="3">
        <v>0</v>
      </c>
      <c r="L6916" s="3">
        <v>16</v>
      </c>
      <c r="M6916" s="3">
        <v>0</v>
      </c>
      <c r="N6916" s="3">
        <v>0</v>
      </c>
    </row>
    <row r="6917" spans="1:14" x14ac:dyDescent="0.2">
      <c r="A6917" s="5" t="str">
        <f>HYPERLINK("http://www.ncbi.nlm.nih.gov/protein/262073043","Slc39a11")</f>
        <v>Slc39a11</v>
      </c>
      <c r="B6917" s="4"/>
      <c r="C6917" s="3">
        <v>0</v>
      </c>
      <c r="D6917" s="3">
        <v>0</v>
      </c>
      <c r="E6917" s="3">
        <v>16</v>
      </c>
      <c r="F6917" s="3">
        <v>0</v>
      </c>
      <c r="G6917" s="3">
        <v>0</v>
      </c>
      <c r="H6917" s="2">
        <f t="shared" si="216"/>
        <v>16</v>
      </c>
      <c r="I6917" t="str">
        <f t="shared" si="217"/>
        <v>Slc39a11_16</v>
      </c>
      <c r="J6917" s="3">
        <v>0</v>
      </c>
      <c r="K6917" s="3">
        <v>0</v>
      </c>
      <c r="L6917" s="3">
        <v>16</v>
      </c>
      <c r="M6917" s="3">
        <v>0</v>
      </c>
      <c r="N6917" s="3">
        <v>0</v>
      </c>
    </row>
    <row r="6918" spans="1:14" x14ac:dyDescent="0.2">
      <c r="A6918" s="5" t="str">
        <f>HYPERLINK("http://www.ncbi.nlm.nih.gov/protein/118150670","Slc39a7")</f>
        <v>Slc39a7</v>
      </c>
      <c r="B6918" s="4"/>
      <c r="C6918" s="3">
        <v>5272</v>
      </c>
      <c r="D6918" s="3">
        <v>129</v>
      </c>
      <c r="E6918" s="3">
        <v>95</v>
      </c>
      <c r="F6918" s="3">
        <v>0</v>
      </c>
      <c r="G6918" s="3">
        <v>0</v>
      </c>
      <c r="H6918" s="2">
        <f t="shared" si="216"/>
        <v>5496</v>
      </c>
      <c r="I6918" t="str">
        <f t="shared" si="217"/>
        <v>Slc39a7_5496</v>
      </c>
      <c r="J6918" s="3">
        <v>5272</v>
      </c>
      <c r="K6918" s="3">
        <v>129</v>
      </c>
      <c r="L6918" s="3">
        <v>95</v>
      </c>
      <c r="M6918" s="3">
        <v>0</v>
      </c>
      <c r="N6918" s="3">
        <v>0</v>
      </c>
    </row>
    <row r="6919" spans="1:14" x14ac:dyDescent="0.2">
      <c r="A6919" s="5" t="str">
        <f>HYPERLINK("http://www.ncbi.nlm.nih.gov/protein/238637277","Slc3a2")</f>
        <v>Slc3a2</v>
      </c>
      <c r="B6919" s="4"/>
      <c r="C6919" s="3">
        <v>11734</v>
      </c>
      <c r="D6919" s="3">
        <v>7853</v>
      </c>
      <c r="E6919" s="3">
        <v>15116</v>
      </c>
      <c r="F6919" s="3">
        <v>0</v>
      </c>
      <c r="G6919" s="3">
        <v>0</v>
      </c>
      <c r="H6919" s="2">
        <f t="shared" si="216"/>
        <v>34703</v>
      </c>
      <c r="I6919" t="str">
        <f t="shared" si="217"/>
        <v>Slc3a2_34703</v>
      </c>
      <c r="J6919" s="3">
        <v>11734</v>
      </c>
      <c r="K6919" s="3">
        <v>7853</v>
      </c>
      <c r="L6919" s="3">
        <v>15116</v>
      </c>
      <c r="M6919" s="3">
        <v>0</v>
      </c>
      <c r="N6919" s="3">
        <v>0</v>
      </c>
    </row>
    <row r="6920" spans="1:14" x14ac:dyDescent="0.2">
      <c r="A6920" s="5" t="str">
        <f>HYPERLINK("http://www.ncbi.nlm.nih.gov/protein/238637279","Slc3a2")</f>
        <v>Slc3a2</v>
      </c>
      <c r="B6920" s="4"/>
      <c r="C6920" s="3">
        <v>11734</v>
      </c>
      <c r="D6920" s="3">
        <v>7853</v>
      </c>
      <c r="E6920" s="3">
        <v>15116</v>
      </c>
      <c r="F6920" s="3">
        <v>0</v>
      </c>
      <c r="G6920" s="3">
        <v>0</v>
      </c>
      <c r="H6920" s="2">
        <f t="shared" si="216"/>
        <v>34703</v>
      </c>
      <c r="I6920" t="str">
        <f t="shared" si="217"/>
        <v>Slc3a2_34703</v>
      </c>
      <c r="J6920" s="3">
        <v>11734</v>
      </c>
      <c r="K6920" s="3">
        <v>7853</v>
      </c>
      <c r="L6920" s="3">
        <v>15116</v>
      </c>
      <c r="M6920" s="3">
        <v>0</v>
      </c>
      <c r="N6920" s="3">
        <v>0</v>
      </c>
    </row>
    <row r="6921" spans="1:14" x14ac:dyDescent="0.2">
      <c r="A6921" s="5" t="str">
        <f>HYPERLINK("http://www.ncbi.nlm.nih.gov/protein/124248585","Slc40a1")</f>
        <v>Slc40a1</v>
      </c>
      <c r="B6921" s="4"/>
      <c r="C6921" s="3">
        <v>0</v>
      </c>
      <c r="D6921" s="3">
        <v>307</v>
      </c>
      <c r="E6921" s="3">
        <v>124</v>
      </c>
      <c r="F6921" s="3">
        <v>0</v>
      </c>
      <c r="G6921" s="3">
        <v>0</v>
      </c>
      <c r="H6921" s="2">
        <f t="shared" si="216"/>
        <v>431</v>
      </c>
      <c r="I6921" t="str">
        <f t="shared" si="217"/>
        <v>Slc40a1_431</v>
      </c>
      <c r="J6921" s="3">
        <v>0</v>
      </c>
      <c r="K6921" s="3">
        <v>307</v>
      </c>
      <c r="L6921" s="3">
        <v>124</v>
      </c>
      <c r="M6921" s="3">
        <v>0</v>
      </c>
      <c r="N6921" s="3">
        <v>0</v>
      </c>
    </row>
    <row r="6922" spans="1:14" x14ac:dyDescent="0.2">
      <c r="A6922" s="5" t="str">
        <f>HYPERLINK("http://www.ncbi.nlm.nih.gov/protein/313482803","Slc43a2")</f>
        <v>Slc43a2</v>
      </c>
      <c r="B6922" s="4"/>
      <c r="C6922" s="3">
        <v>0</v>
      </c>
      <c r="D6922" s="3">
        <v>0</v>
      </c>
      <c r="E6922" s="3">
        <v>15</v>
      </c>
      <c r="F6922" s="3">
        <v>0</v>
      </c>
      <c r="G6922" s="3">
        <v>0</v>
      </c>
      <c r="H6922" s="2">
        <f t="shared" si="216"/>
        <v>15</v>
      </c>
      <c r="I6922" t="str">
        <f t="shared" si="217"/>
        <v>Slc43a2_15</v>
      </c>
      <c r="J6922" s="3">
        <v>0</v>
      </c>
      <c r="K6922" s="3">
        <v>0</v>
      </c>
      <c r="L6922" s="3">
        <v>15</v>
      </c>
      <c r="M6922" s="3">
        <v>0</v>
      </c>
      <c r="N6922" s="3">
        <v>0</v>
      </c>
    </row>
    <row r="6923" spans="1:14" x14ac:dyDescent="0.2">
      <c r="A6923" s="5" t="str">
        <f>HYPERLINK("http://www.ncbi.nlm.nih.gov/protein/227499980","Slc44a1")</f>
        <v>Slc44a1</v>
      </c>
      <c r="B6923" s="4"/>
      <c r="C6923" s="3">
        <v>0</v>
      </c>
      <c r="D6923" s="3">
        <v>7231</v>
      </c>
      <c r="E6923" s="3">
        <v>11512</v>
      </c>
      <c r="F6923" s="3">
        <v>2480</v>
      </c>
      <c r="G6923" s="3">
        <v>0</v>
      </c>
      <c r="H6923" s="2">
        <f t="shared" si="216"/>
        <v>21223</v>
      </c>
      <c r="I6923" t="str">
        <f t="shared" si="217"/>
        <v>Slc44a1_21223</v>
      </c>
      <c r="J6923" s="3">
        <v>0</v>
      </c>
      <c r="K6923" s="3">
        <v>7231</v>
      </c>
      <c r="L6923" s="3">
        <v>11512</v>
      </c>
      <c r="M6923" s="3">
        <v>2480</v>
      </c>
      <c r="N6923" s="3">
        <v>0</v>
      </c>
    </row>
    <row r="6924" spans="1:14" x14ac:dyDescent="0.2">
      <c r="A6924" s="5" t="str">
        <f>HYPERLINK("http://www.ncbi.nlm.nih.gov/protein/227499988","Slc44a1")</f>
        <v>Slc44a1</v>
      </c>
      <c r="B6924" s="4"/>
      <c r="C6924" s="3">
        <v>0</v>
      </c>
      <c r="D6924" s="3">
        <v>6169</v>
      </c>
      <c r="E6924" s="3">
        <v>7898</v>
      </c>
      <c r="F6924" s="3">
        <v>2251</v>
      </c>
      <c r="G6924" s="3">
        <v>0</v>
      </c>
      <c r="H6924" s="2">
        <f t="shared" si="216"/>
        <v>16318</v>
      </c>
      <c r="I6924" t="str">
        <f t="shared" si="217"/>
        <v>Slc44a1_16318</v>
      </c>
      <c r="J6924" s="3">
        <v>0</v>
      </c>
      <c r="K6924" s="3">
        <v>6169</v>
      </c>
      <c r="L6924" s="3">
        <v>7898</v>
      </c>
      <c r="M6924" s="3">
        <v>2251</v>
      </c>
      <c r="N6924" s="3">
        <v>0</v>
      </c>
    </row>
    <row r="6925" spans="1:14" x14ac:dyDescent="0.2">
      <c r="A6925" s="5" t="str">
        <f>HYPERLINK("http://www.ncbi.nlm.nih.gov/protein/22779895","Slc44a2")</f>
        <v>Slc44a2</v>
      </c>
      <c r="B6925" s="4"/>
      <c r="C6925" s="3">
        <v>0</v>
      </c>
      <c r="D6925" s="3">
        <v>1820</v>
      </c>
      <c r="E6925" s="3">
        <v>11423</v>
      </c>
      <c r="F6925" s="3">
        <v>319</v>
      </c>
      <c r="G6925" s="3">
        <v>0</v>
      </c>
      <c r="H6925" s="2">
        <f t="shared" si="216"/>
        <v>13562</v>
      </c>
      <c r="I6925" t="str">
        <f t="shared" si="217"/>
        <v>Slc44a2_13562</v>
      </c>
      <c r="J6925" s="3">
        <v>0</v>
      </c>
      <c r="K6925" s="3">
        <v>1820</v>
      </c>
      <c r="L6925" s="3">
        <v>11423</v>
      </c>
      <c r="M6925" s="3">
        <v>319</v>
      </c>
      <c r="N6925" s="3">
        <v>0</v>
      </c>
    </row>
    <row r="6926" spans="1:14" x14ac:dyDescent="0.2">
      <c r="A6926" s="5" t="str">
        <f>HYPERLINK("http://www.ncbi.nlm.nih.gov/protein/312596932","Slc44a2")</f>
        <v>Slc44a2</v>
      </c>
      <c r="B6926" s="4"/>
      <c r="C6926" s="3">
        <v>0</v>
      </c>
      <c r="D6926" s="3">
        <v>1820</v>
      </c>
      <c r="E6926" s="3">
        <v>11423</v>
      </c>
      <c r="F6926" s="3">
        <v>319</v>
      </c>
      <c r="G6926" s="3">
        <v>0</v>
      </c>
      <c r="H6926" s="2">
        <f t="shared" si="216"/>
        <v>13562</v>
      </c>
      <c r="I6926" t="str">
        <f t="shared" si="217"/>
        <v>Slc44a2_13562</v>
      </c>
      <c r="J6926" s="3">
        <v>0</v>
      </c>
      <c r="K6926" s="3">
        <v>1820</v>
      </c>
      <c r="L6926" s="3">
        <v>11423</v>
      </c>
      <c r="M6926" s="3">
        <v>319</v>
      </c>
      <c r="N6926" s="3">
        <v>0</v>
      </c>
    </row>
    <row r="6927" spans="1:14" x14ac:dyDescent="0.2">
      <c r="A6927" s="5" t="str">
        <f>HYPERLINK("http://www.ncbi.nlm.nih.gov/protein/225579159","Slc44a3")</f>
        <v>Slc44a3</v>
      </c>
      <c r="B6927" s="4"/>
      <c r="C6927" s="3">
        <v>0</v>
      </c>
      <c r="D6927" s="3">
        <v>785</v>
      </c>
      <c r="E6927" s="3">
        <v>1039</v>
      </c>
      <c r="F6927" s="3">
        <v>0</v>
      </c>
      <c r="G6927" s="3">
        <v>0</v>
      </c>
      <c r="H6927" s="2">
        <f t="shared" si="216"/>
        <v>1824</v>
      </c>
      <c r="I6927" t="str">
        <f t="shared" si="217"/>
        <v>Slc44a3_1824</v>
      </c>
      <c r="J6927" s="3">
        <v>0</v>
      </c>
      <c r="K6927" s="3">
        <v>785</v>
      </c>
      <c r="L6927" s="3">
        <v>1039</v>
      </c>
      <c r="M6927" s="3">
        <v>0</v>
      </c>
      <c r="N6927" s="3">
        <v>0</v>
      </c>
    </row>
    <row r="6928" spans="1:14" x14ac:dyDescent="0.2">
      <c r="A6928" s="5" t="str">
        <f>HYPERLINK("http://www.ncbi.nlm.nih.gov/protein/12963733","Slc44a4")</f>
        <v>Slc44a4</v>
      </c>
      <c r="B6928" s="4"/>
      <c r="C6928" s="3">
        <v>0</v>
      </c>
      <c r="D6928" s="3">
        <v>46</v>
      </c>
      <c r="E6928" s="3">
        <v>1572</v>
      </c>
      <c r="F6928" s="3">
        <v>0</v>
      </c>
      <c r="G6928" s="3">
        <v>0</v>
      </c>
      <c r="H6928" s="2">
        <f t="shared" si="216"/>
        <v>1618</v>
      </c>
      <c r="I6928" t="str">
        <f t="shared" si="217"/>
        <v>Slc44a4_1618</v>
      </c>
      <c r="J6928" s="3">
        <v>0</v>
      </c>
      <c r="K6928" s="3">
        <v>46</v>
      </c>
      <c r="L6928" s="3">
        <v>1572</v>
      </c>
      <c r="M6928" s="3">
        <v>0</v>
      </c>
      <c r="N6928" s="3">
        <v>0</v>
      </c>
    </row>
    <row r="6929" spans="1:14" x14ac:dyDescent="0.2">
      <c r="A6929" s="5" t="str">
        <f>HYPERLINK("http://www.ncbi.nlm.nih.gov/protein/225543517","Slc46a2")</f>
        <v>Slc46a2</v>
      </c>
      <c r="B6929" s="4"/>
      <c r="C6929" s="3">
        <v>0</v>
      </c>
      <c r="D6929" s="3">
        <v>0</v>
      </c>
      <c r="E6929" s="3">
        <v>417</v>
      </c>
      <c r="F6929" s="3">
        <v>0</v>
      </c>
      <c r="G6929" s="3">
        <v>0</v>
      </c>
      <c r="H6929" s="2">
        <f t="shared" si="216"/>
        <v>417</v>
      </c>
      <c r="I6929" t="str">
        <f t="shared" si="217"/>
        <v>Slc46a2_417</v>
      </c>
      <c r="J6929" s="3">
        <v>0</v>
      </c>
      <c r="K6929" s="3">
        <v>0</v>
      </c>
      <c r="L6929" s="3">
        <v>417</v>
      </c>
      <c r="M6929" s="3">
        <v>0</v>
      </c>
      <c r="N6929" s="3">
        <v>0</v>
      </c>
    </row>
    <row r="6930" spans="1:14" x14ac:dyDescent="0.2">
      <c r="A6930" s="5" t="str">
        <f>HYPERLINK("http://www.ncbi.nlm.nih.gov/protein/85702045","Slc47a2")</f>
        <v>Slc47a2</v>
      </c>
      <c r="B6930" s="4"/>
      <c r="C6930" s="3">
        <v>2087</v>
      </c>
      <c r="D6930" s="3">
        <v>0</v>
      </c>
      <c r="E6930" s="3">
        <v>559</v>
      </c>
      <c r="F6930" s="3">
        <v>3070</v>
      </c>
      <c r="G6930" s="3">
        <v>0</v>
      </c>
      <c r="H6930" s="2">
        <f t="shared" si="216"/>
        <v>5716</v>
      </c>
      <c r="I6930" t="str">
        <f t="shared" si="217"/>
        <v>Slc47a2_5716</v>
      </c>
      <c r="J6930" s="3">
        <v>2087</v>
      </c>
      <c r="K6930" s="3">
        <v>0</v>
      </c>
      <c r="L6930" s="3">
        <v>559</v>
      </c>
      <c r="M6930" s="3">
        <v>3070</v>
      </c>
      <c r="N6930" s="3">
        <v>0</v>
      </c>
    </row>
    <row r="6931" spans="1:14" x14ac:dyDescent="0.2">
      <c r="A6931" s="5" t="str">
        <f>HYPERLINK("http://www.ncbi.nlm.nih.gov/protein/155722992","Slc4a1ap")</f>
        <v>Slc4a1ap</v>
      </c>
      <c r="B6931" s="4"/>
      <c r="C6931" s="3">
        <v>0</v>
      </c>
      <c r="D6931" s="3">
        <v>0</v>
      </c>
      <c r="E6931" s="3">
        <v>211</v>
      </c>
      <c r="F6931" s="3">
        <v>1236</v>
      </c>
      <c r="G6931" s="3">
        <v>2249</v>
      </c>
      <c r="H6931" s="2">
        <f t="shared" si="216"/>
        <v>3696</v>
      </c>
      <c r="I6931" t="str">
        <f t="shared" si="217"/>
        <v>Slc4a1ap_3696</v>
      </c>
      <c r="J6931" s="3">
        <v>0</v>
      </c>
      <c r="K6931" s="3">
        <v>0</v>
      </c>
      <c r="L6931" s="3">
        <v>211</v>
      </c>
      <c r="M6931" s="3">
        <v>1236</v>
      </c>
      <c r="N6931" s="3">
        <v>2249</v>
      </c>
    </row>
    <row r="6932" spans="1:14" x14ac:dyDescent="0.2">
      <c r="A6932" s="5" t="str">
        <f>HYPERLINK("http://www.ncbi.nlm.nih.gov/protein/359751389","Slc4a2")</f>
        <v>Slc4a2</v>
      </c>
      <c r="B6932" s="4"/>
      <c r="C6932" s="3">
        <v>0</v>
      </c>
      <c r="D6932" s="3">
        <v>405</v>
      </c>
      <c r="E6932" s="3">
        <v>0</v>
      </c>
      <c r="F6932" s="3">
        <v>0</v>
      </c>
      <c r="G6932" s="3">
        <v>0</v>
      </c>
      <c r="H6932" s="2">
        <f t="shared" si="216"/>
        <v>405</v>
      </c>
      <c r="I6932" t="str">
        <f t="shared" si="217"/>
        <v>Slc4a2_405</v>
      </c>
      <c r="J6932" s="3">
        <v>0</v>
      </c>
      <c r="K6932" s="3">
        <v>405</v>
      </c>
      <c r="L6932" s="3">
        <v>0</v>
      </c>
      <c r="M6932" s="3">
        <v>0</v>
      </c>
      <c r="N6932" s="3">
        <v>0</v>
      </c>
    </row>
    <row r="6933" spans="1:14" x14ac:dyDescent="0.2">
      <c r="A6933" s="5" t="str">
        <f>HYPERLINK("http://www.ncbi.nlm.nih.gov/protein/161169001;359751389","Slc4a2")</f>
        <v>Slc4a2</v>
      </c>
      <c r="B6933" s="4"/>
      <c r="C6933" s="3">
        <v>0</v>
      </c>
      <c r="D6933" s="3">
        <v>0</v>
      </c>
      <c r="E6933" s="3">
        <v>2616</v>
      </c>
      <c r="F6933" s="3">
        <v>0</v>
      </c>
      <c r="G6933" s="3">
        <v>0</v>
      </c>
      <c r="H6933" s="2">
        <f t="shared" si="216"/>
        <v>2616</v>
      </c>
      <c r="I6933" t="str">
        <f t="shared" si="217"/>
        <v>Slc4a2_2616</v>
      </c>
      <c r="J6933" s="3">
        <v>0</v>
      </c>
      <c r="K6933" s="3">
        <v>0</v>
      </c>
      <c r="L6933" s="3">
        <v>2616</v>
      </c>
      <c r="M6933" s="3">
        <v>0</v>
      </c>
      <c r="N6933" s="3">
        <v>0</v>
      </c>
    </row>
    <row r="6934" spans="1:14" x14ac:dyDescent="0.2">
      <c r="A6934" s="5" t="str">
        <f>HYPERLINK("http://www.ncbi.nlm.nih.gov/protein/165377246","Slc4a3")</f>
        <v>Slc4a3</v>
      </c>
      <c r="B6934" s="4"/>
      <c r="C6934" s="3">
        <v>0</v>
      </c>
      <c r="D6934" s="3">
        <v>403</v>
      </c>
      <c r="E6934" s="3">
        <v>1089</v>
      </c>
      <c r="F6934" s="3">
        <v>0</v>
      </c>
      <c r="G6934" s="3">
        <v>0</v>
      </c>
      <c r="H6934" s="2">
        <f t="shared" si="216"/>
        <v>1492</v>
      </c>
      <c r="I6934" t="str">
        <f t="shared" si="217"/>
        <v>Slc4a3_1492</v>
      </c>
      <c r="J6934" s="3">
        <v>0</v>
      </c>
      <c r="K6934" s="3">
        <v>403</v>
      </c>
      <c r="L6934" s="3">
        <v>1089</v>
      </c>
      <c r="M6934" s="3">
        <v>0</v>
      </c>
      <c r="N6934" s="3">
        <v>0</v>
      </c>
    </row>
    <row r="6935" spans="1:14" x14ac:dyDescent="0.2">
      <c r="A6935" s="5" t="str">
        <f>HYPERLINK("http://www.ncbi.nlm.nih.gov/protein/133922580","Slc4a4")</f>
        <v>Slc4a4</v>
      </c>
      <c r="B6935" s="4"/>
      <c r="C6935" s="3">
        <v>0</v>
      </c>
      <c r="D6935" s="3">
        <v>152</v>
      </c>
      <c r="E6935" s="3">
        <v>161</v>
      </c>
      <c r="F6935" s="3">
        <v>0</v>
      </c>
      <c r="G6935" s="3">
        <v>0</v>
      </c>
      <c r="H6935" s="2">
        <f t="shared" si="216"/>
        <v>313</v>
      </c>
      <c r="I6935" t="str">
        <f t="shared" si="217"/>
        <v>Slc4a4_313</v>
      </c>
      <c r="J6935" s="3">
        <v>0</v>
      </c>
      <c r="K6935" s="3">
        <v>152</v>
      </c>
      <c r="L6935" s="3">
        <v>161</v>
      </c>
      <c r="M6935" s="3">
        <v>0</v>
      </c>
      <c r="N6935" s="3">
        <v>0</v>
      </c>
    </row>
    <row r="6936" spans="1:14" x14ac:dyDescent="0.2">
      <c r="A6936" s="5" t="str">
        <f>HYPERLINK("http://www.ncbi.nlm.nih.gov/protein/210147430","Slc4a4")</f>
        <v>Slc4a4</v>
      </c>
      <c r="B6936" s="4"/>
      <c r="C6936" s="3">
        <v>0</v>
      </c>
      <c r="D6936" s="3">
        <v>152</v>
      </c>
      <c r="E6936" s="3">
        <v>161</v>
      </c>
      <c r="F6936" s="3">
        <v>0</v>
      </c>
      <c r="G6936" s="3">
        <v>0</v>
      </c>
      <c r="H6936" s="2">
        <f t="shared" si="216"/>
        <v>313</v>
      </c>
      <c r="I6936" t="str">
        <f t="shared" si="217"/>
        <v>Slc4a4_313</v>
      </c>
      <c r="J6936" s="3">
        <v>0</v>
      </c>
      <c r="K6936" s="3">
        <v>152</v>
      </c>
      <c r="L6936" s="3">
        <v>161</v>
      </c>
      <c r="M6936" s="3">
        <v>0</v>
      </c>
      <c r="N6936" s="3">
        <v>0</v>
      </c>
    </row>
    <row r="6937" spans="1:14" x14ac:dyDescent="0.2">
      <c r="A6937" s="5" t="str">
        <f>HYPERLINK("http://www.ncbi.nlm.nih.gov/protein/308210768","Slc4a4")</f>
        <v>Slc4a4</v>
      </c>
      <c r="B6937" s="4"/>
      <c r="C6937" s="3">
        <v>0</v>
      </c>
      <c r="D6937" s="3">
        <v>152</v>
      </c>
      <c r="E6937" s="3">
        <v>161</v>
      </c>
      <c r="F6937" s="3">
        <v>0</v>
      </c>
      <c r="G6937" s="3">
        <v>0</v>
      </c>
      <c r="H6937" s="2">
        <f t="shared" si="216"/>
        <v>313</v>
      </c>
      <c r="I6937" t="str">
        <f t="shared" si="217"/>
        <v>Slc4a4_313</v>
      </c>
      <c r="J6937" s="3">
        <v>0</v>
      </c>
      <c r="K6937" s="3">
        <v>152</v>
      </c>
      <c r="L6937" s="3">
        <v>161</v>
      </c>
      <c r="M6937" s="3">
        <v>0</v>
      </c>
      <c r="N6937" s="3">
        <v>0</v>
      </c>
    </row>
    <row r="6938" spans="1:14" x14ac:dyDescent="0.2">
      <c r="A6938" s="5" t="str">
        <f>HYPERLINK("http://www.ncbi.nlm.nih.gov/protein/117320529","Slc4a7")</f>
        <v>Slc4a7</v>
      </c>
      <c r="B6938" s="4"/>
      <c r="C6938" s="3">
        <v>0</v>
      </c>
      <c r="D6938" s="3">
        <v>106</v>
      </c>
      <c r="E6938" s="3">
        <v>135</v>
      </c>
      <c r="F6938" s="3">
        <v>0</v>
      </c>
      <c r="G6938" s="3">
        <v>0</v>
      </c>
      <c r="H6938" s="2">
        <f t="shared" si="216"/>
        <v>241</v>
      </c>
      <c r="I6938" t="str">
        <f t="shared" si="217"/>
        <v>Slc4a7_241</v>
      </c>
      <c r="J6938" s="3">
        <v>0</v>
      </c>
      <c r="K6938" s="3">
        <v>106</v>
      </c>
      <c r="L6938" s="3">
        <v>135</v>
      </c>
      <c r="M6938" s="3">
        <v>0</v>
      </c>
      <c r="N6938" s="3">
        <v>0</v>
      </c>
    </row>
    <row r="6939" spans="1:14" x14ac:dyDescent="0.2">
      <c r="A6939" s="5" t="str">
        <f>HYPERLINK("http://www.ncbi.nlm.nih.gov/protein/22122353","Slc51a")</f>
        <v>Slc51a</v>
      </c>
      <c r="B6939" s="4"/>
      <c r="C6939" s="3">
        <v>0</v>
      </c>
      <c r="D6939" s="3">
        <v>5851</v>
      </c>
      <c r="E6939" s="3">
        <v>0</v>
      </c>
      <c r="F6939" s="3">
        <v>0</v>
      </c>
      <c r="G6939" s="3">
        <v>0</v>
      </c>
      <c r="H6939" s="2">
        <f t="shared" si="216"/>
        <v>5851</v>
      </c>
      <c r="I6939" t="str">
        <f t="shared" si="217"/>
        <v>Slc51a_5851</v>
      </c>
      <c r="J6939" s="3">
        <v>0</v>
      </c>
      <c r="K6939" s="3">
        <v>5851</v>
      </c>
      <c r="L6939" s="3">
        <v>0</v>
      </c>
      <c r="M6939" s="3">
        <v>0</v>
      </c>
      <c r="N6939" s="3">
        <v>0</v>
      </c>
    </row>
    <row r="6940" spans="1:14" x14ac:dyDescent="0.2">
      <c r="A6940" s="5" t="str">
        <f>HYPERLINK("http://www.ncbi.nlm.nih.gov/protein/148536859","Slc5a3")</f>
        <v>Slc5a3</v>
      </c>
      <c r="B6940" s="4"/>
      <c r="C6940" s="3">
        <v>0</v>
      </c>
      <c r="D6940" s="3">
        <v>463</v>
      </c>
      <c r="E6940" s="3">
        <v>729</v>
      </c>
      <c r="F6940" s="3">
        <v>0</v>
      </c>
      <c r="G6940" s="3">
        <v>0</v>
      </c>
      <c r="H6940" s="2">
        <f t="shared" si="216"/>
        <v>1192</v>
      </c>
      <c r="I6940" t="str">
        <f t="shared" si="217"/>
        <v>Slc5a3_1192</v>
      </c>
      <c r="J6940" s="3">
        <v>0</v>
      </c>
      <c r="K6940" s="3">
        <v>463</v>
      </c>
      <c r="L6940" s="3">
        <v>729</v>
      </c>
      <c r="M6940" s="3">
        <v>0</v>
      </c>
      <c r="N6940" s="3">
        <v>0</v>
      </c>
    </row>
    <row r="6941" spans="1:14" x14ac:dyDescent="0.2">
      <c r="A6941" s="5" t="str">
        <f>HYPERLINK("http://www.ncbi.nlm.nih.gov/protein/31982828","Slc6a6")</f>
        <v>Slc6a6</v>
      </c>
      <c r="B6941" s="4"/>
      <c r="C6941" s="3">
        <v>3277</v>
      </c>
      <c r="D6941" s="3">
        <v>2</v>
      </c>
      <c r="E6941" s="3">
        <v>129</v>
      </c>
      <c r="F6941" s="3">
        <v>0</v>
      </c>
      <c r="G6941" s="3">
        <v>0</v>
      </c>
      <c r="H6941" s="2">
        <f t="shared" si="216"/>
        <v>3408</v>
      </c>
      <c r="I6941" t="str">
        <f t="shared" si="217"/>
        <v>Slc6a6_3408</v>
      </c>
      <c r="J6941" s="3">
        <v>3277</v>
      </c>
      <c r="K6941" s="3">
        <v>2</v>
      </c>
      <c r="L6941" s="3">
        <v>129</v>
      </c>
      <c r="M6941" s="3">
        <v>0</v>
      </c>
      <c r="N6941" s="3">
        <v>0</v>
      </c>
    </row>
    <row r="6942" spans="1:14" x14ac:dyDescent="0.2">
      <c r="A6942" s="5" t="str">
        <f>HYPERLINK("http://www.ncbi.nlm.nih.gov/protein/161016790","Slc7a1")</f>
        <v>Slc7a1</v>
      </c>
      <c r="B6942" s="4"/>
      <c r="C6942" s="3">
        <v>4485</v>
      </c>
      <c r="D6942" s="3">
        <v>2284</v>
      </c>
      <c r="E6942" s="3">
        <v>6292</v>
      </c>
      <c r="F6942" s="3">
        <v>0</v>
      </c>
      <c r="G6942" s="3">
        <v>0</v>
      </c>
      <c r="H6942" s="2">
        <f t="shared" si="216"/>
        <v>13061</v>
      </c>
      <c r="I6942" t="str">
        <f t="shared" si="217"/>
        <v>Slc7a1_13061</v>
      </c>
      <c r="J6942" s="3">
        <v>4485</v>
      </c>
      <c r="K6942" s="3">
        <v>2284</v>
      </c>
      <c r="L6942" s="3">
        <v>6292</v>
      </c>
      <c r="M6942" s="3">
        <v>0</v>
      </c>
      <c r="N6942" s="3">
        <v>0</v>
      </c>
    </row>
    <row r="6943" spans="1:14" x14ac:dyDescent="0.2">
      <c r="A6943" s="5" t="str">
        <f>HYPERLINK("http://www.ncbi.nlm.nih.gov/protein/6756011","Slc7a11")</f>
        <v>Slc7a11</v>
      </c>
      <c r="B6943" s="4"/>
      <c r="C6943" s="3">
        <v>0</v>
      </c>
      <c r="D6943" s="3">
        <v>0</v>
      </c>
      <c r="E6943" s="3">
        <v>133</v>
      </c>
      <c r="F6943" s="3">
        <v>0</v>
      </c>
      <c r="G6943" s="3">
        <v>0</v>
      </c>
      <c r="H6943" s="2">
        <f t="shared" si="216"/>
        <v>133</v>
      </c>
      <c r="I6943" t="str">
        <f t="shared" si="217"/>
        <v>Slc7a11_133</v>
      </c>
      <c r="J6943" s="3">
        <v>0</v>
      </c>
      <c r="K6943" s="3">
        <v>0</v>
      </c>
      <c r="L6943" s="3">
        <v>133</v>
      </c>
      <c r="M6943" s="3">
        <v>0</v>
      </c>
      <c r="N6943" s="3">
        <v>0</v>
      </c>
    </row>
    <row r="6944" spans="1:14" x14ac:dyDescent="0.2">
      <c r="A6944" s="5" t="str">
        <f>HYPERLINK("http://www.ncbi.nlm.nih.gov/protein/113680233","Slc7a2")</f>
        <v>Slc7a2</v>
      </c>
      <c r="B6944" s="4"/>
      <c r="C6944" s="3">
        <v>0</v>
      </c>
      <c r="D6944" s="3">
        <v>376</v>
      </c>
      <c r="E6944" s="3">
        <v>85</v>
      </c>
      <c r="F6944" s="3">
        <v>0</v>
      </c>
      <c r="G6944" s="3">
        <v>0</v>
      </c>
      <c r="H6944" s="2">
        <f t="shared" si="216"/>
        <v>461</v>
      </c>
      <c r="I6944" t="str">
        <f t="shared" si="217"/>
        <v>Slc7a2_461</v>
      </c>
      <c r="J6944" s="3">
        <v>0</v>
      </c>
      <c r="K6944" s="3">
        <v>376</v>
      </c>
      <c r="L6944" s="3">
        <v>85</v>
      </c>
      <c r="M6944" s="3">
        <v>0</v>
      </c>
      <c r="N6944" s="3">
        <v>0</v>
      </c>
    </row>
    <row r="6945" spans="1:14" x14ac:dyDescent="0.2">
      <c r="A6945" s="5" t="str">
        <f>HYPERLINK("http://www.ncbi.nlm.nih.gov/protein/31982764","Slc7a5")</f>
        <v>Slc7a5</v>
      </c>
      <c r="B6945" s="4"/>
      <c r="C6945" s="3">
        <v>0</v>
      </c>
      <c r="D6945" s="3">
        <v>1240</v>
      </c>
      <c r="E6945" s="3">
        <v>2821</v>
      </c>
      <c r="F6945" s="3">
        <v>0</v>
      </c>
      <c r="G6945" s="3">
        <v>0</v>
      </c>
      <c r="H6945" s="2">
        <f t="shared" si="216"/>
        <v>4061</v>
      </c>
      <c r="I6945" t="str">
        <f t="shared" si="217"/>
        <v>Slc7a5_4061</v>
      </c>
      <c r="J6945" s="3">
        <v>0</v>
      </c>
      <c r="K6945" s="3">
        <v>1240</v>
      </c>
      <c r="L6945" s="3">
        <v>2821</v>
      </c>
      <c r="M6945" s="3">
        <v>0</v>
      </c>
      <c r="N6945" s="3">
        <v>0</v>
      </c>
    </row>
    <row r="6946" spans="1:14" x14ac:dyDescent="0.2">
      <c r="A6946" s="5" t="str">
        <f>HYPERLINK("http://www.ncbi.nlm.nih.gov/protein/57222272","Slc7a6os")</f>
        <v>Slc7a6os</v>
      </c>
      <c r="B6946" s="4"/>
      <c r="C6946" s="3">
        <v>0</v>
      </c>
      <c r="D6946" s="3">
        <v>0</v>
      </c>
      <c r="E6946" s="3">
        <v>0</v>
      </c>
      <c r="F6946" s="3">
        <v>0</v>
      </c>
      <c r="G6946" s="3">
        <v>1960</v>
      </c>
      <c r="H6946" s="2">
        <f t="shared" si="216"/>
        <v>1960</v>
      </c>
      <c r="I6946" t="str">
        <f t="shared" si="217"/>
        <v>Slc7a6os_1960</v>
      </c>
      <c r="J6946" s="3">
        <v>0</v>
      </c>
      <c r="K6946" s="3">
        <v>0</v>
      </c>
      <c r="L6946" s="3">
        <v>0</v>
      </c>
      <c r="M6946" s="3">
        <v>0</v>
      </c>
      <c r="N6946" s="3">
        <v>1960</v>
      </c>
    </row>
    <row r="6947" spans="1:14" x14ac:dyDescent="0.2">
      <c r="A6947" s="5" t="str">
        <f>HYPERLINK("http://www.ncbi.nlm.nih.gov/protein/8567404","Slc9a1")</f>
        <v>Slc9a1</v>
      </c>
      <c r="B6947" s="4"/>
      <c r="C6947" s="3">
        <v>0</v>
      </c>
      <c r="D6947" s="3">
        <v>23</v>
      </c>
      <c r="E6947" s="3">
        <v>113</v>
      </c>
      <c r="F6947" s="3">
        <v>0</v>
      </c>
      <c r="G6947" s="3">
        <v>0</v>
      </c>
      <c r="H6947" s="2">
        <f t="shared" si="216"/>
        <v>136</v>
      </c>
      <c r="I6947" t="str">
        <f t="shared" si="217"/>
        <v>Slc9a1_136</v>
      </c>
      <c r="J6947" s="3">
        <v>0</v>
      </c>
      <c r="K6947" s="3">
        <v>23</v>
      </c>
      <c r="L6947" s="3">
        <v>113</v>
      </c>
      <c r="M6947" s="3">
        <v>0</v>
      </c>
      <c r="N6947" s="3">
        <v>0</v>
      </c>
    </row>
    <row r="6948" spans="1:14" x14ac:dyDescent="0.2">
      <c r="A6948" s="5" t="str">
        <f>HYPERLINK("http://www.ncbi.nlm.nih.gov/protein/6755566","Slc9a3r1")</f>
        <v>Slc9a3r1</v>
      </c>
      <c r="B6948" s="4"/>
      <c r="C6948" s="3">
        <v>40127</v>
      </c>
      <c r="D6948" s="3">
        <v>10897</v>
      </c>
      <c r="E6948" s="3">
        <v>71997</v>
      </c>
      <c r="F6948" s="3">
        <v>4510</v>
      </c>
      <c r="G6948" s="3">
        <v>435384</v>
      </c>
      <c r="H6948" s="2">
        <f t="shared" si="216"/>
        <v>562915</v>
      </c>
      <c r="I6948" t="str">
        <f t="shared" si="217"/>
        <v>Slc9a3r1_562915</v>
      </c>
      <c r="J6948" s="3">
        <v>40127</v>
      </c>
      <c r="K6948" s="3">
        <v>10897</v>
      </c>
      <c r="L6948" s="3">
        <v>71997</v>
      </c>
      <c r="M6948" s="3">
        <v>4510</v>
      </c>
      <c r="N6948" s="3">
        <v>435384</v>
      </c>
    </row>
    <row r="6949" spans="1:14" x14ac:dyDescent="0.2">
      <c r="A6949" s="5" t="str">
        <f>HYPERLINK("http://www.ncbi.nlm.nih.gov/protein/84490391","Slfn4")</f>
        <v>Slfn4</v>
      </c>
      <c r="B6949" s="4"/>
      <c r="C6949" s="3">
        <v>0</v>
      </c>
      <c r="D6949" s="3">
        <v>597</v>
      </c>
      <c r="E6949" s="3">
        <v>4686</v>
      </c>
      <c r="F6949" s="3">
        <v>12475</v>
      </c>
      <c r="G6949" s="3">
        <v>0</v>
      </c>
      <c r="H6949" s="2">
        <f t="shared" si="216"/>
        <v>17758</v>
      </c>
      <c r="I6949" t="str">
        <f t="shared" si="217"/>
        <v>Slfn4_17758</v>
      </c>
      <c r="J6949" s="3">
        <v>0</v>
      </c>
      <c r="K6949" s="3">
        <v>597</v>
      </c>
      <c r="L6949" s="3">
        <v>4686</v>
      </c>
      <c r="M6949" s="3">
        <v>12475</v>
      </c>
      <c r="N6949" s="3">
        <v>0</v>
      </c>
    </row>
    <row r="6950" spans="1:14" x14ac:dyDescent="0.2">
      <c r="A6950" s="5" t="str">
        <f>HYPERLINK("http://www.ncbi.nlm.nih.gov/protein/268370030","Slfn8")</f>
        <v>Slfn8</v>
      </c>
      <c r="B6950" s="4"/>
      <c r="C6950" s="3">
        <v>0</v>
      </c>
      <c r="D6950" s="3">
        <v>0</v>
      </c>
      <c r="E6950" s="3">
        <v>0</v>
      </c>
      <c r="F6950" s="3">
        <v>0</v>
      </c>
      <c r="G6950" s="3">
        <v>1831</v>
      </c>
      <c r="H6950" s="2">
        <f t="shared" si="216"/>
        <v>1831</v>
      </c>
      <c r="I6950" t="str">
        <f t="shared" si="217"/>
        <v>Slfn8_1831</v>
      </c>
      <c r="J6950" s="3">
        <v>0</v>
      </c>
      <c r="K6950" s="3">
        <v>0</v>
      </c>
      <c r="L6950" s="3">
        <v>0</v>
      </c>
      <c r="M6950" s="3">
        <v>0</v>
      </c>
      <c r="N6950" s="3">
        <v>1831</v>
      </c>
    </row>
    <row r="6951" spans="1:14" x14ac:dyDescent="0.2">
      <c r="A6951" s="5" t="str">
        <f>HYPERLINK("http://www.ncbi.nlm.nih.gov/protein/116089296","Slfn9")</f>
        <v>Slfn9</v>
      </c>
      <c r="B6951" s="4"/>
      <c r="C6951" s="3">
        <v>0</v>
      </c>
      <c r="D6951" s="3">
        <v>0</v>
      </c>
      <c r="E6951" s="3">
        <v>0</v>
      </c>
      <c r="F6951" s="3">
        <v>0</v>
      </c>
      <c r="G6951" s="3">
        <v>3898</v>
      </c>
      <c r="H6951" s="2">
        <f t="shared" si="216"/>
        <v>3898</v>
      </c>
      <c r="I6951" t="str">
        <f t="shared" si="217"/>
        <v>Slfn9_3898</v>
      </c>
      <c r="J6951" s="3">
        <v>0</v>
      </c>
      <c r="K6951" s="3">
        <v>0</v>
      </c>
      <c r="L6951" s="3">
        <v>0</v>
      </c>
      <c r="M6951" s="3">
        <v>0</v>
      </c>
      <c r="N6951" s="3">
        <v>3898</v>
      </c>
    </row>
    <row r="6952" spans="1:14" x14ac:dyDescent="0.2">
      <c r="A6952" s="5" t="str">
        <f>HYPERLINK("http://www.ncbi.nlm.nih.gov/protein/283046784","Slirp")</f>
        <v>Slirp</v>
      </c>
      <c r="B6952" s="4"/>
      <c r="C6952" s="3">
        <v>952</v>
      </c>
      <c r="D6952" s="3">
        <v>1025</v>
      </c>
      <c r="E6952" s="3">
        <v>0</v>
      </c>
      <c r="F6952" s="3">
        <v>0</v>
      </c>
      <c r="G6952" s="3">
        <v>0</v>
      </c>
      <c r="H6952" s="2">
        <f t="shared" si="216"/>
        <v>1977</v>
      </c>
      <c r="I6952" t="str">
        <f t="shared" si="217"/>
        <v>Slirp_1977</v>
      </c>
      <c r="J6952" s="3">
        <v>952</v>
      </c>
      <c r="K6952" s="3">
        <v>1025</v>
      </c>
      <c r="L6952" s="3">
        <v>0</v>
      </c>
      <c r="M6952" s="3">
        <v>0</v>
      </c>
      <c r="N6952" s="3">
        <v>0</v>
      </c>
    </row>
    <row r="6953" spans="1:14" x14ac:dyDescent="0.2">
      <c r="A6953" s="5" t="str">
        <f>HYPERLINK("http://www.ncbi.nlm.nih.gov/protein/257467552","Slk")</f>
        <v>Slk</v>
      </c>
      <c r="B6953" s="4"/>
      <c r="C6953" s="3">
        <v>0</v>
      </c>
      <c r="D6953" s="3">
        <v>3707</v>
      </c>
      <c r="E6953" s="3">
        <v>2887</v>
      </c>
      <c r="F6953" s="3">
        <v>25236</v>
      </c>
      <c r="G6953" s="3">
        <v>240353</v>
      </c>
      <c r="H6953" s="2">
        <f t="shared" si="216"/>
        <v>272183</v>
      </c>
      <c r="I6953" t="str">
        <f t="shared" si="217"/>
        <v>Slk_272183</v>
      </c>
      <c r="J6953" s="3">
        <v>0</v>
      </c>
      <c r="K6953" s="3">
        <v>3707</v>
      </c>
      <c r="L6953" s="3">
        <v>2887</v>
      </c>
      <c r="M6953" s="3">
        <v>25236</v>
      </c>
      <c r="N6953" s="3">
        <v>240353</v>
      </c>
    </row>
    <row r="6954" spans="1:14" x14ac:dyDescent="0.2">
      <c r="A6954" s="5" t="str">
        <f>HYPERLINK("http://www.ncbi.nlm.nih.gov/protein/257467554","Slk")</f>
        <v>Slk</v>
      </c>
      <c r="B6954" s="4"/>
      <c r="C6954" s="3">
        <v>0</v>
      </c>
      <c r="D6954" s="3">
        <v>3707</v>
      </c>
      <c r="E6954" s="3">
        <v>2887</v>
      </c>
      <c r="F6954" s="3">
        <v>24549</v>
      </c>
      <c r="G6954" s="3">
        <v>239197</v>
      </c>
      <c r="H6954" s="2">
        <f t="shared" si="216"/>
        <v>270340</v>
      </c>
      <c r="I6954" t="str">
        <f t="shared" si="217"/>
        <v>Slk_270340</v>
      </c>
      <c r="J6954" s="3">
        <v>0</v>
      </c>
      <c r="K6954" s="3">
        <v>3707</v>
      </c>
      <c r="L6954" s="3">
        <v>2887</v>
      </c>
      <c r="M6954" s="3">
        <v>24549</v>
      </c>
      <c r="N6954" s="3">
        <v>239197</v>
      </c>
    </row>
    <row r="6955" spans="1:14" x14ac:dyDescent="0.2">
      <c r="A6955" s="5" t="str">
        <f>HYPERLINK("http://www.ncbi.nlm.nih.gov/protein/13384954","Slmo2")</f>
        <v>Slmo2</v>
      </c>
      <c r="B6955" s="4"/>
      <c r="C6955" s="3">
        <v>0</v>
      </c>
      <c r="D6955" s="3">
        <v>42</v>
      </c>
      <c r="E6955" s="3">
        <v>0</v>
      </c>
      <c r="F6955" s="3">
        <v>0</v>
      </c>
      <c r="G6955" s="3">
        <v>0</v>
      </c>
      <c r="H6955" s="2">
        <f t="shared" si="216"/>
        <v>42</v>
      </c>
      <c r="I6955" t="str">
        <f t="shared" si="217"/>
        <v>Slmo2_42</v>
      </c>
      <c r="J6955" s="3">
        <v>0</v>
      </c>
      <c r="K6955" s="3">
        <v>42</v>
      </c>
      <c r="L6955" s="3">
        <v>0</v>
      </c>
      <c r="M6955" s="3">
        <v>0</v>
      </c>
      <c r="N6955" s="3">
        <v>0</v>
      </c>
    </row>
    <row r="6956" spans="1:14" x14ac:dyDescent="0.2">
      <c r="A6956" s="5" t="str">
        <f>HYPERLINK("http://www.ncbi.nlm.nih.gov/protein/31543220","Smad1")</f>
        <v>Smad1</v>
      </c>
      <c r="B6956" s="4"/>
      <c r="C6956" s="3">
        <v>0</v>
      </c>
      <c r="D6956" s="3">
        <v>0</v>
      </c>
      <c r="E6956" s="3">
        <v>105</v>
      </c>
      <c r="F6956" s="3">
        <v>1645</v>
      </c>
      <c r="G6956" s="3">
        <v>0</v>
      </c>
      <c r="H6956" s="2">
        <f t="shared" si="216"/>
        <v>1750</v>
      </c>
      <c r="I6956" t="str">
        <f t="shared" si="217"/>
        <v>Smad1_1750</v>
      </c>
      <c r="J6956" s="3">
        <v>0</v>
      </c>
      <c r="K6956" s="3">
        <v>0</v>
      </c>
      <c r="L6956" s="3">
        <v>105</v>
      </c>
      <c r="M6956" s="3">
        <v>1645</v>
      </c>
      <c r="N6956" s="3">
        <v>0</v>
      </c>
    </row>
    <row r="6957" spans="1:14" x14ac:dyDescent="0.2">
      <c r="A6957" s="5" t="str">
        <f>HYPERLINK("http://www.ncbi.nlm.nih.gov/protein/31560568","Smad2")</f>
        <v>Smad2</v>
      </c>
      <c r="B6957" s="4"/>
      <c r="C6957" s="3">
        <v>0</v>
      </c>
      <c r="D6957" s="3">
        <v>712</v>
      </c>
      <c r="E6957" s="3">
        <v>1639</v>
      </c>
      <c r="F6957" s="3">
        <v>8087</v>
      </c>
      <c r="G6957" s="3">
        <v>4037</v>
      </c>
      <c r="H6957" s="2">
        <f t="shared" si="216"/>
        <v>14475</v>
      </c>
      <c r="I6957" t="str">
        <f t="shared" si="217"/>
        <v>Smad2_14475</v>
      </c>
      <c r="J6957" s="3">
        <v>0</v>
      </c>
      <c r="K6957" s="3">
        <v>712</v>
      </c>
      <c r="L6957" s="3">
        <v>1639</v>
      </c>
      <c r="M6957" s="3">
        <v>8087</v>
      </c>
      <c r="N6957" s="3">
        <v>4037</v>
      </c>
    </row>
    <row r="6958" spans="1:14" x14ac:dyDescent="0.2">
      <c r="A6958" s="5" t="str">
        <f>HYPERLINK("http://www.ncbi.nlm.nih.gov/protein/254675249","Smad3")</f>
        <v>Smad3</v>
      </c>
      <c r="B6958" s="4"/>
      <c r="C6958" s="3">
        <v>0</v>
      </c>
      <c r="D6958" s="3">
        <v>649</v>
      </c>
      <c r="E6958" s="3">
        <v>493</v>
      </c>
      <c r="F6958" s="3">
        <v>2628</v>
      </c>
      <c r="G6958" s="3">
        <v>0</v>
      </c>
      <c r="H6958" s="2">
        <f t="shared" si="216"/>
        <v>3770</v>
      </c>
      <c r="I6958" t="str">
        <f t="shared" si="217"/>
        <v>Smad3_3770</v>
      </c>
      <c r="J6958" s="3">
        <v>0</v>
      </c>
      <c r="K6958" s="3">
        <v>649</v>
      </c>
      <c r="L6958" s="3">
        <v>493</v>
      </c>
      <c r="M6958" s="3">
        <v>2628</v>
      </c>
      <c r="N6958" s="3">
        <v>0</v>
      </c>
    </row>
    <row r="6959" spans="1:14" x14ac:dyDescent="0.2">
      <c r="A6959" s="5" t="str">
        <f>HYPERLINK("http://www.ncbi.nlm.nih.gov/protein/255708405","Smad5")</f>
        <v>Smad5</v>
      </c>
      <c r="B6959" s="4"/>
      <c r="C6959" s="3">
        <v>0</v>
      </c>
      <c r="D6959" s="3">
        <v>0</v>
      </c>
      <c r="E6959" s="3">
        <v>105</v>
      </c>
      <c r="F6959" s="3">
        <v>1645</v>
      </c>
      <c r="G6959" s="3">
        <v>0</v>
      </c>
      <c r="H6959" s="2">
        <f t="shared" si="216"/>
        <v>1750</v>
      </c>
      <c r="I6959" t="str">
        <f t="shared" si="217"/>
        <v>Smad5_1750</v>
      </c>
      <c r="J6959" s="3">
        <v>0</v>
      </c>
      <c r="K6959" s="3">
        <v>0</v>
      </c>
      <c r="L6959" s="3">
        <v>105</v>
      </c>
      <c r="M6959" s="3">
        <v>1645</v>
      </c>
      <c r="N6959" s="3">
        <v>0</v>
      </c>
    </row>
    <row r="6960" spans="1:14" x14ac:dyDescent="0.2">
      <c r="A6960" s="5" t="str">
        <f>HYPERLINK("http://www.ncbi.nlm.nih.gov/protein/84490384","Smad9")</f>
        <v>Smad9</v>
      </c>
      <c r="B6960" s="4"/>
      <c r="C6960" s="3">
        <v>0</v>
      </c>
      <c r="D6960" s="3">
        <v>649</v>
      </c>
      <c r="E6960" s="3">
        <v>326</v>
      </c>
      <c r="F6960" s="3">
        <v>1645</v>
      </c>
      <c r="G6960" s="3">
        <v>0</v>
      </c>
      <c r="H6960" s="2">
        <f t="shared" si="216"/>
        <v>2620</v>
      </c>
      <c r="I6960" t="str">
        <f t="shared" si="217"/>
        <v>Smad9_2620</v>
      </c>
      <c r="J6960" s="3">
        <v>0</v>
      </c>
      <c r="K6960" s="3">
        <v>649</v>
      </c>
      <c r="L6960" s="3">
        <v>326</v>
      </c>
      <c r="M6960" s="3">
        <v>1645</v>
      </c>
      <c r="N6960" s="3">
        <v>0</v>
      </c>
    </row>
    <row r="6961" spans="1:14" x14ac:dyDescent="0.2">
      <c r="A6961" s="5" t="str">
        <f>HYPERLINK("http://www.ncbi.nlm.nih.gov/protein/262050608","Smarca1")</f>
        <v>Smarca1</v>
      </c>
      <c r="B6961" s="4"/>
      <c r="C6961" s="3">
        <v>9043</v>
      </c>
      <c r="D6961" s="3">
        <v>0</v>
      </c>
      <c r="E6961" s="3">
        <v>0</v>
      </c>
      <c r="F6961" s="3">
        <v>0</v>
      </c>
      <c r="G6961" s="3">
        <v>0</v>
      </c>
      <c r="H6961" s="2">
        <f t="shared" si="216"/>
        <v>9043</v>
      </c>
      <c r="I6961" t="str">
        <f t="shared" si="217"/>
        <v>Smarca1_9043</v>
      </c>
      <c r="J6961" s="3">
        <v>9043</v>
      </c>
      <c r="K6961" s="3">
        <v>0</v>
      </c>
      <c r="L6961" s="3">
        <v>0</v>
      </c>
      <c r="M6961" s="3">
        <v>0</v>
      </c>
      <c r="N6961" s="3">
        <v>0</v>
      </c>
    </row>
    <row r="6962" spans="1:14" x14ac:dyDescent="0.2">
      <c r="A6962" s="5" t="str">
        <f>HYPERLINK("http://www.ncbi.nlm.nih.gov/protein/21313112","Smarca2")</f>
        <v>Smarca2</v>
      </c>
      <c r="B6962" s="4"/>
      <c r="C6962" s="3">
        <v>0</v>
      </c>
      <c r="D6962" s="3">
        <v>0</v>
      </c>
      <c r="E6962" s="3">
        <v>0</v>
      </c>
      <c r="F6962" s="3">
        <v>0</v>
      </c>
      <c r="G6962" s="3">
        <v>975</v>
      </c>
      <c r="H6962" s="2">
        <f t="shared" si="216"/>
        <v>975</v>
      </c>
      <c r="I6962" t="str">
        <f t="shared" si="217"/>
        <v>Smarca2_975</v>
      </c>
      <c r="J6962" s="3">
        <v>0</v>
      </c>
      <c r="K6962" s="3">
        <v>0</v>
      </c>
      <c r="L6962" s="3">
        <v>0</v>
      </c>
      <c r="M6962" s="3">
        <v>0</v>
      </c>
      <c r="N6962" s="3">
        <v>975</v>
      </c>
    </row>
    <row r="6963" spans="1:14" x14ac:dyDescent="0.2">
      <c r="A6963" s="5" t="str">
        <f>HYPERLINK("http://www.ncbi.nlm.nih.gov/protein/51593084","Smarca2")</f>
        <v>Smarca2</v>
      </c>
      <c r="B6963" s="4"/>
      <c r="C6963" s="3">
        <v>549</v>
      </c>
      <c r="D6963" s="3">
        <v>0</v>
      </c>
      <c r="E6963" s="3">
        <v>0</v>
      </c>
      <c r="F6963" s="3">
        <v>0</v>
      </c>
      <c r="G6963" s="3">
        <v>975</v>
      </c>
      <c r="H6963" s="2">
        <f t="shared" si="216"/>
        <v>1524</v>
      </c>
      <c r="I6963" t="str">
        <f t="shared" si="217"/>
        <v>Smarca2_1524</v>
      </c>
      <c r="J6963" s="3">
        <v>549</v>
      </c>
      <c r="K6963" s="3">
        <v>0</v>
      </c>
      <c r="L6963" s="3">
        <v>0</v>
      </c>
      <c r="M6963" s="3">
        <v>0</v>
      </c>
      <c r="N6963" s="3">
        <v>975</v>
      </c>
    </row>
    <row r="6964" spans="1:14" x14ac:dyDescent="0.2">
      <c r="A6964" s="5" t="str">
        <f>HYPERLINK("http://www.ncbi.nlm.nih.gov/protein/291463269","Smarca4")</f>
        <v>Smarca4</v>
      </c>
      <c r="B6964" s="4"/>
      <c r="C6964" s="3">
        <v>20283</v>
      </c>
      <c r="D6964" s="3">
        <v>0</v>
      </c>
      <c r="E6964" s="3">
        <v>0</v>
      </c>
      <c r="F6964" s="3">
        <v>0</v>
      </c>
      <c r="G6964" s="3">
        <v>975</v>
      </c>
      <c r="H6964" s="2">
        <f t="shared" si="216"/>
        <v>21258</v>
      </c>
      <c r="I6964" t="str">
        <f t="shared" si="217"/>
        <v>Smarca4_21258</v>
      </c>
      <c r="J6964" s="3">
        <v>20283</v>
      </c>
      <c r="K6964" s="3">
        <v>0</v>
      </c>
      <c r="L6964" s="3">
        <v>0</v>
      </c>
      <c r="M6964" s="3">
        <v>0</v>
      </c>
      <c r="N6964" s="3">
        <v>975</v>
      </c>
    </row>
    <row r="6965" spans="1:14" x14ac:dyDescent="0.2">
      <c r="A6965" s="5" t="str">
        <f>HYPERLINK("http://www.ncbi.nlm.nih.gov/protein/291463271","Smarca4")</f>
        <v>Smarca4</v>
      </c>
      <c r="B6965" s="4"/>
      <c r="C6965" s="3">
        <v>20283</v>
      </c>
      <c r="D6965" s="3">
        <v>0</v>
      </c>
      <c r="E6965" s="3">
        <v>0</v>
      </c>
      <c r="F6965" s="3">
        <v>0</v>
      </c>
      <c r="G6965" s="3">
        <v>975</v>
      </c>
      <c r="H6965" s="2">
        <f t="shared" si="216"/>
        <v>21258</v>
      </c>
      <c r="I6965" t="str">
        <f t="shared" si="217"/>
        <v>Smarca4_21258</v>
      </c>
      <c r="J6965" s="3">
        <v>20283</v>
      </c>
      <c r="K6965" s="3">
        <v>0</v>
      </c>
      <c r="L6965" s="3">
        <v>0</v>
      </c>
      <c r="M6965" s="3">
        <v>0</v>
      </c>
      <c r="N6965" s="3">
        <v>975</v>
      </c>
    </row>
    <row r="6966" spans="1:14" x14ac:dyDescent="0.2">
      <c r="A6966" s="5" t="str">
        <f>HYPERLINK("http://www.ncbi.nlm.nih.gov/protein/76253779","Smarca4")</f>
        <v>Smarca4</v>
      </c>
      <c r="B6966" s="4"/>
      <c r="C6966" s="3">
        <v>20283</v>
      </c>
      <c r="D6966" s="3">
        <v>0</v>
      </c>
      <c r="E6966" s="3">
        <v>0</v>
      </c>
      <c r="F6966" s="3">
        <v>0</v>
      </c>
      <c r="G6966" s="3">
        <v>975</v>
      </c>
      <c r="H6966" s="2">
        <f t="shared" si="216"/>
        <v>21258</v>
      </c>
      <c r="I6966" t="str">
        <f t="shared" si="217"/>
        <v>Smarca4_21258</v>
      </c>
      <c r="J6966" s="3">
        <v>20283</v>
      </c>
      <c r="K6966" s="3">
        <v>0</v>
      </c>
      <c r="L6966" s="3">
        <v>0</v>
      </c>
      <c r="M6966" s="3">
        <v>0</v>
      </c>
      <c r="N6966" s="3">
        <v>975</v>
      </c>
    </row>
    <row r="6967" spans="1:14" x14ac:dyDescent="0.2">
      <c r="A6967" s="5" t="str">
        <f>HYPERLINK("http://www.ncbi.nlm.nih.gov/protein/40254124","Smarca5")</f>
        <v>Smarca5</v>
      </c>
      <c r="B6967" s="4"/>
      <c r="C6967" s="3">
        <v>53508</v>
      </c>
      <c r="D6967" s="3">
        <v>722</v>
      </c>
      <c r="E6967" s="3">
        <v>0</v>
      </c>
      <c r="F6967" s="3">
        <v>0</v>
      </c>
      <c r="G6967" s="3">
        <v>0</v>
      </c>
      <c r="H6967" s="2">
        <f t="shared" si="216"/>
        <v>54230</v>
      </c>
      <c r="I6967" t="str">
        <f t="shared" si="217"/>
        <v>Smarca5_54230</v>
      </c>
      <c r="J6967" s="3">
        <v>53508</v>
      </c>
      <c r="K6967" s="3">
        <v>722</v>
      </c>
      <c r="L6967" s="3">
        <v>0</v>
      </c>
      <c r="M6967" s="3">
        <v>0</v>
      </c>
      <c r="N6967" s="3">
        <v>0</v>
      </c>
    </row>
    <row r="6968" spans="1:14" x14ac:dyDescent="0.2">
      <c r="A6968" s="5" t="str">
        <f>HYPERLINK("http://www.ncbi.nlm.nih.gov/protein/358438428","Smarcad1")</f>
        <v>Smarcad1</v>
      </c>
      <c r="B6968" s="4"/>
      <c r="C6968" s="3">
        <v>0</v>
      </c>
      <c r="D6968" s="3">
        <v>0</v>
      </c>
      <c r="E6968" s="3">
        <v>0</v>
      </c>
      <c r="F6968" s="3">
        <v>499</v>
      </c>
      <c r="G6968" s="3">
        <v>161</v>
      </c>
      <c r="H6968" s="2">
        <f t="shared" si="216"/>
        <v>660</v>
      </c>
      <c r="I6968" t="str">
        <f t="shared" si="217"/>
        <v>Smarcad1_660</v>
      </c>
      <c r="J6968" s="3">
        <v>0</v>
      </c>
      <c r="K6968" s="3">
        <v>0</v>
      </c>
      <c r="L6968" s="3">
        <v>0</v>
      </c>
      <c r="M6968" s="3">
        <v>499</v>
      </c>
      <c r="N6968" s="3">
        <v>161</v>
      </c>
    </row>
    <row r="6969" spans="1:14" x14ac:dyDescent="0.2">
      <c r="A6969" s="5" t="str">
        <f>HYPERLINK("http://www.ncbi.nlm.nih.gov/protein/62543565","Smarcad1")</f>
        <v>Smarcad1</v>
      </c>
      <c r="B6969" s="4"/>
      <c r="C6969" s="3">
        <v>0</v>
      </c>
      <c r="D6969" s="3">
        <v>0</v>
      </c>
      <c r="E6969" s="3">
        <v>0</v>
      </c>
      <c r="F6969" s="3">
        <v>499</v>
      </c>
      <c r="G6969" s="3">
        <v>418</v>
      </c>
      <c r="H6969" s="2">
        <f t="shared" si="216"/>
        <v>917</v>
      </c>
      <c r="I6969" t="str">
        <f t="shared" si="217"/>
        <v>Smarcad1_917</v>
      </c>
      <c r="J6969" s="3">
        <v>0</v>
      </c>
      <c r="K6969" s="3">
        <v>0</v>
      </c>
      <c r="L6969" s="3">
        <v>0</v>
      </c>
      <c r="M6969" s="3">
        <v>499</v>
      </c>
      <c r="N6969" s="3">
        <v>418</v>
      </c>
    </row>
    <row r="6970" spans="1:14" x14ac:dyDescent="0.2">
      <c r="A6970" s="5" t="str">
        <f>HYPERLINK("http://www.ncbi.nlm.nih.gov/protein/229577278","Smarcal1")</f>
        <v>Smarcal1</v>
      </c>
      <c r="B6970" s="4"/>
      <c r="C6970" s="3">
        <v>0</v>
      </c>
      <c r="D6970" s="3">
        <v>0</v>
      </c>
      <c r="E6970" s="3">
        <v>10</v>
      </c>
      <c r="F6970" s="3">
        <v>41</v>
      </c>
      <c r="G6970" s="3">
        <v>0</v>
      </c>
      <c r="H6970" s="2">
        <f t="shared" si="216"/>
        <v>51</v>
      </c>
      <c r="I6970" t="str">
        <f t="shared" si="217"/>
        <v>Smarcal1_51</v>
      </c>
      <c r="J6970" s="3">
        <v>0</v>
      </c>
      <c r="K6970" s="3">
        <v>0</v>
      </c>
      <c r="L6970" s="3">
        <v>10</v>
      </c>
      <c r="M6970" s="3">
        <v>41</v>
      </c>
      <c r="N6970" s="3">
        <v>0</v>
      </c>
    </row>
    <row r="6971" spans="1:14" x14ac:dyDescent="0.2">
      <c r="A6971" s="5" t="str">
        <f>HYPERLINK("http://www.ncbi.nlm.nih.gov/protein/112421097","Smarcc1")</f>
        <v>Smarcc1</v>
      </c>
      <c r="B6971" s="4"/>
      <c r="C6971" s="3">
        <v>37857</v>
      </c>
      <c r="D6971" s="3">
        <v>0</v>
      </c>
      <c r="E6971" s="3">
        <v>0</v>
      </c>
      <c r="F6971" s="3">
        <v>0</v>
      </c>
      <c r="G6971" s="3">
        <v>803</v>
      </c>
      <c r="H6971" s="2">
        <f t="shared" si="216"/>
        <v>38660</v>
      </c>
      <c r="I6971" t="str">
        <f t="shared" si="217"/>
        <v>Smarcc1_38660</v>
      </c>
      <c r="J6971" s="3">
        <v>37857</v>
      </c>
      <c r="K6971" s="3">
        <v>0</v>
      </c>
      <c r="L6971" s="3">
        <v>0</v>
      </c>
      <c r="M6971" s="3">
        <v>0</v>
      </c>
      <c r="N6971" s="3">
        <v>803</v>
      </c>
    </row>
    <row r="6972" spans="1:14" x14ac:dyDescent="0.2">
      <c r="A6972" s="5" t="str">
        <f>HYPERLINK("http://www.ncbi.nlm.nih.gov/protein/166235123","Smarcc2")</f>
        <v>Smarcc2</v>
      </c>
      <c r="B6972" s="4"/>
      <c r="C6972" s="3">
        <v>26965</v>
      </c>
      <c r="D6972" s="3">
        <v>0</v>
      </c>
      <c r="E6972" s="3">
        <v>0</v>
      </c>
      <c r="F6972" s="3">
        <v>0</v>
      </c>
      <c r="G6972" s="3">
        <v>0</v>
      </c>
      <c r="H6972" s="2">
        <f t="shared" si="216"/>
        <v>26965</v>
      </c>
      <c r="I6972" t="str">
        <f t="shared" si="217"/>
        <v>Smarcc2_26965</v>
      </c>
      <c r="J6972" s="3">
        <v>26965</v>
      </c>
      <c r="K6972" s="3">
        <v>0</v>
      </c>
      <c r="L6972" s="3">
        <v>0</v>
      </c>
      <c r="M6972" s="3">
        <v>0</v>
      </c>
      <c r="N6972" s="3">
        <v>0</v>
      </c>
    </row>
    <row r="6973" spans="1:14" x14ac:dyDescent="0.2">
      <c r="A6973" s="5" t="str">
        <f>HYPERLINK("http://www.ncbi.nlm.nih.gov/protein/166235125","Smarcc2")</f>
        <v>Smarcc2</v>
      </c>
      <c r="B6973" s="4"/>
      <c r="C6973" s="3">
        <v>26965</v>
      </c>
      <c r="D6973" s="3">
        <v>0</v>
      </c>
      <c r="E6973" s="3">
        <v>0</v>
      </c>
      <c r="F6973" s="3">
        <v>0</v>
      </c>
      <c r="G6973" s="3">
        <v>0</v>
      </c>
      <c r="H6973" s="2">
        <f t="shared" si="216"/>
        <v>26965</v>
      </c>
      <c r="I6973" t="str">
        <f t="shared" si="217"/>
        <v>Smarcc2_26965</v>
      </c>
      <c r="J6973" s="3">
        <v>26965</v>
      </c>
      <c r="K6973" s="3">
        <v>0</v>
      </c>
      <c r="L6973" s="3">
        <v>0</v>
      </c>
      <c r="M6973" s="3">
        <v>0</v>
      </c>
      <c r="N6973" s="3">
        <v>0</v>
      </c>
    </row>
    <row r="6974" spans="1:14" x14ac:dyDescent="0.2">
      <c r="A6974" s="5" t="str">
        <f>HYPERLINK("http://www.ncbi.nlm.nih.gov/protein/37718972","Smarcc2")</f>
        <v>Smarcc2</v>
      </c>
      <c r="B6974" s="4"/>
      <c r="C6974" s="3">
        <v>26965</v>
      </c>
      <c r="D6974" s="3">
        <v>0</v>
      </c>
      <c r="E6974" s="3">
        <v>0</v>
      </c>
      <c r="F6974" s="3">
        <v>0</v>
      </c>
      <c r="G6974" s="3">
        <v>0</v>
      </c>
      <c r="H6974" s="2">
        <f t="shared" si="216"/>
        <v>26965</v>
      </c>
      <c r="I6974" t="str">
        <f t="shared" si="217"/>
        <v>Smarcc2_26965</v>
      </c>
      <c r="J6974" s="3">
        <v>26965</v>
      </c>
      <c r="K6974" s="3">
        <v>0</v>
      </c>
      <c r="L6974" s="3">
        <v>0</v>
      </c>
      <c r="M6974" s="3">
        <v>0</v>
      </c>
      <c r="N6974" s="3">
        <v>0</v>
      </c>
    </row>
    <row r="6975" spans="1:14" x14ac:dyDescent="0.2">
      <c r="A6975" s="5" t="str">
        <f>HYPERLINK("http://www.ncbi.nlm.nih.gov/protein/125347396","Smarcd1")</f>
        <v>Smarcd1</v>
      </c>
      <c r="B6975" s="4"/>
      <c r="C6975" s="3">
        <v>1172</v>
      </c>
      <c r="D6975" s="3">
        <v>0</v>
      </c>
      <c r="E6975" s="3">
        <v>0</v>
      </c>
      <c r="F6975" s="3">
        <v>0</v>
      </c>
      <c r="G6975" s="3">
        <v>0</v>
      </c>
      <c r="H6975" s="2">
        <f t="shared" si="216"/>
        <v>1172</v>
      </c>
      <c r="I6975" t="str">
        <f t="shared" si="217"/>
        <v>Smarcd1_1172</v>
      </c>
      <c r="J6975" s="3">
        <v>1172</v>
      </c>
      <c r="K6975" s="3">
        <v>0</v>
      </c>
      <c r="L6975" s="3">
        <v>0</v>
      </c>
      <c r="M6975" s="3">
        <v>0</v>
      </c>
      <c r="N6975" s="3">
        <v>0</v>
      </c>
    </row>
    <row r="6976" spans="1:14" x14ac:dyDescent="0.2">
      <c r="A6976" s="5" t="str">
        <f>HYPERLINK("http://www.ncbi.nlm.nih.gov/protein/194328771","Smarcd2")</f>
        <v>Smarcd2</v>
      </c>
      <c r="B6976" s="4"/>
      <c r="C6976" s="3">
        <v>1172</v>
      </c>
      <c r="D6976" s="3">
        <v>0</v>
      </c>
      <c r="E6976" s="3">
        <v>16</v>
      </c>
      <c r="F6976" s="3">
        <v>0</v>
      </c>
      <c r="G6976" s="3">
        <v>0</v>
      </c>
      <c r="H6976" s="2">
        <f t="shared" si="216"/>
        <v>1188</v>
      </c>
      <c r="I6976" t="str">
        <f t="shared" si="217"/>
        <v>Smarcd2_1188</v>
      </c>
      <c r="J6976" s="3">
        <v>1172</v>
      </c>
      <c r="K6976" s="3">
        <v>0</v>
      </c>
      <c r="L6976" s="3">
        <v>16</v>
      </c>
      <c r="M6976" s="3">
        <v>0</v>
      </c>
      <c r="N6976" s="3">
        <v>0</v>
      </c>
    </row>
    <row r="6977" spans="1:14" x14ac:dyDescent="0.2">
      <c r="A6977" s="5" t="str">
        <f>HYPERLINK("http://www.ncbi.nlm.nih.gov/protein/194328773","Smarcd2")</f>
        <v>Smarcd2</v>
      </c>
      <c r="B6977" s="4"/>
      <c r="C6977" s="3">
        <v>1172</v>
      </c>
      <c r="D6977" s="3">
        <v>0</v>
      </c>
      <c r="E6977" s="3">
        <v>16</v>
      </c>
      <c r="F6977" s="3">
        <v>0</v>
      </c>
      <c r="G6977" s="3">
        <v>0</v>
      </c>
      <c r="H6977" s="2">
        <f t="shared" si="216"/>
        <v>1188</v>
      </c>
      <c r="I6977" t="str">
        <f t="shared" si="217"/>
        <v>Smarcd2_1188</v>
      </c>
      <c r="J6977" s="3">
        <v>1172</v>
      </c>
      <c r="K6977" s="3">
        <v>0</v>
      </c>
      <c r="L6977" s="3">
        <v>16</v>
      </c>
      <c r="M6977" s="3">
        <v>0</v>
      </c>
      <c r="N6977" s="3">
        <v>0</v>
      </c>
    </row>
    <row r="6978" spans="1:14" x14ac:dyDescent="0.2">
      <c r="A6978" s="5" t="str">
        <f>HYPERLINK("http://www.ncbi.nlm.nih.gov/protein/77404373","Smarcd3")</f>
        <v>Smarcd3</v>
      </c>
      <c r="B6978" s="4"/>
      <c r="C6978" s="3">
        <v>1172</v>
      </c>
      <c r="D6978" s="3">
        <v>0</v>
      </c>
      <c r="E6978" s="3">
        <v>0</v>
      </c>
      <c r="F6978" s="3">
        <v>0</v>
      </c>
      <c r="G6978" s="3">
        <v>0</v>
      </c>
      <c r="H6978" s="2">
        <f t="shared" ref="H6978:H7041" si="218">SUM(C6978:G6978)</f>
        <v>1172</v>
      </c>
      <c r="I6978" t="str">
        <f t="shared" ref="I6978:I7041" si="219">A6978&amp;"_"&amp;H6978</f>
        <v>Smarcd3_1172</v>
      </c>
      <c r="J6978" s="3">
        <v>1172</v>
      </c>
      <c r="K6978" s="3">
        <v>0</v>
      </c>
      <c r="L6978" s="3">
        <v>0</v>
      </c>
      <c r="M6978" s="3">
        <v>0</v>
      </c>
      <c r="N6978" s="3">
        <v>0</v>
      </c>
    </row>
    <row r="6979" spans="1:14" x14ac:dyDescent="0.2">
      <c r="A6979" s="5" t="str">
        <f>HYPERLINK("http://www.ncbi.nlm.nih.gov/protein/10181166","Smarce1")</f>
        <v>Smarce1</v>
      </c>
      <c r="B6979" s="4"/>
      <c r="C6979" s="3">
        <v>15249</v>
      </c>
      <c r="D6979" s="3">
        <v>455</v>
      </c>
      <c r="E6979" s="3">
        <v>0</v>
      </c>
      <c r="F6979" s="3">
        <v>164</v>
      </c>
      <c r="G6979" s="3">
        <v>0</v>
      </c>
      <c r="H6979" s="2">
        <f t="shared" si="218"/>
        <v>15868</v>
      </c>
      <c r="I6979" t="str">
        <f t="shared" si="219"/>
        <v>Smarce1_15868</v>
      </c>
      <c r="J6979" s="3">
        <v>15249</v>
      </c>
      <c r="K6979" s="3">
        <v>455</v>
      </c>
      <c r="L6979" s="3">
        <v>0</v>
      </c>
      <c r="M6979" s="3">
        <v>164</v>
      </c>
      <c r="N6979" s="3">
        <v>0</v>
      </c>
    </row>
    <row r="6980" spans="1:14" x14ac:dyDescent="0.2">
      <c r="A6980" s="5" t="str">
        <f>HYPERLINK("http://www.ncbi.nlm.nih.gov/protein/258613892","Smc1a")</f>
        <v>Smc1a</v>
      </c>
      <c r="B6980" s="4"/>
      <c r="C6980" s="3">
        <v>30663</v>
      </c>
      <c r="D6980" s="3">
        <v>46</v>
      </c>
      <c r="E6980" s="3">
        <v>3045</v>
      </c>
      <c r="F6980" s="3">
        <v>1473</v>
      </c>
      <c r="G6980" s="3">
        <v>0</v>
      </c>
      <c r="H6980" s="2">
        <f t="shared" si="218"/>
        <v>35227</v>
      </c>
      <c r="I6980" t="str">
        <f t="shared" si="219"/>
        <v>Smc1a_35227</v>
      </c>
      <c r="J6980" s="3">
        <v>30663</v>
      </c>
      <c r="K6980" s="3">
        <v>46</v>
      </c>
      <c r="L6980" s="3">
        <v>3045</v>
      </c>
      <c r="M6980" s="3">
        <v>1473</v>
      </c>
      <c r="N6980" s="3">
        <v>0</v>
      </c>
    </row>
    <row r="6981" spans="1:14" x14ac:dyDescent="0.2">
      <c r="A6981" s="5" t="str">
        <f>HYPERLINK("http://www.ncbi.nlm.nih.gov/protein/62990166","Smc2")</f>
        <v>Smc2</v>
      </c>
      <c r="B6981" s="4"/>
      <c r="C6981" s="3">
        <v>0</v>
      </c>
      <c r="D6981" s="3">
        <v>4689</v>
      </c>
      <c r="E6981" s="3">
        <v>27553</v>
      </c>
      <c r="F6981" s="3">
        <v>40551</v>
      </c>
      <c r="G6981" s="3">
        <v>14479</v>
      </c>
      <c r="H6981" s="2">
        <f t="shared" si="218"/>
        <v>87272</v>
      </c>
      <c r="I6981" t="str">
        <f t="shared" si="219"/>
        <v>Smc2_87272</v>
      </c>
      <c r="J6981" s="3">
        <v>0</v>
      </c>
      <c r="K6981" s="3">
        <v>4689</v>
      </c>
      <c r="L6981" s="3">
        <v>27553</v>
      </c>
      <c r="M6981" s="3">
        <v>40551</v>
      </c>
      <c r="N6981" s="3">
        <v>14479</v>
      </c>
    </row>
    <row r="6982" spans="1:14" x14ac:dyDescent="0.2">
      <c r="A6982" s="5" t="str">
        <f>HYPERLINK("http://www.ncbi.nlm.nih.gov/protein/36031035","Smc3")</f>
        <v>Smc3</v>
      </c>
      <c r="B6982" s="4"/>
      <c r="C6982" s="3">
        <v>63449</v>
      </c>
      <c r="D6982" s="3">
        <v>5597</v>
      </c>
      <c r="E6982" s="3">
        <v>9747</v>
      </c>
      <c r="F6982" s="3">
        <v>5452</v>
      </c>
      <c r="G6982" s="3">
        <v>4112</v>
      </c>
      <c r="H6982" s="2">
        <f t="shared" si="218"/>
        <v>88357</v>
      </c>
      <c r="I6982" t="str">
        <f t="shared" si="219"/>
        <v>Smc3_88357</v>
      </c>
      <c r="J6982" s="3">
        <v>63449</v>
      </c>
      <c r="K6982" s="3">
        <v>5597</v>
      </c>
      <c r="L6982" s="3">
        <v>9747</v>
      </c>
      <c r="M6982" s="3">
        <v>5452</v>
      </c>
      <c r="N6982" s="3">
        <v>4112</v>
      </c>
    </row>
    <row r="6983" spans="1:14" x14ac:dyDescent="0.2">
      <c r="A6983" s="5" t="str">
        <f>HYPERLINK("http://www.ncbi.nlm.nih.gov/protein/29789347","Smc4")</f>
        <v>Smc4</v>
      </c>
      <c r="B6983" s="4"/>
      <c r="C6983" s="3">
        <v>0</v>
      </c>
      <c r="D6983" s="3">
        <v>0</v>
      </c>
      <c r="E6983" s="3">
        <v>24344</v>
      </c>
      <c r="F6983" s="3">
        <v>24925</v>
      </c>
      <c r="G6983" s="3">
        <v>25564</v>
      </c>
      <c r="H6983" s="2">
        <f t="shared" si="218"/>
        <v>74833</v>
      </c>
      <c r="I6983" t="str">
        <f t="shared" si="219"/>
        <v>Smc4_74833</v>
      </c>
      <c r="J6983" s="3">
        <v>0</v>
      </c>
      <c r="K6983" s="3">
        <v>0</v>
      </c>
      <c r="L6983" s="3">
        <v>24344</v>
      </c>
      <c r="M6983" s="3">
        <v>24925</v>
      </c>
      <c r="N6983" s="3">
        <v>25564</v>
      </c>
    </row>
    <row r="6984" spans="1:14" x14ac:dyDescent="0.2">
      <c r="A6984" s="5" t="str">
        <f>HYPERLINK("http://www.ncbi.nlm.nih.gov/protein/148839318","Smchd1")</f>
        <v>Smchd1</v>
      </c>
      <c r="B6984" s="4"/>
      <c r="C6984" s="3">
        <v>10892</v>
      </c>
      <c r="D6984" s="3">
        <v>292</v>
      </c>
      <c r="E6984" s="3">
        <v>23</v>
      </c>
      <c r="F6984" s="3">
        <v>3070</v>
      </c>
      <c r="G6984" s="3">
        <v>0</v>
      </c>
      <c r="H6984" s="2">
        <f t="shared" si="218"/>
        <v>14277</v>
      </c>
      <c r="I6984" t="str">
        <f t="shared" si="219"/>
        <v>Smchd1_14277</v>
      </c>
      <c r="J6984" s="3">
        <v>10892</v>
      </c>
      <c r="K6984" s="3">
        <v>292</v>
      </c>
      <c r="L6984" s="3">
        <v>23</v>
      </c>
      <c r="M6984" s="3">
        <v>3070</v>
      </c>
      <c r="N6984" s="3">
        <v>0</v>
      </c>
    </row>
    <row r="6985" spans="1:14" x14ac:dyDescent="0.2">
      <c r="A6985" s="5" t="str">
        <f>HYPERLINK("http://www.ncbi.nlm.nih.gov/protein/281427239","Smco1")</f>
        <v>Smco1</v>
      </c>
      <c r="B6985" s="4"/>
      <c r="C6985" s="3">
        <v>0</v>
      </c>
      <c r="D6985" s="3">
        <v>0</v>
      </c>
      <c r="E6985" s="3">
        <v>0</v>
      </c>
      <c r="F6985" s="3">
        <v>2333</v>
      </c>
      <c r="G6985" s="3">
        <v>0</v>
      </c>
      <c r="H6985" s="2">
        <f t="shared" si="218"/>
        <v>2333</v>
      </c>
      <c r="I6985" t="str">
        <f t="shared" si="219"/>
        <v>Smco1_2333</v>
      </c>
      <c r="J6985" s="3">
        <v>0</v>
      </c>
      <c r="K6985" s="3">
        <v>0</v>
      </c>
      <c r="L6985" s="3">
        <v>0</v>
      </c>
      <c r="M6985" s="3">
        <v>2333</v>
      </c>
      <c r="N6985" s="3">
        <v>0</v>
      </c>
    </row>
    <row r="6986" spans="1:14" x14ac:dyDescent="0.2">
      <c r="A6986" s="5" t="str">
        <f>HYPERLINK("http://www.ncbi.nlm.nih.gov/protein/58037137","Smdt1")</f>
        <v>Smdt1</v>
      </c>
      <c r="B6986" s="4"/>
      <c r="C6986" s="3">
        <v>0</v>
      </c>
      <c r="D6986" s="3">
        <v>461</v>
      </c>
      <c r="E6986" s="3">
        <v>0</v>
      </c>
      <c r="F6986" s="3">
        <v>0</v>
      </c>
      <c r="G6986" s="3">
        <v>0</v>
      </c>
      <c r="H6986" s="2">
        <f t="shared" si="218"/>
        <v>461</v>
      </c>
      <c r="I6986" t="str">
        <f t="shared" si="219"/>
        <v>Smdt1_461</v>
      </c>
      <c r="J6986" s="3">
        <v>0</v>
      </c>
      <c r="K6986" s="3">
        <v>461</v>
      </c>
      <c r="L6986" s="3">
        <v>0</v>
      </c>
      <c r="M6986" s="3">
        <v>0</v>
      </c>
      <c r="N6986" s="3">
        <v>0</v>
      </c>
    </row>
    <row r="6987" spans="1:14" x14ac:dyDescent="0.2">
      <c r="A6987" s="5" t="str">
        <f>HYPERLINK("http://www.ncbi.nlm.nih.gov/protein/237649040","Smek1")</f>
        <v>Smek1</v>
      </c>
      <c r="B6987" s="4"/>
      <c r="C6987" s="3">
        <v>0</v>
      </c>
      <c r="D6987" s="3">
        <v>0</v>
      </c>
      <c r="E6987" s="3">
        <v>1071</v>
      </c>
      <c r="F6987" s="3">
        <v>17845</v>
      </c>
      <c r="G6987" s="3">
        <v>21901</v>
      </c>
      <c r="H6987" s="2">
        <f t="shared" si="218"/>
        <v>40817</v>
      </c>
      <c r="I6987" t="str">
        <f t="shared" si="219"/>
        <v>Smek1_40817</v>
      </c>
      <c r="J6987" s="3">
        <v>0</v>
      </c>
      <c r="K6987" s="3">
        <v>0</v>
      </c>
      <c r="L6987" s="3">
        <v>1071</v>
      </c>
      <c r="M6987" s="3">
        <v>17845</v>
      </c>
      <c r="N6987" s="3">
        <v>21901</v>
      </c>
    </row>
    <row r="6988" spans="1:14" x14ac:dyDescent="0.2">
      <c r="A6988" s="5" t="str">
        <f>HYPERLINK("http://www.ncbi.nlm.nih.gov/protein/46849745","Smek1")</f>
        <v>Smek1</v>
      </c>
      <c r="B6988" s="4"/>
      <c r="C6988" s="3">
        <v>0</v>
      </c>
      <c r="D6988" s="3">
        <v>0</v>
      </c>
      <c r="E6988" s="3">
        <v>1071</v>
      </c>
      <c r="F6988" s="3">
        <v>17845</v>
      </c>
      <c r="G6988" s="3">
        <v>21901</v>
      </c>
      <c r="H6988" s="2">
        <f t="shared" si="218"/>
        <v>40817</v>
      </c>
      <c r="I6988" t="str">
        <f t="shared" si="219"/>
        <v>Smek1_40817</v>
      </c>
      <c r="J6988" s="3">
        <v>0</v>
      </c>
      <c r="K6988" s="3">
        <v>0</v>
      </c>
      <c r="L6988" s="3">
        <v>1071</v>
      </c>
      <c r="M6988" s="3">
        <v>17845</v>
      </c>
      <c r="N6988" s="3">
        <v>21901</v>
      </c>
    </row>
    <row r="6989" spans="1:14" x14ac:dyDescent="0.2">
      <c r="A6989" s="5" t="str">
        <f>HYPERLINK("http://www.ncbi.nlm.nih.gov/protein/262231766","Smek2")</f>
        <v>Smek2</v>
      </c>
      <c r="B6989" s="4"/>
      <c r="C6989" s="3">
        <v>0</v>
      </c>
      <c r="D6989" s="3">
        <v>0</v>
      </c>
      <c r="E6989" s="3">
        <v>0</v>
      </c>
      <c r="F6989" s="3">
        <v>4600</v>
      </c>
      <c r="G6989" s="3">
        <v>13633</v>
      </c>
      <c r="H6989" s="2">
        <f t="shared" si="218"/>
        <v>18233</v>
      </c>
      <c r="I6989" t="str">
        <f t="shared" si="219"/>
        <v>Smek2_18233</v>
      </c>
      <c r="J6989" s="3">
        <v>0</v>
      </c>
      <c r="K6989" s="3">
        <v>0</v>
      </c>
      <c r="L6989" s="3">
        <v>0</v>
      </c>
      <c r="M6989" s="3">
        <v>4600</v>
      </c>
      <c r="N6989" s="3">
        <v>13633</v>
      </c>
    </row>
    <row r="6990" spans="1:14" x14ac:dyDescent="0.2">
      <c r="A6990" s="5" t="str">
        <f>HYPERLINK("http://www.ncbi.nlm.nih.gov/protein/73532758","Smg1")</f>
        <v>Smg1</v>
      </c>
      <c r="B6990" s="4"/>
      <c r="C6990" s="3">
        <v>0</v>
      </c>
      <c r="D6990" s="3">
        <v>13</v>
      </c>
      <c r="E6990" s="3">
        <v>294</v>
      </c>
      <c r="F6990" s="3">
        <v>24237</v>
      </c>
      <c r="G6990" s="3">
        <v>0</v>
      </c>
      <c r="H6990" s="2">
        <f t="shared" si="218"/>
        <v>24544</v>
      </c>
      <c r="I6990" t="str">
        <f t="shared" si="219"/>
        <v>Smg1_24544</v>
      </c>
      <c r="J6990" s="3">
        <v>0</v>
      </c>
      <c r="K6990" s="3">
        <v>13</v>
      </c>
      <c r="L6990" s="3">
        <v>294</v>
      </c>
      <c r="M6990" s="3">
        <v>24237</v>
      </c>
      <c r="N6990" s="3">
        <v>0</v>
      </c>
    </row>
    <row r="6991" spans="1:14" x14ac:dyDescent="0.2">
      <c r="A6991" s="5" t="str">
        <f>HYPERLINK("http://www.ncbi.nlm.nih.gov/protein/112807193","Smg5")</f>
        <v>Smg5</v>
      </c>
      <c r="B6991" s="4"/>
      <c r="C6991" s="3">
        <v>0</v>
      </c>
      <c r="D6991" s="3">
        <v>0</v>
      </c>
      <c r="E6991" s="3">
        <v>10</v>
      </c>
      <c r="F6991" s="3">
        <v>0</v>
      </c>
      <c r="G6991" s="3">
        <v>0</v>
      </c>
      <c r="H6991" s="2">
        <f t="shared" si="218"/>
        <v>10</v>
      </c>
      <c r="I6991" t="str">
        <f t="shared" si="219"/>
        <v>Smg5_10</v>
      </c>
      <c r="J6991" s="3">
        <v>0</v>
      </c>
      <c r="K6991" s="3">
        <v>0</v>
      </c>
      <c r="L6991" s="3">
        <v>10</v>
      </c>
      <c r="M6991" s="3">
        <v>0</v>
      </c>
      <c r="N6991" s="3">
        <v>0</v>
      </c>
    </row>
    <row r="6992" spans="1:14" x14ac:dyDescent="0.2">
      <c r="A6992" s="5" t="str">
        <f>HYPERLINK("http://www.ncbi.nlm.nih.gov/protein/50582545","Smg6")</f>
        <v>Smg6</v>
      </c>
      <c r="B6992" s="4"/>
      <c r="C6992" s="3">
        <v>0</v>
      </c>
      <c r="D6992" s="3">
        <v>0</v>
      </c>
      <c r="E6992" s="3">
        <v>12</v>
      </c>
      <c r="F6992" s="3">
        <v>0</v>
      </c>
      <c r="G6992" s="3">
        <v>0</v>
      </c>
      <c r="H6992" s="2">
        <f t="shared" si="218"/>
        <v>12</v>
      </c>
      <c r="I6992" t="str">
        <f t="shared" si="219"/>
        <v>Smg6_12</v>
      </c>
      <c r="J6992" s="3">
        <v>0</v>
      </c>
      <c r="K6992" s="3">
        <v>0</v>
      </c>
      <c r="L6992" s="3">
        <v>12</v>
      </c>
      <c r="M6992" s="3">
        <v>0</v>
      </c>
      <c r="N6992" s="3">
        <v>0</v>
      </c>
    </row>
    <row r="6993" spans="1:14" x14ac:dyDescent="0.2">
      <c r="A6993" s="5" t="str">
        <f>HYPERLINK("http://www.ncbi.nlm.nih.gov/protein/23956216","Smg8")</f>
        <v>Smg8</v>
      </c>
      <c r="B6993" s="4"/>
      <c r="C6993" s="3">
        <v>0</v>
      </c>
      <c r="D6993" s="3">
        <v>0</v>
      </c>
      <c r="E6993" s="3">
        <v>838</v>
      </c>
      <c r="F6993" s="3">
        <v>0</v>
      </c>
      <c r="G6993" s="3">
        <v>0</v>
      </c>
      <c r="H6993" s="2">
        <f t="shared" si="218"/>
        <v>838</v>
      </c>
      <c r="I6993" t="str">
        <f t="shared" si="219"/>
        <v>Smg8_838</v>
      </c>
      <c r="J6993" s="3">
        <v>0</v>
      </c>
      <c r="K6993" s="3">
        <v>0</v>
      </c>
      <c r="L6993" s="3">
        <v>838</v>
      </c>
      <c r="M6993" s="3">
        <v>0</v>
      </c>
      <c r="N6993" s="3">
        <v>0</v>
      </c>
    </row>
    <row r="6994" spans="1:14" x14ac:dyDescent="0.2">
      <c r="A6994" s="5" t="str">
        <f>HYPERLINK("http://www.ncbi.nlm.nih.gov/protein/21312548","Smg9")</f>
        <v>Smg9</v>
      </c>
      <c r="B6994" s="4"/>
      <c r="C6994" s="3">
        <v>0</v>
      </c>
      <c r="D6994" s="3">
        <v>0</v>
      </c>
      <c r="E6994" s="3">
        <v>136</v>
      </c>
      <c r="F6994" s="3">
        <v>999</v>
      </c>
      <c r="G6994" s="3">
        <v>0</v>
      </c>
      <c r="H6994" s="2">
        <f t="shared" si="218"/>
        <v>1135</v>
      </c>
      <c r="I6994" t="str">
        <f t="shared" si="219"/>
        <v>Smg9_1135</v>
      </c>
      <c r="J6994" s="3">
        <v>0</v>
      </c>
      <c r="K6994" s="3">
        <v>0</v>
      </c>
      <c r="L6994" s="3">
        <v>136</v>
      </c>
      <c r="M6994" s="3">
        <v>999</v>
      </c>
      <c r="N6994" s="3">
        <v>0</v>
      </c>
    </row>
    <row r="6995" spans="1:14" x14ac:dyDescent="0.2">
      <c r="A6995" s="5" t="str">
        <f>HYPERLINK("http://www.ncbi.nlm.nih.gov/protein/254910949","Smim1")</f>
        <v>Smim1</v>
      </c>
      <c r="B6995" s="4"/>
      <c r="C6995" s="3">
        <v>0</v>
      </c>
      <c r="D6995" s="3">
        <v>8</v>
      </c>
      <c r="E6995" s="3">
        <v>142</v>
      </c>
      <c r="F6995" s="3">
        <v>262</v>
      </c>
      <c r="G6995" s="3">
        <v>0</v>
      </c>
      <c r="H6995" s="2">
        <f t="shared" si="218"/>
        <v>412</v>
      </c>
      <c r="I6995" t="str">
        <f t="shared" si="219"/>
        <v>Smim1_412</v>
      </c>
      <c r="J6995" s="3">
        <v>0</v>
      </c>
      <c r="K6995" s="3">
        <v>8</v>
      </c>
      <c r="L6995" s="3">
        <v>142</v>
      </c>
      <c r="M6995" s="3">
        <v>262</v>
      </c>
      <c r="N6995" s="3">
        <v>0</v>
      </c>
    </row>
    <row r="6996" spans="1:14" x14ac:dyDescent="0.2">
      <c r="A6996" s="5" t="str">
        <f>HYPERLINK("http://www.ncbi.nlm.nih.gov/protein/13384892","Smim12")</f>
        <v>Smim12</v>
      </c>
      <c r="B6996" s="4"/>
      <c r="C6996" s="3">
        <v>0</v>
      </c>
      <c r="D6996" s="3">
        <v>0</v>
      </c>
      <c r="E6996" s="3">
        <v>3</v>
      </c>
      <c r="F6996" s="3">
        <v>0</v>
      </c>
      <c r="G6996" s="3">
        <v>0</v>
      </c>
      <c r="H6996" s="2">
        <f t="shared" si="218"/>
        <v>3</v>
      </c>
      <c r="I6996" t="str">
        <f t="shared" si="219"/>
        <v>Smim12_3</v>
      </c>
      <c r="J6996" s="3">
        <v>0</v>
      </c>
      <c r="K6996" s="3">
        <v>0</v>
      </c>
      <c r="L6996" s="3">
        <v>3</v>
      </c>
      <c r="M6996" s="3">
        <v>0</v>
      </c>
      <c r="N6996" s="3">
        <v>0</v>
      </c>
    </row>
    <row r="6997" spans="1:14" x14ac:dyDescent="0.2">
      <c r="A6997" s="5" t="str">
        <f>HYPERLINK("http://www.ncbi.nlm.nih.gov/protein/224177530","Smim20")</f>
        <v>Smim20</v>
      </c>
      <c r="B6997" s="4"/>
      <c r="C6997" s="3">
        <v>787</v>
      </c>
      <c r="D6997" s="3">
        <v>180</v>
      </c>
      <c r="E6997" s="3">
        <v>10</v>
      </c>
      <c r="F6997" s="3">
        <v>0</v>
      </c>
      <c r="G6997" s="3">
        <v>0</v>
      </c>
      <c r="H6997" s="2">
        <f t="shared" si="218"/>
        <v>977</v>
      </c>
      <c r="I6997" t="str">
        <f t="shared" si="219"/>
        <v>Smim20_977</v>
      </c>
      <c r="J6997" s="3">
        <v>787</v>
      </c>
      <c r="K6997" s="3">
        <v>180</v>
      </c>
      <c r="L6997" s="3">
        <v>10</v>
      </c>
      <c r="M6997" s="3">
        <v>0</v>
      </c>
      <c r="N6997" s="3">
        <v>0</v>
      </c>
    </row>
    <row r="6998" spans="1:14" x14ac:dyDescent="0.2">
      <c r="A6998" s="5" t="str">
        <f>HYPERLINK("http://www.ncbi.nlm.nih.gov/protein/359374252","Smim22")</f>
        <v>Smim22</v>
      </c>
      <c r="B6998" s="4"/>
      <c r="C6998" s="3">
        <v>0</v>
      </c>
      <c r="D6998" s="3">
        <v>0</v>
      </c>
      <c r="E6998" s="3">
        <v>100</v>
      </c>
      <c r="F6998" s="3">
        <v>1703</v>
      </c>
      <c r="G6998" s="3">
        <v>0</v>
      </c>
      <c r="H6998" s="2">
        <f t="shared" si="218"/>
        <v>1803</v>
      </c>
      <c r="I6998" t="str">
        <f t="shared" si="219"/>
        <v>Smim22_1803</v>
      </c>
      <c r="J6998" s="3">
        <v>0</v>
      </c>
      <c r="K6998" s="3">
        <v>0</v>
      </c>
      <c r="L6998" s="3">
        <v>100</v>
      </c>
      <c r="M6998" s="3">
        <v>1703</v>
      </c>
      <c r="N6998" s="3">
        <v>0</v>
      </c>
    </row>
    <row r="6999" spans="1:14" x14ac:dyDescent="0.2">
      <c r="A6999" s="5" t="str">
        <f>HYPERLINK("http://www.ncbi.nlm.nih.gov/protein/359374254","Smim22")</f>
        <v>Smim22</v>
      </c>
      <c r="B6999" s="4"/>
      <c r="C6999" s="3">
        <v>0</v>
      </c>
      <c r="D6999" s="3">
        <v>0</v>
      </c>
      <c r="E6999" s="3">
        <v>100</v>
      </c>
      <c r="F6999" s="3">
        <v>1703</v>
      </c>
      <c r="G6999" s="3">
        <v>0</v>
      </c>
      <c r="H6999" s="2">
        <f t="shared" si="218"/>
        <v>1803</v>
      </c>
      <c r="I6999" t="str">
        <f t="shared" si="219"/>
        <v>Smim22_1803</v>
      </c>
      <c r="J6999" s="3">
        <v>0</v>
      </c>
      <c r="K6999" s="3">
        <v>0</v>
      </c>
      <c r="L6999" s="3">
        <v>100</v>
      </c>
      <c r="M6999" s="3">
        <v>1703</v>
      </c>
      <c r="N6999" s="3">
        <v>0</v>
      </c>
    </row>
    <row r="7000" spans="1:14" x14ac:dyDescent="0.2">
      <c r="A7000" s="5" t="str">
        <f>HYPERLINK("http://www.ncbi.nlm.nih.gov/protein/27369485","Smim7")</f>
        <v>Smim7</v>
      </c>
      <c r="B7000" s="4"/>
      <c r="C7000" s="3">
        <v>73</v>
      </c>
      <c r="D7000" s="3">
        <v>198</v>
      </c>
      <c r="E7000" s="3">
        <v>117</v>
      </c>
      <c r="F7000" s="3">
        <v>106</v>
      </c>
      <c r="G7000" s="3">
        <v>0</v>
      </c>
      <c r="H7000" s="2">
        <f t="shared" si="218"/>
        <v>494</v>
      </c>
      <c r="I7000" t="str">
        <f t="shared" si="219"/>
        <v>Smim7_494</v>
      </c>
      <c r="J7000" s="3">
        <v>73</v>
      </c>
      <c r="K7000" s="3">
        <v>198</v>
      </c>
      <c r="L7000" s="3">
        <v>117</v>
      </c>
      <c r="M7000" s="3">
        <v>106</v>
      </c>
      <c r="N7000" s="3">
        <v>0</v>
      </c>
    </row>
    <row r="7001" spans="1:14" x14ac:dyDescent="0.2">
      <c r="A7001" s="5" t="str">
        <f>HYPERLINK("http://www.ncbi.nlm.nih.gov/protein/6755580","Smn1")</f>
        <v>Smn1</v>
      </c>
      <c r="B7001" s="4"/>
      <c r="C7001" s="3">
        <v>0</v>
      </c>
      <c r="D7001" s="3">
        <v>104</v>
      </c>
      <c r="E7001" s="3">
        <v>37</v>
      </c>
      <c r="F7001" s="3">
        <v>1940</v>
      </c>
      <c r="G7001" s="3">
        <v>0</v>
      </c>
      <c r="H7001" s="2">
        <f t="shared" si="218"/>
        <v>2081</v>
      </c>
      <c r="I7001" t="str">
        <f t="shared" si="219"/>
        <v>Smn1_2081</v>
      </c>
      <c r="J7001" s="3">
        <v>0</v>
      </c>
      <c r="K7001" s="3">
        <v>104</v>
      </c>
      <c r="L7001" s="3">
        <v>37</v>
      </c>
      <c r="M7001" s="3">
        <v>1940</v>
      </c>
      <c r="N7001" s="3">
        <v>0</v>
      </c>
    </row>
    <row r="7002" spans="1:14" x14ac:dyDescent="0.2">
      <c r="A7002" s="5" t="str">
        <f>HYPERLINK("http://www.ncbi.nlm.nih.gov/protein/27369569","Smndc1")</f>
        <v>Smndc1</v>
      </c>
      <c r="B7002" s="4"/>
      <c r="C7002" s="3">
        <v>0</v>
      </c>
      <c r="D7002" s="3">
        <v>0</v>
      </c>
      <c r="E7002" s="3">
        <v>139</v>
      </c>
      <c r="F7002" s="3">
        <v>524</v>
      </c>
      <c r="G7002" s="3">
        <v>0</v>
      </c>
      <c r="H7002" s="2">
        <f t="shared" si="218"/>
        <v>663</v>
      </c>
      <c r="I7002" t="str">
        <f t="shared" si="219"/>
        <v>Smndc1_663</v>
      </c>
      <c r="J7002" s="3">
        <v>0</v>
      </c>
      <c r="K7002" s="3">
        <v>0</v>
      </c>
      <c r="L7002" s="3">
        <v>139</v>
      </c>
      <c r="M7002" s="3">
        <v>524</v>
      </c>
      <c r="N7002" s="3">
        <v>0</v>
      </c>
    </row>
    <row r="7003" spans="1:14" x14ac:dyDescent="0.2">
      <c r="A7003" s="5" t="str">
        <f>HYPERLINK("http://www.ncbi.nlm.nih.gov/protein/6678031","Smpd2")</f>
        <v>Smpd2</v>
      </c>
      <c r="B7003" s="4"/>
      <c r="C7003" s="3">
        <v>110</v>
      </c>
      <c r="D7003" s="3">
        <v>0</v>
      </c>
      <c r="E7003" s="3">
        <v>481</v>
      </c>
      <c r="F7003" s="3">
        <v>0</v>
      </c>
      <c r="G7003" s="3">
        <v>0</v>
      </c>
      <c r="H7003" s="2">
        <f t="shared" si="218"/>
        <v>591</v>
      </c>
      <c r="I7003" t="str">
        <f t="shared" si="219"/>
        <v>Smpd2_591</v>
      </c>
      <c r="J7003" s="3">
        <v>110</v>
      </c>
      <c r="K7003" s="3">
        <v>0</v>
      </c>
      <c r="L7003" s="3">
        <v>481</v>
      </c>
      <c r="M7003" s="3">
        <v>0</v>
      </c>
      <c r="N7003" s="3">
        <v>0</v>
      </c>
    </row>
    <row r="7004" spans="1:14" x14ac:dyDescent="0.2">
      <c r="A7004" s="5" t="str">
        <f>HYPERLINK("http://www.ncbi.nlm.nih.gov/protein/257196240","Smpd4")</f>
        <v>Smpd4</v>
      </c>
      <c r="B7004" s="4"/>
      <c r="C7004" s="3">
        <v>1446</v>
      </c>
      <c r="D7004" s="3">
        <v>808</v>
      </c>
      <c r="E7004" s="3">
        <v>476</v>
      </c>
      <c r="F7004" s="3">
        <v>0</v>
      </c>
      <c r="G7004" s="3">
        <v>0</v>
      </c>
      <c r="H7004" s="2">
        <f t="shared" si="218"/>
        <v>2730</v>
      </c>
      <c r="I7004" t="str">
        <f t="shared" si="219"/>
        <v>Smpd4_2730</v>
      </c>
      <c r="J7004" s="3">
        <v>1446</v>
      </c>
      <c r="K7004" s="3">
        <v>808</v>
      </c>
      <c r="L7004" s="3">
        <v>476</v>
      </c>
      <c r="M7004" s="3">
        <v>0</v>
      </c>
      <c r="N7004" s="3">
        <v>0</v>
      </c>
    </row>
    <row r="7005" spans="1:14" x14ac:dyDescent="0.2">
      <c r="A7005" s="5" t="str">
        <f>HYPERLINK("http://www.ncbi.nlm.nih.gov/protein/257196243","Smpd4")</f>
        <v>Smpd4</v>
      </c>
      <c r="B7005" s="4"/>
      <c r="C7005" s="3">
        <v>1446</v>
      </c>
      <c r="D7005" s="3">
        <v>808</v>
      </c>
      <c r="E7005" s="3">
        <v>476</v>
      </c>
      <c r="F7005" s="3">
        <v>0</v>
      </c>
      <c r="G7005" s="3">
        <v>0</v>
      </c>
      <c r="H7005" s="2">
        <f t="shared" si="218"/>
        <v>2730</v>
      </c>
      <c r="I7005" t="str">
        <f t="shared" si="219"/>
        <v>Smpd4_2730</v>
      </c>
      <c r="J7005" s="3">
        <v>1446</v>
      </c>
      <c r="K7005" s="3">
        <v>808</v>
      </c>
      <c r="L7005" s="3">
        <v>476</v>
      </c>
      <c r="M7005" s="3">
        <v>0</v>
      </c>
      <c r="N7005" s="3">
        <v>0</v>
      </c>
    </row>
    <row r="7006" spans="1:14" x14ac:dyDescent="0.2">
      <c r="A7006" s="5" t="str">
        <f>HYPERLINK("http://www.ncbi.nlm.nih.gov/protein/257196245","Smpd4")</f>
        <v>Smpd4</v>
      </c>
      <c r="B7006" s="4"/>
      <c r="C7006" s="3">
        <v>1446</v>
      </c>
      <c r="D7006" s="3">
        <v>808</v>
      </c>
      <c r="E7006" s="3">
        <v>476</v>
      </c>
      <c r="F7006" s="3">
        <v>0</v>
      </c>
      <c r="G7006" s="3">
        <v>0</v>
      </c>
      <c r="H7006" s="2">
        <f t="shared" si="218"/>
        <v>2730</v>
      </c>
      <c r="I7006" t="str">
        <f t="shared" si="219"/>
        <v>Smpd4_2730</v>
      </c>
      <c r="J7006" s="3">
        <v>1446</v>
      </c>
      <c r="K7006" s="3">
        <v>808</v>
      </c>
      <c r="L7006" s="3">
        <v>476</v>
      </c>
      <c r="M7006" s="3">
        <v>0</v>
      </c>
      <c r="N7006" s="3">
        <v>0</v>
      </c>
    </row>
    <row r="7007" spans="1:14" x14ac:dyDescent="0.2">
      <c r="A7007" s="5" t="str">
        <f>HYPERLINK("http://www.ncbi.nlm.nih.gov/protein/257196247","Smpd4")</f>
        <v>Smpd4</v>
      </c>
      <c r="B7007" s="4"/>
      <c r="C7007" s="3">
        <v>1446</v>
      </c>
      <c r="D7007" s="3">
        <v>808</v>
      </c>
      <c r="E7007" s="3">
        <v>476</v>
      </c>
      <c r="F7007" s="3">
        <v>0</v>
      </c>
      <c r="G7007" s="3">
        <v>0</v>
      </c>
      <c r="H7007" s="2">
        <f t="shared" si="218"/>
        <v>2730</v>
      </c>
      <c r="I7007" t="str">
        <f t="shared" si="219"/>
        <v>Smpd4_2730</v>
      </c>
      <c r="J7007" s="3">
        <v>1446</v>
      </c>
      <c r="K7007" s="3">
        <v>808</v>
      </c>
      <c r="L7007" s="3">
        <v>476</v>
      </c>
      <c r="M7007" s="3">
        <v>0</v>
      </c>
      <c r="N7007" s="3">
        <v>0</v>
      </c>
    </row>
    <row r="7008" spans="1:14" x14ac:dyDescent="0.2">
      <c r="A7008" s="5" t="str">
        <f>HYPERLINK("http://www.ncbi.nlm.nih.gov/protein/19527104","Smpdl3b")</f>
        <v>Smpdl3b</v>
      </c>
      <c r="B7008" s="4"/>
      <c r="C7008" s="3">
        <v>0</v>
      </c>
      <c r="D7008" s="3">
        <v>0</v>
      </c>
      <c r="E7008" s="3">
        <v>606</v>
      </c>
      <c r="F7008" s="3">
        <v>0</v>
      </c>
      <c r="G7008" s="3">
        <v>0</v>
      </c>
      <c r="H7008" s="2">
        <f t="shared" si="218"/>
        <v>606</v>
      </c>
      <c r="I7008" t="str">
        <f t="shared" si="219"/>
        <v>Smpdl3b_606</v>
      </c>
      <c r="J7008" s="3">
        <v>0</v>
      </c>
      <c r="K7008" s="3">
        <v>0</v>
      </c>
      <c r="L7008" s="3">
        <v>606</v>
      </c>
      <c r="M7008" s="3">
        <v>0</v>
      </c>
      <c r="N7008" s="3">
        <v>0</v>
      </c>
    </row>
    <row r="7009" spans="1:14" x14ac:dyDescent="0.2">
      <c r="A7009" s="5" t="str">
        <f>HYPERLINK("http://www.ncbi.nlm.nih.gov/protein/226529455","Smtn")</f>
        <v>Smtn</v>
      </c>
      <c r="B7009" s="4"/>
      <c r="C7009" s="3">
        <v>0</v>
      </c>
      <c r="D7009" s="3">
        <v>0</v>
      </c>
      <c r="E7009" s="3">
        <v>0</v>
      </c>
      <c r="F7009" s="3">
        <v>8</v>
      </c>
      <c r="G7009" s="3">
        <v>0</v>
      </c>
      <c r="H7009" s="2">
        <f t="shared" si="218"/>
        <v>8</v>
      </c>
      <c r="I7009" t="str">
        <f t="shared" si="219"/>
        <v>Smtn_8</v>
      </c>
      <c r="J7009" s="3">
        <v>0</v>
      </c>
      <c r="K7009" s="3">
        <v>0</v>
      </c>
      <c r="L7009" s="3">
        <v>0</v>
      </c>
      <c r="M7009" s="3">
        <v>8</v>
      </c>
      <c r="N7009" s="3">
        <v>0</v>
      </c>
    </row>
    <row r="7010" spans="1:14" x14ac:dyDescent="0.2">
      <c r="A7010" s="5" t="str">
        <f>HYPERLINK("http://www.ncbi.nlm.nih.gov/protein/227430367","Smu1")</f>
        <v>Smu1</v>
      </c>
      <c r="B7010" s="4"/>
      <c r="C7010" s="3">
        <v>2178</v>
      </c>
      <c r="D7010" s="3">
        <v>0</v>
      </c>
      <c r="E7010" s="3">
        <v>751</v>
      </c>
      <c r="F7010" s="3">
        <v>0</v>
      </c>
      <c r="G7010" s="3">
        <v>0</v>
      </c>
      <c r="H7010" s="2">
        <f t="shared" si="218"/>
        <v>2929</v>
      </c>
      <c r="I7010" t="str">
        <f t="shared" si="219"/>
        <v>Smu1_2929</v>
      </c>
      <c r="J7010" s="3">
        <v>2178</v>
      </c>
      <c r="K7010" s="3">
        <v>0</v>
      </c>
      <c r="L7010" s="3">
        <v>751</v>
      </c>
      <c r="M7010" s="3">
        <v>0</v>
      </c>
      <c r="N7010" s="3">
        <v>0</v>
      </c>
    </row>
    <row r="7011" spans="1:14" x14ac:dyDescent="0.2">
      <c r="A7011" s="5" t="str">
        <f>HYPERLINK("http://www.ncbi.nlm.nih.gov/protein/40254179","Smug1")</f>
        <v>Smug1</v>
      </c>
      <c r="B7011" s="4"/>
      <c r="C7011" s="3">
        <v>0</v>
      </c>
      <c r="D7011" s="3">
        <v>0</v>
      </c>
      <c r="E7011" s="3">
        <v>0</v>
      </c>
      <c r="F7011" s="3">
        <v>0</v>
      </c>
      <c r="G7011" s="3">
        <v>439</v>
      </c>
      <c r="H7011" s="2">
        <f t="shared" si="218"/>
        <v>439</v>
      </c>
      <c r="I7011" t="str">
        <f t="shared" si="219"/>
        <v>Smug1_439</v>
      </c>
      <c r="J7011" s="3">
        <v>0</v>
      </c>
      <c r="K7011" s="3">
        <v>0</v>
      </c>
      <c r="L7011" s="3">
        <v>0</v>
      </c>
      <c r="M7011" s="3">
        <v>0</v>
      </c>
      <c r="N7011" s="3">
        <v>439</v>
      </c>
    </row>
    <row r="7012" spans="1:14" x14ac:dyDescent="0.2">
      <c r="A7012" s="5" t="str">
        <f>HYPERLINK("http://www.ncbi.nlm.nih.gov/protein/254939680","Smurf2")</f>
        <v>Smurf2</v>
      </c>
      <c r="B7012" s="4"/>
      <c r="C7012" s="3">
        <v>0</v>
      </c>
      <c r="D7012" s="3">
        <v>0</v>
      </c>
      <c r="E7012" s="3">
        <v>82</v>
      </c>
      <c r="F7012" s="3">
        <v>0</v>
      </c>
      <c r="G7012" s="3">
        <v>0</v>
      </c>
      <c r="H7012" s="2">
        <f t="shared" si="218"/>
        <v>82</v>
      </c>
      <c r="I7012" t="str">
        <f t="shared" si="219"/>
        <v>Smurf2_82</v>
      </c>
      <c r="J7012" s="3">
        <v>0</v>
      </c>
      <c r="K7012" s="3">
        <v>0</v>
      </c>
      <c r="L7012" s="3">
        <v>82</v>
      </c>
      <c r="M7012" s="3">
        <v>0</v>
      </c>
      <c r="N7012" s="3">
        <v>0</v>
      </c>
    </row>
    <row r="7013" spans="1:14" x14ac:dyDescent="0.2">
      <c r="A7013" s="5" t="str">
        <f>HYPERLINK("http://www.ncbi.nlm.nih.gov/protein/21312378","Smyd3")</f>
        <v>Smyd3</v>
      </c>
      <c r="B7013" s="4"/>
      <c r="C7013" s="3">
        <v>0</v>
      </c>
      <c r="D7013" s="3">
        <v>207</v>
      </c>
      <c r="E7013" s="3">
        <v>18</v>
      </c>
      <c r="F7013" s="3">
        <v>0</v>
      </c>
      <c r="G7013" s="3">
        <v>1863</v>
      </c>
      <c r="H7013" s="2">
        <f t="shared" si="218"/>
        <v>2088</v>
      </c>
      <c r="I7013" t="str">
        <f t="shared" si="219"/>
        <v>Smyd3_2088</v>
      </c>
      <c r="J7013" s="3">
        <v>0</v>
      </c>
      <c r="K7013" s="3">
        <v>207</v>
      </c>
      <c r="L7013" s="3">
        <v>18</v>
      </c>
      <c r="M7013" s="3">
        <v>0</v>
      </c>
      <c r="N7013" s="3">
        <v>1863</v>
      </c>
    </row>
    <row r="7014" spans="1:14" x14ac:dyDescent="0.2">
      <c r="A7014" s="5" t="str">
        <f>HYPERLINK("http://www.ncbi.nlm.nih.gov/protein/154689581","Smyd5")</f>
        <v>Smyd5</v>
      </c>
      <c r="B7014" s="4"/>
      <c r="C7014" s="3">
        <v>0</v>
      </c>
      <c r="D7014" s="3">
        <v>0</v>
      </c>
      <c r="E7014" s="3">
        <v>217</v>
      </c>
      <c r="F7014" s="3">
        <v>0</v>
      </c>
      <c r="G7014" s="3">
        <v>13098</v>
      </c>
      <c r="H7014" s="2">
        <f t="shared" si="218"/>
        <v>13315</v>
      </c>
      <c r="I7014" t="str">
        <f t="shared" si="219"/>
        <v>Smyd5_13315</v>
      </c>
      <c r="J7014" s="3">
        <v>0</v>
      </c>
      <c r="K7014" s="3">
        <v>0</v>
      </c>
      <c r="L7014" s="3">
        <v>217</v>
      </c>
      <c r="M7014" s="3">
        <v>0</v>
      </c>
      <c r="N7014" s="3">
        <v>13098</v>
      </c>
    </row>
    <row r="7015" spans="1:14" x14ac:dyDescent="0.2">
      <c r="A7015" s="5" t="str">
        <f>HYPERLINK("http://www.ncbi.nlm.nih.gov/protein/295317330;6678049","Snap23")</f>
        <v>Snap23</v>
      </c>
      <c r="B7015" s="4"/>
      <c r="C7015" s="3">
        <v>0</v>
      </c>
      <c r="D7015" s="3">
        <v>0</v>
      </c>
      <c r="E7015" s="3">
        <v>9977</v>
      </c>
      <c r="F7015" s="3">
        <v>0</v>
      </c>
      <c r="G7015" s="3">
        <v>0</v>
      </c>
      <c r="H7015" s="2">
        <f t="shared" si="218"/>
        <v>9977</v>
      </c>
      <c r="I7015" t="str">
        <f t="shared" si="219"/>
        <v>Snap23_9977</v>
      </c>
      <c r="J7015" s="3">
        <v>0</v>
      </c>
      <c r="K7015" s="3">
        <v>0</v>
      </c>
      <c r="L7015" s="3">
        <v>9977</v>
      </c>
      <c r="M7015" s="3">
        <v>0</v>
      </c>
      <c r="N7015" s="3">
        <v>0</v>
      </c>
    </row>
    <row r="7016" spans="1:14" x14ac:dyDescent="0.2">
      <c r="A7016" s="5" t="str">
        <f>HYPERLINK("http://www.ncbi.nlm.nih.gov/protein/6678049","Snap23")</f>
        <v>Snap23</v>
      </c>
      <c r="B7016" s="4"/>
      <c r="C7016" s="3">
        <v>55</v>
      </c>
      <c r="D7016" s="3">
        <v>3215</v>
      </c>
      <c r="E7016" s="3">
        <v>0</v>
      </c>
      <c r="F7016" s="3">
        <v>115</v>
      </c>
      <c r="G7016" s="3">
        <v>0</v>
      </c>
      <c r="H7016" s="2">
        <f t="shared" si="218"/>
        <v>3385</v>
      </c>
      <c r="I7016" t="str">
        <f t="shared" si="219"/>
        <v>Snap23_3385</v>
      </c>
      <c r="J7016" s="3">
        <v>55</v>
      </c>
      <c r="K7016" s="3">
        <v>3215</v>
      </c>
      <c r="L7016" s="3">
        <v>0</v>
      </c>
      <c r="M7016" s="3">
        <v>115</v>
      </c>
      <c r="N7016" s="3">
        <v>0</v>
      </c>
    </row>
    <row r="7017" spans="1:14" x14ac:dyDescent="0.2">
      <c r="A7017" s="5" t="str">
        <f>HYPERLINK("http://www.ncbi.nlm.nih.gov/protein/295317325","Snap23")</f>
        <v>Snap23</v>
      </c>
      <c r="B7017" s="4"/>
      <c r="C7017" s="3">
        <v>55</v>
      </c>
      <c r="D7017" s="3">
        <v>3215</v>
      </c>
      <c r="E7017" s="3">
        <v>9977</v>
      </c>
      <c r="F7017" s="3">
        <v>115</v>
      </c>
      <c r="G7017" s="3">
        <v>0</v>
      </c>
      <c r="H7017" s="2">
        <f t="shared" si="218"/>
        <v>13362</v>
      </c>
      <c r="I7017" t="str">
        <f t="shared" si="219"/>
        <v>Snap23_13362</v>
      </c>
      <c r="J7017" s="3">
        <v>55</v>
      </c>
      <c r="K7017" s="3">
        <v>3215</v>
      </c>
      <c r="L7017" s="3">
        <v>9977</v>
      </c>
      <c r="M7017" s="3">
        <v>115</v>
      </c>
      <c r="N7017" s="3">
        <v>0</v>
      </c>
    </row>
    <row r="7018" spans="1:14" x14ac:dyDescent="0.2">
      <c r="A7018" s="5" t="str">
        <f>HYPERLINK("http://www.ncbi.nlm.nih.gov/protein/6755588","Snap25")</f>
        <v>Snap25</v>
      </c>
      <c r="B7018" s="4"/>
      <c r="C7018" s="3">
        <v>0</v>
      </c>
      <c r="D7018" s="3">
        <v>278</v>
      </c>
      <c r="E7018" s="3">
        <v>3162</v>
      </c>
      <c r="F7018" s="3">
        <v>0</v>
      </c>
      <c r="G7018" s="3">
        <v>0</v>
      </c>
      <c r="H7018" s="2">
        <f t="shared" si="218"/>
        <v>3440</v>
      </c>
      <c r="I7018" t="str">
        <f t="shared" si="219"/>
        <v>Snap25_3440</v>
      </c>
      <c r="J7018" s="3">
        <v>0</v>
      </c>
      <c r="K7018" s="3">
        <v>278</v>
      </c>
      <c r="L7018" s="3">
        <v>3162</v>
      </c>
      <c r="M7018" s="3">
        <v>0</v>
      </c>
      <c r="N7018" s="3">
        <v>0</v>
      </c>
    </row>
    <row r="7019" spans="1:14" x14ac:dyDescent="0.2">
      <c r="A7019" s="5" t="str">
        <f>HYPERLINK("http://www.ncbi.nlm.nih.gov/protein/139948568","Snap29")</f>
        <v>Snap29</v>
      </c>
      <c r="B7019" s="4"/>
      <c r="C7019" s="3">
        <v>0</v>
      </c>
      <c r="D7019" s="3">
        <v>90</v>
      </c>
      <c r="E7019" s="3">
        <v>171</v>
      </c>
      <c r="F7019" s="3">
        <v>270</v>
      </c>
      <c r="G7019" s="3">
        <v>7871</v>
      </c>
      <c r="H7019" s="2">
        <f t="shared" si="218"/>
        <v>8402</v>
      </c>
      <c r="I7019" t="str">
        <f t="shared" si="219"/>
        <v>Snap29_8402</v>
      </c>
      <c r="J7019" s="3">
        <v>0</v>
      </c>
      <c r="K7019" s="3">
        <v>90</v>
      </c>
      <c r="L7019" s="3">
        <v>171</v>
      </c>
      <c r="M7019" s="3">
        <v>270</v>
      </c>
      <c r="N7019" s="3">
        <v>7871</v>
      </c>
    </row>
    <row r="7020" spans="1:14" x14ac:dyDescent="0.2">
      <c r="A7020" s="5" t="str">
        <f>HYPERLINK("http://www.ncbi.nlm.nih.gov/protein/21362303","Snap47")</f>
        <v>Snap47</v>
      </c>
      <c r="B7020" s="4"/>
      <c r="C7020" s="3">
        <v>0</v>
      </c>
      <c r="D7020" s="3">
        <v>551</v>
      </c>
      <c r="E7020" s="3">
        <v>0</v>
      </c>
      <c r="F7020" s="3">
        <v>0</v>
      </c>
      <c r="G7020" s="3">
        <v>3299</v>
      </c>
      <c r="H7020" s="2">
        <f t="shared" si="218"/>
        <v>3850</v>
      </c>
      <c r="I7020" t="str">
        <f t="shared" si="219"/>
        <v>Snap47_3850</v>
      </c>
      <c r="J7020" s="3">
        <v>0</v>
      </c>
      <c r="K7020" s="3">
        <v>551</v>
      </c>
      <c r="L7020" s="3">
        <v>0</v>
      </c>
      <c r="M7020" s="3">
        <v>0</v>
      </c>
      <c r="N7020" s="3">
        <v>3299</v>
      </c>
    </row>
    <row r="7021" spans="1:14" x14ac:dyDescent="0.2">
      <c r="A7021" s="5" t="str">
        <f>HYPERLINK("http://www.ncbi.nlm.nih.gov/protein/7305507","Snap91")</f>
        <v>Snap91</v>
      </c>
      <c r="B7021" s="4"/>
      <c r="C7021" s="3">
        <v>0</v>
      </c>
      <c r="D7021" s="3">
        <v>221</v>
      </c>
      <c r="E7021" s="3">
        <v>375</v>
      </c>
      <c r="F7021" s="3">
        <v>0</v>
      </c>
      <c r="G7021" s="3">
        <v>64</v>
      </c>
      <c r="H7021" s="2">
        <f t="shared" si="218"/>
        <v>660</v>
      </c>
      <c r="I7021" t="str">
        <f t="shared" si="219"/>
        <v>Snap91_660</v>
      </c>
      <c r="J7021" s="3">
        <v>0</v>
      </c>
      <c r="K7021" s="3">
        <v>221</v>
      </c>
      <c r="L7021" s="3">
        <v>375</v>
      </c>
      <c r="M7021" s="3">
        <v>0</v>
      </c>
      <c r="N7021" s="3">
        <v>64</v>
      </c>
    </row>
    <row r="7022" spans="1:14" x14ac:dyDescent="0.2">
      <c r="A7022" s="5" t="str">
        <f>HYPERLINK("http://www.ncbi.nlm.nih.gov/protein/19923056","Snapin")</f>
        <v>Snapin</v>
      </c>
      <c r="B7022" s="4"/>
      <c r="C7022" s="3">
        <v>0</v>
      </c>
      <c r="D7022" s="3">
        <v>858</v>
      </c>
      <c r="E7022" s="3">
        <v>345</v>
      </c>
      <c r="F7022" s="3">
        <v>5885</v>
      </c>
      <c r="G7022" s="3">
        <v>2806</v>
      </c>
      <c r="H7022" s="2">
        <f t="shared" si="218"/>
        <v>9894</v>
      </c>
      <c r="I7022" t="str">
        <f t="shared" si="219"/>
        <v>Snapin_9894</v>
      </c>
      <c r="J7022" s="3">
        <v>0</v>
      </c>
      <c r="K7022" s="3">
        <v>858</v>
      </c>
      <c r="L7022" s="3">
        <v>345</v>
      </c>
      <c r="M7022" s="3">
        <v>5885</v>
      </c>
      <c r="N7022" s="3">
        <v>2806</v>
      </c>
    </row>
    <row r="7023" spans="1:14" x14ac:dyDescent="0.2">
      <c r="A7023" s="5" t="str">
        <f>HYPERLINK("http://www.ncbi.nlm.nih.gov/protein/77404392","Snd1")</f>
        <v>Snd1</v>
      </c>
      <c r="B7023" s="4"/>
      <c r="C7023" s="3">
        <v>96729</v>
      </c>
      <c r="D7023" s="3">
        <v>13744</v>
      </c>
      <c r="E7023" s="3">
        <v>155855</v>
      </c>
      <c r="F7023" s="3">
        <v>102950</v>
      </c>
      <c r="G7023" s="3">
        <v>525</v>
      </c>
      <c r="H7023" s="2">
        <f t="shared" si="218"/>
        <v>369803</v>
      </c>
      <c r="I7023" t="str">
        <f t="shared" si="219"/>
        <v>Snd1_369803</v>
      </c>
      <c r="J7023" s="3">
        <v>96729</v>
      </c>
      <c r="K7023" s="3">
        <v>13744</v>
      </c>
      <c r="L7023" s="3">
        <v>155855</v>
      </c>
      <c r="M7023" s="3">
        <v>102950</v>
      </c>
      <c r="N7023" s="3">
        <v>525</v>
      </c>
    </row>
    <row r="7024" spans="1:14" x14ac:dyDescent="0.2">
      <c r="A7024" s="5" t="str">
        <f>HYPERLINK("http://www.ncbi.nlm.nih.gov/protein/15809002","Snf8")</f>
        <v>Snf8</v>
      </c>
      <c r="B7024" s="4"/>
      <c r="C7024" s="3">
        <v>0</v>
      </c>
      <c r="D7024" s="3">
        <v>1154</v>
      </c>
      <c r="E7024" s="3">
        <v>1194</v>
      </c>
      <c r="F7024" s="3">
        <v>237</v>
      </c>
      <c r="G7024" s="3">
        <v>21398</v>
      </c>
      <c r="H7024" s="2">
        <f t="shared" si="218"/>
        <v>23983</v>
      </c>
      <c r="I7024" t="str">
        <f t="shared" si="219"/>
        <v>Snf8_23983</v>
      </c>
      <c r="J7024" s="3">
        <v>0</v>
      </c>
      <c r="K7024" s="3">
        <v>1154</v>
      </c>
      <c r="L7024" s="3">
        <v>1194</v>
      </c>
      <c r="M7024" s="3">
        <v>237</v>
      </c>
      <c r="N7024" s="3">
        <v>21398</v>
      </c>
    </row>
    <row r="7025" spans="1:14" x14ac:dyDescent="0.2">
      <c r="A7025" s="5" t="str">
        <f>HYPERLINK("http://www.ncbi.nlm.nih.gov/protein/40018610","Snrnp200")</f>
        <v>Snrnp200</v>
      </c>
      <c r="B7025" s="4"/>
      <c r="C7025" s="3">
        <v>132060</v>
      </c>
      <c r="D7025" s="3">
        <v>8062</v>
      </c>
      <c r="E7025" s="3">
        <v>16053</v>
      </c>
      <c r="F7025" s="3">
        <v>58854</v>
      </c>
      <c r="G7025" s="3">
        <v>289</v>
      </c>
      <c r="H7025" s="2">
        <f t="shared" si="218"/>
        <v>215318</v>
      </c>
      <c r="I7025" t="str">
        <f t="shared" si="219"/>
        <v>Snrnp200_215318</v>
      </c>
      <c r="J7025" s="3">
        <v>132060</v>
      </c>
      <c r="K7025" s="3">
        <v>8062</v>
      </c>
      <c r="L7025" s="3">
        <v>16053</v>
      </c>
      <c r="M7025" s="3">
        <v>58854</v>
      </c>
      <c r="N7025" s="3">
        <v>289</v>
      </c>
    </row>
    <row r="7026" spans="1:14" x14ac:dyDescent="0.2">
      <c r="A7026" s="5" t="str">
        <f>HYPERLINK("http://www.ncbi.nlm.nih.gov/protein/27228990","Snrnp27")</f>
        <v>Snrnp27</v>
      </c>
      <c r="B7026" s="4"/>
      <c r="C7026" s="3">
        <v>0</v>
      </c>
      <c r="D7026" s="3">
        <v>0</v>
      </c>
      <c r="E7026" s="3">
        <v>19</v>
      </c>
      <c r="F7026" s="3">
        <v>0</v>
      </c>
      <c r="G7026" s="3">
        <v>0</v>
      </c>
      <c r="H7026" s="2">
        <f t="shared" si="218"/>
        <v>19</v>
      </c>
      <c r="I7026" t="str">
        <f t="shared" si="219"/>
        <v>Snrnp27_19</v>
      </c>
      <c r="J7026" s="3">
        <v>0</v>
      </c>
      <c r="K7026" s="3">
        <v>0</v>
      </c>
      <c r="L7026" s="3">
        <v>19</v>
      </c>
      <c r="M7026" s="3">
        <v>0</v>
      </c>
      <c r="N7026" s="3">
        <v>0</v>
      </c>
    </row>
    <row r="7027" spans="1:14" x14ac:dyDescent="0.2">
      <c r="A7027" s="5" t="str">
        <f>HYPERLINK("http://www.ncbi.nlm.nih.gov/protein/115298670","Snrnp40")</f>
        <v>Snrnp40</v>
      </c>
      <c r="B7027" s="4"/>
      <c r="C7027" s="3">
        <v>18599</v>
      </c>
      <c r="D7027" s="3">
        <v>0</v>
      </c>
      <c r="E7027" s="3">
        <v>831</v>
      </c>
      <c r="F7027" s="3">
        <v>29132</v>
      </c>
      <c r="G7027" s="3">
        <v>0</v>
      </c>
      <c r="H7027" s="2">
        <f t="shared" si="218"/>
        <v>48562</v>
      </c>
      <c r="I7027" t="str">
        <f t="shared" si="219"/>
        <v>Snrnp40_48562</v>
      </c>
      <c r="J7027" s="3">
        <v>18599</v>
      </c>
      <c r="K7027" s="3">
        <v>0</v>
      </c>
      <c r="L7027" s="3">
        <v>831</v>
      </c>
      <c r="M7027" s="3">
        <v>29132</v>
      </c>
      <c r="N7027" s="3">
        <v>0</v>
      </c>
    </row>
    <row r="7028" spans="1:14" x14ac:dyDescent="0.2">
      <c r="A7028" s="5" t="str">
        <f>HYPERLINK("http://www.ncbi.nlm.nih.gov/protein/67846113","Snrnp70")</f>
        <v>Snrnp70</v>
      </c>
      <c r="B7028" s="4"/>
      <c r="C7028" s="3">
        <v>11569</v>
      </c>
      <c r="D7028" s="3">
        <v>0</v>
      </c>
      <c r="E7028" s="3">
        <v>679</v>
      </c>
      <c r="F7028" s="3">
        <v>13072</v>
      </c>
      <c r="G7028" s="3">
        <v>0</v>
      </c>
      <c r="H7028" s="2">
        <f t="shared" si="218"/>
        <v>25320</v>
      </c>
      <c r="I7028" t="str">
        <f t="shared" si="219"/>
        <v>Snrnp70_25320</v>
      </c>
      <c r="J7028" s="3">
        <v>11569</v>
      </c>
      <c r="K7028" s="3">
        <v>0</v>
      </c>
      <c r="L7028" s="3">
        <v>679</v>
      </c>
      <c r="M7028" s="3">
        <v>13072</v>
      </c>
      <c r="N7028" s="3">
        <v>0</v>
      </c>
    </row>
    <row r="7029" spans="1:14" x14ac:dyDescent="0.2">
      <c r="A7029" s="5" t="str">
        <f>HYPERLINK("http://www.ncbi.nlm.nih.gov/protein/114052106","Snrpa")</f>
        <v>Snrpa</v>
      </c>
      <c r="B7029" s="4"/>
      <c r="C7029" s="3">
        <v>18178</v>
      </c>
      <c r="D7029" s="3">
        <v>0</v>
      </c>
      <c r="E7029" s="3">
        <v>4902</v>
      </c>
      <c r="F7029" s="3">
        <v>13490</v>
      </c>
      <c r="G7029" s="3">
        <v>7282</v>
      </c>
      <c r="H7029" s="2">
        <f t="shared" si="218"/>
        <v>43852</v>
      </c>
      <c r="I7029" t="str">
        <f t="shared" si="219"/>
        <v>Snrpa_43852</v>
      </c>
      <c r="J7029" s="3">
        <v>18178</v>
      </c>
      <c r="K7029" s="3">
        <v>0</v>
      </c>
      <c r="L7029" s="3">
        <v>4902</v>
      </c>
      <c r="M7029" s="3">
        <v>13490</v>
      </c>
      <c r="N7029" s="3">
        <v>7282</v>
      </c>
    </row>
    <row r="7030" spans="1:14" x14ac:dyDescent="0.2">
      <c r="A7030" s="5" t="str">
        <f>HYPERLINK("http://www.ncbi.nlm.nih.gov/protein/228480232","Snrpa1")</f>
        <v>Snrpa1</v>
      </c>
      <c r="B7030" s="4"/>
      <c r="C7030" s="3">
        <v>57957</v>
      </c>
      <c r="D7030" s="3">
        <v>3424</v>
      </c>
      <c r="E7030" s="3">
        <v>3041</v>
      </c>
      <c r="F7030" s="3">
        <v>24917</v>
      </c>
      <c r="G7030" s="3">
        <v>5837</v>
      </c>
      <c r="H7030" s="2">
        <f t="shared" si="218"/>
        <v>95176</v>
      </c>
      <c r="I7030" t="str">
        <f t="shared" si="219"/>
        <v>Snrpa1_95176</v>
      </c>
      <c r="J7030" s="3">
        <v>57957</v>
      </c>
      <c r="K7030" s="3">
        <v>3424</v>
      </c>
      <c r="L7030" s="3">
        <v>3041</v>
      </c>
      <c r="M7030" s="3">
        <v>24917</v>
      </c>
      <c r="N7030" s="3">
        <v>5837</v>
      </c>
    </row>
    <row r="7031" spans="1:14" x14ac:dyDescent="0.2">
      <c r="A7031" s="5" t="str">
        <f>HYPERLINK("http://www.ncbi.nlm.nih.gov/protein/6678053","Snrpb")</f>
        <v>Snrpb</v>
      </c>
      <c r="B7031" s="4"/>
      <c r="C7031" s="3">
        <v>66890</v>
      </c>
      <c r="D7031" s="3">
        <v>3941</v>
      </c>
      <c r="E7031" s="3">
        <v>3974</v>
      </c>
      <c r="F7031" s="3">
        <v>38603</v>
      </c>
      <c r="G7031" s="3">
        <v>5087</v>
      </c>
      <c r="H7031" s="2">
        <f t="shared" si="218"/>
        <v>118495</v>
      </c>
      <c r="I7031" t="str">
        <f t="shared" si="219"/>
        <v>Snrpb_118495</v>
      </c>
      <c r="J7031" s="3">
        <v>66890</v>
      </c>
      <c r="K7031" s="3">
        <v>3941</v>
      </c>
      <c r="L7031" s="3">
        <v>3974</v>
      </c>
      <c r="M7031" s="3">
        <v>38603</v>
      </c>
      <c r="N7031" s="3">
        <v>5087</v>
      </c>
    </row>
    <row r="7032" spans="1:14" x14ac:dyDescent="0.2">
      <c r="A7032" s="5" t="str">
        <f>HYPERLINK("http://www.ncbi.nlm.nih.gov/protein/23956110","Snrpb2")</f>
        <v>Snrpb2</v>
      </c>
      <c r="B7032" s="4"/>
      <c r="C7032" s="3">
        <v>6187</v>
      </c>
      <c r="D7032" s="3">
        <v>0</v>
      </c>
      <c r="E7032" s="3">
        <v>215</v>
      </c>
      <c r="F7032" s="3">
        <v>5157</v>
      </c>
      <c r="G7032" s="3">
        <v>0</v>
      </c>
      <c r="H7032" s="2">
        <f t="shared" si="218"/>
        <v>11559</v>
      </c>
      <c r="I7032" t="str">
        <f t="shared" si="219"/>
        <v>Snrpb2_11559</v>
      </c>
      <c r="J7032" s="3">
        <v>6187</v>
      </c>
      <c r="K7032" s="3">
        <v>0</v>
      </c>
      <c r="L7032" s="3">
        <v>215</v>
      </c>
      <c r="M7032" s="3">
        <v>5157</v>
      </c>
      <c r="N7032" s="3">
        <v>0</v>
      </c>
    </row>
    <row r="7033" spans="1:14" x14ac:dyDescent="0.2">
      <c r="A7033" s="5" t="str">
        <f>HYPERLINK("http://www.ncbi.nlm.nih.gov/protein/6755596","Snrpc")</f>
        <v>Snrpc</v>
      </c>
      <c r="B7033" s="4"/>
      <c r="C7033" s="3">
        <v>55</v>
      </c>
      <c r="D7033" s="3">
        <v>15</v>
      </c>
      <c r="E7033" s="3">
        <v>7</v>
      </c>
      <c r="F7033" s="3">
        <v>0</v>
      </c>
      <c r="G7033" s="3">
        <v>439</v>
      </c>
      <c r="H7033" s="2">
        <f t="shared" si="218"/>
        <v>516</v>
      </c>
      <c r="I7033" t="str">
        <f t="shared" si="219"/>
        <v>Snrpc_516</v>
      </c>
      <c r="J7033" s="3">
        <v>55</v>
      </c>
      <c r="K7033" s="3">
        <v>15</v>
      </c>
      <c r="L7033" s="3">
        <v>7</v>
      </c>
      <c r="M7033" s="3">
        <v>0</v>
      </c>
      <c r="N7033" s="3">
        <v>439</v>
      </c>
    </row>
    <row r="7034" spans="1:14" x14ac:dyDescent="0.2">
      <c r="A7034" s="5" t="str">
        <f>HYPERLINK("http://www.ncbi.nlm.nih.gov/protein/6678055","Snrpd1")</f>
        <v>Snrpd1</v>
      </c>
      <c r="B7034" s="4"/>
      <c r="C7034" s="3">
        <v>109177</v>
      </c>
      <c r="D7034" s="3">
        <v>6945</v>
      </c>
      <c r="E7034" s="3">
        <v>3156</v>
      </c>
      <c r="F7034" s="3">
        <v>39544</v>
      </c>
      <c r="G7034" s="3">
        <v>900</v>
      </c>
      <c r="H7034" s="2">
        <f t="shared" si="218"/>
        <v>159722</v>
      </c>
      <c r="I7034" t="str">
        <f t="shared" si="219"/>
        <v>Snrpd1_159722</v>
      </c>
      <c r="J7034" s="3">
        <v>109177</v>
      </c>
      <c r="K7034" s="3">
        <v>6945</v>
      </c>
      <c r="L7034" s="3">
        <v>3156</v>
      </c>
      <c r="M7034" s="3">
        <v>39544</v>
      </c>
      <c r="N7034" s="3">
        <v>900</v>
      </c>
    </row>
    <row r="7035" spans="1:14" x14ac:dyDescent="0.2">
      <c r="A7035" s="5" t="str">
        <f>HYPERLINK("http://www.ncbi.nlm.nih.gov/protein/58037145","Snrpd2")</f>
        <v>Snrpd2</v>
      </c>
      <c r="B7035" s="4"/>
      <c r="C7035" s="3">
        <v>80162</v>
      </c>
      <c r="D7035" s="3">
        <v>1952</v>
      </c>
      <c r="E7035" s="3">
        <v>10656</v>
      </c>
      <c r="F7035" s="3">
        <v>45937</v>
      </c>
      <c r="G7035" s="3">
        <v>6415</v>
      </c>
      <c r="H7035" s="2">
        <f t="shared" si="218"/>
        <v>145122</v>
      </c>
      <c r="I7035" t="str">
        <f t="shared" si="219"/>
        <v>Snrpd2_145122</v>
      </c>
      <c r="J7035" s="3">
        <v>80162</v>
      </c>
      <c r="K7035" s="3">
        <v>1952</v>
      </c>
      <c r="L7035" s="3">
        <v>10656</v>
      </c>
      <c r="M7035" s="3">
        <v>45937</v>
      </c>
      <c r="N7035" s="3">
        <v>6415</v>
      </c>
    </row>
    <row r="7036" spans="1:14" x14ac:dyDescent="0.2">
      <c r="A7036" s="5" t="str">
        <f>HYPERLINK("http://www.ncbi.nlm.nih.gov/protein/13385598","Snrpd3")</f>
        <v>Snrpd3</v>
      </c>
      <c r="B7036" s="4"/>
      <c r="C7036" s="3">
        <v>164534</v>
      </c>
      <c r="D7036" s="3">
        <v>4970</v>
      </c>
      <c r="E7036" s="3">
        <v>16060</v>
      </c>
      <c r="F7036" s="3">
        <v>123749</v>
      </c>
      <c r="G7036" s="3">
        <v>13194</v>
      </c>
      <c r="H7036" s="2">
        <f t="shared" si="218"/>
        <v>322507</v>
      </c>
      <c r="I7036" t="str">
        <f t="shared" si="219"/>
        <v>Snrpd3_322507</v>
      </c>
      <c r="J7036" s="3">
        <v>164534</v>
      </c>
      <c r="K7036" s="3">
        <v>4970</v>
      </c>
      <c r="L7036" s="3">
        <v>16060</v>
      </c>
      <c r="M7036" s="3">
        <v>123749</v>
      </c>
      <c r="N7036" s="3">
        <v>13194</v>
      </c>
    </row>
    <row r="7037" spans="1:14" x14ac:dyDescent="0.2">
      <c r="A7037" s="5" t="str">
        <f>HYPERLINK("http://www.ncbi.nlm.nih.gov/protein/27883844","Snrpe")</f>
        <v>Snrpe</v>
      </c>
      <c r="B7037" s="4"/>
      <c r="C7037" s="3">
        <v>31889</v>
      </c>
      <c r="D7037" s="3">
        <v>3263</v>
      </c>
      <c r="E7037" s="3">
        <v>3142</v>
      </c>
      <c r="F7037" s="3">
        <v>1302</v>
      </c>
      <c r="G7037" s="3">
        <v>1906</v>
      </c>
      <c r="H7037" s="2">
        <f t="shared" si="218"/>
        <v>41502</v>
      </c>
      <c r="I7037" t="str">
        <f t="shared" si="219"/>
        <v>Snrpe_41502</v>
      </c>
      <c r="J7037" s="3">
        <v>31889</v>
      </c>
      <c r="K7037" s="3">
        <v>3263</v>
      </c>
      <c r="L7037" s="3">
        <v>3142</v>
      </c>
      <c r="M7037" s="3">
        <v>1302</v>
      </c>
      <c r="N7037" s="3">
        <v>1906</v>
      </c>
    </row>
    <row r="7038" spans="1:14" x14ac:dyDescent="0.2">
      <c r="A7038" s="5" t="str">
        <f>HYPERLINK("http://www.ncbi.nlm.nih.gov/protein/254028189","Snrpf")</f>
        <v>Snrpf</v>
      </c>
      <c r="B7038" s="4"/>
      <c r="C7038" s="3">
        <v>43733</v>
      </c>
      <c r="D7038" s="3">
        <v>426</v>
      </c>
      <c r="E7038" s="3">
        <v>2436</v>
      </c>
      <c r="F7038" s="3">
        <v>15913</v>
      </c>
      <c r="G7038" s="3">
        <v>439</v>
      </c>
      <c r="H7038" s="2">
        <f t="shared" si="218"/>
        <v>62947</v>
      </c>
      <c r="I7038" t="str">
        <f t="shared" si="219"/>
        <v>Snrpf_62947</v>
      </c>
      <c r="J7038" s="3">
        <v>43733</v>
      </c>
      <c r="K7038" s="3">
        <v>426</v>
      </c>
      <c r="L7038" s="3">
        <v>2436</v>
      </c>
      <c r="M7038" s="3">
        <v>15913</v>
      </c>
      <c r="N7038" s="3">
        <v>439</v>
      </c>
    </row>
    <row r="7039" spans="1:14" x14ac:dyDescent="0.2">
      <c r="A7039" s="5" t="str">
        <f>HYPERLINK("http://www.ncbi.nlm.nih.gov/protein/13385994","Snrpg")</f>
        <v>Snrpg</v>
      </c>
      <c r="B7039" s="4"/>
      <c r="C7039" s="3">
        <v>1977</v>
      </c>
      <c r="D7039" s="3">
        <v>585</v>
      </c>
      <c r="E7039" s="3">
        <v>1779</v>
      </c>
      <c r="F7039" s="3">
        <v>876</v>
      </c>
      <c r="G7039" s="3">
        <v>75</v>
      </c>
      <c r="H7039" s="2">
        <f t="shared" si="218"/>
        <v>5292</v>
      </c>
      <c r="I7039" t="str">
        <f t="shared" si="219"/>
        <v>Snrpg_5292</v>
      </c>
      <c r="J7039" s="3">
        <v>1977</v>
      </c>
      <c r="K7039" s="3">
        <v>585</v>
      </c>
      <c r="L7039" s="3">
        <v>1779</v>
      </c>
      <c r="M7039" s="3">
        <v>876</v>
      </c>
      <c r="N7039" s="3">
        <v>75</v>
      </c>
    </row>
    <row r="7040" spans="1:14" x14ac:dyDescent="0.2">
      <c r="A7040" s="5" t="str">
        <f>HYPERLINK("http://www.ncbi.nlm.nih.gov/protein/7305509","Snrpn")</f>
        <v>Snrpn</v>
      </c>
      <c r="B7040" s="4"/>
      <c r="C7040" s="3">
        <v>66890</v>
      </c>
      <c r="D7040" s="3">
        <v>3941</v>
      </c>
      <c r="E7040" s="3">
        <v>3974</v>
      </c>
      <c r="F7040" s="3">
        <v>38603</v>
      </c>
      <c r="G7040" s="3">
        <v>5087</v>
      </c>
      <c r="H7040" s="2">
        <f t="shared" si="218"/>
        <v>118495</v>
      </c>
      <c r="I7040" t="str">
        <f t="shared" si="219"/>
        <v>Snrpn_118495</v>
      </c>
      <c r="J7040" s="3">
        <v>66890</v>
      </c>
      <c r="K7040" s="3">
        <v>3941</v>
      </c>
      <c r="L7040" s="3">
        <v>3974</v>
      </c>
      <c r="M7040" s="3">
        <v>38603</v>
      </c>
      <c r="N7040" s="3">
        <v>5087</v>
      </c>
    </row>
    <row r="7041" spans="1:14" x14ac:dyDescent="0.2">
      <c r="A7041" s="5" t="str">
        <f>HYPERLINK("http://www.ncbi.nlm.nih.gov/protein/160333722","Snta1")</f>
        <v>Snta1</v>
      </c>
      <c r="B7041" s="4"/>
      <c r="C7041" s="3">
        <v>0</v>
      </c>
      <c r="D7041" s="3">
        <v>0</v>
      </c>
      <c r="E7041" s="3">
        <v>1743</v>
      </c>
      <c r="F7041" s="3">
        <v>0</v>
      </c>
      <c r="G7041" s="3">
        <v>0</v>
      </c>
      <c r="H7041" s="2">
        <f t="shared" si="218"/>
        <v>1743</v>
      </c>
      <c r="I7041" t="str">
        <f t="shared" si="219"/>
        <v>Snta1_1743</v>
      </c>
      <c r="J7041" s="3">
        <v>0</v>
      </c>
      <c r="K7041" s="3">
        <v>0</v>
      </c>
      <c r="L7041" s="3">
        <v>1743</v>
      </c>
      <c r="M7041" s="3">
        <v>0</v>
      </c>
      <c r="N7041" s="3">
        <v>0</v>
      </c>
    </row>
    <row r="7042" spans="1:14" x14ac:dyDescent="0.2">
      <c r="A7042" s="5" t="str">
        <f>HYPERLINK("http://www.ncbi.nlm.nih.gov/protein/6678059","Sntb2")</f>
        <v>Sntb2</v>
      </c>
      <c r="B7042" s="4"/>
      <c r="C7042" s="3">
        <v>0</v>
      </c>
      <c r="D7042" s="3">
        <v>1762</v>
      </c>
      <c r="E7042" s="3">
        <v>2239</v>
      </c>
      <c r="F7042" s="3">
        <v>0</v>
      </c>
      <c r="G7042" s="3">
        <v>0</v>
      </c>
      <c r="H7042" s="2">
        <f t="shared" ref="H7042:H7105" si="220">SUM(C7042:G7042)</f>
        <v>4001</v>
      </c>
      <c r="I7042" t="str">
        <f t="shared" ref="I7042:I7105" si="221">A7042&amp;"_"&amp;H7042</f>
        <v>Sntb2_4001</v>
      </c>
      <c r="J7042" s="3">
        <v>0</v>
      </c>
      <c r="K7042" s="3">
        <v>1762</v>
      </c>
      <c r="L7042" s="3">
        <v>2239</v>
      </c>
      <c r="M7042" s="3">
        <v>0</v>
      </c>
      <c r="N7042" s="3">
        <v>0</v>
      </c>
    </row>
    <row r="7043" spans="1:14" x14ac:dyDescent="0.2">
      <c r="A7043" s="5" t="str">
        <f>HYPERLINK("http://www.ncbi.nlm.nih.gov/protein/146149191","Snw1")</f>
        <v>Snw1</v>
      </c>
      <c r="B7043" s="4"/>
      <c r="C7043" s="3">
        <v>860</v>
      </c>
      <c r="D7043" s="3">
        <v>188</v>
      </c>
      <c r="E7043" s="3">
        <v>1954</v>
      </c>
      <c r="F7043" s="3">
        <v>0</v>
      </c>
      <c r="G7043" s="3">
        <v>4648</v>
      </c>
      <c r="H7043" s="2">
        <f t="shared" si="220"/>
        <v>7650</v>
      </c>
      <c r="I7043" t="str">
        <f t="shared" si="221"/>
        <v>Snw1_7650</v>
      </c>
      <c r="J7043" s="3">
        <v>860</v>
      </c>
      <c r="K7043" s="3">
        <v>188</v>
      </c>
      <c r="L7043" s="3">
        <v>1954</v>
      </c>
      <c r="M7043" s="3">
        <v>0</v>
      </c>
      <c r="N7043" s="3">
        <v>4648</v>
      </c>
    </row>
    <row r="7044" spans="1:14" x14ac:dyDescent="0.2">
      <c r="A7044" s="5" t="str">
        <f>HYPERLINK("http://www.ncbi.nlm.nih.gov/protein/71043944","Snx1")</f>
        <v>Snx1</v>
      </c>
      <c r="B7044" s="4"/>
      <c r="C7044" s="3">
        <v>13858</v>
      </c>
      <c r="D7044" s="3">
        <v>17761</v>
      </c>
      <c r="E7044" s="3">
        <v>23257</v>
      </c>
      <c r="F7044" s="3">
        <v>78352</v>
      </c>
      <c r="G7044" s="3">
        <v>27127</v>
      </c>
      <c r="H7044" s="2">
        <f t="shared" si="220"/>
        <v>160355</v>
      </c>
      <c r="I7044" t="str">
        <f t="shared" si="221"/>
        <v>Snx1_160355</v>
      </c>
      <c r="J7044" s="3">
        <v>13858</v>
      </c>
      <c r="K7044" s="3">
        <v>17761</v>
      </c>
      <c r="L7044" s="3">
        <v>23257</v>
      </c>
      <c r="M7044" s="3">
        <v>78352</v>
      </c>
      <c r="N7044" s="3">
        <v>27127</v>
      </c>
    </row>
    <row r="7045" spans="1:14" x14ac:dyDescent="0.2">
      <c r="A7045" s="5" t="str">
        <f>HYPERLINK("http://www.ncbi.nlm.nih.gov/protein/160333829","Snx12")</f>
        <v>Snx12</v>
      </c>
      <c r="B7045" s="4"/>
      <c r="C7045" s="3">
        <v>8622</v>
      </c>
      <c r="D7045" s="3">
        <v>5129</v>
      </c>
      <c r="E7045" s="3">
        <v>8041</v>
      </c>
      <c r="F7045" s="3">
        <v>28879</v>
      </c>
      <c r="G7045" s="3">
        <v>8600</v>
      </c>
      <c r="H7045" s="2">
        <f t="shared" si="220"/>
        <v>59271</v>
      </c>
      <c r="I7045" t="str">
        <f t="shared" si="221"/>
        <v>Snx12_59271</v>
      </c>
      <c r="J7045" s="3">
        <v>8622</v>
      </c>
      <c r="K7045" s="3">
        <v>5129</v>
      </c>
      <c r="L7045" s="3">
        <v>8041</v>
      </c>
      <c r="M7045" s="3">
        <v>28879</v>
      </c>
      <c r="N7045" s="3">
        <v>8600</v>
      </c>
    </row>
    <row r="7046" spans="1:14" x14ac:dyDescent="0.2">
      <c r="A7046" s="5" t="str">
        <f>HYPERLINK("http://www.ncbi.nlm.nih.gov/protein/160333832","Snx12")</f>
        <v>Snx12</v>
      </c>
      <c r="B7046" s="4"/>
      <c r="C7046" s="3">
        <v>8622</v>
      </c>
      <c r="D7046" s="3">
        <v>5129</v>
      </c>
      <c r="E7046" s="3">
        <v>8041</v>
      </c>
      <c r="F7046" s="3">
        <v>28879</v>
      </c>
      <c r="G7046" s="3">
        <v>8600</v>
      </c>
      <c r="H7046" s="2">
        <f t="shared" si="220"/>
        <v>59271</v>
      </c>
      <c r="I7046" t="str">
        <f t="shared" si="221"/>
        <v>Snx12_59271</v>
      </c>
      <c r="J7046" s="3">
        <v>8622</v>
      </c>
      <c r="K7046" s="3">
        <v>5129</v>
      </c>
      <c r="L7046" s="3">
        <v>8041</v>
      </c>
      <c r="M7046" s="3">
        <v>28879</v>
      </c>
      <c r="N7046" s="3">
        <v>8600</v>
      </c>
    </row>
    <row r="7047" spans="1:14" x14ac:dyDescent="0.2">
      <c r="A7047" s="5" t="str">
        <f>HYPERLINK("http://www.ncbi.nlm.nih.gov/protein/160333835","Snx12")</f>
        <v>Snx12</v>
      </c>
      <c r="B7047" s="4"/>
      <c r="C7047" s="3">
        <v>8622</v>
      </c>
      <c r="D7047" s="3">
        <v>5129</v>
      </c>
      <c r="E7047" s="3">
        <v>8041</v>
      </c>
      <c r="F7047" s="3">
        <v>28879</v>
      </c>
      <c r="G7047" s="3">
        <v>8600</v>
      </c>
      <c r="H7047" s="2">
        <f t="shared" si="220"/>
        <v>59271</v>
      </c>
      <c r="I7047" t="str">
        <f t="shared" si="221"/>
        <v>Snx12_59271</v>
      </c>
      <c r="J7047" s="3">
        <v>8622</v>
      </c>
      <c r="K7047" s="3">
        <v>5129</v>
      </c>
      <c r="L7047" s="3">
        <v>8041</v>
      </c>
      <c r="M7047" s="3">
        <v>28879</v>
      </c>
      <c r="N7047" s="3">
        <v>8600</v>
      </c>
    </row>
    <row r="7048" spans="1:14" x14ac:dyDescent="0.2">
      <c r="A7048" s="5" t="str">
        <f>HYPERLINK("http://www.ncbi.nlm.nih.gov/protein/238814328","Snx14")</f>
        <v>Snx14</v>
      </c>
      <c r="B7048" s="4"/>
      <c r="C7048" s="3">
        <v>0</v>
      </c>
      <c r="D7048" s="3">
        <v>33</v>
      </c>
      <c r="E7048" s="3">
        <v>120</v>
      </c>
      <c r="F7048" s="3">
        <v>0</v>
      </c>
      <c r="G7048" s="3">
        <v>0</v>
      </c>
      <c r="H7048" s="2">
        <f t="shared" si="220"/>
        <v>153</v>
      </c>
      <c r="I7048" t="str">
        <f t="shared" si="221"/>
        <v>Snx14_153</v>
      </c>
      <c r="J7048" s="3">
        <v>0</v>
      </c>
      <c r="K7048" s="3">
        <v>33</v>
      </c>
      <c r="L7048" s="3">
        <v>120</v>
      </c>
      <c r="M7048" s="3">
        <v>0</v>
      </c>
      <c r="N7048" s="3">
        <v>0</v>
      </c>
    </row>
    <row r="7049" spans="1:14" x14ac:dyDescent="0.2">
      <c r="A7049" s="5" t="str">
        <f>HYPERLINK("http://www.ncbi.nlm.nih.gov/protein/24211031","Snx17")</f>
        <v>Snx17</v>
      </c>
      <c r="B7049" s="4"/>
      <c r="C7049" s="3">
        <v>0</v>
      </c>
      <c r="D7049" s="3">
        <v>296</v>
      </c>
      <c r="E7049" s="3">
        <v>0</v>
      </c>
      <c r="F7049" s="3">
        <v>0</v>
      </c>
      <c r="G7049" s="3">
        <v>0</v>
      </c>
      <c r="H7049" s="2">
        <f t="shared" si="220"/>
        <v>296</v>
      </c>
      <c r="I7049" t="str">
        <f t="shared" si="221"/>
        <v>Snx17_296</v>
      </c>
      <c r="J7049" s="3">
        <v>0</v>
      </c>
      <c r="K7049" s="3">
        <v>296</v>
      </c>
      <c r="L7049" s="3">
        <v>0</v>
      </c>
      <c r="M7049" s="3">
        <v>0</v>
      </c>
      <c r="N7049" s="3">
        <v>0</v>
      </c>
    </row>
    <row r="7050" spans="1:14" x14ac:dyDescent="0.2">
      <c r="A7050" s="5" t="str">
        <f>HYPERLINK("http://www.ncbi.nlm.nih.gov/protein/91598596","Snx18")</f>
        <v>Snx18</v>
      </c>
      <c r="B7050" s="4"/>
      <c r="C7050" s="3">
        <v>0</v>
      </c>
      <c r="D7050" s="3">
        <v>134</v>
      </c>
      <c r="E7050" s="3">
        <v>0</v>
      </c>
      <c r="F7050" s="3">
        <v>810</v>
      </c>
      <c r="G7050" s="3">
        <v>0</v>
      </c>
      <c r="H7050" s="2">
        <f t="shared" si="220"/>
        <v>944</v>
      </c>
      <c r="I7050" t="str">
        <f t="shared" si="221"/>
        <v>Snx18_944</v>
      </c>
      <c r="J7050" s="3">
        <v>0</v>
      </c>
      <c r="K7050" s="3">
        <v>134</v>
      </c>
      <c r="L7050" s="3">
        <v>0</v>
      </c>
      <c r="M7050" s="3">
        <v>810</v>
      </c>
      <c r="N7050" s="3">
        <v>0</v>
      </c>
    </row>
    <row r="7051" spans="1:14" x14ac:dyDescent="0.2">
      <c r="A7051" s="5" t="str">
        <f>HYPERLINK("http://www.ncbi.nlm.nih.gov/protein/13385878","Snx2")</f>
        <v>Snx2</v>
      </c>
      <c r="B7051" s="4"/>
      <c r="C7051" s="3">
        <v>0</v>
      </c>
      <c r="D7051" s="3">
        <v>23340</v>
      </c>
      <c r="E7051" s="3">
        <v>27232</v>
      </c>
      <c r="F7051" s="3">
        <v>114622</v>
      </c>
      <c r="G7051" s="3">
        <v>19266</v>
      </c>
      <c r="H7051" s="2">
        <f t="shared" si="220"/>
        <v>184460</v>
      </c>
      <c r="I7051" t="str">
        <f t="shared" si="221"/>
        <v>Snx2_184460</v>
      </c>
      <c r="J7051" s="3">
        <v>0</v>
      </c>
      <c r="K7051" s="3">
        <v>23340</v>
      </c>
      <c r="L7051" s="3">
        <v>27232</v>
      </c>
      <c r="M7051" s="3">
        <v>114622</v>
      </c>
      <c r="N7051" s="3">
        <v>19266</v>
      </c>
    </row>
    <row r="7052" spans="1:14" x14ac:dyDescent="0.2">
      <c r="A7052" s="5" t="str">
        <f>HYPERLINK("http://www.ncbi.nlm.nih.gov/protein/110625874","Snx21")</f>
        <v>Snx21</v>
      </c>
      <c r="B7052" s="4"/>
      <c r="C7052" s="3">
        <v>0</v>
      </c>
      <c r="D7052" s="3">
        <v>0</v>
      </c>
      <c r="E7052" s="3">
        <v>0</v>
      </c>
      <c r="F7052" s="3">
        <v>196</v>
      </c>
      <c r="G7052" s="3">
        <v>0</v>
      </c>
      <c r="H7052" s="2">
        <f t="shared" si="220"/>
        <v>196</v>
      </c>
      <c r="I7052" t="str">
        <f t="shared" si="221"/>
        <v>Snx21_196</v>
      </c>
      <c r="J7052" s="3">
        <v>0</v>
      </c>
      <c r="K7052" s="3">
        <v>0</v>
      </c>
      <c r="L7052" s="3">
        <v>0</v>
      </c>
      <c r="M7052" s="3">
        <v>196</v>
      </c>
      <c r="N7052" s="3">
        <v>0</v>
      </c>
    </row>
    <row r="7053" spans="1:14" x14ac:dyDescent="0.2">
      <c r="A7053" s="5" t="str">
        <f>HYPERLINK("http://www.ncbi.nlm.nih.gov/protein/21313014","Snx24")</f>
        <v>Snx24</v>
      </c>
      <c r="B7053" s="4"/>
      <c r="C7053" s="3">
        <v>0</v>
      </c>
      <c r="D7053" s="3">
        <v>0</v>
      </c>
      <c r="E7053" s="3">
        <v>10</v>
      </c>
      <c r="F7053" s="3">
        <v>156</v>
      </c>
      <c r="G7053" s="3">
        <v>0</v>
      </c>
      <c r="H7053" s="2">
        <f t="shared" si="220"/>
        <v>166</v>
      </c>
      <c r="I7053" t="str">
        <f t="shared" si="221"/>
        <v>Snx24_166</v>
      </c>
      <c r="J7053" s="3">
        <v>0</v>
      </c>
      <c r="K7053" s="3">
        <v>0</v>
      </c>
      <c r="L7053" s="3">
        <v>10</v>
      </c>
      <c r="M7053" s="3">
        <v>156</v>
      </c>
      <c r="N7053" s="3">
        <v>0</v>
      </c>
    </row>
    <row r="7054" spans="1:14" x14ac:dyDescent="0.2">
      <c r="A7054" s="5" t="str">
        <f>HYPERLINK("http://www.ncbi.nlm.nih.gov/protein/126722910","Snx27")</f>
        <v>Snx27</v>
      </c>
      <c r="B7054" s="4"/>
      <c r="C7054" s="3">
        <v>0</v>
      </c>
      <c r="D7054" s="3">
        <v>791</v>
      </c>
      <c r="E7054" s="3">
        <v>5531</v>
      </c>
      <c r="F7054" s="3">
        <v>0</v>
      </c>
      <c r="G7054" s="3">
        <v>0</v>
      </c>
      <c r="H7054" s="2">
        <f t="shared" si="220"/>
        <v>6322</v>
      </c>
      <c r="I7054" t="str">
        <f t="shared" si="221"/>
        <v>Snx27_6322</v>
      </c>
      <c r="J7054" s="3">
        <v>0</v>
      </c>
      <c r="K7054" s="3">
        <v>791</v>
      </c>
      <c r="L7054" s="3">
        <v>5531</v>
      </c>
      <c r="M7054" s="3">
        <v>0</v>
      </c>
      <c r="N7054" s="3">
        <v>0</v>
      </c>
    </row>
    <row r="7055" spans="1:14" x14ac:dyDescent="0.2">
      <c r="A7055" s="5" t="str">
        <f>HYPERLINK("http://www.ncbi.nlm.nih.gov/protein/126723792","Snx27")</f>
        <v>Snx27</v>
      </c>
      <c r="B7055" s="4"/>
      <c r="C7055" s="3">
        <v>0</v>
      </c>
      <c r="D7055" s="3">
        <v>791</v>
      </c>
      <c r="E7055" s="3">
        <v>5531</v>
      </c>
      <c r="F7055" s="3">
        <v>0</v>
      </c>
      <c r="G7055" s="3">
        <v>0</v>
      </c>
      <c r="H7055" s="2">
        <f t="shared" si="220"/>
        <v>6322</v>
      </c>
      <c r="I7055" t="str">
        <f t="shared" si="221"/>
        <v>Snx27_6322</v>
      </c>
      <c r="J7055" s="3">
        <v>0</v>
      </c>
      <c r="K7055" s="3">
        <v>791</v>
      </c>
      <c r="L7055" s="3">
        <v>5531</v>
      </c>
      <c r="M7055" s="3">
        <v>0</v>
      </c>
      <c r="N7055" s="3">
        <v>0</v>
      </c>
    </row>
    <row r="7056" spans="1:14" x14ac:dyDescent="0.2">
      <c r="A7056" s="5" t="str">
        <f>HYPERLINK("http://www.ncbi.nlm.nih.gov/protein/343790938","Snx29")</f>
        <v>Snx29</v>
      </c>
      <c r="B7056" s="4"/>
      <c r="C7056" s="3">
        <v>0</v>
      </c>
      <c r="D7056" s="3">
        <v>0</v>
      </c>
      <c r="E7056" s="3">
        <v>0</v>
      </c>
      <c r="F7056" s="3">
        <v>0</v>
      </c>
      <c r="G7056" s="3">
        <v>3716</v>
      </c>
      <c r="H7056" s="2">
        <f t="shared" si="220"/>
        <v>3716</v>
      </c>
      <c r="I7056" t="str">
        <f t="shared" si="221"/>
        <v>Snx29_3716</v>
      </c>
      <c r="J7056" s="3">
        <v>0</v>
      </c>
      <c r="K7056" s="3">
        <v>0</v>
      </c>
      <c r="L7056" s="3">
        <v>0</v>
      </c>
      <c r="M7056" s="3">
        <v>0</v>
      </c>
      <c r="N7056" s="3">
        <v>3716</v>
      </c>
    </row>
    <row r="7057" spans="1:14" x14ac:dyDescent="0.2">
      <c r="A7057" s="5" t="str">
        <f>HYPERLINK("http://www.ncbi.nlm.nih.gov/protein/31560433","Snx3")</f>
        <v>Snx3</v>
      </c>
      <c r="B7057" s="4"/>
      <c r="C7057" s="3">
        <v>20375</v>
      </c>
      <c r="D7057" s="3">
        <v>9644</v>
      </c>
      <c r="E7057" s="3">
        <v>15974</v>
      </c>
      <c r="F7057" s="3">
        <v>41607</v>
      </c>
      <c r="G7057" s="3">
        <v>19995</v>
      </c>
      <c r="H7057" s="2">
        <f t="shared" si="220"/>
        <v>107595</v>
      </c>
      <c r="I7057" t="str">
        <f t="shared" si="221"/>
        <v>Snx3_107595</v>
      </c>
      <c r="J7057" s="3">
        <v>20375</v>
      </c>
      <c r="K7057" s="3">
        <v>9644</v>
      </c>
      <c r="L7057" s="3">
        <v>15974</v>
      </c>
      <c r="M7057" s="3">
        <v>41607</v>
      </c>
      <c r="N7057" s="3">
        <v>19995</v>
      </c>
    </row>
    <row r="7058" spans="1:14" x14ac:dyDescent="0.2">
      <c r="A7058" s="5" t="str">
        <f>HYPERLINK("http://www.ncbi.nlm.nih.gov/protein/66792896","Snx32")</f>
        <v>Snx32</v>
      </c>
      <c r="B7058" s="4"/>
      <c r="C7058" s="3">
        <v>0</v>
      </c>
      <c r="D7058" s="3">
        <v>0</v>
      </c>
      <c r="E7058" s="3">
        <v>0</v>
      </c>
      <c r="F7058" s="3">
        <v>2718</v>
      </c>
      <c r="G7058" s="3">
        <v>0</v>
      </c>
      <c r="H7058" s="2">
        <f t="shared" si="220"/>
        <v>2718</v>
      </c>
      <c r="I7058" t="str">
        <f t="shared" si="221"/>
        <v>Snx32_2718</v>
      </c>
      <c r="J7058" s="3">
        <v>0</v>
      </c>
      <c r="K7058" s="3">
        <v>0</v>
      </c>
      <c r="L7058" s="3">
        <v>0</v>
      </c>
      <c r="M7058" s="3">
        <v>2718</v>
      </c>
      <c r="N7058" s="3">
        <v>0</v>
      </c>
    </row>
    <row r="7059" spans="1:14" x14ac:dyDescent="0.2">
      <c r="A7059" s="5" t="str">
        <f>HYPERLINK("http://www.ncbi.nlm.nih.gov/protein/18017596","Snx4")</f>
        <v>Snx4</v>
      </c>
      <c r="B7059" s="4"/>
      <c r="C7059" s="3">
        <v>0</v>
      </c>
      <c r="D7059" s="3">
        <v>2200</v>
      </c>
      <c r="E7059" s="3">
        <v>2928</v>
      </c>
      <c r="F7059" s="3">
        <v>18205</v>
      </c>
      <c r="G7059" s="3">
        <v>739</v>
      </c>
      <c r="H7059" s="2">
        <f t="shared" si="220"/>
        <v>24072</v>
      </c>
      <c r="I7059" t="str">
        <f t="shared" si="221"/>
        <v>Snx4_24072</v>
      </c>
      <c r="J7059" s="3">
        <v>0</v>
      </c>
      <c r="K7059" s="3">
        <v>2200</v>
      </c>
      <c r="L7059" s="3">
        <v>2928</v>
      </c>
      <c r="M7059" s="3">
        <v>18205</v>
      </c>
      <c r="N7059" s="3">
        <v>739</v>
      </c>
    </row>
    <row r="7060" spans="1:14" x14ac:dyDescent="0.2">
      <c r="A7060" s="5" t="str">
        <f>HYPERLINK("http://www.ncbi.nlm.nih.gov/protein/18034769","Snx5")</f>
        <v>Snx5</v>
      </c>
      <c r="B7060" s="4"/>
      <c r="C7060" s="3">
        <v>0</v>
      </c>
      <c r="D7060" s="3">
        <v>4964</v>
      </c>
      <c r="E7060" s="3">
        <v>8885</v>
      </c>
      <c r="F7060" s="3">
        <v>7932</v>
      </c>
      <c r="G7060" s="3">
        <v>42817</v>
      </c>
      <c r="H7060" s="2">
        <f t="shared" si="220"/>
        <v>64598</v>
      </c>
      <c r="I7060" t="str">
        <f t="shared" si="221"/>
        <v>Snx5_64598</v>
      </c>
      <c r="J7060" s="3">
        <v>0</v>
      </c>
      <c r="K7060" s="3">
        <v>4964</v>
      </c>
      <c r="L7060" s="3">
        <v>8885</v>
      </c>
      <c r="M7060" s="3">
        <v>7932</v>
      </c>
      <c r="N7060" s="3">
        <v>42817</v>
      </c>
    </row>
    <row r="7061" spans="1:14" x14ac:dyDescent="0.2">
      <c r="A7061" s="5" t="str">
        <f>HYPERLINK("http://www.ncbi.nlm.nih.gov/protein/27754031","Snx6")</f>
        <v>Snx6</v>
      </c>
      <c r="B7061" s="4"/>
      <c r="C7061" s="3">
        <v>0</v>
      </c>
      <c r="D7061" s="3">
        <v>4375</v>
      </c>
      <c r="E7061" s="3">
        <v>6588</v>
      </c>
      <c r="F7061" s="3">
        <v>47468</v>
      </c>
      <c r="G7061" s="3">
        <v>34656</v>
      </c>
      <c r="H7061" s="2">
        <f t="shared" si="220"/>
        <v>93087</v>
      </c>
      <c r="I7061" t="str">
        <f t="shared" si="221"/>
        <v>Snx6_93087</v>
      </c>
      <c r="J7061" s="3">
        <v>0</v>
      </c>
      <c r="K7061" s="3">
        <v>4375</v>
      </c>
      <c r="L7061" s="3">
        <v>6588</v>
      </c>
      <c r="M7061" s="3">
        <v>47468</v>
      </c>
      <c r="N7061" s="3">
        <v>34656</v>
      </c>
    </row>
    <row r="7062" spans="1:14" x14ac:dyDescent="0.2">
      <c r="A7062" s="5" t="str">
        <f>HYPERLINK("http://www.ncbi.nlm.nih.gov/protein/297747313","Snx7")</f>
        <v>Snx7</v>
      </c>
      <c r="B7062" s="4"/>
      <c r="C7062" s="3">
        <v>0</v>
      </c>
      <c r="D7062" s="3">
        <v>0</v>
      </c>
      <c r="E7062" s="3">
        <v>558</v>
      </c>
      <c r="F7062" s="3">
        <v>2325</v>
      </c>
      <c r="G7062" s="3">
        <v>0</v>
      </c>
      <c r="H7062" s="2">
        <f t="shared" si="220"/>
        <v>2883</v>
      </c>
      <c r="I7062" t="str">
        <f t="shared" si="221"/>
        <v>Snx7_2883</v>
      </c>
      <c r="J7062" s="3">
        <v>0</v>
      </c>
      <c r="K7062" s="3">
        <v>0</v>
      </c>
      <c r="L7062" s="3">
        <v>558</v>
      </c>
      <c r="M7062" s="3">
        <v>2325</v>
      </c>
      <c r="N7062" s="3">
        <v>0</v>
      </c>
    </row>
    <row r="7063" spans="1:14" x14ac:dyDescent="0.2">
      <c r="A7063" s="5" t="str">
        <f>HYPERLINK("http://www.ncbi.nlm.nih.gov/protein/297747317","Snx7")</f>
        <v>Snx7</v>
      </c>
      <c r="B7063" s="4"/>
      <c r="C7063" s="3">
        <v>0</v>
      </c>
      <c r="D7063" s="3">
        <v>0</v>
      </c>
      <c r="E7063" s="3">
        <v>806</v>
      </c>
      <c r="F7063" s="3">
        <v>2325</v>
      </c>
      <c r="G7063" s="3">
        <v>0</v>
      </c>
      <c r="H7063" s="2">
        <f t="shared" si="220"/>
        <v>3131</v>
      </c>
      <c r="I7063" t="str">
        <f t="shared" si="221"/>
        <v>Snx7_3131</v>
      </c>
      <c r="J7063" s="3">
        <v>0</v>
      </c>
      <c r="K7063" s="3">
        <v>0</v>
      </c>
      <c r="L7063" s="3">
        <v>806</v>
      </c>
      <c r="M7063" s="3">
        <v>2325</v>
      </c>
      <c r="N7063" s="3">
        <v>0</v>
      </c>
    </row>
    <row r="7064" spans="1:14" x14ac:dyDescent="0.2">
      <c r="A7064" s="5" t="str">
        <f>HYPERLINK("http://www.ncbi.nlm.nih.gov/protein/26986581","Snx8")</f>
        <v>Snx8</v>
      </c>
      <c r="B7064" s="4"/>
      <c r="C7064" s="3">
        <v>0</v>
      </c>
      <c r="D7064" s="3">
        <v>670</v>
      </c>
      <c r="E7064" s="3">
        <v>534</v>
      </c>
      <c r="F7064" s="3">
        <v>0</v>
      </c>
      <c r="G7064" s="3">
        <v>0</v>
      </c>
      <c r="H7064" s="2">
        <f t="shared" si="220"/>
        <v>1204</v>
      </c>
      <c r="I7064" t="str">
        <f t="shared" si="221"/>
        <v>Snx8_1204</v>
      </c>
      <c r="J7064" s="3">
        <v>0</v>
      </c>
      <c r="K7064" s="3">
        <v>670</v>
      </c>
      <c r="L7064" s="3">
        <v>534</v>
      </c>
      <c r="M7064" s="3">
        <v>0</v>
      </c>
      <c r="N7064" s="3">
        <v>0</v>
      </c>
    </row>
    <row r="7065" spans="1:14" x14ac:dyDescent="0.2">
      <c r="A7065" s="5" t="str">
        <f>HYPERLINK("http://www.ncbi.nlm.nih.gov/protein/29568084","Snx9")</f>
        <v>Snx9</v>
      </c>
      <c r="B7065" s="4"/>
      <c r="C7065" s="3">
        <v>0</v>
      </c>
      <c r="D7065" s="3">
        <v>453</v>
      </c>
      <c r="E7065" s="3">
        <v>2691</v>
      </c>
      <c r="F7065" s="3">
        <v>12581</v>
      </c>
      <c r="G7065" s="3">
        <v>2078</v>
      </c>
      <c r="H7065" s="2">
        <f t="shared" si="220"/>
        <v>17803</v>
      </c>
      <c r="I7065" t="str">
        <f t="shared" si="221"/>
        <v>Snx9_17803</v>
      </c>
      <c r="J7065" s="3">
        <v>0</v>
      </c>
      <c r="K7065" s="3">
        <v>453</v>
      </c>
      <c r="L7065" s="3">
        <v>2691</v>
      </c>
      <c r="M7065" s="3">
        <v>12581</v>
      </c>
      <c r="N7065" s="3">
        <v>2078</v>
      </c>
    </row>
    <row r="7066" spans="1:14" x14ac:dyDescent="0.2">
      <c r="A7066" s="5" t="str">
        <f>HYPERLINK("http://www.ncbi.nlm.nih.gov/protein/84619697","Soat1")</f>
        <v>Soat1</v>
      </c>
      <c r="B7066" s="4"/>
      <c r="C7066" s="3">
        <v>2783</v>
      </c>
      <c r="D7066" s="3">
        <v>1839</v>
      </c>
      <c r="E7066" s="3">
        <v>222</v>
      </c>
      <c r="F7066" s="3">
        <v>0</v>
      </c>
      <c r="G7066" s="3">
        <v>0</v>
      </c>
      <c r="H7066" s="2">
        <f t="shared" si="220"/>
        <v>4844</v>
      </c>
      <c r="I7066" t="str">
        <f t="shared" si="221"/>
        <v>Soat1_4844</v>
      </c>
      <c r="J7066" s="3">
        <v>2783</v>
      </c>
      <c r="K7066" s="3">
        <v>1839</v>
      </c>
      <c r="L7066" s="3">
        <v>222</v>
      </c>
      <c r="M7066" s="3">
        <v>0</v>
      </c>
      <c r="N7066" s="3">
        <v>0</v>
      </c>
    </row>
    <row r="7067" spans="1:14" x14ac:dyDescent="0.2">
      <c r="A7067" s="5" t="str">
        <f>HYPERLINK("http://www.ncbi.nlm.nih.gov/protein/45597447","Sod1")</f>
        <v>Sod1</v>
      </c>
      <c r="B7067" s="4"/>
      <c r="C7067" s="3">
        <v>167225</v>
      </c>
      <c r="D7067" s="3">
        <v>5532</v>
      </c>
      <c r="E7067" s="3">
        <v>56524</v>
      </c>
      <c r="F7067" s="3">
        <v>28167</v>
      </c>
      <c r="G7067" s="3">
        <v>57050</v>
      </c>
      <c r="H7067" s="2">
        <f t="shared" si="220"/>
        <v>314498</v>
      </c>
      <c r="I7067" t="str">
        <f t="shared" si="221"/>
        <v>Sod1_314498</v>
      </c>
      <c r="J7067" s="3">
        <v>167225</v>
      </c>
      <c r="K7067" s="3">
        <v>5532</v>
      </c>
      <c r="L7067" s="3">
        <v>56524</v>
      </c>
      <c r="M7067" s="3">
        <v>28167</v>
      </c>
      <c r="N7067" s="3">
        <v>57050</v>
      </c>
    </row>
    <row r="7068" spans="1:14" x14ac:dyDescent="0.2">
      <c r="A7068" s="5" t="str">
        <f>HYPERLINK("http://www.ncbi.nlm.nih.gov/protein/31980762","Sod2")</f>
        <v>Sod2</v>
      </c>
      <c r="B7068" s="4"/>
      <c r="C7068" s="3">
        <v>65755</v>
      </c>
      <c r="D7068" s="3">
        <v>19921</v>
      </c>
      <c r="E7068" s="3">
        <v>2381</v>
      </c>
      <c r="F7068" s="3">
        <v>0</v>
      </c>
      <c r="G7068" s="3">
        <v>5076</v>
      </c>
      <c r="H7068" s="2">
        <f t="shared" si="220"/>
        <v>93133</v>
      </c>
      <c r="I7068" t="str">
        <f t="shared" si="221"/>
        <v>Sod2_93133</v>
      </c>
      <c r="J7068" s="3">
        <v>65755</v>
      </c>
      <c r="K7068" s="3">
        <v>19921</v>
      </c>
      <c r="L7068" s="3">
        <v>2381</v>
      </c>
      <c r="M7068" s="3">
        <v>0</v>
      </c>
      <c r="N7068" s="3">
        <v>5076</v>
      </c>
    </row>
    <row r="7069" spans="1:14" x14ac:dyDescent="0.2">
      <c r="A7069" s="5" t="str">
        <f>HYPERLINK("http://www.ncbi.nlm.nih.gov/protein/124358955","Son")</f>
        <v>Son</v>
      </c>
      <c r="B7069" s="4"/>
      <c r="C7069" s="3">
        <v>0</v>
      </c>
      <c r="D7069" s="3">
        <v>1100</v>
      </c>
      <c r="E7069" s="3">
        <v>357</v>
      </c>
      <c r="F7069" s="3">
        <v>0</v>
      </c>
      <c r="G7069" s="3">
        <v>0</v>
      </c>
      <c r="H7069" s="2">
        <f t="shared" si="220"/>
        <v>1457</v>
      </c>
      <c r="I7069" t="str">
        <f t="shared" si="221"/>
        <v>Son_1457</v>
      </c>
      <c r="J7069" s="3">
        <v>0</v>
      </c>
      <c r="K7069" s="3">
        <v>1100</v>
      </c>
      <c r="L7069" s="3">
        <v>357</v>
      </c>
      <c r="M7069" s="3">
        <v>0</v>
      </c>
      <c r="N7069" s="3">
        <v>0</v>
      </c>
    </row>
    <row r="7070" spans="1:14" x14ac:dyDescent="0.2">
      <c r="A7070" s="5" t="str">
        <f>HYPERLINK("http://www.ncbi.nlm.nih.gov/protein/124378037","Son")</f>
        <v>Son</v>
      </c>
      <c r="B7070" s="4"/>
      <c r="C7070" s="3">
        <v>0</v>
      </c>
      <c r="D7070" s="3">
        <v>1100</v>
      </c>
      <c r="E7070" s="3">
        <v>357</v>
      </c>
      <c r="F7070" s="3">
        <v>0</v>
      </c>
      <c r="G7070" s="3">
        <v>0</v>
      </c>
      <c r="H7070" s="2">
        <f t="shared" si="220"/>
        <v>1457</v>
      </c>
      <c r="I7070" t="str">
        <f t="shared" si="221"/>
        <v>Son_1457</v>
      </c>
      <c r="J7070" s="3">
        <v>0</v>
      </c>
      <c r="K7070" s="3">
        <v>1100</v>
      </c>
      <c r="L7070" s="3">
        <v>357</v>
      </c>
      <c r="M7070" s="3">
        <v>0</v>
      </c>
      <c r="N7070" s="3">
        <v>0</v>
      </c>
    </row>
    <row r="7071" spans="1:14" x14ac:dyDescent="0.2">
      <c r="A7071" s="5" t="str">
        <f>HYPERLINK("http://www.ncbi.nlm.nih.gov/protein/78000154","Sorbs1")</f>
        <v>Sorbs1</v>
      </c>
      <c r="B7071" s="4"/>
      <c r="C7071" s="3">
        <v>0</v>
      </c>
      <c r="D7071" s="3">
        <v>0</v>
      </c>
      <c r="E7071" s="3">
        <v>133</v>
      </c>
      <c r="F7071" s="3">
        <v>0</v>
      </c>
      <c r="G7071" s="3">
        <v>21</v>
      </c>
      <c r="H7071" s="2">
        <f t="shared" si="220"/>
        <v>154</v>
      </c>
      <c r="I7071" t="str">
        <f t="shared" si="221"/>
        <v>Sorbs1_154</v>
      </c>
      <c r="J7071" s="3">
        <v>0</v>
      </c>
      <c r="K7071" s="3">
        <v>0</v>
      </c>
      <c r="L7071" s="3">
        <v>133</v>
      </c>
      <c r="M7071" s="3">
        <v>0</v>
      </c>
      <c r="N7071" s="3">
        <v>21</v>
      </c>
    </row>
    <row r="7072" spans="1:14" x14ac:dyDescent="0.2">
      <c r="A7072" s="5" t="str">
        <f>HYPERLINK("http://www.ncbi.nlm.nih.gov/protein/78000173","Sorbs1")</f>
        <v>Sorbs1</v>
      </c>
      <c r="B7072" s="4"/>
      <c r="C7072" s="3">
        <v>0</v>
      </c>
      <c r="D7072" s="3">
        <v>0</v>
      </c>
      <c r="E7072" s="3">
        <v>133</v>
      </c>
      <c r="F7072" s="3">
        <v>0</v>
      </c>
      <c r="G7072" s="3">
        <v>21</v>
      </c>
      <c r="H7072" s="2">
        <f t="shared" si="220"/>
        <v>154</v>
      </c>
      <c r="I7072" t="str">
        <f t="shared" si="221"/>
        <v>Sorbs1_154</v>
      </c>
      <c r="J7072" s="3">
        <v>0</v>
      </c>
      <c r="K7072" s="3">
        <v>0</v>
      </c>
      <c r="L7072" s="3">
        <v>133</v>
      </c>
      <c r="M7072" s="3">
        <v>0</v>
      </c>
      <c r="N7072" s="3">
        <v>21</v>
      </c>
    </row>
    <row r="7073" spans="1:14" x14ac:dyDescent="0.2">
      <c r="A7073" s="5" t="str">
        <f>HYPERLINK("http://www.ncbi.nlm.nih.gov/protein/78000175","Sorbs1")</f>
        <v>Sorbs1</v>
      </c>
      <c r="B7073" s="4"/>
      <c r="C7073" s="3">
        <v>0</v>
      </c>
      <c r="D7073" s="3">
        <v>0</v>
      </c>
      <c r="E7073" s="3">
        <v>133</v>
      </c>
      <c r="F7073" s="3">
        <v>0</v>
      </c>
      <c r="G7073" s="3">
        <v>21</v>
      </c>
      <c r="H7073" s="2">
        <f t="shared" si="220"/>
        <v>154</v>
      </c>
      <c r="I7073" t="str">
        <f t="shared" si="221"/>
        <v>Sorbs1_154</v>
      </c>
      <c r="J7073" s="3">
        <v>0</v>
      </c>
      <c r="K7073" s="3">
        <v>0</v>
      </c>
      <c r="L7073" s="3">
        <v>133</v>
      </c>
      <c r="M7073" s="3">
        <v>0</v>
      </c>
      <c r="N7073" s="3">
        <v>21</v>
      </c>
    </row>
    <row r="7074" spans="1:14" x14ac:dyDescent="0.2">
      <c r="A7074" s="5" t="str">
        <f>HYPERLINK("http://www.ncbi.nlm.nih.gov/protein/78000177","Sorbs1")</f>
        <v>Sorbs1</v>
      </c>
      <c r="B7074" s="4"/>
      <c r="C7074" s="3">
        <v>0</v>
      </c>
      <c r="D7074" s="3">
        <v>0</v>
      </c>
      <c r="E7074" s="3">
        <v>133</v>
      </c>
      <c r="F7074" s="3">
        <v>0</v>
      </c>
      <c r="G7074" s="3">
        <v>21</v>
      </c>
      <c r="H7074" s="2">
        <f t="shared" si="220"/>
        <v>154</v>
      </c>
      <c r="I7074" t="str">
        <f t="shared" si="221"/>
        <v>Sorbs1_154</v>
      </c>
      <c r="J7074" s="3">
        <v>0</v>
      </c>
      <c r="K7074" s="3">
        <v>0</v>
      </c>
      <c r="L7074" s="3">
        <v>133</v>
      </c>
      <c r="M7074" s="3">
        <v>0</v>
      </c>
      <c r="N7074" s="3">
        <v>21</v>
      </c>
    </row>
    <row r="7075" spans="1:14" x14ac:dyDescent="0.2">
      <c r="A7075" s="5" t="str">
        <f>HYPERLINK("http://www.ncbi.nlm.nih.gov/protein/78000179","Sorbs1")</f>
        <v>Sorbs1</v>
      </c>
      <c r="B7075" s="4"/>
      <c r="C7075" s="3">
        <v>0</v>
      </c>
      <c r="D7075" s="3">
        <v>0</v>
      </c>
      <c r="E7075" s="3">
        <v>133</v>
      </c>
      <c r="F7075" s="3">
        <v>0</v>
      </c>
      <c r="G7075" s="3">
        <v>21</v>
      </c>
      <c r="H7075" s="2">
        <f t="shared" si="220"/>
        <v>154</v>
      </c>
      <c r="I7075" t="str">
        <f t="shared" si="221"/>
        <v>Sorbs1_154</v>
      </c>
      <c r="J7075" s="3">
        <v>0</v>
      </c>
      <c r="K7075" s="3">
        <v>0</v>
      </c>
      <c r="L7075" s="3">
        <v>133</v>
      </c>
      <c r="M7075" s="3">
        <v>0</v>
      </c>
      <c r="N7075" s="3">
        <v>21</v>
      </c>
    </row>
    <row r="7076" spans="1:14" x14ac:dyDescent="0.2">
      <c r="A7076" s="5" t="str">
        <f>HYPERLINK("http://www.ncbi.nlm.nih.gov/protein/327315368","Sorbs2")</f>
        <v>Sorbs2</v>
      </c>
      <c r="B7076" s="4"/>
      <c r="C7076" s="3">
        <v>0</v>
      </c>
      <c r="D7076" s="3">
        <v>309</v>
      </c>
      <c r="E7076" s="3">
        <v>50</v>
      </c>
      <c r="F7076" s="3">
        <v>0</v>
      </c>
      <c r="G7076" s="3">
        <v>0</v>
      </c>
      <c r="H7076" s="2">
        <f t="shared" si="220"/>
        <v>359</v>
      </c>
      <c r="I7076" t="str">
        <f t="shared" si="221"/>
        <v>Sorbs2_359</v>
      </c>
      <c r="J7076" s="3">
        <v>0</v>
      </c>
      <c r="K7076" s="3">
        <v>309</v>
      </c>
      <c r="L7076" s="3">
        <v>50</v>
      </c>
      <c r="M7076" s="3">
        <v>0</v>
      </c>
      <c r="N7076" s="3">
        <v>0</v>
      </c>
    </row>
    <row r="7077" spans="1:14" x14ac:dyDescent="0.2">
      <c r="A7077" s="5" t="str">
        <f>HYPERLINK("http://www.ncbi.nlm.nih.gov/protein/327315370","Sorbs2")</f>
        <v>Sorbs2</v>
      </c>
      <c r="B7077" s="4"/>
      <c r="C7077" s="3">
        <v>0</v>
      </c>
      <c r="D7077" s="3">
        <v>309</v>
      </c>
      <c r="E7077" s="3">
        <v>50</v>
      </c>
      <c r="F7077" s="3">
        <v>0</v>
      </c>
      <c r="G7077" s="3">
        <v>0</v>
      </c>
      <c r="H7077" s="2">
        <f t="shared" si="220"/>
        <v>359</v>
      </c>
      <c r="I7077" t="str">
        <f t="shared" si="221"/>
        <v>Sorbs2_359</v>
      </c>
      <c r="J7077" s="3">
        <v>0</v>
      </c>
      <c r="K7077" s="3">
        <v>309</v>
      </c>
      <c r="L7077" s="3">
        <v>50</v>
      </c>
      <c r="M7077" s="3">
        <v>0</v>
      </c>
      <c r="N7077" s="3">
        <v>0</v>
      </c>
    </row>
    <row r="7078" spans="1:14" x14ac:dyDescent="0.2">
      <c r="A7078" s="5" t="str">
        <f>HYPERLINK("http://www.ncbi.nlm.nih.gov/protein/406719571","Sorbs3")</f>
        <v>Sorbs3</v>
      </c>
      <c r="B7078" s="4"/>
      <c r="C7078" s="3">
        <v>732</v>
      </c>
      <c r="D7078" s="3">
        <v>0</v>
      </c>
      <c r="E7078" s="3">
        <v>92</v>
      </c>
      <c r="F7078" s="3">
        <v>1154</v>
      </c>
      <c r="G7078" s="3">
        <v>16718</v>
      </c>
      <c r="H7078" s="2">
        <f t="shared" si="220"/>
        <v>18696</v>
      </c>
      <c r="I7078" t="str">
        <f t="shared" si="221"/>
        <v>Sorbs3_18696</v>
      </c>
      <c r="J7078" s="3">
        <v>732</v>
      </c>
      <c r="K7078" s="3">
        <v>0</v>
      </c>
      <c r="L7078" s="3">
        <v>92</v>
      </c>
      <c r="M7078" s="3">
        <v>1154</v>
      </c>
      <c r="N7078" s="3">
        <v>16718</v>
      </c>
    </row>
    <row r="7079" spans="1:14" x14ac:dyDescent="0.2">
      <c r="A7079" s="5" t="str">
        <f>HYPERLINK("http://www.ncbi.nlm.nih.gov/protein/406719575","Sorbs3")</f>
        <v>Sorbs3</v>
      </c>
      <c r="B7079" s="4"/>
      <c r="C7079" s="3">
        <v>732</v>
      </c>
      <c r="D7079" s="3">
        <v>0</v>
      </c>
      <c r="E7079" s="3">
        <v>92</v>
      </c>
      <c r="F7079" s="3">
        <v>1154</v>
      </c>
      <c r="G7079" s="3">
        <v>16718</v>
      </c>
      <c r="H7079" s="2">
        <f t="shared" si="220"/>
        <v>18696</v>
      </c>
      <c r="I7079" t="str">
        <f t="shared" si="221"/>
        <v>Sorbs3_18696</v>
      </c>
      <c r="J7079" s="3">
        <v>732</v>
      </c>
      <c r="K7079" s="3">
        <v>0</v>
      </c>
      <c r="L7079" s="3">
        <v>92</v>
      </c>
      <c r="M7079" s="3">
        <v>1154</v>
      </c>
      <c r="N7079" s="3">
        <v>16718</v>
      </c>
    </row>
    <row r="7080" spans="1:14" x14ac:dyDescent="0.2">
      <c r="A7080" s="5" t="str">
        <f>HYPERLINK("http://www.ncbi.nlm.nih.gov/protein/6755504","Sorbs3")</f>
        <v>Sorbs3</v>
      </c>
      <c r="B7080" s="4"/>
      <c r="C7080" s="3">
        <v>732</v>
      </c>
      <c r="D7080" s="3">
        <v>0</v>
      </c>
      <c r="E7080" s="3">
        <v>92</v>
      </c>
      <c r="F7080" s="3">
        <v>1154</v>
      </c>
      <c r="G7080" s="3">
        <v>16718</v>
      </c>
      <c r="H7080" s="2">
        <f t="shared" si="220"/>
        <v>18696</v>
      </c>
      <c r="I7080" t="str">
        <f t="shared" si="221"/>
        <v>Sorbs3_18696</v>
      </c>
      <c r="J7080" s="3">
        <v>732</v>
      </c>
      <c r="K7080" s="3">
        <v>0</v>
      </c>
      <c r="L7080" s="3">
        <v>92</v>
      </c>
      <c r="M7080" s="3">
        <v>1154</v>
      </c>
      <c r="N7080" s="3">
        <v>16718</v>
      </c>
    </row>
    <row r="7081" spans="1:14" x14ac:dyDescent="0.2">
      <c r="A7081" s="5" t="str">
        <f>HYPERLINK("http://www.ncbi.nlm.nih.gov/protein/22128627","Sord")</f>
        <v>Sord</v>
      </c>
      <c r="B7081" s="4"/>
      <c r="C7081" s="3">
        <v>0</v>
      </c>
      <c r="D7081" s="3">
        <v>0</v>
      </c>
      <c r="E7081" s="3">
        <v>157</v>
      </c>
      <c r="F7081" s="3">
        <v>4273</v>
      </c>
      <c r="G7081" s="3">
        <v>20841</v>
      </c>
      <c r="H7081" s="2">
        <f t="shared" si="220"/>
        <v>25271</v>
      </c>
      <c r="I7081" t="str">
        <f t="shared" si="221"/>
        <v>Sord_25271</v>
      </c>
      <c r="J7081" s="3">
        <v>0</v>
      </c>
      <c r="K7081" s="3">
        <v>0</v>
      </c>
      <c r="L7081" s="3">
        <v>157</v>
      </c>
      <c r="M7081" s="3">
        <v>4273</v>
      </c>
      <c r="N7081" s="3">
        <v>20841</v>
      </c>
    </row>
    <row r="7082" spans="1:14" x14ac:dyDescent="0.2">
      <c r="A7082" s="5" t="str">
        <f>HYPERLINK("http://www.ncbi.nlm.nih.gov/protein/110625645","Sorl1")</f>
        <v>Sorl1</v>
      </c>
      <c r="B7082" s="4"/>
      <c r="C7082" s="3">
        <v>0</v>
      </c>
      <c r="D7082" s="3">
        <v>2113</v>
      </c>
      <c r="E7082" s="3">
        <v>9772</v>
      </c>
      <c r="F7082" s="3">
        <v>254</v>
      </c>
      <c r="G7082" s="3">
        <v>11</v>
      </c>
      <c r="H7082" s="2">
        <f t="shared" si="220"/>
        <v>12150</v>
      </c>
      <c r="I7082" t="str">
        <f t="shared" si="221"/>
        <v>Sorl1_12150</v>
      </c>
      <c r="J7082" s="3">
        <v>0</v>
      </c>
      <c r="K7082" s="3">
        <v>2113</v>
      </c>
      <c r="L7082" s="3">
        <v>9772</v>
      </c>
      <c r="M7082" s="3">
        <v>254</v>
      </c>
      <c r="N7082" s="3">
        <v>11</v>
      </c>
    </row>
    <row r="7083" spans="1:14" x14ac:dyDescent="0.2">
      <c r="A7083" s="5" t="str">
        <f>HYPERLINK("http://www.ncbi.nlm.nih.gov/protein/34610211","Sort1")</f>
        <v>Sort1</v>
      </c>
      <c r="B7083" s="4"/>
      <c r="C7083" s="3">
        <v>0</v>
      </c>
      <c r="D7083" s="3">
        <v>0</v>
      </c>
      <c r="E7083" s="3">
        <v>2485</v>
      </c>
      <c r="F7083" s="3">
        <v>0</v>
      </c>
      <c r="G7083" s="3">
        <v>0</v>
      </c>
      <c r="H7083" s="2">
        <f t="shared" si="220"/>
        <v>2485</v>
      </c>
      <c r="I7083" t="str">
        <f t="shared" si="221"/>
        <v>Sort1_2485</v>
      </c>
      <c r="J7083" s="3">
        <v>0</v>
      </c>
      <c r="K7083" s="3">
        <v>0</v>
      </c>
      <c r="L7083" s="3">
        <v>2485</v>
      </c>
      <c r="M7083" s="3">
        <v>0</v>
      </c>
      <c r="N7083" s="3">
        <v>0</v>
      </c>
    </row>
    <row r="7084" spans="1:14" x14ac:dyDescent="0.2">
      <c r="A7084" s="5" t="str">
        <f>HYPERLINK("http://www.ncbi.nlm.nih.gov/protein/409264681","Sort1")</f>
        <v>Sort1</v>
      </c>
      <c r="B7084" s="4"/>
      <c r="C7084" s="3">
        <v>0</v>
      </c>
      <c r="D7084" s="3">
        <v>0</v>
      </c>
      <c r="E7084" s="3">
        <v>2485</v>
      </c>
      <c r="F7084" s="3">
        <v>0</v>
      </c>
      <c r="G7084" s="3">
        <v>0</v>
      </c>
      <c r="H7084" s="2">
        <f t="shared" si="220"/>
        <v>2485</v>
      </c>
      <c r="I7084" t="str">
        <f t="shared" si="221"/>
        <v>Sort1_2485</v>
      </c>
      <c r="J7084" s="3">
        <v>0</v>
      </c>
      <c r="K7084" s="3">
        <v>0</v>
      </c>
      <c r="L7084" s="3">
        <v>2485</v>
      </c>
      <c r="M7084" s="3">
        <v>0</v>
      </c>
      <c r="N7084" s="3">
        <v>0</v>
      </c>
    </row>
    <row r="7085" spans="1:14" x14ac:dyDescent="0.2">
      <c r="A7085" s="5" t="str">
        <f>HYPERLINK("http://www.ncbi.nlm.nih.gov/protein/117414170","Sos1")</f>
        <v>Sos1</v>
      </c>
      <c r="B7085" s="4"/>
      <c r="C7085" s="3">
        <v>0</v>
      </c>
      <c r="D7085" s="3">
        <v>0</v>
      </c>
      <c r="E7085" s="3">
        <v>0</v>
      </c>
      <c r="F7085" s="3">
        <v>0</v>
      </c>
      <c r="G7085" s="3">
        <v>1007</v>
      </c>
      <c r="H7085" s="2">
        <f t="shared" si="220"/>
        <v>1007</v>
      </c>
      <c r="I7085" t="str">
        <f t="shared" si="221"/>
        <v>Sos1_1007</v>
      </c>
      <c r="J7085" s="3">
        <v>0</v>
      </c>
      <c r="K7085" s="3">
        <v>0</v>
      </c>
      <c r="L7085" s="3">
        <v>0</v>
      </c>
      <c r="M7085" s="3">
        <v>0</v>
      </c>
      <c r="N7085" s="3">
        <v>1007</v>
      </c>
    </row>
    <row r="7086" spans="1:14" x14ac:dyDescent="0.2">
      <c r="A7086" s="5" t="str">
        <f>HYPERLINK("http://www.ncbi.nlm.nih.gov/protein/30424924","Sowahb")</f>
        <v>Sowahb</v>
      </c>
      <c r="B7086" s="4"/>
      <c r="C7086" s="3">
        <v>0</v>
      </c>
      <c r="D7086" s="3">
        <v>0</v>
      </c>
      <c r="E7086" s="3">
        <v>0</v>
      </c>
      <c r="F7086" s="3">
        <v>0</v>
      </c>
      <c r="G7086" s="3">
        <v>86</v>
      </c>
      <c r="H7086" s="2">
        <f t="shared" si="220"/>
        <v>86</v>
      </c>
      <c r="I7086" t="str">
        <f t="shared" si="221"/>
        <v>Sowahb_86</v>
      </c>
      <c r="J7086" s="3">
        <v>0</v>
      </c>
      <c r="K7086" s="3">
        <v>0</v>
      </c>
      <c r="L7086" s="3">
        <v>0</v>
      </c>
      <c r="M7086" s="3">
        <v>0</v>
      </c>
      <c r="N7086" s="3">
        <v>86</v>
      </c>
    </row>
    <row r="7087" spans="1:14" x14ac:dyDescent="0.2">
      <c r="A7087" s="5" t="str">
        <f>HYPERLINK("http://www.ncbi.nlm.nih.gov/protein/187173282","Sowahc")</f>
        <v>Sowahc</v>
      </c>
      <c r="B7087" s="4"/>
      <c r="C7087" s="3">
        <v>0</v>
      </c>
      <c r="D7087" s="3">
        <v>0</v>
      </c>
      <c r="E7087" s="3">
        <v>0</v>
      </c>
      <c r="F7087" s="3">
        <v>213</v>
      </c>
      <c r="G7087" s="3">
        <v>0</v>
      </c>
      <c r="H7087" s="2">
        <f t="shared" si="220"/>
        <v>213</v>
      </c>
      <c r="I7087" t="str">
        <f t="shared" si="221"/>
        <v>Sowahc_213</v>
      </c>
      <c r="J7087" s="3">
        <v>0</v>
      </c>
      <c r="K7087" s="3">
        <v>0</v>
      </c>
      <c r="L7087" s="3">
        <v>0</v>
      </c>
      <c r="M7087" s="3">
        <v>213</v>
      </c>
      <c r="N7087" s="3">
        <v>0</v>
      </c>
    </row>
    <row r="7088" spans="1:14" x14ac:dyDescent="0.2">
      <c r="A7088" s="5" t="str">
        <f>HYPERLINK("http://www.ncbi.nlm.nih.gov/protein/119226255","Sp1")</f>
        <v>Sp1</v>
      </c>
      <c r="B7088" s="4"/>
      <c r="C7088" s="3">
        <v>0</v>
      </c>
      <c r="D7088" s="3">
        <v>0</v>
      </c>
      <c r="E7088" s="3">
        <v>0</v>
      </c>
      <c r="F7088" s="3">
        <v>0</v>
      </c>
      <c r="G7088" s="3">
        <v>386</v>
      </c>
      <c r="H7088" s="2">
        <f t="shared" si="220"/>
        <v>386</v>
      </c>
      <c r="I7088" t="str">
        <f t="shared" si="221"/>
        <v>Sp1_386</v>
      </c>
      <c r="J7088" s="3">
        <v>0</v>
      </c>
      <c r="K7088" s="3">
        <v>0</v>
      </c>
      <c r="L7088" s="3">
        <v>0</v>
      </c>
      <c r="M7088" s="3">
        <v>0</v>
      </c>
      <c r="N7088" s="3">
        <v>386</v>
      </c>
    </row>
    <row r="7089" spans="1:14" x14ac:dyDescent="0.2">
      <c r="A7089" s="5" t="str">
        <f>HYPERLINK("http://www.ncbi.nlm.nih.gov/protein/148747279","Spag1")</f>
        <v>Spag1</v>
      </c>
      <c r="B7089" s="4"/>
      <c r="C7089" s="3">
        <v>0</v>
      </c>
      <c r="D7089" s="3">
        <v>0</v>
      </c>
      <c r="E7089" s="3">
        <v>18</v>
      </c>
      <c r="F7089" s="3">
        <v>0</v>
      </c>
      <c r="G7089" s="3">
        <v>0</v>
      </c>
      <c r="H7089" s="2">
        <f t="shared" si="220"/>
        <v>18</v>
      </c>
      <c r="I7089" t="str">
        <f t="shared" si="221"/>
        <v>Spag1_18</v>
      </c>
      <c r="J7089" s="3">
        <v>0</v>
      </c>
      <c r="K7089" s="3">
        <v>0</v>
      </c>
      <c r="L7089" s="3">
        <v>18</v>
      </c>
      <c r="M7089" s="3">
        <v>0</v>
      </c>
      <c r="N7089" s="3">
        <v>0</v>
      </c>
    </row>
    <row r="7090" spans="1:14" x14ac:dyDescent="0.2">
      <c r="A7090" s="5" t="str">
        <f>HYPERLINK("http://www.ncbi.nlm.nih.gov/protein/162287182","Spag17")</f>
        <v>Spag17</v>
      </c>
      <c r="B7090" s="4"/>
      <c r="C7090" s="3">
        <v>0</v>
      </c>
      <c r="D7090" s="3">
        <v>0</v>
      </c>
      <c r="E7090" s="3">
        <v>541</v>
      </c>
      <c r="F7090" s="3">
        <v>0</v>
      </c>
      <c r="G7090" s="3">
        <v>0</v>
      </c>
      <c r="H7090" s="2">
        <f t="shared" si="220"/>
        <v>541</v>
      </c>
      <c r="I7090" t="str">
        <f t="shared" si="221"/>
        <v>Spag17_541</v>
      </c>
      <c r="J7090" s="3">
        <v>0</v>
      </c>
      <c r="K7090" s="3">
        <v>0</v>
      </c>
      <c r="L7090" s="3">
        <v>541</v>
      </c>
      <c r="M7090" s="3">
        <v>0</v>
      </c>
      <c r="N7090" s="3">
        <v>0</v>
      </c>
    </row>
    <row r="7091" spans="1:14" x14ac:dyDescent="0.2">
      <c r="A7091" s="5" t="str">
        <f>HYPERLINK("http://www.ncbi.nlm.nih.gov/protein/264681516","Spag7")</f>
        <v>Spag7</v>
      </c>
      <c r="B7091" s="4"/>
      <c r="C7091" s="3">
        <v>0</v>
      </c>
      <c r="D7091" s="3">
        <v>0</v>
      </c>
      <c r="E7091" s="3">
        <v>0</v>
      </c>
      <c r="F7091" s="3">
        <v>0</v>
      </c>
      <c r="G7091" s="3">
        <v>23839</v>
      </c>
      <c r="H7091" s="2">
        <f t="shared" si="220"/>
        <v>23839</v>
      </c>
      <c r="I7091" t="str">
        <f t="shared" si="221"/>
        <v>Spag7_23839</v>
      </c>
      <c r="J7091" s="3">
        <v>0</v>
      </c>
      <c r="K7091" s="3">
        <v>0</v>
      </c>
      <c r="L7091" s="3">
        <v>0</v>
      </c>
      <c r="M7091" s="3">
        <v>0</v>
      </c>
      <c r="N7091" s="3">
        <v>23839</v>
      </c>
    </row>
    <row r="7092" spans="1:14" x14ac:dyDescent="0.2">
      <c r="A7092" s="5" t="str">
        <f>HYPERLINK("http://www.ncbi.nlm.nih.gov/protein/264681518","Spag7")</f>
        <v>Spag7</v>
      </c>
      <c r="B7092" s="4"/>
      <c r="C7092" s="3">
        <v>0</v>
      </c>
      <c r="D7092" s="3">
        <v>0</v>
      </c>
      <c r="E7092" s="3">
        <v>0</v>
      </c>
      <c r="F7092" s="3">
        <v>0</v>
      </c>
      <c r="G7092" s="3">
        <v>12787</v>
      </c>
      <c r="H7092" s="2">
        <f t="shared" si="220"/>
        <v>12787</v>
      </c>
      <c r="I7092" t="str">
        <f t="shared" si="221"/>
        <v>Spag7_12787</v>
      </c>
      <c r="J7092" s="3">
        <v>0</v>
      </c>
      <c r="K7092" s="3">
        <v>0</v>
      </c>
      <c r="L7092" s="3">
        <v>0</v>
      </c>
      <c r="M7092" s="3">
        <v>0</v>
      </c>
      <c r="N7092" s="3">
        <v>12787</v>
      </c>
    </row>
    <row r="7093" spans="1:14" x14ac:dyDescent="0.2">
      <c r="A7093" s="5" t="str">
        <f>HYPERLINK("http://www.ncbi.nlm.nih.gov/protein/312836821","Spag9")</f>
        <v>Spag9</v>
      </c>
      <c r="B7093" s="4"/>
      <c r="C7093" s="3">
        <v>0</v>
      </c>
      <c r="D7093" s="3">
        <v>0</v>
      </c>
      <c r="E7093" s="3">
        <v>233</v>
      </c>
      <c r="F7093" s="3">
        <v>0</v>
      </c>
      <c r="G7093" s="3">
        <v>23689</v>
      </c>
      <c r="H7093" s="2">
        <f t="shared" si="220"/>
        <v>23922</v>
      </c>
      <c r="I7093" t="str">
        <f t="shared" si="221"/>
        <v>Spag9_23922</v>
      </c>
      <c r="J7093" s="3">
        <v>0</v>
      </c>
      <c r="K7093" s="3">
        <v>0</v>
      </c>
      <c r="L7093" s="3">
        <v>233</v>
      </c>
      <c r="M7093" s="3">
        <v>0</v>
      </c>
      <c r="N7093" s="3">
        <v>23689</v>
      </c>
    </row>
    <row r="7094" spans="1:14" x14ac:dyDescent="0.2">
      <c r="A7094" s="5" t="str">
        <f>HYPERLINK("http://www.ncbi.nlm.nih.gov/protein/312836823","Spag9")</f>
        <v>Spag9</v>
      </c>
      <c r="B7094" s="4"/>
      <c r="C7094" s="3">
        <v>0</v>
      </c>
      <c r="D7094" s="3">
        <v>0</v>
      </c>
      <c r="E7094" s="3">
        <v>233</v>
      </c>
      <c r="F7094" s="3">
        <v>0</v>
      </c>
      <c r="G7094" s="3">
        <v>23689</v>
      </c>
      <c r="H7094" s="2">
        <f t="shared" si="220"/>
        <v>23922</v>
      </c>
      <c r="I7094" t="str">
        <f t="shared" si="221"/>
        <v>Spag9_23922</v>
      </c>
      <c r="J7094" s="3">
        <v>0</v>
      </c>
      <c r="K7094" s="3">
        <v>0</v>
      </c>
      <c r="L7094" s="3">
        <v>233</v>
      </c>
      <c r="M7094" s="3">
        <v>0</v>
      </c>
      <c r="N7094" s="3">
        <v>23689</v>
      </c>
    </row>
    <row r="7095" spans="1:14" x14ac:dyDescent="0.2">
      <c r="A7095" s="5" t="str">
        <f>HYPERLINK("http://www.ncbi.nlm.nih.gov/protein/312836825","Spag9")</f>
        <v>Spag9</v>
      </c>
      <c r="B7095" s="4"/>
      <c r="C7095" s="3">
        <v>0</v>
      </c>
      <c r="D7095" s="3">
        <v>0</v>
      </c>
      <c r="E7095" s="3">
        <v>233</v>
      </c>
      <c r="F7095" s="3">
        <v>0</v>
      </c>
      <c r="G7095" s="3">
        <v>18784</v>
      </c>
      <c r="H7095" s="2">
        <f t="shared" si="220"/>
        <v>19017</v>
      </c>
      <c r="I7095" t="str">
        <f t="shared" si="221"/>
        <v>Spag9_19017</v>
      </c>
      <c r="J7095" s="3">
        <v>0</v>
      </c>
      <c r="K7095" s="3">
        <v>0</v>
      </c>
      <c r="L7095" s="3">
        <v>233</v>
      </c>
      <c r="M7095" s="3">
        <v>0</v>
      </c>
      <c r="N7095" s="3">
        <v>18784</v>
      </c>
    </row>
    <row r="7096" spans="1:14" x14ac:dyDescent="0.2">
      <c r="A7096" s="5" t="str">
        <f>HYPERLINK("http://www.ncbi.nlm.nih.gov/protein/70887772","Spag9")</f>
        <v>Spag9</v>
      </c>
      <c r="B7096" s="4"/>
      <c r="C7096" s="3">
        <v>0</v>
      </c>
      <c r="D7096" s="3">
        <v>0</v>
      </c>
      <c r="E7096" s="3">
        <v>233</v>
      </c>
      <c r="F7096" s="3">
        <v>0</v>
      </c>
      <c r="G7096" s="3">
        <v>23689</v>
      </c>
      <c r="H7096" s="2">
        <f t="shared" si="220"/>
        <v>23922</v>
      </c>
      <c r="I7096" t="str">
        <f t="shared" si="221"/>
        <v>Spag9_23922</v>
      </c>
      <c r="J7096" s="3">
        <v>0</v>
      </c>
      <c r="K7096" s="3">
        <v>0</v>
      </c>
      <c r="L7096" s="3">
        <v>233</v>
      </c>
      <c r="M7096" s="3">
        <v>0</v>
      </c>
      <c r="N7096" s="3">
        <v>23689</v>
      </c>
    </row>
    <row r="7097" spans="1:14" x14ac:dyDescent="0.2">
      <c r="A7097" s="5" t="str">
        <f>HYPERLINK("http://www.ncbi.nlm.nih.gov/protein/70887776","Spag9")</f>
        <v>Spag9</v>
      </c>
      <c r="B7097" s="4"/>
      <c r="C7097" s="3">
        <v>0</v>
      </c>
      <c r="D7097" s="3">
        <v>0</v>
      </c>
      <c r="E7097" s="3">
        <v>233</v>
      </c>
      <c r="F7097" s="3">
        <v>0</v>
      </c>
      <c r="G7097" s="3">
        <v>18784</v>
      </c>
      <c r="H7097" s="2">
        <f t="shared" si="220"/>
        <v>19017</v>
      </c>
      <c r="I7097" t="str">
        <f t="shared" si="221"/>
        <v>Spag9_19017</v>
      </c>
      <c r="J7097" s="3">
        <v>0</v>
      </c>
      <c r="K7097" s="3">
        <v>0</v>
      </c>
      <c r="L7097" s="3">
        <v>233</v>
      </c>
      <c r="M7097" s="3">
        <v>0</v>
      </c>
      <c r="N7097" s="3">
        <v>18784</v>
      </c>
    </row>
    <row r="7098" spans="1:14" x14ac:dyDescent="0.2">
      <c r="A7098" s="5" t="str">
        <f>HYPERLINK("http://www.ncbi.nlm.nih.gov/protein/70887778","Spag9")</f>
        <v>Spag9</v>
      </c>
      <c r="B7098" s="4"/>
      <c r="C7098" s="3">
        <v>0</v>
      </c>
      <c r="D7098" s="3">
        <v>0</v>
      </c>
      <c r="E7098" s="3">
        <v>233</v>
      </c>
      <c r="F7098" s="3">
        <v>0</v>
      </c>
      <c r="G7098" s="3">
        <v>18784</v>
      </c>
      <c r="H7098" s="2">
        <f t="shared" si="220"/>
        <v>19017</v>
      </c>
      <c r="I7098" t="str">
        <f t="shared" si="221"/>
        <v>Spag9_19017</v>
      </c>
      <c r="J7098" s="3">
        <v>0</v>
      </c>
      <c r="K7098" s="3">
        <v>0</v>
      </c>
      <c r="L7098" s="3">
        <v>233</v>
      </c>
      <c r="M7098" s="3">
        <v>0</v>
      </c>
      <c r="N7098" s="3">
        <v>18784</v>
      </c>
    </row>
    <row r="7099" spans="1:14" x14ac:dyDescent="0.2">
      <c r="A7099" s="5" t="str">
        <f>HYPERLINK("http://www.ncbi.nlm.nih.gov/protein/70887784","Spag9")</f>
        <v>Spag9</v>
      </c>
      <c r="B7099" s="4"/>
      <c r="C7099" s="3">
        <v>0</v>
      </c>
      <c r="D7099" s="3">
        <v>0</v>
      </c>
      <c r="E7099" s="3">
        <v>233</v>
      </c>
      <c r="F7099" s="3">
        <v>0</v>
      </c>
      <c r="G7099" s="3">
        <v>18784</v>
      </c>
      <c r="H7099" s="2">
        <f t="shared" si="220"/>
        <v>19017</v>
      </c>
      <c r="I7099" t="str">
        <f t="shared" si="221"/>
        <v>Spag9_19017</v>
      </c>
      <c r="J7099" s="3">
        <v>0</v>
      </c>
      <c r="K7099" s="3">
        <v>0</v>
      </c>
      <c r="L7099" s="3">
        <v>233</v>
      </c>
      <c r="M7099" s="3">
        <v>0</v>
      </c>
      <c r="N7099" s="3">
        <v>18784</v>
      </c>
    </row>
    <row r="7100" spans="1:14" x14ac:dyDescent="0.2">
      <c r="A7100" s="5" t="str">
        <f>HYPERLINK("http://www.ncbi.nlm.nih.gov/protein/244790106","Spast")</f>
        <v>Spast</v>
      </c>
      <c r="B7100" s="4"/>
      <c r="C7100" s="3">
        <v>0</v>
      </c>
      <c r="D7100" s="3">
        <v>0</v>
      </c>
      <c r="E7100" s="3">
        <v>31</v>
      </c>
      <c r="F7100" s="3">
        <v>0</v>
      </c>
      <c r="G7100" s="3">
        <v>493</v>
      </c>
      <c r="H7100" s="2">
        <f t="shared" si="220"/>
        <v>524</v>
      </c>
      <c r="I7100" t="str">
        <f t="shared" si="221"/>
        <v>Spast_524</v>
      </c>
      <c r="J7100" s="3">
        <v>0</v>
      </c>
      <c r="K7100" s="3">
        <v>0</v>
      </c>
      <c r="L7100" s="3">
        <v>31</v>
      </c>
      <c r="M7100" s="3">
        <v>0</v>
      </c>
      <c r="N7100" s="3">
        <v>493</v>
      </c>
    </row>
    <row r="7101" spans="1:14" x14ac:dyDescent="0.2">
      <c r="A7101" s="5" t="str">
        <f>HYPERLINK("http://www.ncbi.nlm.nih.gov/protein/244790112","Spast")</f>
        <v>Spast</v>
      </c>
      <c r="B7101" s="4"/>
      <c r="C7101" s="3">
        <v>0</v>
      </c>
      <c r="D7101" s="3">
        <v>0</v>
      </c>
      <c r="E7101" s="3">
        <v>31</v>
      </c>
      <c r="F7101" s="3">
        <v>0</v>
      </c>
      <c r="G7101" s="3">
        <v>493</v>
      </c>
      <c r="H7101" s="2">
        <f t="shared" si="220"/>
        <v>524</v>
      </c>
      <c r="I7101" t="str">
        <f t="shared" si="221"/>
        <v>Spast_524</v>
      </c>
      <c r="J7101" s="3">
        <v>0</v>
      </c>
      <c r="K7101" s="3">
        <v>0</v>
      </c>
      <c r="L7101" s="3">
        <v>31</v>
      </c>
      <c r="M7101" s="3">
        <v>0</v>
      </c>
      <c r="N7101" s="3">
        <v>493</v>
      </c>
    </row>
    <row r="7102" spans="1:14" x14ac:dyDescent="0.2">
      <c r="A7102" s="5" t="str">
        <f>HYPERLINK("http://www.ncbi.nlm.nih.gov/protein/242247225","Spata13")</f>
        <v>Spata13</v>
      </c>
      <c r="B7102" s="4"/>
      <c r="C7102" s="3">
        <v>0</v>
      </c>
      <c r="D7102" s="3">
        <v>0</v>
      </c>
      <c r="E7102" s="3">
        <v>38</v>
      </c>
      <c r="F7102" s="3">
        <v>106</v>
      </c>
      <c r="G7102" s="3">
        <v>0</v>
      </c>
      <c r="H7102" s="2">
        <f t="shared" si="220"/>
        <v>144</v>
      </c>
      <c r="I7102" t="str">
        <f t="shared" si="221"/>
        <v>Spata13_144</v>
      </c>
      <c r="J7102" s="3">
        <v>0</v>
      </c>
      <c r="K7102" s="3">
        <v>0</v>
      </c>
      <c r="L7102" s="3">
        <v>38</v>
      </c>
      <c r="M7102" s="3">
        <v>106</v>
      </c>
      <c r="N7102" s="3">
        <v>0</v>
      </c>
    </row>
    <row r="7103" spans="1:14" x14ac:dyDescent="0.2">
      <c r="A7103" s="5" t="str">
        <f>HYPERLINK("http://www.ncbi.nlm.nih.gov/protein/254553468","Spata5")</f>
        <v>Spata5</v>
      </c>
      <c r="B7103" s="4"/>
      <c r="C7103" s="3">
        <v>0</v>
      </c>
      <c r="D7103" s="3">
        <v>0</v>
      </c>
      <c r="E7103" s="3">
        <v>9452</v>
      </c>
      <c r="F7103" s="3">
        <v>17599</v>
      </c>
      <c r="G7103" s="3">
        <v>12477</v>
      </c>
      <c r="H7103" s="2">
        <f t="shared" si="220"/>
        <v>39528</v>
      </c>
      <c r="I7103" t="str">
        <f t="shared" si="221"/>
        <v>Spata5_39528</v>
      </c>
      <c r="J7103" s="3">
        <v>0</v>
      </c>
      <c r="K7103" s="3">
        <v>0</v>
      </c>
      <c r="L7103" s="3">
        <v>9452</v>
      </c>
      <c r="M7103" s="3">
        <v>17599</v>
      </c>
      <c r="N7103" s="3">
        <v>12477</v>
      </c>
    </row>
    <row r="7104" spans="1:14" x14ac:dyDescent="0.2">
      <c r="A7104" s="5" t="str">
        <f>HYPERLINK("http://www.ncbi.nlm.nih.gov/protein/254553470","Spata5")</f>
        <v>Spata5</v>
      </c>
      <c r="B7104" s="4"/>
      <c r="C7104" s="3">
        <v>0</v>
      </c>
      <c r="D7104" s="3">
        <v>0</v>
      </c>
      <c r="E7104" s="3">
        <v>9452</v>
      </c>
      <c r="F7104" s="3">
        <v>17599</v>
      </c>
      <c r="G7104" s="3">
        <v>12477</v>
      </c>
      <c r="H7104" s="2">
        <f t="shared" si="220"/>
        <v>39528</v>
      </c>
      <c r="I7104" t="str">
        <f t="shared" si="221"/>
        <v>Spata5_39528</v>
      </c>
      <c r="J7104" s="3">
        <v>0</v>
      </c>
      <c r="K7104" s="3">
        <v>0</v>
      </c>
      <c r="L7104" s="3">
        <v>9452</v>
      </c>
      <c r="M7104" s="3">
        <v>17599</v>
      </c>
      <c r="N7104" s="3">
        <v>12477</v>
      </c>
    </row>
    <row r="7105" spans="1:14" x14ac:dyDescent="0.2">
      <c r="A7105" s="5" t="str">
        <f>HYPERLINK("http://www.ncbi.nlm.nih.gov/protein/20982833","Spats2")</f>
        <v>Spats2</v>
      </c>
      <c r="B7105" s="4"/>
      <c r="C7105" s="3">
        <v>0</v>
      </c>
      <c r="D7105" s="3">
        <v>0</v>
      </c>
      <c r="E7105" s="3">
        <v>818</v>
      </c>
      <c r="F7105" s="3">
        <v>0</v>
      </c>
      <c r="G7105" s="3">
        <v>0</v>
      </c>
      <c r="H7105" s="2">
        <f t="shared" si="220"/>
        <v>818</v>
      </c>
      <c r="I7105" t="str">
        <f t="shared" si="221"/>
        <v>Spats2_818</v>
      </c>
      <c r="J7105" s="3">
        <v>0</v>
      </c>
      <c r="K7105" s="3">
        <v>0</v>
      </c>
      <c r="L7105" s="3">
        <v>818</v>
      </c>
      <c r="M7105" s="3">
        <v>0</v>
      </c>
      <c r="N7105" s="3">
        <v>0</v>
      </c>
    </row>
    <row r="7106" spans="1:14" x14ac:dyDescent="0.2">
      <c r="A7106" s="5" t="str">
        <f>HYPERLINK("http://www.ncbi.nlm.nih.gov/protein/21312862","Spc24")</f>
        <v>Spc24</v>
      </c>
      <c r="B7106" s="4"/>
      <c r="C7106" s="3">
        <v>0</v>
      </c>
      <c r="D7106" s="3">
        <v>0</v>
      </c>
      <c r="E7106" s="3">
        <v>3</v>
      </c>
      <c r="F7106" s="3">
        <v>0</v>
      </c>
      <c r="G7106" s="3">
        <v>589</v>
      </c>
      <c r="H7106" s="2">
        <f t="shared" ref="H7106:H7169" si="222">SUM(C7106:G7106)</f>
        <v>592</v>
      </c>
      <c r="I7106" t="str">
        <f t="shared" ref="I7106:I7169" si="223">A7106&amp;"_"&amp;H7106</f>
        <v>Spc24_592</v>
      </c>
      <c r="J7106" s="3">
        <v>0</v>
      </c>
      <c r="K7106" s="3">
        <v>0</v>
      </c>
      <c r="L7106" s="3">
        <v>3</v>
      </c>
      <c r="M7106" s="3">
        <v>0</v>
      </c>
      <c r="N7106" s="3">
        <v>589</v>
      </c>
    </row>
    <row r="7107" spans="1:14" x14ac:dyDescent="0.2">
      <c r="A7107" s="5" t="str">
        <f>HYPERLINK("http://www.ncbi.nlm.nih.gov/protein/312283739;312283741","Spc25")</f>
        <v>Spc25</v>
      </c>
      <c r="B7107" s="4"/>
      <c r="C7107" s="3">
        <v>0</v>
      </c>
      <c r="D7107" s="3">
        <v>0</v>
      </c>
      <c r="E7107" s="3">
        <v>4</v>
      </c>
      <c r="F7107" s="3">
        <v>0</v>
      </c>
      <c r="G7107" s="3">
        <v>0</v>
      </c>
      <c r="H7107" s="2">
        <f t="shared" si="222"/>
        <v>4</v>
      </c>
      <c r="I7107" t="str">
        <f t="shared" si="223"/>
        <v>Spc25_4</v>
      </c>
      <c r="J7107" s="3">
        <v>0</v>
      </c>
      <c r="K7107" s="3">
        <v>0</v>
      </c>
      <c r="L7107" s="3">
        <v>4</v>
      </c>
      <c r="M7107" s="3">
        <v>0</v>
      </c>
      <c r="N7107" s="3">
        <v>0</v>
      </c>
    </row>
    <row r="7108" spans="1:14" x14ac:dyDescent="0.2">
      <c r="A7108" s="5" t="str">
        <f>HYPERLINK("http://www.ncbi.nlm.nih.gov/protein/312283741","Spc25")</f>
        <v>Spc25</v>
      </c>
      <c r="B7108" s="4"/>
      <c r="C7108" s="3">
        <v>0</v>
      </c>
      <c r="D7108" s="3">
        <v>0</v>
      </c>
      <c r="E7108" s="3">
        <v>0</v>
      </c>
      <c r="F7108" s="3">
        <v>0</v>
      </c>
      <c r="G7108" s="3">
        <v>171</v>
      </c>
      <c r="H7108" s="2">
        <f t="shared" si="222"/>
        <v>171</v>
      </c>
      <c r="I7108" t="str">
        <f t="shared" si="223"/>
        <v>Spc25_171</v>
      </c>
      <c r="J7108" s="3">
        <v>0</v>
      </c>
      <c r="K7108" s="3">
        <v>0</v>
      </c>
      <c r="L7108" s="3">
        <v>0</v>
      </c>
      <c r="M7108" s="3">
        <v>0</v>
      </c>
      <c r="N7108" s="3">
        <v>171</v>
      </c>
    </row>
    <row r="7109" spans="1:14" x14ac:dyDescent="0.2">
      <c r="A7109" s="5" t="str">
        <f>HYPERLINK("http://www.ncbi.nlm.nih.gov/protein/21313454","Spc25")</f>
        <v>Spc25</v>
      </c>
      <c r="B7109" s="4"/>
      <c r="C7109" s="3">
        <v>0</v>
      </c>
      <c r="D7109" s="3">
        <v>0</v>
      </c>
      <c r="E7109" s="3">
        <v>4</v>
      </c>
      <c r="F7109" s="3">
        <v>0</v>
      </c>
      <c r="G7109" s="3">
        <v>171</v>
      </c>
      <c r="H7109" s="2">
        <f t="shared" si="222"/>
        <v>175</v>
      </c>
      <c r="I7109" t="str">
        <f t="shared" si="223"/>
        <v>Spc25_175</v>
      </c>
      <c r="J7109" s="3">
        <v>0</v>
      </c>
      <c r="K7109" s="3">
        <v>0</v>
      </c>
      <c r="L7109" s="3">
        <v>4</v>
      </c>
      <c r="M7109" s="3">
        <v>0</v>
      </c>
      <c r="N7109" s="3">
        <v>171</v>
      </c>
    </row>
    <row r="7110" spans="1:14" x14ac:dyDescent="0.2">
      <c r="A7110" s="5" t="str">
        <f>HYPERLINK("http://www.ncbi.nlm.nih.gov/protein/193788663","Spcs1")</f>
        <v>Spcs1</v>
      </c>
      <c r="B7110" s="4"/>
      <c r="C7110" s="3">
        <v>146</v>
      </c>
      <c r="D7110" s="3">
        <v>637</v>
      </c>
      <c r="E7110" s="3">
        <v>0</v>
      </c>
      <c r="F7110" s="3">
        <v>0</v>
      </c>
      <c r="G7110" s="3">
        <v>0</v>
      </c>
      <c r="H7110" s="2">
        <f t="shared" si="222"/>
        <v>783</v>
      </c>
      <c r="I7110" t="str">
        <f t="shared" si="223"/>
        <v>Spcs1_783</v>
      </c>
      <c r="J7110" s="3">
        <v>146</v>
      </c>
      <c r="K7110" s="3">
        <v>637</v>
      </c>
      <c r="L7110" s="3">
        <v>0</v>
      </c>
      <c r="M7110" s="3">
        <v>0</v>
      </c>
      <c r="N7110" s="3">
        <v>0</v>
      </c>
    </row>
    <row r="7111" spans="1:14" x14ac:dyDescent="0.2">
      <c r="A7111" s="5" t="str">
        <f>HYPERLINK("http://www.ncbi.nlm.nih.gov/protein/13385134","Spcs2")</f>
        <v>Spcs2</v>
      </c>
      <c r="B7111" s="4"/>
      <c r="C7111" s="3">
        <v>3094</v>
      </c>
      <c r="D7111" s="3">
        <v>1900</v>
      </c>
      <c r="E7111" s="3">
        <v>2315</v>
      </c>
      <c r="F7111" s="3">
        <v>0</v>
      </c>
      <c r="G7111" s="3">
        <v>0</v>
      </c>
      <c r="H7111" s="2">
        <f t="shared" si="222"/>
        <v>7309</v>
      </c>
      <c r="I7111" t="str">
        <f t="shared" si="223"/>
        <v>Spcs2_7309</v>
      </c>
      <c r="J7111" s="3">
        <v>3094</v>
      </c>
      <c r="K7111" s="3">
        <v>1900</v>
      </c>
      <c r="L7111" s="3">
        <v>2315</v>
      </c>
      <c r="M7111" s="3">
        <v>0</v>
      </c>
      <c r="N7111" s="3">
        <v>0</v>
      </c>
    </row>
    <row r="7112" spans="1:14" x14ac:dyDescent="0.2">
      <c r="A7112" s="5" t="str">
        <f>HYPERLINK("http://www.ncbi.nlm.nih.gov/protein/125988403","Spcs3")</f>
        <v>Spcs3</v>
      </c>
      <c r="B7112" s="4"/>
      <c r="C7112" s="3">
        <v>22260</v>
      </c>
      <c r="D7112" s="3">
        <v>6720</v>
      </c>
      <c r="E7112" s="3">
        <v>3292</v>
      </c>
      <c r="F7112" s="3">
        <v>663</v>
      </c>
      <c r="G7112" s="3">
        <v>0</v>
      </c>
      <c r="H7112" s="2">
        <f t="shared" si="222"/>
        <v>32935</v>
      </c>
      <c r="I7112" t="str">
        <f t="shared" si="223"/>
        <v>Spcs3_32935</v>
      </c>
      <c r="J7112" s="3">
        <v>22260</v>
      </c>
      <c r="K7112" s="3">
        <v>6720</v>
      </c>
      <c r="L7112" s="3">
        <v>3292</v>
      </c>
      <c r="M7112" s="3">
        <v>663</v>
      </c>
      <c r="N7112" s="3">
        <v>0</v>
      </c>
    </row>
    <row r="7113" spans="1:14" x14ac:dyDescent="0.2">
      <c r="A7113" s="5" t="str">
        <f>HYPERLINK("http://www.ncbi.nlm.nih.gov/protein/71979930","Specc1")</f>
        <v>Specc1</v>
      </c>
      <c r="B7113" s="4"/>
      <c r="C7113" s="3">
        <v>0</v>
      </c>
      <c r="D7113" s="3">
        <v>0</v>
      </c>
      <c r="E7113" s="3">
        <v>530</v>
      </c>
      <c r="F7113" s="3">
        <v>0</v>
      </c>
      <c r="G7113" s="3">
        <v>0</v>
      </c>
      <c r="H7113" s="2">
        <f t="shared" si="222"/>
        <v>530</v>
      </c>
      <c r="I7113" t="str">
        <f t="shared" si="223"/>
        <v>Specc1_530</v>
      </c>
      <c r="J7113" s="3">
        <v>0</v>
      </c>
      <c r="K7113" s="3">
        <v>0</v>
      </c>
      <c r="L7113" s="3">
        <v>530</v>
      </c>
      <c r="M7113" s="3">
        <v>0</v>
      </c>
      <c r="N7113" s="3">
        <v>0</v>
      </c>
    </row>
    <row r="7114" spans="1:14" x14ac:dyDescent="0.2">
      <c r="A7114" s="5" t="str">
        <f>HYPERLINK("http://www.ncbi.nlm.nih.gov/protein/125991758","Spef2")</f>
        <v>Spef2</v>
      </c>
      <c r="B7114" s="4"/>
      <c r="C7114" s="3">
        <v>0</v>
      </c>
      <c r="D7114" s="3">
        <v>0</v>
      </c>
      <c r="E7114" s="3">
        <v>0</v>
      </c>
      <c r="F7114" s="3">
        <v>0</v>
      </c>
      <c r="G7114" s="3">
        <v>1724</v>
      </c>
      <c r="H7114" s="2">
        <f t="shared" si="222"/>
        <v>1724</v>
      </c>
      <c r="I7114" t="str">
        <f t="shared" si="223"/>
        <v>Spef2_1724</v>
      </c>
      <c r="J7114" s="3">
        <v>0</v>
      </c>
      <c r="K7114" s="3">
        <v>0</v>
      </c>
      <c r="L7114" s="3">
        <v>0</v>
      </c>
      <c r="M7114" s="3">
        <v>0</v>
      </c>
      <c r="N7114" s="3">
        <v>1724</v>
      </c>
    </row>
    <row r="7115" spans="1:14" x14ac:dyDescent="0.2">
      <c r="A7115" s="5" t="str">
        <f>HYPERLINK("http://www.ncbi.nlm.nih.gov/protein/120587001","Spen")</f>
        <v>Spen</v>
      </c>
      <c r="B7115" s="4"/>
      <c r="C7115" s="3">
        <v>0</v>
      </c>
      <c r="D7115" s="3">
        <v>0</v>
      </c>
      <c r="E7115" s="3">
        <v>0</v>
      </c>
      <c r="F7115" s="3">
        <v>0</v>
      </c>
      <c r="G7115" s="3">
        <v>278</v>
      </c>
      <c r="H7115" s="2">
        <f t="shared" si="222"/>
        <v>278</v>
      </c>
      <c r="I7115" t="str">
        <f t="shared" si="223"/>
        <v>Spen_278</v>
      </c>
      <c r="J7115" s="3">
        <v>0</v>
      </c>
      <c r="K7115" s="3">
        <v>0</v>
      </c>
      <c r="L7115" s="3">
        <v>0</v>
      </c>
      <c r="M7115" s="3">
        <v>0</v>
      </c>
      <c r="N7115" s="3">
        <v>278</v>
      </c>
    </row>
    <row r="7116" spans="1:14" x14ac:dyDescent="0.2">
      <c r="A7116" s="5" t="str">
        <f>HYPERLINK("http://www.ncbi.nlm.nih.gov/protein/222418579;21450269","Spg20")</f>
        <v>Spg20</v>
      </c>
      <c r="B7116" s="4"/>
      <c r="C7116" s="3">
        <v>0</v>
      </c>
      <c r="D7116" s="3">
        <v>184</v>
      </c>
      <c r="E7116" s="3">
        <v>203</v>
      </c>
      <c r="F7116" s="3">
        <v>3233</v>
      </c>
      <c r="G7116" s="3">
        <v>0</v>
      </c>
      <c r="H7116" s="2">
        <f t="shared" si="222"/>
        <v>3620</v>
      </c>
      <c r="I7116" t="str">
        <f t="shared" si="223"/>
        <v>Spg20_3620</v>
      </c>
      <c r="J7116" s="3">
        <v>0</v>
      </c>
      <c r="K7116" s="3">
        <v>184</v>
      </c>
      <c r="L7116" s="3">
        <v>203</v>
      </c>
      <c r="M7116" s="3">
        <v>3233</v>
      </c>
      <c r="N7116" s="3">
        <v>0</v>
      </c>
    </row>
    <row r="7117" spans="1:14" x14ac:dyDescent="0.2">
      <c r="A7117" s="5" t="str">
        <f>HYPERLINK("http://www.ncbi.nlm.nih.gov/protein/222418581","Spg20")</f>
        <v>Spg20</v>
      </c>
      <c r="B7117" s="4"/>
      <c r="C7117" s="3">
        <v>0</v>
      </c>
      <c r="D7117" s="3">
        <v>184</v>
      </c>
      <c r="E7117" s="3">
        <v>203</v>
      </c>
      <c r="F7117" s="3">
        <v>3233</v>
      </c>
      <c r="G7117" s="3">
        <v>0</v>
      </c>
      <c r="H7117" s="2">
        <f t="shared" si="222"/>
        <v>3620</v>
      </c>
      <c r="I7117" t="str">
        <f t="shared" si="223"/>
        <v>Spg20_3620</v>
      </c>
      <c r="J7117" s="3">
        <v>0</v>
      </c>
      <c r="K7117" s="3">
        <v>184</v>
      </c>
      <c r="L7117" s="3">
        <v>203</v>
      </c>
      <c r="M7117" s="3">
        <v>3233</v>
      </c>
      <c r="N7117" s="3">
        <v>0</v>
      </c>
    </row>
    <row r="7118" spans="1:14" x14ac:dyDescent="0.2">
      <c r="A7118" s="5" t="str">
        <f>HYPERLINK("http://www.ncbi.nlm.nih.gov/protein/20070390","Spg21")</f>
        <v>Spg21</v>
      </c>
      <c r="B7118" s="4"/>
      <c r="C7118" s="3">
        <v>0</v>
      </c>
      <c r="D7118" s="3">
        <v>2150</v>
      </c>
      <c r="E7118" s="3">
        <v>789</v>
      </c>
      <c r="F7118" s="3">
        <v>286</v>
      </c>
      <c r="G7118" s="3">
        <v>3823</v>
      </c>
      <c r="H7118" s="2">
        <f t="shared" si="222"/>
        <v>7048</v>
      </c>
      <c r="I7118" t="str">
        <f t="shared" si="223"/>
        <v>Spg21_7048</v>
      </c>
      <c r="J7118" s="3">
        <v>0</v>
      </c>
      <c r="K7118" s="3">
        <v>2150</v>
      </c>
      <c r="L7118" s="3">
        <v>789</v>
      </c>
      <c r="M7118" s="3">
        <v>286</v>
      </c>
      <c r="N7118" s="3">
        <v>3823</v>
      </c>
    </row>
    <row r="7119" spans="1:14" x14ac:dyDescent="0.2">
      <c r="A7119" s="5" t="str">
        <f>HYPERLINK("http://www.ncbi.nlm.nih.gov/protein/148539988","Spg7")</f>
        <v>Spg7</v>
      </c>
      <c r="B7119" s="4"/>
      <c r="C7119" s="3">
        <v>0</v>
      </c>
      <c r="D7119" s="3">
        <v>413</v>
      </c>
      <c r="E7119" s="3">
        <v>287</v>
      </c>
      <c r="F7119" s="3">
        <v>0</v>
      </c>
      <c r="G7119" s="3">
        <v>0</v>
      </c>
      <c r="H7119" s="2">
        <f t="shared" si="222"/>
        <v>700</v>
      </c>
      <c r="I7119" t="str">
        <f t="shared" si="223"/>
        <v>Spg7_700</v>
      </c>
      <c r="J7119" s="3">
        <v>0</v>
      </c>
      <c r="K7119" s="3">
        <v>413</v>
      </c>
      <c r="L7119" s="3">
        <v>287</v>
      </c>
      <c r="M7119" s="3">
        <v>0</v>
      </c>
      <c r="N7119" s="3">
        <v>0</v>
      </c>
    </row>
    <row r="7120" spans="1:14" x14ac:dyDescent="0.2">
      <c r="A7120" s="5" t="str">
        <f>HYPERLINK("http://www.ncbi.nlm.nih.gov/protein/22094105","Sphk1")</f>
        <v>Sphk1</v>
      </c>
      <c r="B7120" s="4"/>
      <c r="C7120" s="3">
        <v>0</v>
      </c>
      <c r="D7120" s="3">
        <v>0</v>
      </c>
      <c r="E7120" s="3">
        <v>89</v>
      </c>
      <c r="F7120" s="3">
        <v>0</v>
      </c>
      <c r="G7120" s="3">
        <v>0</v>
      </c>
      <c r="H7120" s="2">
        <f t="shared" si="222"/>
        <v>89</v>
      </c>
      <c r="I7120" t="str">
        <f t="shared" si="223"/>
        <v>Sphk1_89</v>
      </c>
      <c r="J7120" s="3">
        <v>0</v>
      </c>
      <c r="K7120" s="3">
        <v>0</v>
      </c>
      <c r="L7120" s="3">
        <v>89</v>
      </c>
      <c r="M7120" s="3">
        <v>0</v>
      </c>
      <c r="N7120" s="3">
        <v>0</v>
      </c>
    </row>
    <row r="7121" spans="1:14" x14ac:dyDescent="0.2">
      <c r="A7121" s="5" t="str">
        <f>HYPERLINK("http://www.ncbi.nlm.nih.gov/protein/27532969;289191342","Sphk1")</f>
        <v>Sphk1</v>
      </c>
      <c r="B7121" s="4"/>
      <c r="C7121" s="3">
        <v>0</v>
      </c>
      <c r="D7121" s="3">
        <v>0</v>
      </c>
      <c r="E7121" s="3">
        <v>89</v>
      </c>
      <c r="F7121" s="3">
        <v>0</v>
      </c>
      <c r="G7121" s="3">
        <v>0</v>
      </c>
      <c r="H7121" s="2">
        <f t="shared" si="222"/>
        <v>89</v>
      </c>
      <c r="I7121" t="str">
        <f t="shared" si="223"/>
        <v>Sphk1_89</v>
      </c>
      <c r="J7121" s="3">
        <v>0</v>
      </c>
      <c r="K7121" s="3">
        <v>0</v>
      </c>
      <c r="L7121" s="3">
        <v>89</v>
      </c>
      <c r="M7121" s="3">
        <v>0</v>
      </c>
      <c r="N7121" s="3">
        <v>0</v>
      </c>
    </row>
    <row r="7122" spans="1:14" x14ac:dyDescent="0.2">
      <c r="A7122" s="5" t="str">
        <f>HYPERLINK("http://www.ncbi.nlm.nih.gov/protein/289191346","Sphk1")</f>
        <v>Sphk1</v>
      </c>
      <c r="B7122" s="4"/>
      <c r="C7122" s="3">
        <v>0</v>
      </c>
      <c r="D7122" s="3">
        <v>0</v>
      </c>
      <c r="E7122" s="3">
        <v>89</v>
      </c>
      <c r="F7122" s="3">
        <v>0</v>
      </c>
      <c r="G7122" s="3">
        <v>0</v>
      </c>
      <c r="H7122" s="2">
        <f t="shared" si="222"/>
        <v>89</v>
      </c>
      <c r="I7122" t="str">
        <f t="shared" si="223"/>
        <v>Sphk1_89</v>
      </c>
      <c r="J7122" s="3">
        <v>0</v>
      </c>
      <c r="K7122" s="3">
        <v>0</v>
      </c>
      <c r="L7122" s="3">
        <v>89</v>
      </c>
      <c r="M7122" s="3">
        <v>0</v>
      </c>
      <c r="N7122" s="3">
        <v>0</v>
      </c>
    </row>
    <row r="7123" spans="1:14" x14ac:dyDescent="0.2">
      <c r="A7123" s="5" t="str">
        <f>HYPERLINK("http://www.ncbi.nlm.nih.gov/protein/289191399","Sphk2")</f>
        <v>Sphk2</v>
      </c>
      <c r="B7123" s="4"/>
      <c r="C7123" s="3">
        <v>0</v>
      </c>
      <c r="D7123" s="3">
        <v>2071</v>
      </c>
      <c r="E7123" s="3">
        <v>566</v>
      </c>
      <c r="F7123" s="3">
        <v>2939</v>
      </c>
      <c r="G7123" s="3">
        <v>0</v>
      </c>
      <c r="H7123" s="2">
        <f t="shared" si="222"/>
        <v>5576</v>
      </c>
      <c r="I7123" t="str">
        <f t="shared" si="223"/>
        <v>Sphk2_5576</v>
      </c>
      <c r="J7123" s="3">
        <v>0</v>
      </c>
      <c r="K7123" s="3">
        <v>2071</v>
      </c>
      <c r="L7123" s="3">
        <v>566</v>
      </c>
      <c r="M7123" s="3">
        <v>2939</v>
      </c>
      <c r="N7123" s="3">
        <v>0</v>
      </c>
    </row>
    <row r="7124" spans="1:14" x14ac:dyDescent="0.2">
      <c r="A7124" s="5" t="str">
        <f>HYPERLINK("http://www.ncbi.nlm.nih.gov/protein/257196267","Spice1")</f>
        <v>Spice1</v>
      </c>
      <c r="B7124" s="4"/>
      <c r="C7124" s="3">
        <v>0</v>
      </c>
      <c r="D7124" s="3">
        <v>0</v>
      </c>
      <c r="E7124" s="3">
        <v>41</v>
      </c>
      <c r="F7124" s="3">
        <v>0</v>
      </c>
      <c r="G7124" s="3">
        <v>0</v>
      </c>
      <c r="H7124" s="2">
        <f t="shared" si="222"/>
        <v>41</v>
      </c>
      <c r="I7124" t="str">
        <f t="shared" si="223"/>
        <v>Spice1_41</v>
      </c>
      <c r="J7124" s="3">
        <v>0</v>
      </c>
      <c r="K7124" s="3">
        <v>0</v>
      </c>
      <c r="L7124" s="3">
        <v>41</v>
      </c>
      <c r="M7124" s="3">
        <v>0</v>
      </c>
      <c r="N7124" s="3">
        <v>0</v>
      </c>
    </row>
    <row r="7125" spans="1:14" x14ac:dyDescent="0.2">
      <c r="A7125" s="5" t="str">
        <f>HYPERLINK("http://www.ncbi.nlm.nih.gov/protein/34328234","Spint1")</f>
        <v>Spint1</v>
      </c>
      <c r="B7125" s="4"/>
      <c r="C7125" s="3">
        <v>0</v>
      </c>
      <c r="D7125" s="3">
        <v>432</v>
      </c>
      <c r="E7125" s="3">
        <v>316</v>
      </c>
      <c r="F7125" s="3">
        <v>0</v>
      </c>
      <c r="G7125" s="3">
        <v>0</v>
      </c>
      <c r="H7125" s="2">
        <f t="shared" si="222"/>
        <v>748</v>
      </c>
      <c r="I7125" t="str">
        <f t="shared" si="223"/>
        <v>Spint1_748</v>
      </c>
      <c r="J7125" s="3">
        <v>0</v>
      </c>
      <c r="K7125" s="3">
        <v>432</v>
      </c>
      <c r="L7125" s="3">
        <v>316</v>
      </c>
      <c r="M7125" s="3">
        <v>0</v>
      </c>
      <c r="N7125" s="3">
        <v>0</v>
      </c>
    </row>
    <row r="7126" spans="1:14" x14ac:dyDescent="0.2">
      <c r="A7126" s="5" t="str">
        <f>HYPERLINK("http://www.ncbi.nlm.nih.gov/protein/127139427","Spint2")</f>
        <v>Spint2</v>
      </c>
      <c r="B7126" s="4"/>
      <c r="C7126" s="3">
        <v>0</v>
      </c>
      <c r="D7126" s="3">
        <v>459</v>
      </c>
      <c r="E7126" s="3">
        <v>28</v>
      </c>
      <c r="F7126" s="3">
        <v>0</v>
      </c>
      <c r="G7126" s="3">
        <v>0</v>
      </c>
      <c r="H7126" s="2">
        <f t="shared" si="222"/>
        <v>487</v>
      </c>
      <c r="I7126" t="str">
        <f t="shared" si="223"/>
        <v>Spint2_487</v>
      </c>
      <c r="J7126" s="3">
        <v>0</v>
      </c>
      <c r="K7126" s="3">
        <v>459</v>
      </c>
      <c r="L7126" s="3">
        <v>28</v>
      </c>
      <c r="M7126" s="3">
        <v>0</v>
      </c>
      <c r="N7126" s="3">
        <v>0</v>
      </c>
    </row>
    <row r="7127" spans="1:14" x14ac:dyDescent="0.2">
      <c r="A7127" s="5" t="str">
        <f>HYPERLINK("http://www.ncbi.nlm.nih.gov/protein/33563278","Spint2")</f>
        <v>Spint2</v>
      </c>
      <c r="B7127" s="4"/>
      <c r="C7127" s="3">
        <v>0</v>
      </c>
      <c r="D7127" s="3">
        <v>459</v>
      </c>
      <c r="E7127" s="3">
        <v>28</v>
      </c>
      <c r="F7127" s="3">
        <v>0</v>
      </c>
      <c r="G7127" s="3">
        <v>0</v>
      </c>
      <c r="H7127" s="2">
        <f t="shared" si="222"/>
        <v>487</v>
      </c>
      <c r="I7127" t="str">
        <f t="shared" si="223"/>
        <v>Spint2_487</v>
      </c>
      <c r="J7127" s="3">
        <v>0</v>
      </c>
      <c r="K7127" s="3">
        <v>459</v>
      </c>
      <c r="L7127" s="3">
        <v>28</v>
      </c>
      <c r="M7127" s="3">
        <v>0</v>
      </c>
      <c r="N7127" s="3">
        <v>0</v>
      </c>
    </row>
    <row r="7128" spans="1:14" x14ac:dyDescent="0.2">
      <c r="A7128" s="5" t="str">
        <f>HYPERLINK("http://www.ncbi.nlm.nih.gov/protein/258645125","Sppl2a")</f>
        <v>Sppl2a</v>
      </c>
      <c r="B7128" s="4"/>
      <c r="C7128" s="3">
        <v>0</v>
      </c>
      <c r="D7128" s="3">
        <v>0</v>
      </c>
      <c r="E7128" s="3">
        <v>868</v>
      </c>
      <c r="F7128" s="3">
        <v>0</v>
      </c>
      <c r="G7128" s="3">
        <v>0</v>
      </c>
      <c r="H7128" s="2">
        <f t="shared" si="222"/>
        <v>868</v>
      </c>
      <c r="I7128" t="str">
        <f t="shared" si="223"/>
        <v>Sppl2a_868</v>
      </c>
      <c r="J7128" s="3">
        <v>0</v>
      </c>
      <c r="K7128" s="3">
        <v>0</v>
      </c>
      <c r="L7128" s="3">
        <v>868</v>
      </c>
      <c r="M7128" s="3">
        <v>0</v>
      </c>
      <c r="N7128" s="3">
        <v>0</v>
      </c>
    </row>
    <row r="7129" spans="1:14" x14ac:dyDescent="0.2">
      <c r="A7129" s="5" t="str">
        <f>HYPERLINK("http://www.ncbi.nlm.nih.gov/protein/160333789","Spr")</f>
        <v>Spr</v>
      </c>
      <c r="B7129" s="4"/>
      <c r="C7129" s="3">
        <v>0</v>
      </c>
      <c r="D7129" s="3">
        <v>3286</v>
      </c>
      <c r="E7129" s="3">
        <v>2792</v>
      </c>
      <c r="F7129" s="3">
        <v>3503</v>
      </c>
      <c r="G7129" s="3">
        <v>101044</v>
      </c>
      <c r="H7129" s="2">
        <f t="shared" si="222"/>
        <v>110625</v>
      </c>
      <c r="I7129" t="str">
        <f t="shared" si="223"/>
        <v>Spr_110625</v>
      </c>
      <c r="J7129" s="3">
        <v>0</v>
      </c>
      <c r="K7129" s="3">
        <v>3286</v>
      </c>
      <c r="L7129" s="3">
        <v>2792</v>
      </c>
      <c r="M7129" s="3">
        <v>3503</v>
      </c>
      <c r="N7129" s="3">
        <v>101044</v>
      </c>
    </row>
    <row r="7130" spans="1:14" x14ac:dyDescent="0.2">
      <c r="A7130" s="5" t="str">
        <f>HYPERLINK("http://www.ncbi.nlm.nih.gov/protein/6678115","Sprr1a")</f>
        <v>Sprr1a</v>
      </c>
      <c r="B7130" s="4"/>
      <c r="C7130" s="3">
        <v>0</v>
      </c>
      <c r="D7130" s="3">
        <v>136</v>
      </c>
      <c r="E7130" s="3">
        <v>0</v>
      </c>
      <c r="F7130" s="3">
        <v>0</v>
      </c>
      <c r="G7130" s="3">
        <v>5076</v>
      </c>
      <c r="H7130" s="2">
        <f t="shared" si="222"/>
        <v>5212</v>
      </c>
      <c r="I7130" t="str">
        <f t="shared" si="223"/>
        <v>Sprr1a_5212</v>
      </c>
      <c r="J7130" s="3">
        <v>0</v>
      </c>
      <c r="K7130" s="3">
        <v>136</v>
      </c>
      <c r="L7130" s="3">
        <v>0</v>
      </c>
      <c r="M7130" s="3">
        <v>0</v>
      </c>
      <c r="N7130" s="3">
        <v>5076</v>
      </c>
    </row>
    <row r="7131" spans="1:14" x14ac:dyDescent="0.2">
      <c r="A7131" s="5" t="str">
        <f>HYPERLINK("http://www.ncbi.nlm.nih.gov/protein/58037095","Spryd4")</f>
        <v>Spryd4</v>
      </c>
      <c r="B7131" s="4"/>
      <c r="C7131" s="3">
        <v>0</v>
      </c>
      <c r="D7131" s="3">
        <v>1052</v>
      </c>
      <c r="E7131" s="3">
        <v>0</v>
      </c>
      <c r="F7131" s="3">
        <v>0</v>
      </c>
      <c r="G7131" s="3">
        <v>0</v>
      </c>
      <c r="H7131" s="2">
        <f t="shared" si="222"/>
        <v>1052</v>
      </c>
      <c r="I7131" t="str">
        <f t="shared" si="223"/>
        <v>Spryd4_1052</v>
      </c>
      <c r="J7131" s="3">
        <v>0</v>
      </c>
      <c r="K7131" s="3">
        <v>1052</v>
      </c>
      <c r="L7131" s="3">
        <v>0</v>
      </c>
      <c r="M7131" s="3">
        <v>0</v>
      </c>
      <c r="N7131" s="3">
        <v>0</v>
      </c>
    </row>
    <row r="7132" spans="1:14" x14ac:dyDescent="0.2">
      <c r="A7132" s="5" t="str">
        <f>HYPERLINK("http://www.ncbi.nlm.nih.gov/protein/27228993","Spryd7")</f>
        <v>Spryd7</v>
      </c>
      <c r="B7132" s="4"/>
      <c r="C7132" s="3">
        <v>0</v>
      </c>
      <c r="D7132" s="3">
        <v>1958</v>
      </c>
      <c r="E7132" s="3">
        <v>1700</v>
      </c>
      <c r="F7132" s="3">
        <v>0</v>
      </c>
      <c r="G7132" s="3">
        <v>0</v>
      </c>
      <c r="H7132" s="2">
        <f t="shared" si="222"/>
        <v>3658</v>
      </c>
      <c r="I7132" t="str">
        <f t="shared" si="223"/>
        <v>Spryd7_3658</v>
      </c>
      <c r="J7132" s="3">
        <v>0</v>
      </c>
      <c r="K7132" s="3">
        <v>1958</v>
      </c>
      <c r="L7132" s="3">
        <v>1700</v>
      </c>
      <c r="M7132" s="3">
        <v>0</v>
      </c>
      <c r="N7132" s="3">
        <v>0</v>
      </c>
    </row>
    <row r="7133" spans="1:14" x14ac:dyDescent="0.2">
      <c r="A7133" s="5" t="str">
        <f>HYPERLINK("http://www.ncbi.nlm.nih.gov/protein/19526481","Spta1")</f>
        <v>Spta1</v>
      </c>
      <c r="B7133" s="4"/>
      <c r="C7133" s="3">
        <v>0</v>
      </c>
      <c r="D7133" s="3">
        <v>931</v>
      </c>
      <c r="E7133" s="3">
        <v>1598</v>
      </c>
      <c r="F7133" s="3">
        <v>0</v>
      </c>
      <c r="G7133" s="3">
        <v>10335</v>
      </c>
      <c r="H7133" s="2">
        <f t="shared" si="222"/>
        <v>12864</v>
      </c>
      <c r="I7133" t="str">
        <f t="shared" si="223"/>
        <v>Spta1_12864</v>
      </c>
      <c r="J7133" s="3">
        <v>0</v>
      </c>
      <c r="K7133" s="3">
        <v>931</v>
      </c>
      <c r="L7133" s="3">
        <v>1598</v>
      </c>
      <c r="M7133" s="3">
        <v>0</v>
      </c>
      <c r="N7133" s="3">
        <v>10335</v>
      </c>
    </row>
    <row r="7134" spans="1:14" x14ac:dyDescent="0.2">
      <c r="A7134" s="5" t="str">
        <f>HYPERLINK("http://www.ncbi.nlm.nih.gov/protein/115496850","Sptan1")</f>
        <v>Sptan1</v>
      </c>
      <c r="B7134" s="4"/>
      <c r="C7134" s="3">
        <v>397552</v>
      </c>
      <c r="D7134" s="3">
        <v>31926</v>
      </c>
      <c r="E7134" s="3">
        <v>87468</v>
      </c>
      <c r="F7134" s="3">
        <v>259941</v>
      </c>
      <c r="G7134" s="3">
        <v>488653</v>
      </c>
      <c r="H7134" s="2">
        <f t="shared" si="222"/>
        <v>1265540</v>
      </c>
      <c r="I7134" t="str">
        <f t="shared" si="223"/>
        <v>Sptan1_1265540</v>
      </c>
      <c r="J7134" s="3">
        <v>397552</v>
      </c>
      <c r="K7134" s="3">
        <v>31926</v>
      </c>
      <c r="L7134" s="3">
        <v>87468</v>
      </c>
      <c r="M7134" s="3">
        <v>259941</v>
      </c>
      <c r="N7134" s="3">
        <v>488653</v>
      </c>
    </row>
    <row r="7135" spans="1:14" x14ac:dyDescent="0.2">
      <c r="A7135" s="5" t="str">
        <f>HYPERLINK("http://www.ncbi.nlm.nih.gov/protein/295054266","Sptan1")</f>
        <v>Sptan1</v>
      </c>
      <c r="B7135" s="4"/>
      <c r="C7135" s="3">
        <v>402549</v>
      </c>
      <c r="D7135" s="3">
        <v>31926</v>
      </c>
      <c r="E7135" s="3">
        <v>87468</v>
      </c>
      <c r="F7135" s="3">
        <v>261864</v>
      </c>
      <c r="G7135" s="3">
        <v>488653</v>
      </c>
      <c r="H7135" s="2">
        <f t="shared" si="222"/>
        <v>1272460</v>
      </c>
      <c r="I7135" t="str">
        <f t="shared" si="223"/>
        <v>Sptan1_1272460</v>
      </c>
      <c r="J7135" s="3">
        <v>402549</v>
      </c>
      <c r="K7135" s="3">
        <v>31926</v>
      </c>
      <c r="L7135" s="3">
        <v>87468</v>
      </c>
      <c r="M7135" s="3">
        <v>261864</v>
      </c>
      <c r="N7135" s="3">
        <v>488653</v>
      </c>
    </row>
    <row r="7136" spans="1:14" x14ac:dyDescent="0.2">
      <c r="A7136" s="5" t="str">
        <f>HYPERLINK("http://www.ncbi.nlm.nih.gov/protein/295054271","Sptan1")</f>
        <v>Sptan1</v>
      </c>
      <c r="B7136" s="4"/>
      <c r="C7136" s="3">
        <v>397552</v>
      </c>
      <c r="D7136" s="3">
        <v>31926</v>
      </c>
      <c r="E7136" s="3">
        <v>87468</v>
      </c>
      <c r="F7136" s="3">
        <v>259941</v>
      </c>
      <c r="G7136" s="3">
        <v>488653</v>
      </c>
      <c r="H7136" s="2">
        <f t="shared" si="222"/>
        <v>1265540</v>
      </c>
      <c r="I7136" t="str">
        <f t="shared" si="223"/>
        <v>Sptan1_1265540</v>
      </c>
      <c r="J7136" s="3">
        <v>397552</v>
      </c>
      <c r="K7136" s="3">
        <v>31926</v>
      </c>
      <c r="L7136" s="3">
        <v>87468</v>
      </c>
      <c r="M7136" s="3">
        <v>259941</v>
      </c>
      <c r="N7136" s="3">
        <v>488653</v>
      </c>
    </row>
    <row r="7137" spans="1:14" x14ac:dyDescent="0.2">
      <c r="A7137" s="5" t="str">
        <f>HYPERLINK("http://www.ncbi.nlm.nih.gov/protein/84490394","Sptb")</f>
        <v>Sptb</v>
      </c>
      <c r="B7137" s="4"/>
      <c r="C7137" s="3">
        <v>3570</v>
      </c>
      <c r="D7137" s="3">
        <v>1380</v>
      </c>
      <c r="E7137" s="3">
        <v>615</v>
      </c>
      <c r="F7137" s="3">
        <v>1269</v>
      </c>
      <c r="G7137" s="3">
        <v>6854</v>
      </c>
      <c r="H7137" s="2">
        <f t="shared" si="222"/>
        <v>13688</v>
      </c>
      <c r="I7137" t="str">
        <f t="shared" si="223"/>
        <v>Sptb_13688</v>
      </c>
      <c r="J7137" s="3">
        <v>3570</v>
      </c>
      <c r="K7137" s="3">
        <v>1380</v>
      </c>
      <c r="L7137" s="3">
        <v>615</v>
      </c>
      <c r="M7137" s="3">
        <v>1269</v>
      </c>
      <c r="N7137" s="3">
        <v>6854</v>
      </c>
    </row>
    <row r="7138" spans="1:14" x14ac:dyDescent="0.2">
      <c r="A7138" s="5" t="str">
        <f>HYPERLINK("http://www.ncbi.nlm.nih.gov/protein/117938332","Sptbn1")</f>
        <v>Sptbn1</v>
      </c>
      <c r="B7138" s="4"/>
      <c r="C7138" s="3">
        <v>90761</v>
      </c>
      <c r="D7138" s="3">
        <v>14304</v>
      </c>
      <c r="E7138" s="3">
        <v>21833</v>
      </c>
      <c r="F7138" s="3">
        <v>100273</v>
      </c>
      <c r="G7138" s="3">
        <v>195770</v>
      </c>
      <c r="H7138" s="2">
        <f t="shared" si="222"/>
        <v>422941</v>
      </c>
      <c r="I7138" t="str">
        <f t="shared" si="223"/>
        <v>Sptbn1_422941</v>
      </c>
      <c r="J7138" s="3">
        <v>90761</v>
      </c>
      <c r="K7138" s="3">
        <v>14304</v>
      </c>
      <c r="L7138" s="3">
        <v>21833</v>
      </c>
      <c r="M7138" s="3">
        <v>100273</v>
      </c>
      <c r="N7138" s="3">
        <v>195770</v>
      </c>
    </row>
    <row r="7139" spans="1:14" x14ac:dyDescent="0.2">
      <c r="A7139" s="5" t="str">
        <f>HYPERLINK("http://www.ncbi.nlm.nih.gov/protein/117938334","Sptbn1")</f>
        <v>Sptbn1</v>
      </c>
      <c r="B7139" s="4"/>
      <c r="C7139" s="3">
        <v>81059</v>
      </c>
      <c r="D7139" s="3">
        <v>12369</v>
      </c>
      <c r="E7139" s="3">
        <v>19930</v>
      </c>
      <c r="F7139" s="3">
        <v>91703</v>
      </c>
      <c r="G7139" s="3">
        <v>168739</v>
      </c>
      <c r="H7139" s="2">
        <f t="shared" si="222"/>
        <v>373800</v>
      </c>
      <c r="I7139" t="str">
        <f t="shared" si="223"/>
        <v>Sptbn1_373800</v>
      </c>
      <c r="J7139" s="3">
        <v>81059</v>
      </c>
      <c r="K7139" s="3">
        <v>12369</v>
      </c>
      <c r="L7139" s="3">
        <v>19930</v>
      </c>
      <c r="M7139" s="3">
        <v>91703</v>
      </c>
      <c r="N7139" s="3">
        <v>168739</v>
      </c>
    </row>
    <row r="7140" spans="1:14" x14ac:dyDescent="0.2">
      <c r="A7140" s="5" t="str">
        <f>HYPERLINK("http://www.ncbi.nlm.nih.gov/protein/55926127","Sptbn2")</f>
        <v>Sptbn2</v>
      </c>
      <c r="B7140" s="4"/>
      <c r="C7140" s="3">
        <v>213723</v>
      </c>
      <c r="D7140" s="3">
        <v>28716</v>
      </c>
      <c r="E7140" s="3">
        <v>36018</v>
      </c>
      <c r="F7140" s="3">
        <v>157515</v>
      </c>
      <c r="G7140" s="3">
        <v>187138</v>
      </c>
      <c r="H7140" s="2">
        <f t="shared" si="222"/>
        <v>623110</v>
      </c>
      <c r="I7140" t="str">
        <f t="shared" si="223"/>
        <v>Sptbn2_623110</v>
      </c>
      <c r="J7140" s="3">
        <v>213723</v>
      </c>
      <c r="K7140" s="3">
        <v>28716</v>
      </c>
      <c r="L7140" s="3">
        <v>36018</v>
      </c>
      <c r="M7140" s="3">
        <v>157515</v>
      </c>
      <c r="N7140" s="3">
        <v>187138</v>
      </c>
    </row>
    <row r="7141" spans="1:14" x14ac:dyDescent="0.2">
      <c r="A7141" s="5" t="str">
        <f>HYPERLINK("http://www.ncbi.nlm.nih.gov/protein/116174793","Sptbn4")</f>
        <v>Sptbn4</v>
      </c>
      <c r="B7141" s="4"/>
      <c r="C7141" s="3">
        <v>3991</v>
      </c>
      <c r="D7141" s="3">
        <v>3067</v>
      </c>
      <c r="E7141" s="3">
        <v>2447</v>
      </c>
      <c r="F7141" s="3">
        <v>1973</v>
      </c>
      <c r="G7141" s="3">
        <v>18260</v>
      </c>
      <c r="H7141" s="2">
        <f t="shared" si="222"/>
        <v>29738</v>
      </c>
      <c r="I7141" t="str">
        <f t="shared" si="223"/>
        <v>Sptbn4_29738</v>
      </c>
      <c r="J7141" s="3">
        <v>3991</v>
      </c>
      <c r="K7141" s="3">
        <v>3067</v>
      </c>
      <c r="L7141" s="3">
        <v>2447</v>
      </c>
      <c r="M7141" s="3">
        <v>1973</v>
      </c>
      <c r="N7141" s="3">
        <v>18260</v>
      </c>
    </row>
    <row r="7142" spans="1:14" x14ac:dyDescent="0.2">
      <c r="A7142" s="5" t="str">
        <f>HYPERLINK("http://www.ncbi.nlm.nih.gov/protein/29244577","Sptlc1")</f>
        <v>Sptlc1</v>
      </c>
      <c r="B7142" s="4"/>
      <c r="C7142" s="3">
        <v>3753</v>
      </c>
      <c r="D7142" s="3">
        <v>4695</v>
      </c>
      <c r="E7142" s="3">
        <v>1365</v>
      </c>
      <c r="F7142" s="3">
        <v>0</v>
      </c>
      <c r="G7142" s="3">
        <v>0</v>
      </c>
      <c r="H7142" s="2">
        <f t="shared" si="222"/>
        <v>9813</v>
      </c>
      <c r="I7142" t="str">
        <f t="shared" si="223"/>
        <v>Sptlc1_9813</v>
      </c>
      <c r="J7142" s="3">
        <v>3753</v>
      </c>
      <c r="K7142" s="3">
        <v>4695</v>
      </c>
      <c r="L7142" s="3">
        <v>1365</v>
      </c>
      <c r="M7142" s="3">
        <v>0</v>
      </c>
      <c r="N7142" s="3">
        <v>0</v>
      </c>
    </row>
    <row r="7143" spans="1:14" x14ac:dyDescent="0.2">
      <c r="A7143" s="5" t="str">
        <f>HYPERLINK("http://www.ncbi.nlm.nih.gov/protein/6755656","Sptlc2")</f>
        <v>Sptlc2</v>
      </c>
      <c r="B7143" s="4"/>
      <c r="C7143" s="3">
        <v>2160</v>
      </c>
      <c r="D7143" s="3">
        <v>1248</v>
      </c>
      <c r="E7143" s="3">
        <v>3086</v>
      </c>
      <c r="F7143" s="3">
        <v>0</v>
      </c>
      <c r="G7143" s="3">
        <v>0</v>
      </c>
      <c r="H7143" s="2">
        <f t="shared" si="222"/>
        <v>6494</v>
      </c>
      <c r="I7143" t="str">
        <f t="shared" si="223"/>
        <v>Sptlc2_6494</v>
      </c>
      <c r="J7143" s="3">
        <v>2160</v>
      </c>
      <c r="K7143" s="3">
        <v>1248</v>
      </c>
      <c r="L7143" s="3">
        <v>3086</v>
      </c>
      <c r="M7143" s="3">
        <v>0</v>
      </c>
      <c r="N7143" s="3">
        <v>0</v>
      </c>
    </row>
    <row r="7144" spans="1:14" x14ac:dyDescent="0.2">
      <c r="A7144" s="5" t="str">
        <f>HYPERLINK("http://www.ncbi.nlm.nih.gov/protein/6678127","Sqle")</f>
        <v>Sqle</v>
      </c>
      <c r="B7144" s="4"/>
      <c r="C7144" s="3">
        <v>0</v>
      </c>
      <c r="D7144" s="3">
        <v>77</v>
      </c>
      <c r="E7144" s="3">
        <v>4</v>
      </c>
      <c r="F7144" s="3">
        <v>0</v>
      </c>
      <c r="G7144" s="3">
        <v>0</v>
      </c>
      <c r="H7144" s="2">
        <f t="shared" si="222"/>
        <v>81</v>
      </c>
      <c r="I7144" t="str">
        <f t="shared" si="223"/>
        <v>Sqle_81</v>
      </c>
      <c r="J7144" s="3">
        <v>0</v>
      </c>
      <c r="K7144" s="3">
        <v>77</v>
      </c>
      <c r="L7144" s="3">
        <v>4</v>
      </c>
      <c r="M7144" s="3">
        <v>0</v>
      </c>
      <c r="N7144" s="3">
        <v>0</v>
      </c>
    </row>
    <row r="7145" spans="1:14" x14ac:dyDescent="0.2">
      <c r="A7145" s="5" t="str">
        <f>HYPERLINK("http://www.ncbi.nlm.nih.gov/protein/244790049","Sqrdl")</f>
        <v>Sqrdl</v>
      </c>
      <c r="B7145" s="4"/>
      <c r="C7145" s="3">
        <v>113680</v>
      </c>
      <c r="D7145" s="3">
        <v>0</v>
      </c>
      <c r="E7145" s="3">
        <v>0</v>
      </c>
      <c r="F7145" s="3">
        <v>0</v>
      </c>
      <c r="G7145" s="3">
        <v>0</v>
      </c>
      <c r="H7145" s="2">
        <f t="shared" si="222"/>
        <v>113680</v>
      </c>
      <c r="I7145" t="str">
        <f t="shared" si="223"/>
        <v>Sqrdl_113680</v>
      </c>
      <c r="J7145" s="3">
        <v>113680</v>
      </c>
      <c r="K7145" s="3">
        <v>0</v>
      </c>
      <c r="L7145" s="3">
        <v>0</v>
      </c>
      <c r="M7145" s="3">
        <v>0</v>
      </c>
      <c r="N7145" s="3">
        <v>0</v>
      </c>
    </row>
    <row r="7146" spans="1:14" x14ac:dyDescent="0.2">
      <c r="A7146" s="5" t="str">
        <f>HYPERLINK("http://www.ncbi.nlm.nih.gov/protein/244790045;244790049","Sqrdl")</f>
        <v>Sqrdl</v>
      </c>
      <c r="B7146" s="4"/>
      <c r="C7146" s="3">
        <v>0</v>
      </c>
      <c r="D7146" s="3">
        <v>52731</v>
      </c>
      <c r="E7146" s="3">
        <v>0</v>
      </c>
      <c r="F7146" s="3">
        <v>0</v>
      </c>
      <c r="G7146" s="3">
        <v>0</v>
      </c>
      <c r="H7146" s="2">
        <f t="shared" si="222"/>
        <v>52731</v>
      </c>
      <c r="I7146" t="str">
        <f t="shared" si="223"/>
        <v>Sqrdl_52731</v>
      </c>
      <c r="J7146" s="3">
        <v>0</v>
      </c>
      <c r="K7146" s="3">
        <v>52731</v>
      </c>
      <c r="L7146" s="3">
        <v>0</v>
      </c>
      <c r="M7146" s="3">
        <v>0</v>
      </c>
      <c r="N7146" s="3">
        <v>0</v>
      </c>
    </row>
    <row r="7147" spans="1:14" x14ac:dyDescent="0.2">
      <c r="A7147" s="5" t="str">
        <f>HYPERLINK("http://www.ncbi.nlm.nih.gov/protein/244790049;244790045","Sqrdl")</f>
        <v>Sqrdl</v>
      </c>
      <c r="B7147" s="4"/>
      <c r="C7147" s="3">
        <v>0</v>
      </c>
      <c r="D7147" s="3">
        <v>0</v>
      </c>
      <c r="E7147" s="3">
        <v>2556</v>
      </c>
      <c r="F7147" s="3">
        <v>0</v>
      </c>
      <c r="G7147" s="3">
        <v>0</v>
      </c>
      <c r="H7147" s="2">
        <f t="shared" si="222"/>
        <v>2556</v>
      </c>
      <c r="I7147" t="str">
        <f t="shared" si="223"/>
        <v>Sqrdl_2556</v>
      </c>
      <c r="J7147" s="3">
        <v>0</v>
      </c>
      <c r="K7147" s="3">
        <v>0</v>
      </c>
      <c r="L7147" s="3">
        <v>2556</v>
      </c>
      <c r="M7147" s="3">
        <v>0</v>
      </c>
      <c r="N7147" s="3">
        <v>0</v>
      </c>
    </row>
    <row r="7148" spans="1:14" x14ac:dyDescent="0.2">
      <c r="A7148" s="5" t="str">
        <f>HYPERLINK("http://www.ncbi.nlm.nih.gov/protein/6754954","Sqstm1")</f>
        <v>Sqstm1</v>
      </c>
      <c r="B7148" s="4"/>
      <c r="C7148" s="3">
        <v>0</v>
      </c>
      <c r="D7148" s="3">
        <v>313</v>
      </c>
      <c r="E7148" s="3">
        <v>1039</v>
      </c>
      <c r="F7148" s="3">
        <v>1432</v>
      </c>
      <c r="G7148" s="3">
        <v>0</v>
      </c>
      <c r="H7148" s="2">
        <f t="shared" si="222"/>
        <v>2784</v>
      </c>
      <c r="I7148" t="str">
        <f t="shared" si="223"/>
        <v>Sqstm1_2784</v>
      </c>
      <c r="J7148" s="3">
        <v>0</v>
      </c>
      <c r="K7148" s="3">
        <v>313</v>
      </c>
      <c r="L7148" s="3">
        <v>1039</v>
      </c>
      <c r="M7148" s="3">
        <v>1432</v>
      </c>
      <c r="N7148" s="3">
        <v>0</v>
      </c>
    </row>
    <row r="7149" spans="1:14" x14ac:dyDescent="0.2">
      <c r="A7149" s="5" t="str">
        <f>HYPERLINK("http://www.ncbi.nlm.nih.gov/protein/257096048","Sra1")</f>
        <v>Sra1</v>
      </c>
      <c r="B7149" s="4"/>
      <c r="C7149" s="3">
        <v>0</v>
      </c>
      <c r="D7149" s="3">
        <v>29</v>
      </c>
      <c r="E7149" s="3">
        <v>0</v>
      </c>
      <c r="F7149" s="3">
        <v>262</v>
      </c>
      <c r="G7149" s="3">
        <v>1896</v>
      </c>
      <c r="H7149" s="2">
        <f t="shared" si="222"/>
        <v>2187</v>
      </c>
      <c r="I7149" t="str">
        <f t="shared" si="223"/>
        <v>Sra1_2187</v>
      </c>
      <c r="J7149" s="3">
        <v>0</v>
      </c>
      <c r="K7149" s="3">
        <v>29</v>
      </c>
      <c r="L7149" s="3">
        <v>0</v>
      </c>
      <c r="M7149" s="3">
        <v>262</v>
      </c>
      <c r="N7149" s="3">
        <v>1896</v>
      </c>
    </row>
    <row r="7150" spans="1:14" x14ac:dyDescent="0.2">
      <c r="A7150" s="5" t="str">
        <f>HYPERLINK("http://www.ncbi.nlm.nih.gov/protein/257096050","Sra1")</f>
        <v>Sra1</v>
      </c>
      <c r="B7150" s="4"/>
      <c r="C7150" s="3">
        <v>0</v>
      </c>
      <c r="D7150" s="3">
        <v>29</v>
      </c>
      <c r="E7150" s="3">
        <v>0</v>
      </c>
      <c r="F7150" s="3">
        <v>262</v>
      </c>
      <c r="G7150" s="3">
        <v>835</v>
      </c>
      <c r="H7150" s="2">
        <f t="shared" si="222"/>
        <v>1126</v>
      </c>
      <c r="I7150" t="str">
        <f t="shared" si="223"/>
        <v>Sra1_1126</v>
      </c>
      <c r="J7150" s="3">
        <v>0</v>
      </c>
      <c r="K7150" s="3">
        <v>29</v>
      </c>
      <c r="L7150" s="3">
        <v>0</v>
      </c>
      <c r="M7150" s="3">
        <v>262</v>
      </c>
      <c r="N7150" s="3">
        <v>835</v>
      </c>
    </row>
    <row r="7151" spans="1:14" x14ac:dyDescent="0.2">
      <c r="A7151" s="5" t="str">
        <f>HYPERLINK("http://www.ncbi.nlm.nih.gov/protein/226443099","Srbd1")</f>
        <v>Srbd1</v>
      </c>
      <c r="B7151" s="4"/>
      <c r="C7151" s="3">
        <v>0</v>
      </c>
      <c r="D7151" s="3">
        <v>0</v>
      </c>
      <c r="E7151" s="3">
        <v>249</v>
      </c>
      <c r="F7151" s="3">
        <v>0</v>
      </c>
      <c r="G7151" s="3">
        <v>0</v>
      </c>
      <c r="H7151" s="2">
        <f t="shared" si="222"/>
        <v>249</v>
      </c>
      <c r="I7151" t="str">
        <f t="shared" si="223"/>
        <v>Srbd1_249</v>
      </c>
      <c r="J7151" s="3">
        <v>0</v>
      </c>
      <c r="K7151" s="3">
        <v>0</v>
      </c>
      <c r="L7151" s="3">
        <v>249</v>
      </c>
      <c r="M7151" s="3">
        <v>0</v>
      </c>
      <c r="N7151" s="3">
        <v>0</v>
      </c>
    </row>
    <row r="7152" spans="1:14" x14ac:dyDescent="0.2">
      <c r="A7152" s="5" t="str">
        <f>HYPERLINK("http://www.ncbi.nlm.nih.gov/protein/70794809","Src")</f>
        <v>Src</v>
      </c>
      <c r="B7152" s="4"/>
      <c r="C7152" s="3">
        <v>4888</v>
      </c>
      <c r="D7152" s="3">
        <v>10154</v>
      </c>
      <c r="E7152" s="3">
        <v>34119</v>
      </c>
      <c r="F7152" s="3">
        <v>8750</v>
      </c>
      <c r="G7152" s="3">
        <v>20819</v>
      </c>
      <c r="H7152" s="2">
        <f t="shared" si="222"/>
        <v>78730</v>
      </c>
      <c r="I7152" t="str">
        <f t="shared" si="223"/>
        <v>Src_78730</v>
      </c>
      <c r="J7152" s="3">
        <v>4888</v>
      </c>
      <c r="K7152" s="3">
        <v>10154</v>
      </c>
      <c r="L7152" s="3">
        <v>34119</v>
      </c>
      <c r="M7152" s="3">
        <v>8750</v>
      </c>
      <c r="N7152" s="3">
        <v>20819</v>
      </c>
    </row>
    <row r="7153" spans="1:14" x14ac:dyDescent="0.2">
      <c r="A7153" s="5" t="str">
        <f>HYPERLINK("http://www.ncbi.nlm.nih.gov/protein/70794811","Src")</f>
        <v>Src</v>
      </c>
      <c r="B7153" s="4"/>
      <c r="C7153" s="3">
        <v>4888</v>
      </c>
      <c r="D7153" s="3">
        <v>10154</v>
      </c>
      <c r="E7153" s="3">
        <v>34119</v>
      </c>
      <c r="F7153" s="3">
        <v>8750</v>
      </c>
      <c r="G7153" s="3">
        <v>20819</v>
      </c>
      <c r="H7153" s="2">
        <f t="shared" si="222"/>
        <v>78730</v>
      </c>
      <c r="I7153" t="str">
        <f t="shared" si="223"/>
        <v>Src_78730</v>
      </c>
      <c r="J7153" s="3">
        <v>4888</v>
      </c>
      <c r="K7153" s="3">
        <v>10154</v>
      </c>
      <c r="L7153" s="3">
        <v>34119</v>
      </c>
      <c r="M7153" s="3">
        <v>8750</v>
      </c>
      <c r="N7153" s="3">
        <v>20819</v>
      </c>
    </row>
    <row r="7154" spans="1:14" x14ac:dyDescent="0.2">
      <c r="A7154" s="5" t="str">
        <f>HYPERLINK("http://www.ncbi.nlm.nih.gov/protein/87044895","Srd5a1")</f>
        <v>Srd5a1</v>
      </c>
      <c r="B7154" s="4"/>
      <c r="C7154" s="3">
        <v>1190</v>
      </c>
      <c r="D7154" s="3">
        <v>428</v>
      </c>
      <c r="E7154" s="3">
        <v>199</v>
      </c>
      <c r="F7154" s="3">
        <v>0</v>
      </c>
      <c r="G7154" s="3">
        <v>0</v>
      </c>
      <c r="H7154" s="2">
        <f t="shared" si="222"/>
        <v>1817</v>
      </c>
      <c r="I7154" t="str">
        <f t="shared" si="223"/>
        <v>Srd5a1_1817</v>
      </c>
      <c r="J7154" s="3">
        <v>1190</v>
      </c>
      <c r="K7154" s="3">
        <v>428</v>
      </c>
      <c r="L7154" s="3">
        <v>199</v>
      </c>
      <c r="M7154" s="3">
        <v>0</v>
      </c>
      <c r="N7154" s="3">
        <v>0</v>
      </c>
    </row>
    <row r="7155" spans="1:14" x14ac:dyDescent="0.2">
      <c r="A7155" s="5" t="str">
        <f>HYPERLINK("http://www.ncbi.nlm.nih.gov/protein/27881427","Srd5a3")</f>
        <v>Srd5a3</v>
      </c>
      <c r="B7155" s="4"/>
      <c r="C7155" s="3">
        <v>0</v>
      </c>
      <c r="D7155" s="3">
        <v>0</v>
      </c>
      <c r="E7155" s="3">
        <v>19</v>
      </c>
      <c r="F7155" s="3">
        <v>0</v>
      </c>
      <c r="G7155" s="3">
        <v>0</v>
      </c>
      <c r="H7155" s="2">
        <f t="shared" si="222"/>
        <v>19</v>
      </c>
      <c r="I7155" t="str">
        <f t="shared" si="223"/>
        <v>Srd5a3_19</v>
      </c>
      <c r="J7155" s="3">
        <v>0</v>
      </c>
      <c r="K7155" s="3">
        <v>0</v>
      </c>
      <c r="L7155" s="3">
        <v>19</v>
      </c>
      <c r="M7155" s="3">
        <v>0</v>
      </c>
      <c r="N7155" s="3">
        <v>0</v>
      </c>
    </row>
    <row r="7156" spans="1:14" x14ac:dyDescent="0.2">
      <c r="A7156" s="5" t="str">
        <f>HYPERLINK("http://www.ncbi.nlm.nih.gov/protein/73661204","Srebf2")</f>
        <v>Srebf2</v>
      </c>
      <c r="B7156" s="4"/>
      <c r="C7156" s="3">
        <v>0</v>
      </c>
      <c r="D7156" s="3">
        <v>0</v>
      </c>
      <c r="E7156" s="3">
        <v>0</v>
      </c>
      <c r="F7156" s="3">
        <v>0</v>
      </c>
      <c r="G7156" s="3">
        <v>835</v>
      </c>
      <c r="H7156" s="2">
        <f t="shared" si="222"/>
        <v>835</v>
      </c>
      <c r="I7156" t="str">
        <f t="shared" si="223"/>
        <v>Srebf2_835</v>
      </c>
      <c r="J7156" s="3">
        <v>0</v>
      </c>
      <c r="K7156" s="3">
        <v>0</v>
      </c>
      <c r="L7156" s="3">
        <v>0</v>
      </c>
      <c r="M7156" s="3">
        <v>0</v>
      </c>
      <c r="N7156" s="3">
        <v>835</v>
      </c>
    </row>
    <row r="7157" spans="1:14" x14ac:dyDescent="0.2">
      <c r="A7157" s="5" t="str">
        <f>HYPERLINK("http://www.ncbi.nlm.nih.gov/protein/27369842","Srek1")</f>
        <v>Srek1</v>
      </c>
      <c r="B7157" s="4"/>
      <c r="C7157" s="3">
        <v>0</v>
      </c>
      <c r="D7157" s="3">
        <v>382</v>
      </c>
      <c r="E7157" s="3">
        <v>32</v>
      </c>
      <c r="F7157" s="3">
        <v>0</v>
      </c>
      <c r="G7157" s="3">
        <v>0</v>
      </c>
      <c r="H7157" s="2">
        <f t="shared" si="222"/>
        <v>414</v>
      </c>
      <c r="I7157" t="str">
        <f t="shared" si="223"/>
        <v>Srek1_414</v>
      </c>
      <c r="J7157" s="3">
        <v>0</v>
      </c>
      <c r="K7157" s="3">
        <v>382</v>
      </c>
      <c r="L7157" s="3">
        <v>32</v>
      </c>
      <c r="M7157" s="3">
        <v>0</v>
      </c>
      <c r="N7157" s="3">
        <v>0</v>
      </c>
    </row>
    <row r="7158" spans="1:14" x14ac:dyDescent="0.2">
      <c r="A7158" s="5" t="str">
        <f>HYPERLINK("http://www.ncbi.nlm.nih.gov/protein/124486650","Srgap1")</f>
        <v>Srgap1</v>
      </c>
      <c r="B7158" s="4"/>
      <c r="C7158" s="3">
        <v>0</v>
      </c>
      <c r="D7158" s="3">
        <v>0</v>
      </c>
      <c r="E7158" s="3">
        <v>0</v>
      </c>
      <c r="F7158" s="3">
        <v>0</v>
      </c>
      <c r="G7158" s="3">
        <v>3020</v>
      </c>
      <c r="H7158" s="2">
        <f t="shared" si="222"/>
        <v>3020</v>
      </c>
      <c r="I7158" t="str">
        <f t="shared" si="223"/>
        <v>Srgap1_3020</v>
      </c>
      <c r="J7158" s="3">
        <v>0</v>
      </c>
      <c r="K7158" s="3">
        <v>0</v>
      </c>
      <c r="L7158" s="3">
        <v>0</v>
      </c>
      <c r="M7158" s="3">
        <v>0</v>
      </c>
      <c r="N7158" s="3">
        <v>3020</v>
      </c>
    </row>
    <row r="7159" spans="1:14" x14ac:dyDescent="0.2">
      <c r="A7159" s="5" t="str">
        <f>HYPERLINK("http://www.ncbi.nlm.nih.gov/protein/334724478","Srgap1")</f>
        <v>Srgap1</v>
      </c>
      <c r="B7159" s="4"/>
      <c r="C7159" s="3">
        <v>0</v>
      </c>
      <c r="D7159" s="3">
        <v>0</v>
      </c>
      <c r="E7159" s="3">
        <v>0</v>
      </c>
      <c r="F7159" s="3">
        <v>0</v>
      </c>
      <c r="G7159" s="3">
        <v>3020</v>
      </c>
      <c r="H7159" s="2">
        <f t="shared" si="222"/>
        <v>3020</v>
      </c>
      <c r="I7159" t="str">
        <f t="shared" si="223"/>
        <v>Srgap1_3020</v>
      </c>
      <c r="J7159" s="3">
        <v>0</v>
      </c>
      <c r="K7159" s="3">
        <v>0</v>
      </c>
      <c r="L7159" s="3">
        <v>0</v>
      </c>
      <c r="M7159" s="3">
        <v>0</v>
      </c>
      <c r="N7159" s="3">
        <v>3020</v>
      </c>
    </row>
    <row r="7160" spans="1:14" x14ac:dyDescent="0.2">
      <c r="A7160" s="5" t="str">
        <f>HYPERLINK("http://www.ncbi.nlm.nih.gov/protein/157951723","Srgap2")</f>
        <v>Srgap2</v>
      </c>
      <c r="B7160" s="4"/>
      <c r="C7160" s="3">
        <v>0</v>
      </c>
      <c r="D7160" s="3">
        <v>0</v>
      </c>
      <c r="E7160" s="3">
        <v>0</v>
      </c>
      <c r="F7160" s="3">
        <v>0</v>
      </c>
      <c r="G7160" s="3">
        <v>3041</v>
      </c>
      <c r="H7160" s="2">
        <f t="shared" si="222"/>
        <v>3041</v>
      </c>
      <c r="I7160" t="str">
        <f t="shared" si="223"/>
        <v>Srgap2_3041</v>
      </c>
      <c r="J7160" s="3">
        <v>0</v>
      </c>
      <c r="K7160" s="3">
        <v>0</v>
      </c>
      <c r="L7160" s="3">
        <v>0</v>
      </c>
      <c r="M7160" s="3">
        <v>0</v>
      </c>
      <c r="N7160" s="3">
        <v>3041</v>
      </c>
    </row>
    <row r="7161" spans="1:14" x14ac:dyDescent="0.2">
      <c r="A7161" s="5" t="str">
        <f>HYPERLINK("http://www.ncbi.nlm.nih.gov/protein/154090967","Srgap3")</f>
        <v>Srgap3</v>
      </c>
      <c r="B7161" s="4"/>
      <c r="C7161" s="3">
        <v>0</v>
      </c>
      <c r="D7161" s="3">
        <v>0</v>
      </c>
      <c r="E7161" s="3">
        <v>0</v>
      </c>
      <c r="F7161" s="3">
        <v>0</v>
      </c>
      <c r="G7161" s="3">
        <v>161</v>
      </c>
      <c r="H7161" s="2">
        <f t="shared" si="222"/>
        <v>161</v>
      </c>
      <c r="I7161" t="str">
        <f t="shared" si="223"/>
        <v>Srgap3_161</v>
      </c>
      <c r="J7161" s="3">
        <v>0</v>
      </c>
      <c r="K7161" s="3">
        <v>0</v>
      </c>
      <c r="L7161" s="3">
        <v>0</v>
      </c>
      <c r="M7161" s="3">
        <v>0</v>
      </c>
      <c r="N7161" s="3">
        <v>161</v>
      </c>
    </row>
    <row r="7162" spans="1:14" x14ac:dyDescent="0.2">
      <c r="A7162" s="5" t="str">
        <f>HYPERLINK("http://www.ncbi.nlm.nih.gov/protein/124430537","Sri")</f>
        <v>Sri</v>
      </c>
      <c r="B7162" s="4"/>
      <c r="C7162" s="3">
        <v>0</v>
      </c>
      <c r="D7162" s="3">
        <v>2017</v>
      </c>
      <c r="E7162" s="3">
        <v>14581</v>
      </c>
      <c r="F7162" s="3">
        <v>2194</v>
      </c>
      <c r="G7162" s="3">
        <v>191068</v>
      </c>
      <c r="H7162" s="2">
        <f t="shared" si="222"/>
        <v>209860</v>
      </c>
      <c r="I7162" t="str">
        <f t="shared" si="223"/>
        <v>Sri_209860</v>
      </c>
      <c r="J7162" s="3">
        <v>0</v>
      </c>
      <c r="K7162" s="3">
        <v>2017</v>
      </c>
      <c r="L7162" s="3">
        <v>14581</v>
      </c>
      <c r="M7162" s="3">
        <v>2194</v>
      </c>
      <c r="N7162" s="3">
        <v>191068</v>
      </c>
    </row>
    <row r="7163" spans="1:14" x14ac:dyDescent="0.2">
      <c r="A7163" s="5" t="str">
        <f>HYPERLINK("http://www.ncbi.nlm.nih.gov/protein/124430543","Sri")</f>
        <v>Sri</v>
      </c>
      <c r="B7163" s="4"/>
      <c r="C7163" s="3">
        <v>0</v>
      </c>
      <c r="D7163" s="3">
        <v>2017</v>
      </c>
      <c r="E7163" s="3">
        <v>14581</v>
      </c>
      <c r="F7163" s="3">
        <v>2194</v>
      </c>
      <c r="G7163" s="3">
        <v>191068</v>
      </c>
      <c r="H7163" s="2">
        <f t="shared" si="222"/>
        <v>209860</v>
      </c>
      <c r="I7163" t="str">
        <f t="shared" si="223"/>
        <v>Sri_209860</v>
      </c>
      <c r="J7163" s="3">
        <v>0</v>
      </c>
      <c r="K7163" s="3">
        <v>2017</v>
      </c>
      <c r="L7163" s="3">
        <v>14581</v>
      </c>
      <c r="M7163" s="3">
        <v>2194</v>
      </c>
      <c r="N7163" s="3">
        <v>191068</v>
      </c>
    </row>
    <row r="7164" spans="1:14" x14ac:dyDescent="0.2">
      <c r="A7164" s="5" t="str">
        <f>HYPERLINK("http://www.ncbi.nlm.nih.gov/protein/34328417","Srl")</f>
        <v>Srl</v>
      </c>
      <c r="B7164" s="4"/>
      <c r="C7164" s="3">
        <v>0</v>
      </c>
      <c r="D7164" s="3">
        <v>405</v>
      </c>
      <c r="E7164" s="3">
        <v>414</v>
      </c>
      <c r="F7164" s="3">
        <v>0</v>
      </c>
      <c r="G7164" s="3">
        <v>0</v>
      </c>
      <c r="H7164" s="2">
        <f t="shared" si="222"/>
        <v>819</v>
      </c>
      <c r="I7164" t="str">
        <f t="shared" si="223"/>
        <v>Srl_819</v>
      </c>
      <c r="J7164" s="3">
        <v>0</v>
      </c>
      <c r="K7164" s="3">
        <v>405</v>
      </c>
      <c r="L7164" s="3">
        <v>414</v>
      </c>
      <c r="M7164" s="3">
        <v>0</v>
      </c>
      <c r="N7164" s="3">
        <v>0</v>
      </c>
    </row>
    <row r="7165" spans="1:14" x14ac:dyDescent="0.2">
      <c r="A7165" s="5" t="str">
        <f>HYPERLINK("http://www.ncbi.nlm.nih.gov/protein/6678131","Srm")</f>
        <v>Srm</v>
      </c>
      <c r="B7165" s="4"/>
      <c r="C7165" s="3">
        <v>0</v>
      </c>
      <c r="D7165" s="3">
        <v>7981</v>
      </c>
      <c r="E7165" s="3">
        <v>1150</v>
      </c>
      <c r="F7165" s="3">
        <v>638</v>
      </c>
      <c r="G7165" s="3">
        <v>58849</v>
      </c>
      <c r="H7165" s="2">
        <f t="shared" si="222"/>
        <v>68618</v>
      </c>
      <c r="I7165" t="str">
        <f t="shared" si="223"/>
        <v>Srm_68618</v>
      </c>
      <c r="J7165" s="3">
        <v>0</v>
      </c>
      <c r="K7165" s="3">
        <v>7981</v>
      </c>
      <c r="L7165" s="3">
        <v>1150</v>
      </c>
      <c r="M7165" s="3">
        <v>638</v>
      </c>
      <c r="N7165" s="3">
        <v>58849</v>
      </c>
    </row>
    <row r="7166" spans="1:14" x14ac:dyDescent="0.2">
      <c r="A7166" s="5" t="str">
        <f>HYPERLINK("http://www.ncbi.nlm.nih.gov/protein/54287682","Srms")</f>
        <v>Srms</v>
      </c>
      <c r="B7166" s="4"/>
      <c r="C7166" s="3">
        <v>0</v>
      </c>
      <c r="D7166" s="3">
        <v>1271</v>
      </c>
      <c r="E7166" s="3">
        <v>7879</v>
      </c>
      <c r="F7166" s="3">
        <v>0</v>
      </c>
      <c r="G7166" s="3">
        <v>2313</v>
      </c>
      <c r="H7166" s="2">
        <f t="shared" si="222"/>
        <v>11463</v>
      </c>
      <c r="I7166" t="str">
        <f t="shared" si="223"/>
        <v>Srms_11463</v>
      </c>
      <c r="J7166" s="3">
        <v>0</v>
      </c>
      <c r="K7166" s="3">
        <v>1271</v>
      </c>
      <c r="L7166" s="3">
        <v>7879</v>
      </c>
      <c r="M7166" s="3">
        <v>0</v>
      </c>
      <c r="N7166" s="3">
        <v>2313</v>
      </c>
    </row>
    <row r="7167" spans="1:14" x14ac:dyDescent="0.2">
      <c r="A7167" s="5" t="str">
        <f>HYPERLINK("http://www.ncbi.nlm.nih.gov/protein/160333840","Srp19")</f>
        <v>Srp19</v>
      </c>
      <c r="B7167" s="4"/>
      <c r="C7167" s="3">
        <v>2361</v>
      </c>
      <c r="D7167" s="3">
        <v>1731</v>
      </c>
      <c r="E7167" s="3">
        <v>1365</v>
      </c>
      <c r="F7167" s="3">
        <v>5312</v>
      </c>
      <c r="G7167" s="3">
        <v>2549</v>
      </c>
      <c r="H7167" s="2">
        <f t="shared" si="222"/>
        <v>13318</v>
      </c>
      <c r="I7167" t="str">
        <f t="shared" si="223"/>
        <v>Srp19_13318</v>
      </c>
      <c r="J7167" s="3">
        <v>2361</v>
      </c>
      <c r="K7167" s="3">
        <v>1731</v>
      </c>
      <c r="L7167" s="3">
        <v>1365</v>
      </c>
      <c r="M7167" s="3">
        <v>5312</v>
      </c>
      <c r="N7167" s="3">
        <v>2549</v>
      </c>
    </row>
    <row r="7168" spans="1:14" x14ac:dyDescent="0.2">
      <c r="A7168" s="5" t="str">
        <f>HYPERLINK("http://www.ncbi.nlm.nih.gov/protein/31981338;153791789","Srp54a")</f>
        <v>Srp54a</v>
      </c>
      <c r="B7168" s="4"/>
      <c r="C7168" s="3">
        <v>1629</v>
      </c>
      <c r="D7168" s="3">
        <v>0</v>
      </c>
      <c r="E7168" s="3">
        <v>0</v>
      </c>
      <c r="F7168" s="3">
        <v>0</v>
      </c>
      <c r="G7168" s="3">
        <v>0</v>
      </c>
      <c r="H7168" s="2">
        <f t="shared" si="222"/>
        <v>1629</v>
      </c>
      <c r="I7168" t="str">
        <f t="shared" si="223"/>
        <v>Srp54a_1629</v>
      </c>
      <c r="J7168" s="3">
        <v>1629</v>
      </c>
      <c r="K7168" s="3">
        <v>0</v>
      </c>
      <c r="L7168" s="3">
        <v>0</v>
      </c>
      <c r="M7168" s="3">
        <v>0</v>
      </c>
      <c r="N7168" s="3">
        <v>0</v>
      </c>
    </row>
    <row r="7169" spans="1:14" x14ac:dyDescent="0.2">
      <c r="A7169" s="5" t="str">
        <f>HYPERLINK("http://www.ncbi.nlm.nih.gov/protein/153791789","Srp54b")</f>
        <v>Srp54b</v>
      </c>
      <c r="B7169" s="4"/>
      <c r="C7169" s="3">
        <v>0</v>
      </c>
      <c r="D7169" s="3">
        <v>6407</v>
      </c>
      <c r="E7169" s="3">
        <v>11630</v>
      </c>
      <c r="F7169" s="3">
        <v>13817</v>
      </c>
      <c r="G7169" s="3">
        <v>2624</v>
      </c>
      <c r="H7169" s="2">
        <f t="shared" si="222"/>
        <v>34478</v>
      </c>
      <c r="I7169" t="str">
        <f t="shared" si="223"/>
        <v>Srp54b_34478</v>
      </c>
      <c r="J7169" s="3">
        <v>0</v>
      </c>
      <c r="K7169" s="3">
        <v>6407</v>
      </c>
      <c r="L7169" s="3">
        <v>11630</v>
      </c>
      <c r="M7169" s="3">
        <v>13817</v>
      </c>
      <c r="N7169" s="3">
        <v>2624</v>
      </c>
    </row>
    <row r="7170" spans="1:14" x14ac:dyDescent="0.2">
      <c r="A7170" s="5" t="str">
        <f>HYPERLINK("http://www.ncbi.nlm.nih.gov/protein/153791464","Srp54c")</f>
        <v>Srp54c</v>
      </c>
      <c r="B7170" s="4"/>
      <c r="C7170" s="3">
        <v>1629</v>
      </c>
      <c r="D7170" s="3">
        <v>3135</v>
      </c>
      <c r="E7170" s="3">
        <v>7286</v>
      </c>
      <c r="F7170" s="3">
        <v>11402</v>
      </c>
      <c r="G7170" s="3">
        <v>1574</v>
      </c>
      <c r="H7170" s="2">
        <f t="shared" ref="H7170:H7233" si="224">SUM(C7170:G7170)</f>
        <v>25026</v>
      </c>
      <c r="I7170" t="str">
        <f t="shared" ref="I7170:I7233" si="225">A7170&amp;"_"&amp;H7170</f>
        <v>Srp54c_25026</v>
      </c>
      <c r="J7170" s="3">
        <v>1629</v>
      </c>
      <c r="K7170" s="3">
        <v>3135</v>
      </c>
      <c r="L7170" s="3">
        <v>7286</v>
      </c>
      <c r="M7170" s="3">
        <v>11402</v>
      </c>
      <c r="N7170" s="3">
        <v>1574</v>
      </c>
    </row>
    <row r="7171" spans="1:14" x14ac:dyDescent="0.2">
      <c r="A7171" s="5" t="str">
        <f>HYPERLINK("http://www.ncbi.nlm.nih.gov/protein/47271535","Srp68")</f>
        <v>Srp68</v>
      </c>
      <c r="B7171" s="4"/>
      <c r="C7171" s="3">
        <v>4302</v>
      </c>
      <c r="D7171" s="3">
        <v>10360</v>
      </c>
      <c r="E7171" s="3">
        <v>9226</v>
      </c>
      <c r="F7171" s="3">
        <v>26448</v>
      </c>
      <c r="G7171" s="3">
        <v>4466</v>
      </c>
      <c r="H7171" s="2">
        <f t="shared" si="224"/>
        <v>54802</v>
      </c>
      <c r="I7171" t="str">
        <f t="shared" si="225"/>
        <v>Srp68_54802</v>
      </c>
      <c r="J7171" s="3">
        <v>4302</v>
      </c>
      <c r="K7171" s="3">
        <v>10360</v>
      </c>
      <c r="L7171" s="3">
        <v>9226</v>
      </c>
      <c r="M7171" s="3">
        <v>26448</v>
      </c>
      <c r="N7171" s="3">
        <v>4466</v>
      </c>
    </row>
    <row r="7172" spans="1:14" x14ac:dyDescent="0.2">
      <c r="A7172" s="5" t="str">
        <f>HYPERLINK("http://www.ncbi.nlm.nih.gov/protein/118344452","Srp72")</f>
        <v>Srp72</v>
      </c>
      <c r="B7172" s="4"/>
      <c r="C7172" s="3">
        <v>0</v>
      </c>
      <c r="D7172" s="3">
        <v>3668</v>
      </c>
      <c r="E7172" s="3">
        <v>18867</v>
      </c>
      <c r="F7172" s="3">
        <v>38104</v>
      </c>
      <c r="G7172" s="3">
        <v>5558</v>
      </c>
      <c r="H7172" s="2">
        <f t="shared" si="224"/>
        <v>66197</v>
      </c>
      <c r="I7172" t="str">
        <f t="shared" si="225"/>
        <v>Srp72_66197</v>
      </c>
      <c r="J7172" s="3">
        <v>0</v>
      </c>
      <c r="K7172" s="3">
        <v>3668</v>
      </c>
      <c r="L7172" s="3">
        <v>18867</v>
      </c>
      <c r="M7172" s="3">
        <v>38104</v>
      </c>
      <c r="N7172" s="3">
        <v>5558</v>
      </c>
    </row>
    <row r="7173" spans="1:14" x14ac:dyDescent="0.2">
      <c r="A7173" s="5" t="str">
        <f>HYPERLINK("http://www.ncbi.nlm.nih.gov/protein/6755662","Srp9")</f>
        <v>Srp9</v>
      </c>
      <c r="B7173" s="4"/>
      <c r="C7173" s="3">
        <v>4210</v>
      </c>
      <c r="D7173" s="3">
        <v>1071</v>
      </c>
      <c r="E7173" s="3">
        <v>1670</v>
      </c>
      <c r="F7173" s="3">
        <v>851</v>
      </c>
      <c r="G7173" s="3">
        <v>268</v>
      </c>
      <c r="H7173" s="2">
        <f t="shared" si="224"/>
        <v>8070</v>
      </c>
      <c r="I7173" t="str">
        <f t="shared" si="225"/>
        <v>Srp9_8070</v>
      </c>
      <c r="J7173" s="3">
        <v>4210</v>
      </c>
      <c r="K7173" s="3">
        <v>1071</v>
      </c>
      <c r="L7173" s="3">
        <v>1670</v>
      </c>
      <c r="M7173" s="3">
        <v>851</v>
      </c>
      <c r="N7173" s="3">
        <v>268</v>
      </c>
    </row>
    <row r="7174" spans="1:14" x14ac:dyDescent="0.2">
      <c r="A7174" s="5" t="str">
        <f>HYPERLINK("http://www.ncbi.nlm.nih.gov/protein/31982726","Srpk1")</f>
        <v>Srpk1</v>
      </c>
      <c r="B7174" s="4"/>
      <c r="C7174" s="3">
        <v>0</v>
      </c>
      <c r="D7174" s="3">
        <v>1403</v>
      </c>
      <c r="E7174" s="3">
        <v>11661</v>
      </c>
      <c r="F7174" s="3">
        <v>24884</v>
      </c>
      <c r="G7174" s="3">
        <v>0</v>
      </c>
      <c r="H7174" s="2">
        <f t="shared" si="224"/>
        <v>37948</v>
      </c>
      <c r="I7174" t="str">
        <f t="shared" si="225"/>
        <v>Srpk1_37948</v>
      </c>
      <c r="J7174" s="3">
        <v>0</v>
      </c>
      <c r="K7174" s="3">
        <v>1403</v>
      </c>
      <c r="L7174" s="3">
        <v>11661</v>
      </c>
      <c r="M7174" s="3">
        <v>24884</v>
      </c>
      <c r="N7174" s="3">
        <v>0</v>
      </c>
    </row>
    <row r="7175" spans="1:14" x14ac:dyDescent="0.2">
      <c r="A7175" s="5" t="str">
        <f>HYPERLINK("http://www.ncbi.nlm.nih.gov/protein/47059480","Srpk2")</f>
        <v>Srpk2</v>
      </c>
      <c r="B7175" s="4"/>
      <c r="C7175" s="3">
        <v>0</v>
      </c>
      <c r="D7175" s="3">
        <v>0</v>
      </c>
      <c r="E7175" s="3">
        <v>7164</v>
      </c>
      <c r="F7175" s="3">
        <v>6139</v>
      </c>
      <c r="G7175" s="3">
        <v>0</v>
      </c>
      <c r="H7175" s="2">
        <f t="shared" si="224"/>
        <v>13303</v>
      </c>
      <c r="I7175" t="str">
        <f t="shared" si="225"/>
        <v>Srpk2_13303</v>
      </c>
      <c r="J7175" s="3">
        <v>0</v>
      </c>
      <c r="K7175" s="3">
        <v>0</v>
      </c>
      <c r="L7175" s="3">
        <v>7164</v>
      </c>
      <c r="M7175" s="3">
        <v>6139</v>
      </c>
      <c r="N7175" s="3">
        <v>0</v>
      </c>
    </row>
    <row r="7176" spans="1:14" x14ac:dyDescent="0.2">
      <c r="A7176" s="5" t="str">
        <f>HYPERLINK("http://www.ncbi.nlm.nih.gov/protein/9790111","Srpk3")</f>
        <v>Srpk3</v>
      </c>
      <c r="B7176" s="4"/>
      <c r="C7176" s="3">
        <v>0</v>
      </c>
      <c r="D7176" s="3">
        <v>0</v>
      </c>
      <c r="E7176" s="3">
        <v>4333</v>
      </c>
      <c r="F7176" s="3">
        <v>794</v>
      </c>
      <c r="G7176" s="3">
        <v>0</v>
      </c>
      <c r="H7176" s="2">
        <f t="shared" si="224"/>
        <v>5127</v>
      </c>
      <c r="I7176" t="str">
        <f t="shared" si="225"/>
        <v>Srpk3_5127</v>
      </c>
      <c r="J7176" s="3">
        <v>0</v>
      </c>
      <c r="K7176" s="3">
        <v>0</v>
      </c>
      <c r="L7176" s="3">
        <v>4333</v>
      </c>
      <c r="M7176" s="3">
        <v>794</v>
      </c>
      <c r="N7176" s="3">
        <v>0</v>
      </c>
    </row>
    <row r="7177" spans="1:14" x14ac:dyDescent="0.2">
      <c r="A7177" s="5" t="str">
        <f>HYPERLINK("http://www.ncbi.nlm.nih.gov/protein/27229036","Srpr")</f>
        <v>Srpr</v>
      </c>
      <c r="B7177" s="4"/>
      <c r="C7177" s="3">
        <v>0</v>
      </c>
      <c r="D7177" s="3">
        <v>1019</v>
      </c>
      <c r="E7177" s="3">
        <v>2229</v>
      </c>
      <c r="F7177" s="3">
        <v>0</v>
      </c>
      <c r="G7177" s="3">
        <v>0</v>
      </c>
      <c r="H7177" s="2">
        <f t="shared" si="224"/>
        <v>3248</v>
      </c>
      <c r="I7177" t="str">
        <f t="shared" si="225"/>
        <v>Srpr_3248</v>
      </c>
      <c r="J7177" s="3">
        <v>0</v>
      </c>
      <c r="K7177" s="3">
        <v>1019</v>
      </c>
      <c r="L7177" s="3">
        <v>2229</v>
      </c>
      <c r="M7177" s="3">
        <v>0</v>
      </c>
      <c r="N7177" s="3">
        <v>0</v>
      </c>
    </row>
    <row r="7178" spans="1:14" x14ac:dyDescent="0.2">
      <c r="A7178" s="5" t="str">
        <f>HYPERLINK("http://www.ncbi.nlm.nih.gov/protein/6678137","Srprb")</f>
        <v>Srprb</v>
      </c>
      <c r="B7178" s="4"/>
      <c r="C7178" s="3">
        <v>16347</v>
      </c>
      <c r="D7178" s="3">
        <v>10262</v>
      </c>
      <c r="E7178" s="3">
        <v>3781</v>
      </c>
      <c r="F7178" s="3">
        <v>0</v>
      </c>
      <c r="G7178" s="3">
        <v>0</v>
      </c>
      <c r="H7178" s="2">
        <f t="shared" si="224"/>
        <v>30390</v>
      </c>
      <c r="I7178" t="str">
        <f t="shared" si="225"/>
        <v>Srprb_30390</v>
      </c>
      <c r="J7178" s="3">
        <v>16347</v>
      </c>
      <c r="K7178" s="3">
        <v>10262</v>
      </c>
      <c r="L7178" s="3">
        <v>3781</v>
      </c>
      <c r="M7178" s="3">
        <v>0</v>
      </c>
      <c r="N7178" s="3">
        <v>0</v>
      </c>
    </row>
    <row r="7179" spans="1:14" x14ac:dyDescent="0.2">
      <c r="A7179" s="5" t="str">
        <f>HYPERLINK("http://www.ncbi.nlm.nih.gov/protein/7305521","Srr")</f>
        <v>Srr</v>
      </c>
      <c r="B7179" s="4"/>
      <c r="C7179" s="3">
        <v>0</v>
      </c>
      <c r="D7179" s="3">
        <v>15</v>
      </c>
      <c r="E7179" s="3">
        <v>0</v>
      </c>
      <c r="F7179" s="3">
        <v>0</v>
      </c>
      <c r="G7179" s="3">
        <v>6522</v>
      </c>
      <c r="H7179" s="2">
        <f t="shared" si="224"/>
        <v>6537</v>
      </c>
      <c r="I7179" t="str">
        <f t="shared" si="225"/>
        <v>Srr_6537</v>
      </c>
      <c r="J7179" s="3">
        <v>0</v>
      </c>
      <c r="K7179" s="3">
        <v>15</v>
      </c>
      <c r="L7179" s="3">
        <v>0</v>
      </c>
      <c r="M7179" s="3">
        <v>0</v>
      </c>
      <c r="N7179" s="3">
        <v>6522</v>
      </c>
    </row>
    <row r="7180" spans="1:14" x14ac:dyDescent="0.2">
      <c r="A7180" s="5" t="str">
        <f>HYPERLINK("http://www.ncbi.nlm.nih.gov/protein/194440682","Srrm1")</f>
        <v>Srrm1</v>
      </c>
      <c r="B7180" s="4"/>
      <c r="C7180" s="3">
        <v>0</v>
      </c>
      <c r="D7180" s="3">
        <v>7436</v>
      </c>
      <c r="E7180" s="3">
        <v>3171</v>
      </c>
      <c r="F7180" s="3">
        <v>12688</v>
      </c>
      <c r="G7180" s="3">
        <v>0</v>
      </c>
      <c r="H7180" s="2">
        <f t="shared" si="224"/>
        <v>23295</v>
      </c>
      <c r="I7180" t="str">
        <f t="shared" si="225"/>
        <v>Srrm1_23295</v>
      </c>
      <c r="J7180" s="3">
        <v>0</v>
      </c>
      <c r="K7180" s="3">
        <v>7436</v>
      </c>
      <c r="L7180" s="3">
        <v>3171</v>
      </c>
      <c r="M7180" s="3">
        <v>12688</v>
      </c>
      <c r="N7180" s="3">
        <v>0</v>
      </c>
    </row>
    <row r="7181" spans="1:14" x14ac:dyDescent="0.2">
      <c r="A7181" s="5" t="str">
        <f>HYPERLINK("http://www.ncbi.nlm.nih.gov/protein/194440687","Srrm1")</f>
        <v>Srrm1</v>
      </c>
      <c r="B7181" s="4"/>
      <c r="C7181" s="3">
        <v>0</v>
      </c>
      <c r="D7181" s="3">
        <v>7436</v>
      </c>
      <c r="E7181" s="3">
        <v>3171</v>
      </c>
      <c r="F7181" s="3">
        <v>12688</v>
      </c>
      <c r="G7181" s="3">
        <v>0</v>
      </c>
      <c r="H7181" s="2">
        <f t="shared" si="224"/>
        <v>23295</v>
      </c>
      <c r="I7181" t="str">
        <f t="shared" si="225"/>
        <v>Srrm1_23295</v>
      </c>
      <c r="J7181" s="3">
        <v>0</v>
      </c>
      <c r="K7181" s="3">
        <v>7436</v>
      </c>
      <c r="L7181" s="3">
        <v>3171</v>
      </c>
      <c r="M7181" s="3">
        <v>12688</v>
      </c>
      <c r="N7181" s="3">
        <v>0</v>
      </c>
    </row>
    <row r="7182" spans="1:14" x14ac:dyDescent="0.2">
      <c r="A7182" s="5" t="str">
        <f>HYPERLINK("http://www.ncbi.nlm.nih.gov/protein/126157504","Srrm2")</f>
        <v>Srrm2</v>
      </c>
      <c r="B7182" s="4"/>
      <c r="C7182" s="3">
        <v>0</v>
      </c>
      <c r="D7182" s="3">
        <v>14406</v>
      </c>
      <c r="E7182" s="3">
        <v>6283</v>
      </c>
      <c r="F7182" s="3">
        <v>49195</v>
      </c>
      <c r="G7182" s="3">
        <v>1831</v>
      </c>
      <c r="H7182" s="2">
        <f t="shared" si="224"/>
        <v>71715</v>
      </c>
      <c r="I7182" t="str">
        <f t="shared" si="225"/>
        <v>Srrm2_71715</v>
      </c>
      <c r="J7182" s="3">
        <v>0</v>
      </c>
      <c r="K7182" s="3">
        <v>14406</v>
      </c>
      <c r="L7182" s="3">
        <v>6283</v>
      </c>
      <c r="M7182" s="3">
        <v>49195</v>
      </c>
      <c r="N7182" s="3">
        <v>1831</v>
      </c>
    </row>
    <row r="7183" spans="1:14" x14ac:dyDescent="0.2">
      <c r="A7183" s="5" t="str">
        <f>HYPERLINK("http://www.ncbi.nlm.nih.gov/protein/13937395","Srrt")</f>
        <v>Srrt</v>
      </c>
      <c r="B7183" s="4"/>
      <c r="C7183" s="3">
        <v>42104</v>
      </c>
      <c r="D7183" s="3">
        <v>645</v>
      </c>
      <c r="E7183" s="3">
        <v>4920</v>
      </c>
      <c r="F7183" s="3">
        <v>25506</v>
      </c>
      <c r="G7183" s="3">
        <v>75031</v>
      </c>
      <c r="H7183" s="2">
        <f t="shared" si="224"/>
        <v>148206</v>
      </c>
      <c r="I7183" t="str">
        <f t="shared" si="225"/>
        <v>Srrt_148206</v>
      </c>
      <c r="J7183" s="3">
        <v>42104</v>
      </c>
      <c r="K7183" s="3">
        <v>645</v>
      </c>
      <c r="L7183" s="3">
        <v>4920</v>
      </c>
      <c r="M7183" s="3">
        <v>25506</v>
      </c>
      <c r="N7183" s="3">
        <v>75031</v>
      </c>
    </row>
    <row r="7184" spans="1:14" x14ac:dyDescent="0.2">
      <c r="A7184" s="5" t="str">
        <f>HYPERLINK("http://www.ncbi.nlm.nih.gov/protein/158186670","Srrt")</f>
        <v>Srrt</v>
      </c>
      <c r="B7184" s="4"/>
      <c r="C7184" s="3">
        <v>42104</v>
      </c>
      <c r="D7184" s="3">
        <v>645</v>
      </c>
      <c r="E7184" s="3">
        <v>4920</v>
      </c>
      <c r="F7184" s="3">
        <v>25506</v>
      </c>
      <c r="G7184" s="3">
        <v>75031</v>
      </c>
      <c r="H7184" s="2">
        <f t="shared" si="224"/>
        <v>148206</v>
      </c>
      <c r="I7184" t="str">
        <f t="shared" si="225"/>
        <v>Srrt_148206</v>
      </c>
      <c r="J7184" s="3">
        <v>42104</v>
      </c>
      <c r="K7184" s="3">
        <v>645</v>
      </c>
      <c r="L7184" s="3">
        <v>4920</v>
      </c>
      <c r="M7184" s="3">
        <v>25506</v>
      </c>
      <c r="N7184" s="3">
        <v>75031</v>
      </c>
    </row>
    <row r="7185" spans="1:14" x14ac:dyDescent="0.2">
      <c r="A7185" s="5" t="str">
        <f>HYPERLINK("http://www.ncbi.nlm.nih.gov/protein/158186674","Srrt")</f>
        <v>Srrt</v>
      </c>
      <c r="B7185" s="4"/>
      <c r="C7185" s="3">
        <v>42104</v>
      </c>
      <c r="D7185" s="3">
        <v>645</v>
      </c>
      <c r="E7185" s="3">
        <v>4920</v>
      </c>
      <c r="F7185" s="3">
        <v>25506</v>
      </c>
      <c r="G7185" s="3">
        <v>75031</v>
      </c>
      <c r="H7185" s="2">
        <f t="shared" si="224"/>
        <v>148206</v>
      </c>
      <c r="I7185" t="str">
        <f t="shared" si="225"/>
        <v>Srrt_148206</v>
      </c>
      <c r="J7185" s="3">
        <v>42104</v>
      </c>
      <c r="K7185" s="3">
        <v>645</v>
      </c>
      <c r="L7185" s="3">
        <v>4920</v>
      </c>
      <c r="M7185" s="3">
        <v>25506</v>
      </c>
      <c r="N7185" s="3">
        <v>75031</v>
      </c>
    </row>
    <row r="7186" spans="1:14" x14ac:dyDescent="0.2">
      <c r="A7186" s="5" t="str">
        <f>HYPERLINK("http://www.ncbi.nlm.nih.gov/protein/118582271","Srsf1")</f>
        <v>Srsf1</v>
      </c>
      <c r="B7186" s="4"/>
      <c r="C7186" s="3">
        <v>144306</v>
      </c>
      <c r="D7186" s="3">
        <v>11511</v>
      </c>
      <c r="E7186" s="3">
        <v>23820</v>
      </c>
      <c r="F7186" s="3">
        <v>16535</v>
      </c>
      <c r="G7186" s="3">
        <v>26645</v>
      </c>
      <c r="H7186" s="2">
        <f t="shared" si="224"/>
        <v>222817</v>
      </c>
      <c r="I7186" t="str">
        <f t="shared" si="225"/>
        <v>Srsf1_222817</v>
      </c>
      <c r="J7186" s="3">
        <v>144306</v>
      </c>
      <c r="K7186" s="3">
        <v>11511</v>
      </c>
      <c r="L7186" s="3">
        <v>23820</v>
      </c>
      <c r="M7186" s="3">
        <v>16535</v>
      </c>
      <c r="N7186" s="3">
        <v>26645</v>
      </c>
    </row>
    <row r="7187" spans="1:14" x14ac:dyDescent="0.2">
      <c r="A7187" s="5" t="str">
        <f>HYPERLINK("http://www.ncbi.nlm.nih.gov/protein/34328400","Srsf1")</f>
        <v>Srsf1</v>
      </c>
      <c r="B7187" s="4"/>
      <c r="C7187" s="3">
        <v>144306</v>
      </c>
      <c r="D7187" s="3">
        <v>11511</v>
      </c>
      <c r="E7187" s="3">
        <v>23820</v>
      </c>
      <c r="F7187" s="3">
        <v>16535</v>
      </c>
      <c r="G7187" s="3">
        <v>26645</v>
      </c>
      <c r="H7187" s="2">
        <f t="shared" si="224"/>
        <v>222817</v>
      </c>
      <c r="I7187" t="str">
        <f t="shared" si="225"/>
        <v>Srsf1_222817</v>
      </c>
      <c r="J7187" s="3">
        <v>144306</v>
      </c>
      <c r="K7187" s="3">
        <v>11511</v>
      </c>
      <c r="L7187" s="3">
        <v>23820</v>
      </c>
      <c r="M7187" s="3">
        <v>16535</v>
      </c>
      <c r="N7187" s="3">
        <v>26645</v>
      </c>
    </row>
    <row r="7188" spans="1:14" x14ac:dyDescent="0.2">
      <c r="A7188" s="5" t="str">
        <f>HYPERLINK("http://www.ncbi.nlm.nih.gov/protein/545746418","Srsf10")</f>
        <v>Srsf10</v>
      </c>
      <c r="B7188" s="4"/>
      <c r="C7188" s="3">
        <v>4595</v>
      </c>
      <c r="D7188" s="3">
        <v>0</v>
      </c>
      <c r="E7188" s="3">
        <v>0</v>
      </c>
      <c r="F7188" s="3">
        <v>0</v>
      </c>
      <c r="G7188" s="3">
        <v>0</v>
      </c>
      <c r="H7188" s="2">
        <f t="shared" si="224"/>
        <v>4595</v>
      </c>
      <c r="I7188" t="str">
        <f t="shared" si="225"/>
        <v>Srsf10_4595</v>
      </c>
      <c r="J7188" s="3">
        <v>4595</v>
      </c>
      <c r="K7188" s="3">
        <v>0</v>
      </c>
      <c r="L7188" s="3">
        <v>0</v>
      </c>
      <c r="M7188" s="3">
        <v>0</v>
      </c>
      <c r="N7188" s="3">
        <v>0</v>
      </c>
    </row>
    <row r="7189" spans="1:14" x14ac:dyDescent="0.2">
      <c r="A7189" s="5" t="str">
        <f>HYPERLINK("http://www.ncbi.nlm.nih.gov/protein/545746420","Srsf10")</f>
        <v>Srsf10</v>
      </c>
      <c r="B7189" s="4"/>
      <c r="C7189" s="3">
        <v>4595</v>
      </c>
      <c r="D7189" s="3">
        <v>0</v>
      </c>
      <c r="E7189" s="3">
        <v>0</v>
      </c>
      <c r="F7189" s="3">
        <v>0</v>
      </c>
      <c r="G7189" s="3">
        <v>0</v>
      </c>
      <c r="H7189" s="2">
        <f t="shared" si="224"/>
        <v>4595</v>
      </c>
      <c r="I7189" t="str">
        <f t="shared" si="225"/>
        <v>Srsf10_4595</v>
      </c>
      <c r="J7189" s="3">
        <v>4595</v>
      </c>
      <c r="K7189" s="3">
        <v>0</v>
      </c>
      <c r="L7189" s="3">
        <v>0</v>
      </c>
      <c r="M7189" s="3">
        <v>0</v>
      </c>
      <c r="N7189" s="3">
        <v>0</v>
      </c>
    </row>
    <row r="7190" spans="1:14" x14ac:dyDescent="0.2">
      <c r="A7190" s="5" t="str">
        <f>HYPERLINK("http://www.ncbi.nlm.nih.gov/protein/122937372","Srsf10")</f>
        <v>Srsf10</v>
      </c>
      <c r="B7190" s="4"/>
      <c r="C7190" s="3">
        <v>4595</v>
      </c>
      <c r="D7190" s="3">
        <v>820</v>
      </c>
      <c r="E7190" s="3">
        <v>250</v>
      </c>
      <c r="F7190" s="3">
        <v>0</v>
      </c>
      <c r="G7190" s="3">
        <v>0</v>
      </c>
      <c r="H7190" s="2">
        <f t="shared" si="224"/>
        <v>5665</v>
      </c>
      <c r="I7190" t="str">
        <f t="shared" si="225"/>
        <v>Srsf10_5665</v>
      </c>
      <c r="J7190" s="3">
        <v>4595</v>
      </c>
      <c r="K7190" s="3">
        <v>820</v>
      </c>
      <c r="L7190" s="3">
        <v>250</v>
      </c>
      <c r="M7190" s="3">
        <v>0</v>
      </c>
      <c r="N7190" s="3">
        <v>0</v>
      </c>
    </row>
    <row r="7191" spans="1:14" x14ac:dyDescent="0.2">
      <c r="A7191" s="5" t="str">
        <f>HYPERLINK("http://www.ncbi.nlm.nih.gov/protein/6753820","Srsf10")</f>
        <v>Srsf10</v>
      </c>
      <c r="B7191" s="4"/>
      <c r="C7191" s="3">
        <v>4595</v>
      </c>
      <c r="D7191" s="3">
        <v>820</v>
      </c>
      <c r="E7191" s="3">
        <v>250</v>
      </c>
      <c r="F7191" s="3">
        <v>0</v>
      </c>
      <c r="G7191" s="3">
        <v>0</v>
      </c>
      <c r="H7191" s="2">
        <f t="shared" si="224"/>
        <v>5665</v>
      </c>
      <c r="I7191" t="str">
        <f t="shared" si="225"/>
        <v>Srsf10_5665</v>
      </c>
      <c r="J7191" s="3">
        <v>4595</v>
      </c>
      <c r="K7191" s="3">
        <v>820</v>
      </c>
      <c r="L7191" s="3">
        <v>250</v>
      </c>
      <c r="M7191" s="3">
        <v>0</v>
      </c>
      <c r="N7191" s="3">
        <v>0</v>
      </c>
    </row>
    <row r="7192" spans="1:14" x14ac:dyDescent="0.2">
      <c r="A7192" s="5" t="str">
        <f>HYPERLINK("http://www.ncbi.nlm.nih.gov/protein/33469007","Srsf11")</f>
        <v>Srsf11</v>
      </c>
      <c r="B7192" s="4"/>
      <c r="C7192" s="3">
        <v>0</v>
      </c>
      <c r="D7192" s="3">
        <v>1286</v>
      </c>
      <c r="E7192" s="3">
        <v>23</v>
      </c>
      <c r="F7192" s="3">
        <v>0</v>
      </c>
      <c r="G7192" s="3">
        <v>0</v>
      </c>
      <c r="H7192" s="2">
        <f t="shared" si="224"/>
        <v>1309</v>
      </c>
      <c r="I7192" t="str">
        <f t="shared" si="225"/>
        <v>Srsf11_1309</v>
      </c>
      <c r="J7192" s="3">
        <v>0</v>
      </c>
      <c r="K7192" s="3">
        <v>1286</v>
      </c>
      <c r="L7192" s="3">
        <v>23</v>
      </c>
      <c r="M7192" s="3">
        <v>0</v>
      </c>
      <c r="N7192" s="3">
        <v>0</v>
      </c>
    </row>
    <row r="7193" spans="1:14" x14ac:dyDescent="0.2">
      <c r="A7193" s="5" t="str">
        <f>HYPERLINK("http://www.ncbi.nlm.nih.gov/protein/147898671","Srsf11")</f>
        <v>Srsf11</v>
      </c>
      <c r="B7193" s="4"/>
      <c r="C7193" s="3">
        <v>2087</v>
      </c>
      <c r="D7193" s="3">
        <v>2801</v>
      </c>
      <c r="E7193" s="3">
        <v>47</v>
      </c>
      <c r="F7193" s="3">
        <v>164</v>
      </c>
      <c r="G7193" s="3">
        <v>0</v>
      </c>
      <c r="H7193" s="2">
        <f t="shared" si="224"/>
        <v>5099</v>
      </c>
      <c r="I7193" t="str">
        <f t="shared" si="225"/>
        <v>Srsf11_5099</v>
      </c>
      <c r="J7193" s="3">
        <v>2087</v>
      </c>
      <c r="K7193" s="3">
        <v>2801</v>
      </c>
      <c r="L7193" s="3">
        <v>47</v>
      </c>
      <c r="M7193" s="3">
        <v>164</v>
      </c>
      <c r="N7193" s="3">
        <v>0</v>
      </c>
    </row>
    <row r="7194" spans="1:14" x14ac:dyDescent="0.2">
      <c r="A7194" s="5" t="str">
        <f>HYPERLINK("http://www.ncbi.nlm.nih.gov/protein/148222073","Srsf11")</f>
        <v>Srsf11</v>
      </c>
      <c r="B7194" s="4"/>
      <c r="C7194" s="3">
        <v>2087</v>
      </c>
      <c r="D7194" s="3">
        <v>2801</v>
      </c>
      <c r="E7194" s="3">
        <v>47</v>
      </c>
      <c r="F7194" s="3">
        <v>164</v>
      </c>
      <c r="G7194" s="3">
        <v>0</v>
      </c>
      <c r="H7194" s="2">
        <f t="shared" si="224"/>
        <v>5099</v>
      </c>
      <c r="I7194" t="str">
        <f t="shared" si="225"/>
        <v>Srsf11_5099</v>
      </c>
      <c r="J7194" s="3">
        <v>2087</v>
      </c>
      <c r="K7194" s="3">
        <v>2801</v>
      </c>
      <c r="L7194" s="3">
        <v>47</v>
      </c>
      <c r="M7194" s="3">
        <v>164</v>
      </c>
      <c r="N7194" s="3">
        <v>0</v>
      </c>
    </row>
    <row r="7195" spans="1:14" x14ac:dyDescent="0.2">
      <c r="A7195" s="5" t="str">
        <f>HYPERLINK("http://www.ncbi.nlm.nih.gov/protein/6755478","Srsf2")</f>
        <v>Srsf2</v>
      </c>
      <c r="B7195" s="4"/>
      <c r="C7195" s="3">
        <v>62057</v>
      </c>
      <c r="D7195" s="3">
        <v>1167</v>
      </c>
      <c r="E7195" s="3">
        <v>16348</v>
      </c>
      <c r="F7195" s="3">
        <v>40199</v>
      </c>
      <c r="G7195" s="3">
        <v>34495</v>
      </c>
      <c r="H7195" s="2">
        <f t="shared" si="224"/>
        <v>154266</v>
      </c>
      <c r="I7195" t="str">
        <f t="shared" si="225"/>
        <v>Srsf2_154266</v>
      </c>
      <c r="J7195" s="3">
        <v>62057</v>
      </c>
      <c r="K7195" s="3">
        <v>1167</v>
      </c>
      <c r="L7195" s="3">
        <v>16348</v>
      </c>
      <c r="M7195" s="3">
        <v>40199</v>
      </c>
      <c r="N7195" s="3">
        <v>34495</v>
      </c>
    </row>
    <row r="7196" spans="1:14" x14ac:dyDescent="0.2">
      <c r="A7196" s="5" t="str">
        <f>HYPERLINK("http://www.ncbi.nlm.nih.gov/protein/8567402","Srsf3")</f>
        <v>Srsf3</v>
      </c>
      <c r="B7196" s="4"/>
      <c r="C7196" s="3">
        <v>237392</v>
      </c>
      <c r="D7196" s="3">
        <v>9198</v>
      </c>
      <c r="E7196" s="3">
        <v>34177</v>
      </c>
      <c r="F7196" s="3">
        <v>60982</v>
      </c>
      <c r="G7196" s="3">
        <v>8311</v>
      </c>
      <c r="H7196" s="2">
        <f t="shared" si="224"/>
        <v>350060</v>
      </c>
      <c r="I7196" t="str">
        <f t="shared" si="225"/>
        <v>Srsf3_350060</v>
      </c>
      <c r="J7196" s="3">
        <v>237392</v>
      </c>
      <c r="K7196" s="3">
        <v>9198</v>
      </c>
      <c r="L7196" s="3">
        <v>34177</v>
      </c>
      <c r="M7196" s="3">
        <v>60982</v>
      </c>
      <c r="N7196" s="3">
        <v>8311</v>
      </c>
    </row>
    <row r="7197" spans="1:14" x14ac:dyDescent="0.2">
      <c r="A7197" s="5" t="str">
        <f>HYPERLINK("http://www.ncbi.nlm.nih.gov/protein/165377173","Srsf4")</f>
        <v>Srsf4</v>
      </c>
      <c r="B7197" s="4"/>
      <c r="C7197" s="3">
        <v>34727</v>
      </c>
      <c r="D7197" s="3">
        <v>14331</v>
      </c>
      <c r="E7197" s="3">
        <v>9712</v>
      </c>
      <c r="F7197" s="3">
        <v>52854</v>
      </c>
      <c r="G7197" s="3">
        <v>0</v>
      </c>
      <c r="H7197" s="2">
        <f t="shared" si="224"/>
        <v>111624</v>
      </c>
      <c r="I7197" t="str">
        <f t="shared" si="225"/>
        <v>Srsf4_111624</v>
      </c>
      <c r="J7197" s="3">
        <v>34727</v>
      </c>
      <c r="K7197" s="3">
        <v>14331</v>
      </c>
      <c r="L7197" s="3">
        <v>9712</v>
      </c>
      <c r="M7197" s="3">
        <v>52854</v>
      </c>
      <c r="N7197" s="3">
        <v>0</v>
      </c>
    </row>
    <row r="7198" spans="1:14" x14ac:dyDescent="0.2">
      <c r="A7198" s="5" t="str">
        <f>HYPERLINK("http://www.ncbi.nlm.nih.gov/protein/119226245","Srsf5")</f>
        <v>Srsf5</v>
      </c>
      <c r="B7198" s="4"/>
      <c r="C7198" s="3">
        <v>29418</v>
      </c>
      <c r="D7198" s="3">
        <v>17660</v>
      </c>
      <c r="E7198" s="3">
        <v>12961</v>
      </c>
      <c r="F7198" s="3">
        <v>97899</v>
      </c>
      <c r="G7198" s="3">
        <v>3984</v>
      </c>
      <c r="H7198" s="2">
        <f t="shared" si="224"/>
        <v>161922</v>
      </c>
      <c r="I7198" t="str">
        <f t="shared" si="225"/>
        <v>Srsf5_161922</v>
      </c>
      <c r="J7198" s="3">
        <v>29418</v>
      </c>
      <c r="K7198" s="3">
        <v>17660</v>
      </c>
      <c r="L7198" s="3">
        <v>12961</v>
      </c>
      <c r="M7198" s="3">
        <v>97899</v>
      </c>
      <c r="N7198" s="3">
        <v>3984</v>
      </c>
    </row>
    <row r="7199" spans="1:14" x14ac:dyDescent="0.2">
      <c r="A7199" s="5" t="str">
        <f>HYPERLINK("http://www.ncbi.nlm.nih.gov/protein/224967104","Srsf6")</f>
        <v>Srsf6</v>
      </c>
      <c r="B7199" s="4"/>
      <c r="C7199" s="3">
        <v>29418</v>
      </c>
      <c r="D7199" s="3">
        <v>18070</v>
      </c>
      <c r="E7199" s="3">
        <v>12520</v>
      </c>
      <c r="F7199" s="3">
        <v>61334</v>
      </c>
      <c r="G7199" s="3">
        <v>139</v>
      </c>
      <c r="H7199" s="2">
        <f t="shared" si="224"/>
        <v>121481</v>
      </c>
      <c r="I7199" t="str">
        <f t="shared" si="225"/>
        <v>Srsf6_121481</v>
      </c>
      <c r="J7199" s="3">
        <v>29418</v>
      </c>
      <c r="K7199" s="3">
        <v>18070</v>
      </c>
      <c r="L7199" s="3">
        <v>12520</v>
      </c>
      <c r="M7199" s="3">
        <v>61334</v>
      </c>
      <c r="N7199" s="3">
        <v>139</v>
      </c>
    </row>
    <row r="7200" spans="1:14" x14ac:dyDescent="0.2">
      <c r="A7200" s="5" t="str">
        <f>HYPERLINK("http://www.ncbi.nlm.nih.gov/protein/22122585","Srsf7")</f>
        <v>Srsf7</v>
      </c>
      <c r="B7200" s="4"/>
      <c r="C7200" s="3">
        <v>71558</v>
      </c>
      <c r="D7200" s="3">
        <v>2357</v>
      </c>
      <c r="E7200" s="3">
        <v>4705</v>
      </c>
      <c r="F7200" s="3">
        <v>50873</v>
      </c>
      <c r="G7200" s="3">
        <v>3952</v>
      </c>
      <c r="H7200" s="2">
        <f t="shared" si="224"/>
        <v>133445</v>
      </c>
      <c r="I7200" t="str">
        <f t="shared" si="225"/>
        <v>Srsf7_133445</v>
      </c>
      <c r="J7200" s="3">
        <v>71558</v>
      </c>
      <c r="K7200" s="3">
        <v>2357</v>
      </c>
      <c r="L7200" s="3">
        <v>4705</v>
      </c>
      <c r="M7200" s="3">
        <v>50873</v>
      </c>
      <c r="N7200" s="3">
        <v>3952</v>
      </c>
    </row>
    <row r="7201" spans="1:14" x14ac:dyDescent="0.2">
      <c r="A7201" s="5" t="str">
        <f>HYPERLINK("http://www.ncbi.nlm.nih.gov/protein/306774098","Srsf7")</f>
        <v>Srsf7</v>
      </c>
      <c r="B7201" s="4"/>
      <c r="C7201" s="3">
        <v>71558</v>
      </c>
      <c r="D7201" s="3">
        <v>2357</v>
      </c>
      <c r="E7201" s="3">
        <v>4705</v>
      </c>
      <c r="F7201" s="3">
        <v>50873</v>
      </c>
      <c r="G7201" s="3">
        <v>3952</v>
      </c>
      <c r="H7201" s="2">
        <f t="shared" si="224"/>
        <v>133445</v>
      </c>
      <c r="I7201" t="str">
        <f t="shared" si="225"/>
        <v>Srsf7_133445</v>
      </c>
      <c r="J7201" s="3">
        <v>71558</v>
      </c>
      <c r="K7201" s="3">
        <v>2357</v>
      </c>
      <c r="L7201" s="3">
        <v>4705</v>
      </c>
      <c r="M7201" s="3">
        <v>50873</v>
      </c>
      <c r="N7201" s="3">
        <v>3952</v>
      </c>
    </row>
    <row r="7202" spans="1:14" x14ac:dyDescent="0.2">
      <c r="A7202" s="5" t="str">
        <f>HYPERLINK("http://www.ncbi.nlm.nih.gov/protein/306774101","Srsf7")</f>
        <v>Srsf7</v>
      </c>
      <c r="B7202" s="4"/>
      <c r="C7202" s="3">
        <v>71558</v>
      </c>
      <c r="D7202" s="3">
        <v>2357</v>
      </c>
      <c r="E7202" s="3">
        <v>4705</v>
      </c>
      <c r="F7202" s="3">
        <v>50873</v>
      </c>
      <c r="G7202" s="3">
        <v>3952</v>
      </c>
      <c r="H7202" s="2">
        <f t="shared" si="224"/>
        <v>133445</v>
      </c>
      <c r="I7202" t="str">
        <f t="shared" si="225"/>
        <v>Srsf7_133445</v>
      </c>
      <c r="J7202" s="3">
        <v>71558</v>
      </c>
      <c r="K7202" s="3">
        <v>2357</v>
      </c>
      <c r="L7202" s="3">
        <v>4705</v>
      </c>
      <c r="M7202" s="3">
        <v>50873</v>
      </c>
      <c r="N7202" s="3">
        <v>3952</v>
      </c>
    </row>
    <row r="7203" spans="1:14" x14ac:dyDescent="0.2">
      <c r="A7203" s="5" t="str">
        <f>HYPERLINK("http://www.ncbi.nlm.nih.gov/protein/306774103","Srsf7")</f>
        <v>Srsf7</v>
      </c>
      <c r="B7203" s="4"/>
      <c r="C7203" s="3">
        <v>71558</v>
      </c>
      <c r="D7203" s="3">
        <v>2357</v>
      </c>
      <c r="E7203" s="3">
        <v>4705</v>
      </c>
      <c r="F7203" s="3">
        <v>41067</v>
      </c>
      <c r="G7203" s="3">
        <v>3952</v>
      </c>
      <c r="H7203" s="2">
        <f t="shared" si="224"/>
        <v>123639</v>
      </c>
      <c r="I7203" t="str">
        <f t="shared" si="225"/>
        <v>Srsf7_123639</v>
      </c>
      <c r="J7203" s="3">
        <v>71558</v>
      </c>
      <c r="K7203" s="3">
        <v>2357</v>
      </c>
      <c r="L7203" s="3">
        <v>4705</v>
      </c>
      <c r="M7203" s="3">
        <v>41067</v>
      </c>
      <c r="N7203" s="3">
        <v>3952</v>
      </c>
    </row>
    <row r="7204" spans="1:14" x14ac:dyDescent="0.2">
      <c r="A7204" s="5" t="str">
        <f>HYPERLINK("http://www.ncbi.nlm.nih.gov/protein/13385016","Srsf9")</f>
        <v>Srsf9</v>
      </c>
      <c r="B7204" s="4"/>
      <c r="C7204" s="3">
        <v>2599</v>
      </c>
      <c r="D7204" s="3">
        <v>0</v>
      </c>
      <c r="E7204" s="3">
        <v>618</v>
      </c>
      <c r="F7204" s="3">
        <v>0</v>
      </c>
      <c r="G7204" s="3">
        <v>0</v>
      </c>
      <c r="H7204" s="2">
        <f t="shared" si="224"/>
        <v>3217</v>
      </c>
      <c r="I7204" t="str">
        <f t="shared" si="225"/>
        <v>Srsf9_3217</v>
      </c>
      <c r="J7204" s="3">
        <v>2599</v>
      </c>
      <c r="K7204" s="3">
        <v>0</v>
      </c>
      <c r="L7204" s="3">
        <v>618</v>
      </c>
      <c r="M7204" s="3">
        <v>0</v>
      </c>
      <c r="N7204" s="3">
        <v>0</v>
      </c>
    </row>
    <row r="7205" spans="1:14" x14ac:dyDescent="0.2">
      <c r="A7205" s="5" t="str">
        <f>HYPERLINK("http://www.ncbi.nlm.nih.gov/protein/402747081","Srxn1")</f>
        <v>Srxn1</v>
      </c>
      <c r="B7205" s="4"/>
      <c r="C7205" s="3">
        <v>0</v>
      </c>
      <c r="D7205" s="3">
        <v>129</v>
      </c>
      <c r="E7205" s="3">
        <v>51</v>
      </c>
      <c r="F7205" s="3">
        <v>246</v>
      </c>
      <c r="G7205" s="3">
        <v>3395</v>
      </c>
      <c r="H7205" s="2">
        <f t="shared" si="224"/>
        <v>3821</v>
      </c>
      <c r="I7205" t="str">
        <f t="shared" si="225"/>
        <v>Srxn1_3821</v>
      </c>
      <c r="J7205" s="3">
        <v>0</v>
      </c>
      <c r="K7205" s="3">
        <v>129</v>
      </c>
      <c r="L7205" s="3">
        <v>51</v>
      </c>
      <c r="M7205" s="3">
        <v>246</v>
      </c>
      <c r="N7205" s="3">
        <v>3395</v>
      </c>
    </row>
    <row r="7206" spans="1:14" x14ac:dyDescent="0.2">
      <c r="A7206" s="5" t="str">
        <f>HYPERLINK("http://www.ncbi.nlm.nih.gov/protein/260436924","Ss18l1")</f>
        <v>Ss18l1</v>
      </c>
      <c r="B7206" s="4"/>
      <c r="C7206" s="3">
        <v>0</v>
      </c>
      <c r="D7206" s="3">
        <v>0</v>
      </c>
      <c r="E7206" s="3">
        <v>0</v>
      </c>
      <c r="F7206" s="3">
        <v>1874</v>
      </c>
      <c r="G7206" s="3">
        <v>0</v>
      </c>
      <c r="H7206" s="2">
        <f t="shared" si="224"/>
        <v>1874</v>
      </c>
      <c r="I7206" t="str">
        <f t="shared" si="225"/>
        <v>Ss18l1_1874</v>
      </c>
      <c r="J7206" s="3">
        <v>0</v>
      </c>
      <c r="K7206" s="3">
        <v>0</v>
      </c>
      <c r="L7206" s="3">
        <v>0</v>
      </c>
      <c r="M7206" s="3">
        <v>1874</v>
      </c>
      <c r="N7206" s="3">
        <v>0</v>
      </c>
    </row>
    <row r="7207" spans="1:14" x14ac:dyDescent="0.2">
      <c r="A7207" s="5" t="str">
        <f>HYPERLINK("http://www.ncbi.nlm.nih.gov/protein/6678143","Ssb")</f>
        <v>Ssb</v>
      </c>
      <c r="B7207" s="4"/>
      <c r="C7207" s="3">
        <v>180973</v>
      </c>
      <c r="D7207" s="3">
        <v>9208</v>
      </c>
      <c r="E7207" s="3">
        <v>36491</v>
      </c>
      <c r="F7207" s="3">
        <v>107607</v>
      </c>
      <c r="G7207" s="3">
        <v>37558</v>
      </c>
      <c r="H7207" s="2">
        <f t="shared" si="224"/>
        <v>371837</v>
      </c>
      <c r="I7207" t="str">
        <f t="shared" si="225"/>
        <v>Ssb_371837</v>
      </c>
      <c r="J7207" s="3">
        <v>180973</v>
      </c>
      <c r="K7207" s="3">
        <v>9208</v>
      </c>
      <c r="L7207" s="3">
        <v>36491</v>
      </c>
      <c r="M7207" s="3">
        <v>107607</v>
      </c>
      <c r="N7207" s="3">
        <v>37558</v>
      </c>
    </row>
    <row r="7208" spans="1:14" x14ac:dyDescent="0.2">
      <c r="A7208" s="5" t="str">
        <f>HYPERLINK("http://www.ncbi.nlm.nih.gov/protein/47058964","Ssbp1")</f>
        <v>Ssbp1</v>
      </c>
      <c r="B7208" s="4"/>
      <c r="C7208" s="3">
        <v>4192</v>
      </c>
      <c r="D7208" s="3">
        <v>2541</v>
      </c>
      <c r="E7208" s="3">
        <v>0</v>
      </c>
      <c r="F7208" s="3">
        <v>0</v>
      </c>
      <c r="G7208" s="3">
        <v>278</v>
      </c>
      <c r="H7208" s="2">
        <f t="shared" si="224"/>
        <v>7011</v>
      </c>
      <c r="I7208" t="str">
        <f t="shared" si="225"/>
        <v>Ssbp1_7011</v>
      </c>
      <c r="J7208" s="3">
        <v>4192</v>
      </c>
      <c r="K7208" s="3">
        <v>2541</v>
      </c>
      <c r="L7208" s="3">
        <v>0</v>
      </c>
      <c r="M7208" s="3">
        <v>0</v>
      </c>
      <c r="N7208" s="3">
        <v>278</v>
      </c>
    </row>
    <row r="7209" spans="1:14" x14ac:dyDescent="0.2">
      <c r="A7209" s="5" t="str">
        <f>HYPERLINK("http://www.ncbi.nlm.nih.gov/protein/47059026","Ssbp1")</f>
        <v>Ssbp1</v>
      </c>
      <c r="B7209" s="4"/>
      <c r="C7209" s="3">
        <v>4357</v>
      </c>
      <c r="D7209" s="3">
        <v>2541</v>
      </c>
      <c r="E7209" s="3">
        <v>0</v>
      </c>
      <c r="F7209" s="3">
        <v>0</v>
      </c>
      <c r="G7209" s="3">
        <v>278</v>
      </c>
      <c r="H7209" s="2">
        <f t="shared" si="224"/>
        <v>7176</v>
      </c>
      <c r="I7209" t="str">
        <f t="shared" si="225"/>
        <v>Ssbp1_7176</v>
      </c>
      <c r="J7209" s="3">
        <v>4357</v>
      </c>
      <c r="K7209" s="3">
        <v>2541</v>
      </c>
      <c r="L7209" s="3">
        <v>0</v>
      </c>
      <c r="M7209" s="3">
        <v>0</v>
      </c>
      <c r="N7209" s="3">
        <v>278</v>
      </c>
    </row>
    <row r="7210" spans="1:14" x14ac:dyDescent="0.2">
      <c r="A7210" s="5" t="str">
        <f>HYPERLINK("http://www.ncbi.nlm.nih.gov/protein/37674269","Ssh3")</f>
        <v>Ssh3</v>
      </c>
      <c r="B7210" s="4"/>
      <c r="C7210" s="3">
        <v>0</v>
      </c>
      <c r="D7210" s="3">
        <v>0</v>
      </c>
      <c r="E7210" s="3">
        <v>0</v>
      </c>
      <c r="F7210" s="3">
        <v>0</v>
      </c>
      <c r="G7210" s="3">
        <v>6993</v>
      </c>
      <c r="H7210" s="2">
        <f t="shared" si="224"/>
        <v>6993</v>
      </c>
      <c r="I7210" t="str">
        <f t="shared" si="225"/>
        <v>Ssh3_6993</v>
      </c>
      <c r="J7210" s="3">
        <v>0</v>
      </c>
      <c r="K7210" s="3">
        <v>0</v>
      </c>
      <c r="L7210" s="3">
        <v>0</v>
      </c>
      <c r="M7210" s="3">
        <v>0</v>
      </c>
      <c r="N7210" s="3">
        <v>6993</v>
      </c>
    </row>
    <row r="7211" spans="1:14" x14ac:dyDescent="0.2">
      <c r="A7211" s="5" t="str">
        <f>HYPERLINK("http://www.ncbi.nlm.nih.gov/protein/12963687","Ssna1")</f>
        <v>Ssna1</v>
      </c>
      <c r="B7211" s="4"/>
      <c r="C7211" s="3">
        <v>0</v>
      </c>
      <c r="D7211" s="3">
        <v>0</v>
      </c>
      <c r="E7211" s="3">
        <v>0</v>
      </c>
      <c r="F7211" s="3">
        <v>0</v>
      </c>
      <c r="G7211" s="3">
        <v>921</v>
      </c>
      <c r="H7211" s="2">
        <f t="shared" si="224"/>
        <v>921</v>
      </c>
      <c r="I7211" t="str">
        <f t="shared" si="225"/>
        <v>Ssna1_921</v>
      </c>
      <c r="J7211" s="3">
        <v>0</v>
      </c>
      <c r="K7211" s="3">
        <v>0</v>
      </c>
      <c r="L7211" s="3">
        <v>0</v>
      </c>
      <c r="M7211" s="3">
        <v>0</v>
      </c>
      <c r="N7211" s="3">
        <v>921</v>
      </c>
    </row>
    <row r="7212" spans="1:14" x14ac:dyDescent="0.2">
      <c r="A7212" s="5" t="str">
        <f>HYPERLINK("http://www.ncbi.nlm.nih.gov/protein/165377206","Ssr1")</f>
        <v>Ssr1</v>
      </c>
      <c r="B7212" s="4"/>
      <c r="C7212" s="3">
        <v>6444</v>
      </c>
      <c r="D7212" s="3">
        <v>10181</v>
      </c>
      <c r="E7212" s="3">
        <v>2613</v>
      </c>
      <c r="F7212" s="3">
        <v>0</v>
      </c>
      <c r="G7212" s="3">
        <v>0</v>
      </c>
      <c r="H7212" s="2">
        <f t="shared" si="224"/>
        <v>19238</v>
      </c>
      <c r="I7212" t="str">
        <f t="shared" si="225"/>
        <v>Ssr1_19238</v>
      </c>
      <c r="J7212" s="3">
        <v>6444</v>
      </c>
      <c r="K7212" s="3">
        <v>10181</v>
      </c>
      <c r="L7212" s="3">
        <v>2613</v>
      </c>
      <c r="M7212" s="3">
        <v>0</v>
      </c>
      <c r="N7212" s="3">
        <v>0</v>
      </c>
    </row>
    <row r="7213" spans="1:14" x14ac:dyDescent="0.2">
      <c r="A7213" s="5" t="str">
        <f>HYPERLINK("http://www.ncbi.nlm.nih.gov/protein/21312968","Ssr3")</f>
        <v>Ssr3</v>
      </c>
      <c r="B7213" s="4"/>
      <c r="C7213" s="3">
        <v>22260</v>
      </c>
      <c r="D7213" s="3">
        <v>455</v>
      </c>
      <c r="E7213" s="3">
        <v>361</v>
      </c>
      <c r="F7213" s="3">
        <v>139</v>
      </c>
      <c r="G7213" s="3">
        <v>0</v>
      </c>
      <c r="H7213" s="2">
        <f t="shared" si="224"/>
        <v>23215</v>
      </c>
      <c r="I7213" t="str">
        <f t="shared" si="225"/>
        <v>Ssr3_23215</v>
      </c>
      <c r="J7213" s="3">
        <v>22260</v>
      </c>
      <c r="K7213" s="3">
        <v>455</v>
      </c>
      <c r="L7213" s="3">
        <v>361</v>
      </c>
      <c r="M7213" s="3">
        <v>139</v>
      </c>
      <c r="N7213" s="3">
        <v>0</v>
      </c>
    </row>
    <row r="7214" spans="1:14" x14ac:dyDescent="0.2">
      <c r="A7214" s="5" t="str">
        <f>HYPERLINK("http://www.ncbi.nlm.nih.gov/protein/262050625","Ssr4")</f>
        <v>Ssr4</v>
      </c>
      <c r="B7214" s="4"/>
      <c r="C7214" s="3">
        <v>45271</v>
      </c>
      <c r="D7214" s="3">
        <v>4613</v>
      </c>
      <c r="E7214" s="3">
        <v>5266</v>
      </c>
      <c r="F7214" s="3">
        <v>958</v>
      </c>
      <c r="G7214" s="3">
        <v>0</v>
      </c>
      <c r="H7214" s="2">
        <f t="shared" si="224"/>
        <v>56108</v>
      </c>
      <c r="I7214" t="str">
        <f t="shared" si="225"/>
        <v>Ssr4_56108</v>
      </c>
      <c r="J7214" s="3">
        <v>45271</v>
      </c>
      <c r="K7214" s="3">
        <v>4613</v>
      </c>
      <c r="L7214" s="3">
        <v>5266</v>
      </c>
      <c r="M7214" s="3">
        <v>958</v>
      </c>
      <c r="N7214" s="3">
        <v>0</v>
      </c>
    </row>
    <row r="7215" spans="1:14" x14ac:dyDescent="0.2">
      <c r="A7215" s="5" t="str">
        <f>HYPERLINK("http://www.ncbi.nlm.nih.gov/protein/6678145","Ssr4")</f>
        <v>Ssr4</v>
      </c>
      <c r="B7215" s="4"/>
      <c r="C7215" s="3">
        <v>45271</v>
      </c>
      <c r="D7215" s="3">
        <v>4613</v>
      </c>
      <c r="E7215" s="3">
        <v>5266</v>
      </c>
      <c r="F7215" s="3">
        <v>958</v>
      </c>
      <c r="G7215" s="3">
        <v>0</v>
      </c>
      <c r="H7215" s="2">
        <f t="shared" si="224"/>
        <v>56108</v>
      </c>
      <c r="I7215" t="str">
        <f t="shared" si="225"/>
        <v>Ssr4_56108</v>
      </c>
      <c r="J7215" s="3">
        <v>45271</v>
      </c>
      <c r="K7215" s="3">
        <v>4613</v>
      </c>
      <c r="L7215" s="3">
        <v>5266</v>
      </c>
      <c r="M7215" s="3">
        <v>958</v>
      </c>
      <c r="N7215" s="3">
        <v>0</v>
      </c>
    </row>
    <row r="7216" spans="1:14" x14ac:dyDescent="0.2">
      <c r="A7216" s="5" t="str">
        <f>HYPERLINK("http://www.ncbi.nlm.nih.gov/protein/111154063","Ssrp1")</f>
        <v>Ssrp1</v>
      </c>
      <c r="B7216" s="4"/>
      <c r="C7216" s="3">
        <v>3222</v>
      </c>
      <c r="D7216" s="3">
        <v>6812</v>
      </c>
      <c r="E7216" s="3">
        <v>5250</v>
      </c>
      <c r="F7216" s="3">
        <v>28797</v>
      </c>
      <c r="G7216" s="3">
        <v>0</v>
      </c>
      <c r="H7216" s="2">
        <f t="shared" si="224"/>
        <v>44081</v>
      </c>
      <c r="I7216" t="str">
        <f t="shared" si="225"/>
        <v>Ssrp1_44081</v>
      </c>
      <c r="J7216" s="3">
        <v>3222</v>
      </c>
      <c r="K7216" s="3">
        <v>6812</v>
      </c>
      <c r="L7216" s="3">
        <v>5250</v>
      </c>
      <c r="M7216" s="3">
        <v>28797</v>
      </c>
      <c r="N7216" s="3">
        <v>0</v>
      </c>
    </row>
    <row r="7217" spans="1:14" x14ac:dyDescent="0.2">
      <c r="A7217" s="5" t="str">
        <f>HYPERLINK("http://www.ncbi.nlm.nih.gov/protein/31543773","Sssca1")</f>
        <v>Sssca1</v>
      </c>
      <c r="B7217" s="4"/>
      <c r="C7217" s="3">
        <v>0</v>
      </c>
      <c r="D7217" s="3">
        <v>0</v>
      </c>
      <c r="E7217" s="3">
        <v>496</v>
      </c>
      <c r="F7217" s="3">
        <v>8718</v>
      </c>
      <c r="G7217" s="3">
        <v>7207</v>
      </c>
      <c r="H7217" s="2">
        <f t="shared" si="224"/>
        <v>16421</v>
      </c>
      <c r="I7217" t="str">
        <f t="shared" si="225"/>
        <v>Sssca1_16421</v>
      </c>
      <c r="J7217" s="3">
        <v>0</v>
      </c>
      <c r="K7217" s="3">
        <v>0</v>
      </c>
      <c r="L7217" s="3">
        <v>496</v>
      </c>
      <c r="M7217" s="3">
        <v>8718</v>
      </c>
      <c r="N7217" s="3">
        <v>7207</v>
      </c>
    </row>
    <row r="7218" spans="1:14" x14ac:dyDescent="0.2">
      <c r="A7218" s="5" t="str">
        <f>HYPERLINK("http://www.ncbi.nlm.nih.gov/protein/172088095","Ssu72")</f>
        <v>Ssu72</v>
      </c>
      <c r="B7218" s="4"/>
      <c r="C7218" s="3">
        <v>0</v>
      </c>
      <c r="D7218" s="3">
        <v>0</v>
      </c>
      <c r="E7218" s="3">
        <v>18</v>
      </c>
      <c r="F7218" s="3">
        <v>0</v>
      </c>
      <c r="G7218" s="3">
        <v>2292</v>
      </c>
      <c r="H7218" s="2">
        <f t="shared" si="224"/>
        <v>2310</v>
      </c>
      <c r="I7218" t="str">
        <f t="shared" si="225"/>
        <v>Ssu72_2310</v>
      </c>
      <c r="J7218" s="3">
        <v>0</v>
      </c>
      <c r="K7218" s="3">
        <v>0</v>
      </c>
      <c r="L7218" s="3">
        <v>18</v>
      </c>
      <c r="M7218" s="3">
        <v>0</v>
      </c>
      <c r="N7218" s="3">
        <v>2292</v>
      </c>
    </row>
    <row r="7219" spans="1:14" x14ac:dyDescent="0.2">
      <c r="A7219" s="5" t="str">
        <f>HYPERLINK("http://www.ncbi.nlm.nih.gov/protein/19526912","St13")</f>
        <v>St13</v>
      </c>
      <c r="B7219" s="4"/>
      <c r="C7219" s="3">
        <v>16201</v>
      </c>
      <c r="D7219" s="3">
        <v>13487</v>
      </c>
      <c r="E7219" s="3">
        <v>41289</v>
      </c>
      <c r="F7219" s="3">
        <v>242465</v>
      </c>
      <c r="G7219" s="3">
        <v>513746</v>
      </c>
      <c r="H7219" s="2">
        <f t="shared" si="224"/>
        <v>827188</v>
      </c>
      <c r="I7219" t="str">
        <f t="shared" si="225"/>
        <v>St13_827188</v>
      </c>
      <c r="J7219" s="3">
        <v>16201</v>
      </c>
      <c r="K7219" s="3">
        <v>13487</v>
      </c>
      <c r="L7219" s="3">
        <v>41289</v>
      </c>
      <c r="M7219" s="3">
        <v>242465</v>
      </c>
      <c r="N7219" s="3">
        <v>513746</v>
      </c>
    </row>
    <row r="7220" spans="1:14" x14ac:dyDescent="0.2">
      <c r="A7220" s="5" t="str">
        <f>HYPERLINK("http://www.ncbi.nlm.nih.gov/protein/7363445","St14")</f>
        <v>St14</v>
      </c>
      <c r="B7220" s="4"/>
      <c r="C7220" s="3">
        <v>0</v>
      </c>
      <c r="D7220" s="3">
        <v>5438</v>
      </c>
      <c r="E7220" s="3">
        <v>10397</v>
      </c>
      <c r="F7220" s="3">
        <v>0</v>
      </c>
      <c r="G7220" s="3">
        <v>0</v>
      </c>
      <c r="H7220" s="2">
        <f t="shared" si="224"/>
        <v>15835</v>
      </c>
      <c r="I7220" t="str">
        <f t="shared" si="225"/>
        <v>St14_15835</v>
      </c>
      <c r="J7220" s="3">
        <v>0</v>
      </c>
      <c r="K7220" s="3">
        <v>5438</v>
      </c>
      <c r="L7220" s="3">
        <v>10397</v>
      </c>
      <c r="M7220" s="3">
        <v>0</v>
      </c>
      <c r="N7220" s="3">
        <v>0</v>
      </c>
    </row>
    <row r="7221" spans="1:14" x14ac:dyDescent="0.2">
      <c r="A7221" s="5" t="str">
        <f>HYPERLINK("http://www.ncbi.nlm.nih.gov/protein/9055352","St3gal6")</f>
        <v>St3gal6</v>
      </c>
      <c r="B7221" s="4"/>
      <c r="C7221" s="3">
        <v>0</v>
      </c>
      <c r="D7221" s="3">
        <v>791</v>
      </c>
      <c r="E7221" s="3">
        <v>370</v>
      </c>
      <c r="F7221" s="3">
        <v>0</v>
      </c>
      <c r="G7221" s="3">
        <v>0</v>
      </c>
      <c r="H7221" s="2">
        <f t="shared" si="224"/>
        <v>1161</v>
      </c>
      <c r="I7221" t="str">
        <f t="shared" si="225"/>
        <v>St3gal6_1161</v>
      </c>
      <c r="J7221" s="3">
        <v>0</v>
      </c>
      <c r="K7221" s="3">
        <v>791</v>
      </c>
      <c r="L7221" s="3">
        <v>370</v>
      </c>
      <c r="M7221" s="3">
        <v>0</v>
      </c>
      <c r="N7221" s="3">
        <v>0</v>
      </c>
    </row>
    <row r="7222" spans="1:14" x14ac:dyDescent="0.2">
      <c r="A7222" s="5" t="str">
        <f>HYPERLINK("http://www.ncbi.nlm.nih.gov/protein/118150672","Stag2")</f>
        <v>Stag2</v>
      </c>
      <c r="B7222" s="4"/>
      <c r="C7222" s="3">
        <v>3204</v>
      </c>
      <c r="D7222" s="3">
        <v>0</v>
      </c>
      <c r="E7222" s="3">
        <v>0</v>
      </c>
      <c r="F7222" s="3">
        <v>0</v>
      </c>
      <c r="G7222" s="3">
        <v>0</v>
      </c>
      <c r="H7222" s="2">
        <f t="shared" si="224"/>
        <v>3204</v>
      </c>
      <c r="I7222" t="str">
        <f t="shared" si="225"/>
        <v>Stag2_3204</v>
      </c>
      <c r="J7222" s="3">
        <v>3204</v>
      </c>
      <c r="K7222" s="3">
        <v>0</v>
      </c>
      <c r="L7222" s="3">
        <v>0</v>
      </c>
      <c r="M7222" s="3">
        <v>0</v>
      </c>
      <c r="N7222" s="3">
        <v>0</v>
      </c>
    </row>
    <row r="7223" spans="1:14" x14ac:dyDescent="0.2">
      <c r="A7223" s="5" t="str">
        <f>HYPERLINK("http://www.ncbi.nlm.nih.gov/protein/6755668","Stam")</f>
        <v>Stam</v>
      </c>
      <c r="B7223" s="4"/>
      <c r="C7223" s="3">
        <v>0</v>
      </c>
      <c r="D7223" s="3">
        <v>307</v>
      </c>
      <c r="E7223" s="3">
        <v>1237</v>
      </c>
      <c r="F7223" s="3">
        <v>0</v>
      </c>
      <c r="G7223" s="3">
        <v>4948</v>
      </c>
      <c r="H7223" s="2">
        <f t="shared" si="224"/>
        <v>6492</v>
      </c>
      <c r="I7223" t="str">
        <f t="shared" si="225"/>
        <v>Stam_6492</v>
      </c>
      <c r="J7223" s="3">
        <v>0</v>
      </c>
      <c r="K7223" s="3">
        <v>307</v>
      </c>
      <c r="L7223" s="3">
        <v>1237</v>
      </c>
      <c r="M7223" s="3">
        <v>0</v>
      </c>
      <c r="N7223" s="3">
        <v>4948</v>
      </c>
    </row>
    <row r="7224" spans="1:14" x14ac:dyDescent="0.2">
      <c r="A7224" s="5" t="str">
        <f>HYPERLINK("http://www.ncbi.nlm.nih.gov/protein/9789975","Stam2")</f>
        <v>Stam2</v>
      </c>
      <c r="B7224" s="4"/>
      <c r="C7224" s="3">
        <v>0</v>
      </c>
      <c r="D7224" s="3">
        <v>278</v>
      </c>
      <c r="E7224" s="3">
        <v>1869</v>
      </c>
      <c r="F7224" s="3">
        <v>0</v>
      </c>
      <c r="G7224" s="3">
        <v>4948</v>
      </c>
      <c r="H7224" s="2">
        <f t="shared" si="224"/>
        <v>7095</v>
      </c>
      <c r="I7224" t="str">
        <f t="shared" si="225"/>
        <v>Stam2_7095</v>
      </c>
      <c r="J7224" s="3">
        <v>0</v>
      </c>
      <c r="K7224" s="3">
        <v>278</v>
      </c>
      <c r="L7224" s="3">
        <v>1869</v>
      </c>
      <c r="M7224" s="3">
        <v>0</v>
      </c>
      <c r="N7224" s="3">
        <v>4948</v>
      </c>
    </row>
    <row r="7225" spans="1:14" x14ac:dyDescent="0.2">
      <c r="A7225" s="5" t="str">
        <f>HYPERLINK("http://www.ncbi.nlm.nih.gov/protein/17941277","Stambp")</f>
        <v>Stambp</v>
      </c>
      <c r="B7225" s="4"/>
      <c r="C7225" s="3">
        <v>0</v>
      </c>
      <c r="D7225" s="3">
        <v>574</v>
      </c>
      <c r="E7225" s="3">
        <v>255</v>
      </c>
      <c r="F7225" s="3">
        <v>0</v>
      </c>
      <c r="G7225" s="3">
        <v>15047</v>
      </c>
      <c r="H7225" s="2">
        <f t="shared" si="224"/>
        <v>15876</v>
      </c>
      <c r="I7225" t="str">
        <f t="shared" si="225"/>
        <v>Stambp_15876</v>
      </c>
      <c r="J7225" s="3">
        <v>0</v>
      </c>
      <c r="K7225" s="3">
        <v>574</v>
      </c>
      <c r="L7225" s="3">
        <v>255</v>
      </c>
      <c r="M7225" s="3">
        <v>0</v>
      </c>
      <c r="N7225" s="3">
        <v>15047</v>
      </c>
    </row>
    <row r="7226" spans="1:14" x14ac:dyDescent="0.2">
      <c r="A7226" s="5" t="str">
        <f>HYPERLINK("http://www.ncbi.nlm.nih.gov/protein/22122357","Stap2")</f>
        <v>Stap2</v>
      </c>
      <c r="B7226" s="4"/>
      <c r="C7226" s="3">
        <v>0</v>
      </c>
      <c r="D7226" s="3">
        <v>0</v>
      </c>
      <c r="E7226" s="3">
        <v>0</v>
      </c>
      <c r="F7226" s="3">
        <v>0</v>
      </c>
      <c r="G7226" s="3">
        <v>1039</v>
      </c>
      <c r="H7226" s="2">
        <f t="shared" si="224"/>
        <v>1039</v>
      </c>
      <c r="I7226" t="str">
        <f t="shared" si="225"/>
        <v>Stap2_1039</v>
      </c>
      <c r="J7226" s="3">
        <v>0</v>
      </c>
      <c r="K7226" s="3">
        <v>0</v>
      </c>
      <c r="L7226" s="3">
        <v>0</v>
      </c>
      <c r="M7226" s="3">
        <v>0</v>
      </c>
      <c r="N7226" s="3">
        <v>1039</v>
      </c>
    </row>
    <row r="7227" spans="1:14" x14ac:dyDescent="0.2">
      <c r="A7227" s="5" t="str">
        <f>HYPERLINK("http://www.ncbi.nlm.nih.gov/protein/9910482","Stard10")</f>
        <v>Stard10</v>
      </c>
      <c r="B7227" s="4"/>
      <c r="C7227" s="3">
        <v>0</v>
      </c>
      <c r="D7227" s="3">
        <v>3263</v>
      </c>
      <c r="E7227" s="3">
        <v>1671</v>
      </c>
      <c r="F7227" s="3">
        <v>3356</v>
      </c>
      <c r="G7227" s="3">
        <v>27673</v>
      </c>
      <c r="H7227" s="2">
        <f t="shared" si="224"/>
        <v>35963</v>
      </c>
      <c r="I7227" t="str">
        <f t="shared" si="225"/>
        <v>Stard10_35963</v>
      </c>
      <c r="J7227" s="3">
        <v>0</v>
      </c>
      <c r="K7227" s="3">
        <v>3263</v>
      </c>
      <c r="L7227" s="3">
        <v>1671</v>
      </c>
      <c r="M7227" s="3">
        <v>3356</v>
      </c>
      <c r="N7227" s="3">
        <v>27673</v>
      </c>
    </row>
    <row r="7228" spans="1:14" x14ac:dyDescent="0.2">
      <c r="A7228" s="5" t="str">
        <f>HYPERLINK("http://www.ncbi.nlm.nih.gov/protein/10946984","Stard3")</f>
        <v>Stard3</v>
      </c>
      <c r="B7228" s="4"/>
      <c r="C7228" s="3">
        <v>0</v>
      </c>
      <c r="D7228" s="3">
        <v>0</v>
      </c>
      <c r="E7228" s="3">
        <v>42</v>
      </c>
      <c r="F7228" s="3">
        <v>0</v>
      </c>
      <c r="G7228" s="3">
        <v>0</v>
      </c>
      <c r="H7228" s="2">
        <f t="shared" si="224"/>
        <v>42</v>
      </c>
      <c r="I7228" t="str">
        <f t="shared" si="225"/>
        <v>Stard3_42</v>
      </c>
      <c r="J7228" s="3">
        <v>0</v>
      </c>
      <c r="K7228" s="3">
        <v>0</v>
      </c>
      <c r="L7228" s="3">
        <v>42</v>
      </c>
      <c r="M7228" s="3">
        <v>0</v>
      </c>
      <c r="N7228" s="3">
        <v>0</v>
      </c>
    </row>
    <row r="7229" spans="1:14" x14ac:dyDescent="0.2">
      <c r="A7229" s="5" t="str">
        <f>HYPERLINK("http://www.ncbi.nlm.nih.gov/protein/70794799","Stard3nl")</f>
        <v>Stard3nl</v>
      </c>
      <c r="B7229" s="4"/>
      <c r="C7229" s="3">
        <v>0</v>
      </c>
      <c r="D7229" s="3">
        <v>0</v>
      </c>
      <c r="E7229" s="3">
        <v>34</v>
      </c>
      <c r="F7229" s="3">
        <v>0</v>
      </c>
      <c r="G7229" s="3">
        <v>0</v>
      </c>
      <c r="H7229" s="2">
        <f t="shared" si="224"/>
        <v>34</v>
      </c>
      <c r="I7229" t="str">
        <f t="shared" si="225"/>
        <v>Stard3nl_34</v>
      </c>
      <c r="J7229" s="3">
        <v>0</v>
      </c>
      <c r="K7229" s="3">
        <v>0</v>
      </c>
      <c r="L7229" s="3">
        <v>34</v>
      </c>
      <c r="M7229" s="3">
        <v>0</v>
      </c>
      <c r="N7229" s="3">
        <v>0</v>
      </c>
    </row>
    <row r="7230" spans="1:14" x14ac:dyDescent="0.2">
      <c r="A7230" s="5" t="str">
        <f>HYPERLINK("http://www.ncbi.nlm.nih.gov/protein/21218432","Stard5")</f>
        <v>Stard5</v>
      </c>
      <c r="B7230" s="4"/>
      <c r="C7230" s="3">
        <v>0</v>
      </c>
      <c r="D7230" s="3">
        <v>0</v>
      </c>
      <c r="E7230" s="3">
        <v>7</v>
      </c>
      <c r="F7230" s="3">
        <v>0</v>
      </c>
      <c r="G7230" s="3">
        <v>0</v>
      </c>
      <c r="H7230" s="2">
        <f t="shared" si="224"/>
        <v>7</v>
      </c>
      <c r="I7230" t="str">
        <f t="shared" si="225"/>
        <v>Stard5_7</v>
      </c>
      <c r="J7230" s="3">
        <v>0</v>
      </c>
      <c r="K7230" s="3">
        <v>0</v>
      </c>
      <c r="L7230" s="3">
        <v>7</v>
      </c>
      <c r="M7230" s="3">
        <v>0</v>
      </c>
      <c r="N7230" s="3">
        <v>0</v>
      </c>
    </row>
    <row r="7231" spans="1:14" x14ac:dyDescent="0.2">
      <c r="A7231" s="5" t="str">
        <f>HYPERLINK("http://www.ncbi.nlm.nih.gov/protein/114326482;328887938","Stat1")</f>
        <v>Stat1</v>
      </c>
      <c r="B7231" s="4"/>
      <c r="C7231" s="3">
        <v>0</v>
      </c>
      <c r="D7231" s="3">
        <v>0</v>
      </c>
      <c r="E7231" s="3">
        <v>1263</v>
      </c>
      <c r="F7231" s="3">
        <v>0</v>
      </c>
      <c r="G7231" s="3">
        <v>0</v>
      </c>
      <c r="H7231" s="2">
        <f t="shared" si="224"/>
        <v>1263</v>
      </c>
      <c r="I7231" t="str">
        <f t="shared" si="225"/>
        <v>Stat1_1263</v>
      </c>
      <c r="J7231" s="3">
        <v>0</v>
      </c>
      <c r="K7231" s="3">
        <v>0</v>
      </c>
      <c r="L7231" s="3">
        <v>1263</v>
      </c>
      <c r="M7231" s="3">
        <v>0</v>
      </c>
      <c r="N7231" s="3">
        <v>0</v>
      </c>
    </row>
    <row r="7232" spans="1:14" x14ac:dyDescent="0.2">
      <c r="A7232" s="5" t="str">
        <f>HYPERLINK("http://www.ncbi.nlm.nih.gov/protein/114326482","Stat1")</f>
        <v>Stat1</v>
      </c>
      <c r="B7232" s="4"/>
      <c r="C7232" s="3">
        <v>0</v>
      </c>
      <c r="D7232" s="3">
        <v>0</v>
      </c>
      <c r="E7232" s="3">
        <v>0</v>
      </c>
      <c r="F7232" s="3">
        <v>1940</v>
      </c>
      <c r="G7232" s="3">
        <v>0</v>
      </c>
      <c r="H7232" s="2">
        <f t="shared" si="224"/>
        <v>1940</v>
      </c>
      <c r="I7232" t="str">
        <f t="shared" si="225"/>
        <v>Stat1_1940</v>
      </c>
      <c r="J7232" s="3">
        <v>0</v>
      </c>
      <c r="K7232" s="3">
        <v>0</v>
      </c>
      <c r="L7232" s="3">
        <v>0</v>
      </c>
      <c r="M7232" s="3">
        <v>1940</v>
      </c>
      <c r="N7232" s="3">
        <v>0</v>
      </c>
    </row>
    <row r="7233" spans="1:14" x14ac:dyDescent="0.2">
      <c r="A7233" s="5" t="str">
        <f>HYPERLINK("http://www.ncbi.nlm.nih.gov/protein/328887938;114326482","Stat1")</f>
        <v>Stat1</v>
      </c>
      <c r="B7233" s="4"/>
      <c r="C7233" s="3">
        <v>0</v>
      </c>
      <c r="D7233" s="3">
        <v>724</v>
      </c>
      <c r="E7233" s="3">
        <v>0</v>
      </c>
      <c r="F7233" s="3">
        <v>0</v>
      </c>
      <c r="G7233" s="3">
        <v>20830</v>
      </c>
      <c r="H7233" s="2">
        <f t="shared" si="224"/>
        <v>21554</v>
      </c>
      <c r="I7233" t="str">
        <f t="shared" si="225"/>
        <v>Stat1_21554</v>
      </c>
      <c r="J7233" s="3">
        <v>0</v>
      </c>
      <c r="K7233" s="3">
        <v>724</v>
      </c>
      <c r="L7233" s="3">
        <v>0</v>
      </c>
      <c r="M7233" s="3">
        <v>0</v>
      </c>
      <c r="N7233" s="3">
        <v>20830</v>
      </c>
    </row>
    <row r="7234" spans="1:14" x14ac:dyDescent="0.2">
      <c r="A7234" s="5" t="str">
        <f>HYPERLINK("http://www.ncbi.nlm.nih.gov/protein/328887935","Stat1")</f>
        <v>Stat1</v>
      </c>
      <c r="B7234" s="4"/>
      <c r="C7234" s="3">
        <v>0</v>
      </c>
      <c r="D7234" s="3">
        <v>724</v>
      </c>
      <c r="E7234" s="3">
        <v>1263</v>
      </c>
      <c r="F7234" s="3">
        <v>1940</v>
      </c>
      <c r="G7234" s="3">
        <v>20830</v>
      </c>
      <c r="H7234" s="2">
        <f t="shared" ref="H7234:H7297" si="226">SUM(C7234:G7234)</f>
        <v>24757</v>
      </c>
      <c r="I7234" t="str">
        <f t="shared" ref="I7234:I7297" si="227">A7234&amp;"_"&amp;H7234</f>
        <v>Stat1_24757</v>
      </c>
      <c r="J7234" s="3">
        <v>0</v>
      </c>
      <c r="K7234" s="3">
        <v>724</v>
      </c>
      <c r="L7234" s="3">
        <v>1263</v>
      </c>
      <c r="M7234" s="3">
        <v>1940</v>
      </c>
      <c r="N7234" s="3">
        <v>20830</v>
      </c>
    </row>
    <row r="7235" spans="1:14" x14ac:dyDescent="0.2">
      <c r="A7235" s="5" t="str">
        <f>HYPERLINK("http://www.ncbi.nlm.nih.gov/protein/9910572","Stat2")</f>
        <v>Stat2</v>
      </c>
      <c r="B7235" s="4"/>
      <c r="C7235" s="3">
        <v>0</v>
      </c>
      <c r="D7235" s="3">
        <v>0</v>
      </c>
      <c r="E7235" s="3">
        <v>0</v>
      </c>
      <c r="F7235" s="3">
        <v>0</v>
      </c>
      <c r="G7235" s="3">
        <v>867</v>
      </c>
      <c r="H7235" s="2">
        <f t="shared" si="226"/>
        <v>867</v>
      </c>
      <c r="I7235" t="str">
        <f t="shared" si="227"/>
        <v>Stat2_867</v>
      </c>
      <c r="J7235" s="3">
        <v>0</v>
      </c>
      <c r="K7235" s="3">
        <v>0</v>
      </c>
      <c r="L7235" s="3">
        <v>0</v>
      </c>
      <c r="M7235" s="3">
        <v>0</v>
      </c>
      <c r="N7235" s="3">
        <v>867</v>
      </c>
    </row>
    <row r="7236" spans="1:14" x14ac:dyDescent="0.2">
      <c r="A7236" s="5" t="str">
        <f>HYPERLINK("http://www.ncbi.nlm.nih.gov/protein/22094115","Stat3")</f>
        <v>Stat3</v>
      </c>
      <c r="B7236" s="4"/>
      <c r="C7236" s="3">
        <v>0</v>
      </c>
      <c r="D7236" s="3">
        <v>146</v>
      </c>
      <c r="E7236" s="3">
        <v>228</v>
      </c>
      <c r="F7236" s="3">
        <v>941</v>
      </c>
      <c r="G7236" s="3">
        <v>9285</v>
      </c>
      <c r="H7236" s="2">
        <f t="shared" si="226"/>
        <v>10600</v>
      </c>
      <c r="I7236" t="str">
        <f t="shared" si="227"/>
        <v>Stat3_10600</v>
      </c>
      <c r="J7236" s="3">
        <v>0</v>
      </c>
      <c r="K7236" s="3">
        <v>146</v>
      </c>
      <c r="L7236" s="3">
        <v>228</v>
      </c>
      <c r="M7236" s="3">
        <v>941</v>
      </c>
      <c r="N7236" s="3">
        <v>9285</v>
      </c>
    </row>
    <row r="7237" spans="1:14" x14ac:dyDescent="0.2">
      <c r="A7237" s="5" t="str">
        <f>HYPERLINK("http://www.ncbi.nlm.nih.gov/protein/47458804","Stat3")</f>
        <v>Stat3</v>
      </c>
      <c r="B7237" s="4"/>
      <c r="C7237" s="3">
        <v>0</v>
      </c>
      <c r="D7237" s="3">
        <v>146</v>
      </c>
      <c r="E7237" s="3">
        <v>228</v>
      </c>
      <c r="F7237" s="3">
        <v>941</v>
      </c>
      <c r="G7237" s="3">
        <v>9285</v>
      </c>
      <c r="H7237" s="2">
        <f t="shared" si="226"/>
        <v>10600</v>
      </c>
      <c r="I7237" t="str">
        <f t="shared" si="227"/>
        <v>Stat3_10600</v>
      </c>
      <c r="J7237" s="3">
        <v>0</v>
      </c>
      <c r="K7237" s="3">
        <v>146</v>
      </c>
      <c r="L7237" s="3">
        <v>228</v>
      </c>
      <c r="M7237" s="3">
        <v>941</v>
      </c>
      <c r="N7237" s="3">
        <v>9285</v>
      </c>
    </row>
    <row r="7238" spans="1:14" x14ac:dyDescent="0.2">
      <c r="A7238" s="5" t="str">
        <f>HYPERLINK("http://www.ncbi.nlm.nih.gov/protein/47458807","Stat3")</f>
        <v>Stat3</v>
      </c>
      <c r="B7238" s="4"/>
      <c r="C7238" s="3">
        <v>0</v>
      </c>
      <c r="D7238" s="3">
        <v>146</v>
      </c>
      <c r="E7238" s="3">
        <v>228</v>
      </c>
      <c r="F7238" s="3">
        <v>941</v>
      </c>
      <c r="G7238" s="3">
        <v>9285</v>
      </c>
      <c r="H7238" s="2">
        <f t="shared" si="226"/>
        <v>10600</v>
      </c>
      <c r="I7238" t="str">
        <f t="shared" si="227"/>
        <v>Stat3_10600</v>
      </c>
      <c r="J7238" s="3">
        <v>0</v>
      </c>
      <c r="K7238" s="3">
        <v>146</v>
      </c>
      <c r="L7238" s="3">
        <v>228</v>
      </c>
      <c r="M7238" s="3">
        <v>941</v>
      </c>
      <c r="N7238" s="3">
        <v>9285</v>
      </c>
    </row>
    <row r="7239" spans="1:14" x14ac:dyDescent="0.2">
      <c r="A7239" s="5" t="str">
        <f>HYPERLINK("http://www.ncbi.nlm.nih.gov/protein/255759968","Stat5a")</f>
        <v>Stat5a</v>
      </c>
      <c r="B7239" s="4"/>
      <c r="C7239" s="3">
        <v>0</v>
      </c>
      <c r="D7239" s="3">
        <v>1382</v>
      </c>
      <c r="E7239" s="3">
        <v>0</v>
      </c>
      <c r="F7239" s="3">
        <v>0</v>
      </c>
      <c r="G7239" s="3">
        <v>6768</v>
      </c>
      <c r="H7239" s="2">
        <f t="shared" si="226"/>
        <v>8150</v>
      </c>
      <c r="I7239" t="str">
        <f t="shared" si="227"/>
        <v>Stat5a_8150</v>
      </c>
      <c r="J7239" s="3">
        <v>0</v>
      </c>
      <c r="K7239" s="3">
        <v>1382</v>
      </c>
      <c r="L7239" s="3">
        <v>0</v>
      </c>
      <c r="M7239" s="3">
        <v>0</v>
      </c>
      <c r="N7239" s="3">
        <v>6768</v>
      </c>
    </row>
    <row r="7240" spans="1:14" x14ac:dyDescent="0.2">
      <c r="A7240" s="5" t="str">
        <f>HYPERLINK("http://www.ncbi.nlm.nih.gov/protein/6755672","Stat5a")</f>
        <v>Stat5a</v>
      </c>
      <c r="B7240" s="4"/>
      <c r="C7240" s="3">
        <v>0</v>
      </c>
      <c r="D7240" s="3">
        <v>1382</v>
      </c>
      <c r="E7240" s="3">
        <v>0</v>
      </c>
      <c r="F7240" s="3">
        <v>0</v>
      </c>
      <c r="G7240" s="3">
        <v>6768</v>
      </c>
      <c r="H7240" s="2">
        <f t="shared" si="226"/>
        <v>8150</v>
      </c>
      <c r="I7240" t="str">
        <f t="shared" si="227"/>
        <v>Stat5a_8150</v>
      </c>
      <c r="J7240" s="3">
        <v>0</v>
      </c>
      <c r="K7240" s="3">
        <v>1382</v>
      </c>
      <c r="L7240" s="3">
        <v>0</v>
      </c>
      <c r="M7240" s="3">
        <v>0</v>
      </c>
      <c r="N7240" s="3">
        <v>6768</v>
      </c>
    </row>
    <row r="7241" spans="1:14" x14ac:dyDescent="0.2">
      <c r="A7241" s="5" t="str">
        <f>HYPERLINK("http://www.ncbi.nlm.nih.gov/protein/165932366","Stat5b")</f>
        <v>Stat5b</v>
      </c>
      <c r="B7241" s="4"/>
      <c r="C7241" s="3">
        <v>0</v>
      </c>
      <c r="D7241" s="3">
        <v>1382</v>
      </c>
      <c r="E7241" s="3">
        <v>0</v>
      </c>
      <c r="F7241" s="3">
        <v>0</v>
      </c>
      <c r="G7241" s="3">
        <v>6768</v>
      </c>
      <c r="H7241" s="2">
        <f t="shared" si="226"/>
        <v>8150</v>
      </c>
      <c r="I7241" t="str">
        <f t="shared" si="227"/>
        <v>Stat5b_8150</v>
      </c>
      <c r="J7241" s="3">
        <v>0</v>
      </c>
      <c r="K7241" s="3">
        <v>1382</v>
      </c>
      <c r="L7241" s="3">
        <v>0</v>
      </c>
      <c r="M7241" s="3">
        <v>0</v>
      </c>
      <c r="N7241" s="3">
        <v>6768</v>
      </c>
    </row>
    <row r="7242" spans="1:14" x14ac:dyDescent="0.2">
      <c r="A7242" s="5" t="str">
        <f>HYPERLINK("http://www.ncbi.nlm.nih.gov/protein/128485774","Stat6")</f>
        <v>Stat6</v>
      </c>
      <c r="B7242" s="4"/>
      <c r="C7242" s="3">
        <v>0</v>
      </c>
      <c r="D7242" s="3">
        <v>0</v>
      </c>
      <c r="E7242" s="3">
        <v>0</v>
      </c>
      <c r="F7242" s="3">
        <v>0</v>
      </c>
      <c r="G7242" s="3">
        <v>3609</v>
      </c>
      <c r="H7242" s="2">
        <f t="shared" si="226"/>
        <v>3609</v>
      </c>
      <c r="I7242" t="str">
        <f t="shared" si="227"/>
        <v>Stat6_3609</v>
      </c>
      <c r="J7242" s="3">
        <v>0</v>
      </c>
      <c r="K7242" s="3">
        <v>0</v>
      </c>
      <c r="L7242" s="3">
        <v>0</v>
      </c>
      <c r="M7242" s="3">
        <v>0</v>
      </c>
      <c r="N7242" s="3">
        <v>3609</v>
      </c>
    </row>
    <row r="7243" spans="1:14" x14ac:dyDescent="0.2">
      <c r="A7243" s="5" t="str">
        <f>HYPERLINK("http://www.ncbi.nlm.nih.gov/protein/158186639","Stau1")</f>
        <v>Stau1</v>
      </c>
      <c r="B7243" s="4"/>
      <c r="C7243" s="3">
        <v>0</v>
      </c>
      <c r="D7243" s="3">
        <v>739</v>
      </c>
      <c r="E7243" s="3">
        <v>12936</v>
      </c>
      <c r="F7243" s="3">
        <v>7400</v>
      </c>
      <c r="G7243" s="3">
        <v>0</v>
      </c>
      <c r="H7243" s="2">
        <f t="shared" si="226"/>
        <v>21075</v>
      </c>
      <c r="I7243" t="str">
        <f t="shared" si="227"/>
        <v>Stau1_21075</v>
      </c>
      <c r="J7243" s="3">
        <v>0</v>
      </c>
      <c r="K7243" s="3">
        <v>739</v>
      </c>
      <c r="L7243" s="3">
        <v>12936</v>
      </c>
      <c r="M7243" s="3">
        <v>7400</v>
      </c>
      <c r="N7243" s="3">
        <v>0</v>
      </c>
    </row>
    <row r="7244" spans="1:14" x14ac:dyDescent="0.2">
      <c r="A7244" s="5" t="str">
        <f>HYPERLINK("http://www.ncbi.nlm.nih.gov/protein/158186641","Stau1")</f>
        <v>Stau1</v>
      </c>
      <c r="B7244" s="4"/>
      <c r="C7244" s="3">
        <v>0</v>
      </c>
      <c r="D7244" s="3">
        <v>739</v>
      </c>
      <c r="E7244" s="3">
        <v>12936</v>
      </c>
      <c r="F7244" s="3">
        <v>7678</v>
      </c>
      <c r="G7244" s="3">
        <v>0</v>
      </c>
      <c r="H7244" s="2">
        <f t="shared" si="226"/>
        <v>21353</v>
      </c>
      <c r="I7244" t="str">
        <f t="shared" si="227"/>
        <v>Stau1_21353</v>
      </c>
      <c r="J7244" s="3">
        <v>0</v>
      </c>
      <c r="K7244" s="3">
        <v>739</v>
      </c>
      <c r="L7244" s="3">
        <v>12936</v>
      </c>
      <c r="M7244" s="3">
        <v>7678</v>
      </c>
      <c r="N7244" s="3">
        <v>0</v>
      </c>
    </row>
    <row r="7245" spans="1:14" x14ac:dyDescent="0.2">
      <c r="A7245" s="5" t="str">
        <f>HYPERLINK("http://www.ncbi.nlm.nih.gov/protein/6755674","Stau1")</f>
        <v>Stau1</v>
      </c>
      <c r="B7245" s="4"/>
      <c r="C7245" s="3">
        <v>0</v>
      </c>
      <c r="D7245" s="3">
        <v>739</v>
      </c>
      <c r="E7245" s="3">
        <v>11708</v>
      </c>
      <c r="F7245" s="3">
        <v>7400</v>
      </c>
      <c r="G7245" s="3">
        <v>0</v>
      </c>
      <c r="H7245" s="2">
        <f t="shared" si="226"/>
        <v>19847</v>
      </c>
      <c r="I7245" t="str">
        <f t="shared" si="227"/>
        <v>Stau1_19847</v>
      </c>
      <c r="J7245" s="3">
        <v>0</v>
      </c>
      <c r="K7245" s="3">
        <v>739</v>
      </c>
      <c r="L7245" s="3">
        <v>11708</v>
      </c>
      <c r="M7245" s="3">
        <v>7400</v>
      </c>
      <c r="N7245" s="3">
        <v>0</v>
      </c>
    </row>
    <row r="7246" spans="1:14" x14ac:dyDescent="0.2">
      <c r="A7246" s="5" t="str">
        <f>HYPERLINK("http://www.ncbi.nlm.nih.gov/protein/162287083","Stau2")</f>
        <v>Stau2</v>
      </c>
      <c r="B7246" s="4"/>
      <c r="C7246" s="3">
        <v>0</v>
      </c>
      <c r="D7246" s="3">
        <v>0</v>
      </c>
      <c r="E7246" s="3">
        <v>60</v>
      </c>
      <c r="F7246" s="3">
        <v>0</v>
      </c>
      <c r="G7246" s="3">
        <v>0</v>
      </c>
      <c r="H7246" s="2">
        <f t="shared" si="226"/>
        <v>60</v>
      </c>
      <c r="I7246" t="str">
        <f t="shared" si="227"/>
        <v>Stau2_60</v>
      </c>
      <c r="J7246" s="3">
        <v>0</v>
      </c>
      <c r="K7246" s="3">
        <v>0</v>
      </c>
      <c r="L7246" s="3">
        <v>60</v>
      </c>
      <c r="M7246" s="3">
        <v>0</v>
      </c>
      <c r="N7246" s="3">
        <v>0</v>
      </c>
    </row>
    <row r="7247" spans="1:14" x14ac:dyDescent="0.2">
      <c r="A7247" s="5" t="str">
        <f>HYPERLINK("http://www.ncbi.nlm.nih.gov/protein/194018455","Stau2")</f>
        <v>Stau2</v>
      </c>
      <c r="B7247" s="4"/>
      <c r="C7247" s="3">
        <v>0</v>
      </c>
      <c r="D7247" s="3">
        <v>0</v>
      </c>
      <c r="E7247" s="3">
        <v>60</v>
      </c>
      <c r="F7247" s="3">
        <v>0</v>
      </c>
      <c r="G7247" s="3">
        <v>0</v>
      </c>
      <c r="H7247" s="2">
        <f t="shared" si="226"/>
        <v>60</v>
      </c>
      <c r="I7247" t="str">
        <f t="shared" si="227"/>
        <v>Stau2_60</v>
      </c>
      <c r="J7247" s="3">
        <v>0</v>
      </c>
      <c r="K7247" s="3">
        <v>0</v>
      </c>
      <c r="L7247" s="3">
        <v>60</v>
      </c>
      <c r="M7247" s="3">
        <v>0</v>
      </c>
      <c r="N7247" s="3">
        <v>0</v>
      </c>
    </row>
    <row r="7248" spans="1:14" x14ac:dyDescent="0.2">
      <c r="A7248" s="5" t="str">
        <f>HYPERLINK("http://www.ncbi.nlm.nih.gov/protein/254553462","Steap1")</f>
        <v>Steap1</v>
      </c>
      <c r="B7248" s="4"/>
      <c r="C7248" s="3">
        <v>0</v>
      </c>
      <c r="D7248" s="3">
        <v>0</v>
      </c>
      <c r="E7248" s="3">
        <v>64</v>
      </c>
      <c r="F7248" s="3">
        <v>0</v>
      </c>
      <c r="G7248" s="3">
        <v>0</v>
      </c>
      <c r="H7248" s="2">
        <f t="shared" si="226"/>
        <v>64</v>
      </c>
      <c r="I7248" t="str">
        <f t="shared" si="227"/>
        <v>Steap1_64</v>
      </c>
      <c r="J7248" s="3">
        <v>0</v>
      </c>
      <c r="K7248" s="3">
        <v>0</v>
      </c>
      <c r="L7248" s="3">
        <v>64</v>
      </c>
      <c r="M7248" s="3">
        <v>0</v>
      </c>
      <c r="N7248" s="3">
        <v>0</v>
      </c>
    </row>
    <row r="7249" spans="1:14" x14ac:dyDescent="0.2">
      <c r="A7249" s="5" t="str">
        <f>HYPERLINK("http://www.ncbi.nlm.nih.gov/protein/124249344","Steap2")</f>
        <v>Steap2</v>
      </c>
      <c r="B7249" s="4"/>
      <c r="C7249" s="3">
        <v>0</v>
      </c>
      <c r="D7249" s="3">
        <v>344</v>
      </c>
      <c r="E7249" s="3">
        <v>15</v>
      </c>
      <c r="F7249" s="3">
        <v>0</v>
      </c>
      <c r="G7249" s="3">
        <v>0</v>
      </c>
      <c r="H7249" s="2">
        <f t="shared" si="226"/>
        <v>359</v>
      </c>
      <c r="I7249" t="str">
        <f t="shared" si="227"/>
        <v>Steap2_359</v>
      </c>
      <c r="J7249" s="3">
        <v>0</v>
      </c>
      <c r="K7249" s="3">
        <v>344</v>
      </c>
      <c r="L7249" s="3">
        <v>15</v>
      </c>
      <c r="M7249" s="3">
        <v>0</v>
      </c>
      <c r="N7249" s="3">
        <v>0</v>
      </c>
    </row>
    <row r="7250" spans="1:14" x14ac:dyDescent="0.2">
      <c r="A7250" s="5" t="str">
        <f>HYPERLINK("http://www.ncbi.nlm.nih.gov/protein/31981983","Stim1")</f>
        <v>Stim1</v>
      </c>
      <c r="B7250" s="4"/>
      <c r="C7250" s="3">
        <v>0</v>
      </c>
      <c r="D7250" s="3">
        <v>192</v>
      </c>
      <c r="E7250" s="3">
        <v>13</v>
      </c>
      <c r="F7250" s="3">
        <v>0</v>
      </c>
      <c r="G7250" s="3">
        <v>0</v>
      </c>
      <c r="H7250" s="2">
        <f t="shared" si="226"/>
        <v>205</v>
      </c>
      <c r="I7250" t="str">
        <f t="shared" si="227"/>
        <v>Stim1_205</v>
      </c>
      <c r="J7250" s="3">
        <v>0</v>
      </c>
      <c r="K7250" s="3">
        <v>192</v>
      </c>
      <c r="L7250" s="3">
        <v>13</v>
      </c>
      <c r="M7250" s="3">
        <v>0</v>
      </c>
      <c r="N7250" s="3">
        <v>0</v>
      </c>
    </row>
    <row r="7251" spans="1:14" x14ac:dyDescent="0.2">
      <c r="A7251" s="5" t="str">
        <f>HYPERLINK("http://www.ncbi.nlm.nih.gov/protein/281182368","Stim2")</f>
        <v>Stim2</v>
      </c>
      <c r="B7251" s="4"/>
      <c r="C7251" s="3">
        <v>0</v>
      </c>
      <c r="D7251" s="3">
        <v>42</v>
      </c>
      <c r="E7251" s="3">
        <v>44</v>
      </c>
      <c r="F7251" s="3">
        <v>0</v>
      </c>
      <c r="G7251" s="3">
        <v>0</v>
      </c>
      <c r="H7251" s="2">
        <f t="shared" si="226"/>
        <v>86</v>
      </c>
      <c r="I7251" t="str">
        <f t="shared" si="227"/>
        <v>Stim2_86</v>
      </c>
      <c r="J7251" s="3">
        <v>0</v>
      </c>
      <c r="K7251" s="3">
        <v>42</v>
      </c>
      <c r="L7251" s="3">
        <v>44</v>
      </c>
      <c r="M7251" s="3">
        <v>0</v>
      </c>
      <c r="N7251" s="3">
        <v>0</v>
      </c>
    </row>
    <row r="7252" spans="1:14" x14ac:dyDescent="0.2">
      <c r="A7252" s="5" t="str">
        <f>HYPERLINK("http://www.ncbi.nlm.nih.gov/protein/14389431","Stip1")</f>
        <v>Stip1</v>
      </c>
      <c r="B7252" s="4"/>
      <c r="C7252" s="3">
        <v>9611</v>
      </c>
      <c r="D7252" s="3">
        <v>19629</v>
      </c>
      <c r="E7252" s="3">
        <v>72671</v>
      </c>
      <c r="F7252" s="3">
        <v>99717</v>
      </c>
      <c r="G7252" s="3">
        <v>389130</v>
      </c>
      <c r="H7252" s="2">
        <f t="shared" si="226"/>
        <v>590758</v>
      </c>
      <c r="I7252" t="str">
        <f t="shared" si="227"/>
        <v>Stip1_590758</v>
      </c>
      <c r="J7252" s="3">
        <v>9611</v>
      </c>
      <c r="K7252" s="3">
        <v>19629</v>
      </c>
      <c r="L7252" s="3">
        <v>72671</v>
      </c>
      <c r="M7252" s="3">
        <v>99717</v>
      </c>
      <c r="N7252" s="3">
        <v>389130</v>
      </c>
    </row>
    <row r="7253" spans="1:14" x14ac:dyDescent="0.2">
      <c r="A7253" s="5" t="str">
        <f>HYPERLINK("http://www.ncbi.nlm.nih.gov/protein/126362973","Stk10")</f>
        <v>Stk10</v>
      </c>
      <c r="B7253" s="4"/>
      <c r="C7253" s="3">
        <v>0</v>
      </c>
      <c r="D7253" s="3">
        <v>0</v>
      </c>
      <c r="E7253" s="3">
        <v>376</v>
      </c>
      <c r="F7253" s="3">
        <v>532</v>
      </c>
      <c r="G7253" s="3">
        <v>8300</v>
      </c>
      <c r="H7253" s="2">
        <f t="shared" si="226"/>
        <v>9208</v>
      </c>
      <c r="I7253" t="str">
        <f t="shared" si="227"/>
        <v>Stk10_9208</v>
      </c>
      <c r="J7253" s="3">
        <v>0</v>
      </c>
      <c r="K7253" s="3">
        <v>0</v>
      </c>
      <c r="L7253" s="3">
        <v>376</v>
      </c>
      <c r="M7253" s="3">
        <v>532</v>
      </c>
      <c r="N7253" s="3">
        <v>8300</v>
      </c>
    </row>
    <row r="7254" spans="1:14" x14ac:dyDescent="0.2">
      <c r="A7254" s="5" t="str">
        <f>HYPERLINK("http://www.ncbi.nlm.nih.gov/protein/7106425","Stk11")</f>
        <v>Stk11</v>
      </c>
      <c r="B7254" s="4"/>
      <c r="C7254" s="3">
        <v>0</v>
      </c>
      <c r="D7254" s="3">
        <v>33</v>
      </c>
      <c r="E7254" s="3">
        <v>0</v>
      </c>
      <c r="F7254" s="3">
        <v>0</v>
      </c>
      <c r="G7254" s="3">
        <v>407</v>
      </c>
      <c r="H7254" s="2">
        <f t="shared" si="226"/>
        <v>440</v>
      </c>
      <c r="I7254" t="str">
        <f t="shared" si="227"/>
        <v>Stk11_440</v>
      </c>
      <c r="J7254" s="3">
        <v>0</v>
      </c>
      <c r="K7254" s="3">
        <v>33</v>
      </c>
      <c r="L7254" s="3">
        <v>0</v>
      </c>
      <c r="M7254" s="3">
        <v>0</v>
      </c>
      <c r="N7254" s="3">
        <v>407</v>
      </c>
    </row>
    <row r="7255" spans="1:14" x14ac:dyDescent="0.2">
      <c r="A7255" s="5" t="str">
        <f>HYPERLINK("http://www.ncbi.nlm.nih.gov/protein/169808413","Stk11ip")</f>
        <v>Stk11ip</v>
      </c>
      <c r="B7255" s="4"/>
      <c r="C7255" s="3">
        <v>0</v>
      </c>
      <c r="D7255" s="3">
        <v>324</v>
      </c>
      <c r="E7255" s="3">
        <v>0</v>
      </c>
      <c r="F7255" s="3">
        <v>0</v>
      </c>
      <c r="G7255" s="3">
        <v>0</v>
      </c>
      <c r="H7255" s="2">
        <f t="shared" si="226"/>
        <v>324</v>
      </c>
      <c r="I7255" t="str">
        <f t="shared" si="227"/>
        <v>Stk11ip_324</v>
      </c>
      <c r="J7255" s="3">
        <v>0</v>
      </c>
      <c r="K7255" s="3">
        <v>324</v>
      </c>
      <c r="L7255" s="3">
        <v>0</v>
      </c>
      <c r="M7255" s="3">
        <v>0</v>
      </c>
      <c r="N7255" s="3">
        <v>0</v>
      </c>
    </row>
    <row r="7256" spans="1:14" x14ac:dyDescent="0.2">
      <c r="A7256" s="5" t="str">
        <f>HYPERLINK("http://www.ncbi.nlm.nih.gov/protein/226958539","Stk16")</f>
        <v>Stk16</v>
      </c>
      <c r="B7256" s="4"/>
      <c r="C7256" s="3">
        <v>0</v>
      </c>
      <c r="D7256" s="3">
        <v>0</v>
      </c>
      <c r="E7256" s="3">
        <v>60</v>
      </c>
      <c r="F7256" s="3">
        <v>0</v>
      </c>
      <c r="G7256" s="3">
        <v>0</v>
      </c>
      <c r="H7256" s="2">
        <f t="shared" si="226"/>
        <v>60</v>
      </c>
      <c r="I7256" t="str">
        <f t="shared" si="227"/>
        <v>Stk16_60</v>
      </c>
      <c r="J7256" s="3">
        <v>0</v>
      </c>
      <c r="K7256" s="3">
        <v>0</v>
      </c>
      <c r="L7256" s="3">
        <v>60</v>
      </c>
      <c r="M7256" s="3">
        <v>0</v>
      </c>
      <c r="N7256" s="3">
        <v>0</v>
      </c>
    </row>
    <row r="7257" spans="1:14" x14ac:dyDescent="0.2">
      <c r="A7257" s="5" t="str">
        <f>HYPERLINK("http://www.ncbi.nlm.nih.gov/protein/21703922","Stk24")</f>
        <v>Stk24</v>
      </c>
      <c r="B7257" s="4"/>
      <c r="C7257" s="3">
        <v>0</v>
      </c>
      <c r="D7257" s="3">
        <v>5743</v>
      </c>
      <c r="E7257" s="3">
        <v>17662</v>
      </c>
      <c r="F7257" s="3">
        <v>17460</v>
      </c>
      <c r="G7257" s="3">
        <v>40942</v>
      </c>
      <c r="H7257" s="2">
        <f t="shared" si="226"/>
        <v>81807</v>
      </c>
      <c r="I7257" t="str">
        <f t="shared" si="227"/>
        <v>Stk24_81807</v>
      </c>
      <c r="J7257" s="3">
        <v>0</v>
      </c>
      <c r="K7257" s="3">
        <v>5743</v>
      </c>
      <c r="L7257" s="3">
        <v>17662</v>
      </c>
      <c r="M7257" s="3">
        <v>17460</v>
      </c>
      <c r="N7257" s="3">
        <v>40942</v>
      </c>
    </row>
    <row r="7258" spans="1:14" x14ac:dyDescent="0.2">
      <c r="A7258" s="5" t="str">
        <f>HYPERLINK("http://www.ncbi.nlm.nih.gov/protein/89337277","Stk25")</f>
        <v>Stk25</v>
      </c>
      <c r="B7258" s="4"/>
      <c r="C7258" s="3">
        <v>0</v>
      </c>
      <c r="D7258" s="3">
        <v>3674</v>
      </c>
      <c r="E7258" s="3">
        <v>14193</v>
      </c>
      <c r="F7258" s="3">
        <v>12311</v>
      </c>
      <c r="G7258" s="3">
        <v>9778</v>
      </c>
      <c r="H7258" s="2">
        <f t="shared" si="226"/>
        <v>39956</v>
      </c>
      <c r="I7258" t="str">
        <f t="shared" si="227"/>
        <v>Stk25_39956</v>
      </c>
      <c r="J7258" s="3">
        <v>0</v>
      </c>
      <c r="K7258" s="3">
        <v>3674</v>
      </c>
      <c r="L7258" s="3">
        <v>14193</v>
      </c>
      <c r="M7258" s="3">
        <v>12311</v>
      </c>
      <c r="N7258" s="3">
        <v>9778</v>
      </c>
    </row>
    <row r="7259" spans="1:14" x14ac:dyDescent="0.2">
      <c r="A7259" s="5" t="str">
        <f>HYPERLINK("http://www.ncbi.nlm.nih.gov/protein/118150664","Stk3")</f>
        <v>Stk3</v>
      </c>
      <c r="B7259" s="4"/>
      <c r="C7259" s="3">
        <v>0</v>
      </c>
      <c r="D7259" s="3">
        <v>1117</v>
      </c>
      <c r="E7259" s="3">
        <v>894</v>
      </c>
      <c r="F7259" s="3">
        <v>0</v>
      </c>
      <c r="G7259" s="3">
        <v>13205</v>
      </c>
      <c r="H7259" s="2">
        <f t="shared" si="226"/>
        <v>15216</v>
      </c>
      <c r="I7259" t="str">
        <f t="shared" si="227"/>
        <v>Stk3_15216</v>
      </c>
      <c r="J7259" s="3">
        <v>0</v>
      </c>
      <c r="K7259" s="3">
        <v>1117</v>
      </c>
      <c r="L7259" s="3">
        <v>894</v>
      </c>
      <c r="M7259" s="3">
        <v>0</v>
      </c>
      <c r="N7259" s="3">
        <v>13205</v>
      </c>
    </row>
    <row r="7260" spans="1:14" x14ac:dyDescent="0.2">
      <c r="A7260" s="5" t="str">
        <f>HYPERLINK("http://www.ncbi.nlm.nih.gov/protein/19527344","Stk38")</f>
        <v>Stk38</v>
      </c>
      <c r="B7260" s="4"/>
      <c r="C7260" s="3">
        <v>0</v>
      </c>
      <c r="D7260" s="3">
        <v>0</v>
      </c>
      <c r="E7260" s="3">
        <v>729</v>
      </c>
      <c r="F7260" s="3">
        <v>0</v>
      </c>
      <c r="G7260" s="3">
        <v>6833</v>
      </c>
      <c r="H7260" s="2">
        <f t="shared" si="226"/>
        <v>7562</v>
      </c>
      <c r="I7260" t="str">
        <f t="shared" si="227"/>
        <v>Stk38_7562</v>
      </c>
      <c r="J7260" s="3">
        <v>0</v>
      </c>
      <c r="K7260" s="3">
        <v>0</v>
      </c>
      <c r="L7260" s="3">
        <v>729</v>
      </c>
      <c r="M7260" s="3">
        <v>0</v>
      </c>
      <c r="N7260" s="3">
        <v>6833</v>
      </c>
    </row>
    <row r="7261" spans="1:14" x14ac:dyDescent="0.2">
      <c r="A7261" s="5" t="str">
        <f>HYPERLINK("http://www.ncbi.nlm.nih.gov/protein/27370078","Stk38l")</f>
        <v>Stk38l</v>
      </c>
      <c r="B7261" s="4"/>
      <c r="C7261" s="3">
        <v>0</v>
      </c>
      <c r="D7261" s="3">
        <v>0</v>
      </c>
      <c r="E7261" s="3">
        <v>189</v>
      </c>
      <c r="F7261" s="3">
        <v>0</v>
      </c>
      <c r="G7261" s="3">
        <v>3020</v>
      </c>
      <c r="H7261" s="2">
        <f t="shared" si="226"/>
        <v>3209</v>
      </c>
      <c r="I7261" t="str">
        <f t="shared" si="227"/>
        <v>Stk38l_3209</v>
      </c>
      <c r="J7261" s="3">
        <v>0</v>
      </c>
      <c r="K7261" s="3">
        <v>0</v>
      </c>
      <c r="L7261" s="3">
        <v>189</v>
      </c>
      <c r="M7261" s="3">
        <v>0</v>
      </c>
      <c r="N7261" s="3">
        <v>3020</v>
      </c>
    </row>
    <row r="7262" spans="1:14" x14ac:dyDescent="0.2">
      <c r="A7262" s="5" t="str">
        <f>HYPERLINK("http://www.ncbi.nlm.nih.gov/protein/12328814","Stk4")</f>
        <v>Stk4</v>
      </c>
      <c r="B7262" s="4"/>
      <c r="C7262" s="3">
        <v>0</v>
      </c>
      <c r="D7262" s="3">
        <v>372</v>
      </c>
      <c r="E7262" s="3">
        <v>539</v>
      </c>
      <c r="F7262" s="3">
        <v>0</v>
      </c>
      <c r="G7262" s="3">
        <v>21944</v>
      </c>
      <c r="H7262" s="2">
        <f t="shared" si="226"/>
        <v>22855</v>
      </c>
      <c r="I7262" t="str">
        <f t="shared" si="227"/>
        <v>Stk4_22855</v>
      </c>
      <c r="J7262" s="3">
        <v>0</v>
      </c>
      <c r="K7262" s="3">
        <v>372</v>
      </c>
      <c r="L7262" s="3">
        <v>539</v>
      </c>
      <c r="M7262" s="3">
        <v>0</v>
      </c>
      <c r="N7262" s="3">
        <v>21944</v>
      </c>
    </row>
    <row r="7263" spans="1:14" x14ac:dyDescent="0.2">
      <c r="A7263" s="5" t="str">
        <f>HYPERLINK("http://www.ncbi.nlm.nih.gov/protein/9789995","Stmn1")</f>
        <v>Stmn1</v>
      </c>
      <c r="B7263" s="4"/>
      <c r="C7263" s="3">
        <v>2947</v>
      </c>
      <c r="D7263" s="3">
        <v>1376</v>
      </c>
      <c r="E7263" s="3">
        <v>5550</v>
      </c>
      <c r="F7263" s="3">
        <v>1359</v>
      </c>
      <c r="G7263" s="3">
        <v>78329</v>
      </c>
      <c r="H7263" s="2">
        <f t="shared" si="226"/>
        <v>89561</v>
      </c>
      <c r="I7263" t="str">
        <f t="shared" si="227"/>
        <v>Stmn1_89561</v>
      </c>
      <c r="J7263" s="3">
        <v>2947</v>
      </c>
      <c r="K7263" s="3">
        <v>1376</v>
      </c>
      <c r="L7263" s="3">
        <v>5550</v>
      </c>
      <c r="M7263" s="3">
        <v>1359</v>
      </c>
      <c r="N7263" s="3">
        <v>78329</v>
      </c>
    </row>
    <row r="7264" spans="1:14" x14ac:dyDescent="0.2">
      <c r="A7264" s="5" t="str">
        <f>HYPERLINK("http://www.ncbi.nlm.nih.gov/protein/13384630","Stmn2")</f>
        <v>Stmn2</v>
      </c>
      <c r="B7264" s="4"/>
      <c r="C7264" s="3">
        <v>0</v>
      </c>
      <c r="D7264" s="3">
        <v>779</v>
      </c>
      <c r="E7264" s="3">
        <v>3941</v>
      </c>
      <c r="F7264" s="3">
        <v>0</v>
      </c>
      <c r="G7264" s="3">
        <v>45590</v>
      </c>
      <c r="H7264" s="2">
        <f t="shared" si="226"/>
        <v>50310</v>
      </c>
      <c r="I7264" t="str">
        <f t="shared" si="227"/>
        <v>Stmn2_50310</v>
      </c>
      <c r="J7264" s="3">
        <v>0</v>
      </c>
      <c r="K7264" s="3">
        <v>779</v>
      </c>
      <c r="L7264" s="3">
        <v>3941</v>
      </c>
      <c r="M7264" s="3">
        <v>0</v>
      </c>
      <c r="N7264" s="3">
        <v>45590</v>
      </c>
    </row>
    <row r="7265" spans="1:14" x14ac:dyDescent="0.2">
      <c r="A7265" s="5" t="str">
        <f>HYPERLINK("http://www.ncbi.nlm.nih.gov/protein/9790189","Stmn4")</f>
        <v>Stmn4</v>
      </c>
      <c r="B7265" s="4"/>
      <c r="C7265" s="3">
        <v>0</v>
      </c>
      <c r="D7265" s="3">
        <v>0</v>
      </c>
      <c r="E7265" s="3">
        <v>0</v>
      </c>
      <c r="F7265" s="3">
        <v>0</v>
      </c>
      <c r="G7265" s="3">
        <v>64</v>
      </c>
      <c r="H7265" s="2">
        <f t="shared" si="226"/>
        <v>64</v>
      </c>
      <c r="I7265" t="str">
        <f t="shared" si="227"/>
        <v>Stmn4_64</v>
      </c>
      <c r="J7265" s="3">
        <v>0</v>
      </c>
      <c r="K7265" s="3">
        <v>0</v>
      </c>
      <c r="L7265" s="3">
        <v>0</v>
      </c>
      <c r="M7265" s="3">
        <v>0</v>
      </c>
      <c r="N7265" s="3">
        <v>64</v>
      </c>
    </row>
    <row r="7266" spans="1:14" x14ac:dyDescent="0.2">
      <c r="A7266" s="5" t="str">
        <f>HYPERLINK("http://www.ncbi.nlm.nih.gov/protein/7710018","Stom")</f>
        <v>Stom</v>
      </c>
      <c r="B7266" s="4"/>
      <c r="C7266" s="3">
        <v>0</v>
      </c>
      <c r="D7266" s="3">
        <v>0</v>
      </c>
      <c r="E7266" s="3">
        <v>0</v>
      </c>
      <c r="F7266" s="3">
        <v>0</v>
      </c>
      <c r="G7266" s="3">
        <v>107</v>
      </c>
      <c r="H7266" s="2">
        <f t="shared" si="226"/>
        <v>107</v>
      </c>
      <c r="I7266" t="str">
        <f t="shared" si="227"/>
        <v>Stom_107</v>
      </c>
      <c r="J7266" s="3">
        <v>0</v>
      </c>
      <c r="K7266" s="3">
        <v>0</v>
      </c>
      <c r="L7266" s="3">
        <v>0</v>
      </c>
      <c r="M7266" s="3">
        <v>0</v>
      </c>
      <c r="N7266" s="3">
        <v>107</v>
      </c>
    </row>
    <row r="7267" spans="1:14" x14ac:dyDescent="0.2">
      <c r="A7267" s="5" t="str">
        <f>HYPERLINK("http://www.ncbi.nlm.nih.gov/protein/12963591","Stoml2")</f>
        <v>Stoml2</v>
      </c>
      <c r="B7267" s="4"/>
      <c r="C7267" s="3">
        <v>39559</v>
      </c>
      <c r="D7267" s="3">
        <v>1503</v>
      </c>
      <c r="E7267" s="3">
        <v>274</v>
      </c>
      <c r="F7267" s="3">
        <v>65</v>
      </c>
      <c r="G7267" s="3">
        <v>0</v>
      </c>
      <c r="H7267" s="2">
        <f t="shared" si="226"/>
        <v>41401</v>
      </c>
      <c r="I7267" t="str">
        <f t="shared" si="227"/>
        <v>Stoml2_41401</v>
      </c>
      <c r="J7267" s="3">
        <v>39559</v>
      </c>
      <c r="K7267" s="3">
        <v>1503</v>
      </c>
      <c r="L7267" s="3">
        <v>274</v>
      </c>
      <c r="M7267" s="3">
        <v>65</v>
      </c>
      <c r="N7267" s="3">
        <v>0</v>
      </c>
    </row>
    <row r="7268" spans="1:14" x14ac:dyDescent="0.2">
      <c r="A7268" s="5" t="str">
        <f>HYPERLINK("http://www.ncbi.nlm.nih.gov/protein/159032010","Ston1")</f>
        <v>Ston1</v>
      </c>
      <c r="B7268" s="4"/>
      <c r="C7268" s="3">
        <v>0</v>
      </c>
      <c r="D7268" s="3">
        <v>0</v>
      </c>
      <c r="E7268" s="3">
        <v>0</v>
      </c>
      <c r="F7268" s="3">
        <v>0</v>
      </c>
      <c r="G7268" s="3">
        <v>675</v>
      </c>
      <c r="H7268" s="2">
        <f t="shared" si="226"/>
        <v>675</v>
      </c>
      <c r="I7268" t="str">
        <f t="shared" si="227"/>
        <v>Ston1_675</v>
      </c>
      <c r="J7268" s="3">
        <v>0</v>
      </c>
      <c r="K7268" s="3">
        <v>0</v>
      </c>
      <c r="L7268" s="3">
        <v>0</v>
      </c>
      <c r="M7268" s="3">
        <v>0</v>
      </c>
      <c r="N7268" s="3">
        <v>675</v>
      </c>
    </row>
    <row r="7269" spans="1:14" x14ac:dyDescent="0.2">
      <c r="A7269" s="5" t="str">
        <f>HYPERLINK("http://www.ncbi.nlm.nih.gov/protein/30425068","Ston2")</f>
        <v>Ston2</v>
      </c>
      <c r="B7269" s="4"/>
      <c r="C7269" s="3">
        <v>0</v>
      </c>
      <c r="D7269" s="3">
        <v>0</v>
      </c>
      <c r="E7269" s="3">
        <v>309</v>
      </c>
      <c r="F7269" s="3">
        <v>0</v>
      </c>
      <c r="G7269" s="3">
        <v>375</v>
      </c>
      <c r="H7269" s="2">
        <f t="shared" si="226"/>
        <v>684</v>
      </c>
      <c r="I7269" t="str">
        <f t="shared" si="227"/>
        <v>Ston2_684</v>
      </c>
      <c r="J7269" s="3">
        <v>0</v>
      </c>
      <c r="K7269" s="3">
        <v>0</v>
      </c>
      <c r="L7269" s="3">
        <v>309</v>
      </c>
      <c r="M7269" s="3">
        <v>0</v>
      </c>
      <c r="N7269" s="3">
        <v>375</v>
      </c>
    </row>
    <row r="7270" spans="1:14" x14ac:dyDescent="0.2">
      <c r="A7270" s="5" t="str">
        <f>HYPERLINK("http://www.ncbi.nlm.nih.gov/protein/160707896","Strap")</f>
        <v>Strap</v>
      </c>
      <c r="B7270" s="4"/>
      <c r="C7270" s="3">
        <v>1080</v>
      </c>
      <c r="D7270" s="3">
        <v>795</v>
      </c>
      <c r="E7270" s="3">
        <v>32329</v>
      </c>
      <c r="F7270" s="3">
        <v>72598</v>
      </c>
      <c r="G7270" s="3">
        <v>67695</v>
      </c>
      <c r="H7270" s="2">
        <f t="shared" si="226"/>
        <v>174497</v>
      </c>
      <c r="I7270" t="str">
        <f t="shared" si="227"/>
        <v>Strap_174497</v>
      </c>
      <c r="J7270" s="3">
        <v>1080</v>
      </c>
      <c r="K7270" s="3">
        <v>795</v>
      </c>
      <c r="L7270" s="3">
        <v>32329</v>
      </c>
      <c r="M7270" s="3">
        <v>72598</v>
      </c>
      <c r="N7270" s="3">
        <v>67695</v>
      </c>
    </row>
    <row r="7271" spans="1:14" x14ac:dyDescent="0.2">
      <c r="A7271" s="5" t="str">
        <f>HYPERLINK("http://www.ncbi.nlm.nih.gov/protein/114842377","Strbp")</f>
        <v>Strbp</v>
      </c>
      <c r="B7271" s="4"/>
      <c r="C7271" s="3">
        <v>0</v>
      </c>
      <c r="D7271" s="3">
        <v>0</v>
      </c>
      <c r="E7271" s="3">
        <v>3601</v>
      </c>
      <c r="F7271" s="3">
        <v>3241</v>
      </c>
      <c r="G7271" s="3">
        <v>0</v>
      </c>
      <c r="H7271" s="2">
        <f t="shared" si="226"/>
        <v>6842</v>
      </c>
      <c r="I7271" t="str">
        <f t="shared" si="227"/>
        <v>Strbp_6842</v>
      </c>
      <c r="J7271" s="3">
        <v>0</v>
      </c>
      <c r="K7271" s="3">
        <v>0</v>
      </c>
      <c r="L7271" s="3">
        <v>3601</v>
      </c>
      <c r="M7271" s="3">
        <v>3241</v>
      </c>
      <c r="N7271" s="3">
        <v>0</v>
      </c>
    </row>
    <row r="7272" spans="1:14" x14ac:dyDescent="0.2">
      <c r="A7272" s="5" t="str">
        <f>HYPERLINK("http://www.ncbi.nlm.nih.gov/protein/169646306","Strip1")</f>
        <v>Strip1</v>
      </c>
      <c r="B7272" s="4"/>
      <c r="C7272" s="3">
        <v>0</v>
      </c>
      <c r="D7272" s="3">
        <v>44</v>
      </c>
      <c r="E7272" s="3">
        <v>67</v>
      </c>
      <c r="F7272" s="3">
        <v>2292</v>
      </c>
      <c r="G7272" s="3">
        <v>0</v>
      </c>
      <c r="H7272" s="2">
        <f t="shared" si="226"/>
        <v>2403</v>
      </c>
      <c r="I7272" t="str">
        <f t="shared" si="227"/>
        <v>Strip1_2403</v>
      </c>
      <c r="J7272" s="3">
        <v>0</v>
      </c>
      <c r="K7272" s="3">
        <v>44</v>
      </c>
      <c r="L7272" s="3">
        <v>67</v>
      </c>
      <c r="M7272" s="3">
        <v>2292</v>
      </c>
      <c r="N7272" s="3">
        <v>0</v>
      </c>
    </row>
    <row r="7273" spans="1:14" x14ac:dyDescent="0.2">
      <c r="A7273" s="5" t="str">
        <f>HYPERLINK("http://www.ncbi.nlm.nih.gov/protein/83627724","Strip2")</f>
        <v>Strip2</v>
      </c>
      <c r="B7273" s="4"/>
      <c r="C7273" s="3">
        <v>0</v>
      </c>
      <c r="D7273" s="3">
        <v>0</v>
      </c>
      <c r="E7273" s="3">
        <v>67</v>
      </c>
      <c r="F7273" s="3">
        <v>2292</v>
      </c>
      <c r="G7273" s="3">
        <v>0</v>
      </c>
      <c r="H7273" s="2">
        <f t="shared" si="226"/>
        <v>2359</v>
      </c>
      <c r="I7273" t="str">
        <f t="shared" si="227"/>
        <v>Strip2_2359</v>
      </c>
      <c r="J7273" s="3">
        <v>0</v>
      </c>
      <c r="K7273" s="3">
        <v>0</v>
      </c>
      <c r="L7273" s="3">
        <v>67</v>
      </c>
      <c r="M7273" s="3">
        <v>2292</v>
      </c>
      <c r="N7273" s="3">
        <v>0</v>
      </c>
    </row>
    <row r="7274" spans="1:14" x14ac:dyDescent="0.2">
      <c r="A7274" s="5" t="str">
        <f>HYPERLINK("http://www.ncbi.nlm.nih.gov/protein/83627727","Strip2")</f>
        <v>Strip2</v>
      </c>
      <c r="B7274" s="4"/>
      <c r="C7274" s="3">
        <v>0</v>
      </c>
      <c r="D7274" s="3">
        <v>0</v>
      </c>
      <c r="E7274" s="3">
        <v>67</v>
      </c>
      <c r="F7274" s="3">
        <v>2292</v>
      </c>
      <c r="G7274" s="3">
        <v>0</v>
      </c>
      <c r="H7274" s="2">
        <f t="shared" si="226"/>
        <v>2359</v>
      </c>
      <c r="I7274" t="str">
        <f t="shared" si="227"/>
        <v>Strip2_2359</v>
      </c>
      <c r="J7274" s="3">
        <v>0</v>
      </c>
      <c r="K7274" s="3">
        <v>0</v>
      </c>
      <c r="L7274" s="3">
        <v>67</v>
      </c>
      <c r="M7274" s="3">
        <v>2292</v>
      </c>
      <c r="N7274" s="3">
        <v>0</v>
      </c>
    </row>
    <row r="7275" spans="1:14" x14ac:dyDescent="0.2">
      <c r="A7275" s="5" t="str">
        <f>HYPERLINK("http://www.ncbi.nlm.nih.gov/protein/61098078","Strn")</f>
        <v>Strn</v>
      </c>
      <c r="B7275" s="4"/>
      <c r="C7275" s="3">
        <v>0</v>
      </c>
      <c r="D7275" s="3">
        <v>530</v>
      </c>
      <c r="E7275" s="3">
        <v>654</v>
      </c>
      <c r="F7275" s="3">
        <v>3512</v>
      </c>
      <c r="G7275" s="3">
        <v>1178</v>
      </c>
      <c r="H7275" s="2">
        <f t="shared" si="226"/>
        <v>5874</v>
      </c>
      <c r="I7275" t="str">
        <f t="shared" si="227"/>
        <v>Strn_5874</v>
      </c>
      <c r="J7275" s="3">
        <v>0</v>
      </c>
      <c r="K7275" s="3">
        <v>530</v>
      </c>
      <c r="L7275" s="3">
        <v>654</v>
      </c>
      <c r="M7275" s="3">
        <v>3512</v>
      </c>
      <c r="N7275" s="3">
        <v>1178</v>
      </c>
    </row>
    <row r="7276" spans="1:14" x14ac:dyDescent="0.2">
      <c r="A7276" s="5" t="str">
        <f>HYPERLINK("http://www.ncbi.nlm.nih.gov/protein/16418469","Strn3")</f>
        <v>Strn3</v>
      </c>
      <c r="B7276" s="4"/>
      <c r="C7276" s="3">
        <v>0</v>
      </c>
      <c r="D7276" s="3">
        <v>349</v>
      </c>
      <c r="E7276" s="3">
        <v>86</v>
      </c>
      <c r="F7276" s="3">
        <v>12336</v>
      </c>
      <c r="G7276" s="3">
        <v>1274</v>
      </c>
      <c r="H7276" s="2">
        <f t="shared" si="226"/>
        <v>14045</v>
      </c>
      <c r="I7276" t="str">
        <f t="shared" si="227"/>
        <v>Strn3_14045</v>
      </c>
      <c r="J7276" s="3">
        <v>0</v>
      </c>
      <c r="K7276" s="3">
        <v>349</v>
      </c>
      <c r="L7276" s="3">
        <v>86</v>
      </c>
      <c r="M7276" s="3">
        <v>12336</v>
      </c>
      <c r="N7276" s="3">
        <v>1274</v>
      </c>
    </row>
    <row r="7277" spans="1:14" x14ac:dyDescent="0.2">
      <c r="A7277" s="5" t="str">
        <f>HYPERLINK("http://www.ncbi.nlm.nih.gov/protein/285402377","Strn3")</f>
        <v>Strn3</v>
      </c>
      <c r="B7277" s="4"/>
      <c r="C7277" s="3">
        <v>0</v>
      </c>
      <c r="D7277" s="3">
        <v>349</v>
      </c>
      <c r="E7277" s="3">
        <v>86</v>
      </c>
      <c r="F7277" s="3">
        <v>13817</v>
      </c>
      <c r="G7277" s="3">
        <v>1274</v>
      </c>
      <c r="H7277" s="2">
        <f t="shared" si="226"/>
        <v>15526</v>
      </c>
      <c r="I7277" t="str">
        <f t="shared" si="227"/>
        <v>Strn3_15526</v>
      </c>
      <c r="J7277" s="3">
        <v>0</v>
      </c>
      <c r="K7277" s="3">
        <v>349</v>
      </c>
      <c r="L7277" s="3">
        <v>86</v>
      </c>
      <c r="M7277" s="3">
        <v>13817</v>
      </c>
      <c r="N7277" s="3">
        <v>1274</v>
      </c>
    </row>
    <row r="7278" spans="1:14" x14ac:dyDescent="0.2">
      <c r="A7278" s="5" t="str">
        <f>HYPERLINK("http://www.ncbi.nlm.nih.gov/protein/89886482","Strn4")</f>
        <v>Strn4</v>
      </c>
      <c r="B7278" s="4"/>
      <c r="C7278" s="3">
        <v>0</v>
      </c>
      <c r="D7278" s="3">
        <v>0</v>
      </c>
      <c r="E7278" s="3">
        <v>288</v>
      </c>
      <c r="F7278" s="3">
        <v>33</v>
      </c>
      <c r="G7278" s="3">
        <v>364</v>
      </c>
      <c r="H7278" s="2">
        <f t="shared" si="226"/>
        <v>685</v>
      </c>
      <c r="I7278" t="str">
        <f t="shared" si="227"/>
        <v>Strn4_685</v>
      </c>
      <c r="J7278" s="3">
        <v>0</v>
      </c>
      <c r="K7278" s="3">
        <v>0</v>
      </c>
      <c r="L7278" s="3">
        <v>288</v>
      </c>
      <c r="M7278" s="3">
        <v>33</v>
      </c>
      <c r="N7278" s="3">
        <v>364</v>
      </c>
    </row>
    <row r="7279" spans="1:14" x14ac:dyDescent="0.2">
      <c r="A7279" s="5" t="str">
        <f>HYPERLINK("http://www.ncbi.nlm.nih.gov/protein/89886486","Strn4")</f>
        <v>Strn4</v>
      </c>
      <c r="B7279" s="4"/>
      <c r="C7279" s="3">
        <v>0</v>
      </c>
      <c r="D7279" s="3">
        <v>0</v>
      </c>
      <c r="E7279" s="3">
        <v>288</v>
      </c>
      <c r="F7279" s="3">
        <v>33</v>
      </c>
      <c r="G7279" s="3">
        <v>364</v>
      </c>
      <c r="H7279" s="2">
        <f t="shared" si="226"/>
        <v>685</v>
      </c>
      <c r="I7279" t="str">
        <f t="shared" si="227"/>
        <v>Strn4_685</v>
      </c>
      <c r="J7279" s="3">
        <v>0</v>
      </c>
      <c r="K7279" s="3">
        <v>0</v>
      </c>
      <c r="L7279" s="3">
        <v>288</v>
      </c>
      <c r="M7279" s="3">
        <v>33</v>
      </c>
      <c r="N7279" s="3">
        <v>364</v>
      </c>
    </row>
    <row r="7280" spans="1:14" x14ac:dyDescent="0.2">
      <c r="A7280" s="5" t="str">
        <f>HYPERLINK("http://www.ncbi.nlm.nih.gov/protein/148747128","Stt3a")</f>
        <v>Stt3a</v>
      </c>
      <c r="B7280" s="4"/>
      <c r="C7280" s="3">
        <v>8421</v>
      </c>
      <c r="D7280" s="3">
        <v>9456</v>
      </c>
      <c r="E7280" s="3">
        <v>7941</v>
      </c>
      <c r="F7280" s="3">
        <v>0</v>
      </c>
      <c r="G7280" s="3">
        <v>0</v>
      </c>
      <c r="H7280" s="2">
        <f t="shared" si="226"/>
        <v>25818</v>
      </c>
      <c r="I7280" t="str">
        <f t="shared" si="227"/>
        <v>Stt3a_25818</v>
      </c>
      <c r="J7280" s="3">
        <v>8421</v>
      </c>
      <c r="K7280" s="3">
        <v>9456</v>
      </c>
      <c r="L7280" s="3">
        <v>7941</v>
      </c>
      <c r="M7280" s="3">
        <v>0</v>
      </c>
      <c r="N7280" s="3">
        <v>0</v>
      </c>
    </row>
    <row r="7281" spans="1:14" x14ac:dyDescent="0.2">
      <c r="A7281" s="5" t="str">
        <f>HYPERLINK("http://www.ncbi.nlm.nih.gov/protein/61651673","Stt3b")</f>
        <v>Stt3b</v>
      </c>
      <c r="B7281" s="4"/>
      <c r="C7281" s="3">
        <v>0</v>
      </c>
      <c r="D7281" s="3">
        <v>3559</v>
      </c>
      <c r="E7281" s="3">
        <v>4185</v>
      </c>
      <c r="F7281" s="3">
        <v>0</v>
      </c>
      <c r="G7281" s="3">
        <v>0</v>
      </c>
      <c r="H7281" s="2">
        <f t="shared" si="226"/>
        <v>7744</v>
      </c>
      <c r="I7281" t="str">
        <f t="shared" si="227"/>
        <v>Stt3b_7744</v>
      </c>
      <c r="J7281" s="3">
        <v>0</v>
      </c>
      <c r="K7281" s="3">
        <v>3559</v>
      </c>
      <c r="L7281" s="3">
        <v>4185</v>
      </c>
      <c r="M7281" s="3">
        <v>0</v>
      </c>
      <c r="N7281" s="3">
        <v>0</v>
      </c>
    </row>
    <row r="7282" spans="1:14" x14ac:dyDescent="0.2">
      <c r="A7282" s="5" t="str">
        <f>HYPERLINK("http://www.ncbi.nlm.nih.gov/protein/9789907","Stub1")</f>
        <v>Stub1</v>
      </c>
      <c r="B7282" s="4"/>
      <c r="C7282" s="3">
        <v>0</v>
      </c>
      <c r="D7282" s="3">
        <v>3987</v>
      </c>
      <c r="E7282" s="3">
        <v>3142</v>
      </c>
      <c r="F7282" s="3">
        <v>24409</v>
      </c>
      <c r="G7282" s="3">
        <v>29890</v>
      </c>
      <c r="H7282" s="2">
        <f t="shared" si="226"/>
        <v>61428</v>
      </c>
      <c r="I7282" t="str">
        <f t="shared" si="227"/>
        <v>Stub1_61428</v>
      </c>
      <c r="J7282" s="3">
        <v>0</v>
      </c>
      <c r="K7282" s="3">
        <v>3987</v>
      </c>
      <c r="L7282" s="3">
        <v>3142</v>
      </c>
      <c r="M7282" s="3">
        <v>24409</v>
      </c>
      <c r="N7282" s="3">
        <v>29890</v>
      </c>
    </row>
    <row r="7283" spans="1:14" x14ac:dyDescent="0.2">
      <c r="A7283" s="5" t="str">
        <f>HYPERLINK("http://www.ncbi.nlm.nih.gov/protein/19527102","Stx12")</f>
        <v>Stx12</v>
      </c>
      <c r="B7283" s="4"/>
      <c r="C7283" s="3">
        <v>9025</v>
      </c>
      <c r="D7283" s="3">
        <v>4403</v>
      </c>
      <c r="E7283" s="3">
        <v>3967</v>
      </c>
      <c r="F7283" s="3">
        <v>4723</v>
      </c>
      <c r="G7283" s="3">
        <v>375</v>
      </c>
      <c r="H7283" s="2">
        <f t="shared" si="226"/>
        <v>22493</v>
      </c>
      <c r="I7283" t="str">
        <f t="shared" si="227"/>
        <v>Stx12_22493</v>
      </c>
      <c r="J7283" s="3">
        <v>9025</v>
      </c>
      <c r="K7283" s="3">
        <v>4403</v>
      </c>
      <c r="L7283" s="3">
        <v>3967</v>
      </c>
      <c r="M7283" s="3">
        <v>4723</v>
      </c>
      <c r="N7283" s="3">
        <v>375</v>
      </c>
    </row>
    <row r="7284" spans="1:14" x14ac:dyDescent="0.2">
      <c r="A7284" s="5" t="str">
        <f>HYPERLINK("http://www.ncbi.nlm.nih.gov/protein/156231057","Stx16")</f>
        <v>Stx16</v>
      </c>
      <c r="B7284" s="4"/>
      <c r="C7284" s="3">
        <v>0</v>
      </c>
      <c r="D7284" s="3">
        <v>13</v>
      </c>
      <c r="E7284" s="3">
        <v>1895</v>
      </c>
      <c r="F7284" s="3">
        <v>999</v>
      </c>
      <c r="G7284" s="3">
        <v>0</v>
      </c>
      <c r="H7284" s="2">
        <f t="shared" si="226"/>
        <v>2907</v>
      </c>
      <c r="I7284" t="str">
        <f t="shared" si="227"/>
        <v>Stx16_2907</v>
      </c>
      <c r="J7284" s="3">
        <v>0</v>
      </c>
      <c r="K7284" s="3">
        <v>13</v>
      </c>
      <c r="L7284" s="3">
        <v>1895</v>
      </c>
      <c r="M7284" s="3">
        <v>999</v>
      </c>
      <c r="N7284" s="3">
        <v>0</v>
      </c>
    </row>
    <row r="7285" spans="1:14" x14ac:dyDescent="0.2">
      <c r="A7285" s="5" t="str">
        <f>HYPERLINK("http://www.ncbi.nlm.nih.gov/protein/156231059","Stx16")</f>
        <v>Stx16</v>
      </c>
      <c r="B7285" s="4"/>
      <c r="C7285" s="3">
        <v>0</v>
      </c>
      <c r="D7285" s="3">
        <v>13</v>
      </c>
      <c r="E7285" s="3">
        <v>1895</v>
      </c>
      <c r="F7285" s="3">
        <v>999</v>
      </c>
      <c r="G7285" s="3">
        <v>0</v>
      </c>
      <c r="H7285" s="2">
        <f t="shared" si="226"/>
        <v>2907</v>
      </c>
      <c r="I7285" t="str">
        <f t="shared" si="227"/>
        <v>Stx16_2907</v>
      </c>
      <c r="J7285" s="3">
        <v>0</v>
      </c>
      <c r="K7285" s="3">
        <v>13</v>
      </c>
      <c r="L7285" s="3">
        <v>1895</v>
      </c>
      <c r="M7285" s="3">
        <v>999</v>
      </c>
      <c r="N7285" s="3">
        <v>0</v>
      </c>
    </row>
    <row r="7286" spans="1:14" x14ac:dyDescent="0.2">
      <c r="A7286" s="5" t="str">
        <f>HYPERLINK("http://www.ncbi.nlm.nih.gov/protein/156231061","Stx16")</f>
        <v>Stx16</v>
      </c>
      <c r="B7286" s="4"/>
      <c r="C7286" s="3">
        <v>0</v>
      </c>
      <c r="D7286" s="3">
        <v>13</v>
      </c>
      <c r="E7286" s="3">
        <v>1895</v>
      </c>
      <c r="F7286" s="3">
        <v>999</v>
      </c>
      <c r="G7286" s="3">
        <v>0</v>
      </c>
      <c r="H7286" s="2">
        <f t="shared" si="226"/>
        <v>2907</v>
      </c>
      <c r="I7286" t="str">
        <f t="shared" si="227"/>
        <v>Stx16_2907</v>
      </c>
      <c r="J7286" s="3">
        <v>0</v>
      </c>
      <c r="K7286" s="3">
        <v>13</v>
      </c>
      <c r="L7286" s="3">
        <v>1895</v>
      </c>
      <c r="M7286" s="3">
        <v>999</v>
      </c>
      <c r="N7286" s="3">
        <v>0</v>
      </c>
    </row>
    <row r="7287" spans="1:14" x14ac:dyDescent="0.2">
      <c r="A7287" s="5" t="str">
        <f>HYPERLINK("http://www.ncbi.nlm.nih.gov/protein/156231063","Stx16")</f>
        <v>Stx16</v>
      </c>
      <c r="B7287" s="4"/>
      <c r="C7287" s="3">
        <v>0</v>
      </c>
      <c r="D7287" s="3">
        <v>13</v>
      </c>
      <c r="E7287" s="3">
        <v>1895</v>
      </c>
      <c r="F7287" s="3">
        <v>999</v>
      </c>
      <c r="G7287" s="3">
        <v>0</v>
      </c>
      <c r="H7287" s="2">
        <f t="shared" si="226"/>
        <v>2907</v>
      </c>
      <c r="I7287" t="str">
        <f t="shared" si="227"/>
        <v>Stx16_2907</v>
      </c>
      <c r="J7287" s="3">
        <v>0</v>
      </c>
      <c r="K7287" s="3">
        <v>13</v>
      </c>
      <c r="L7287" s="3">
        <v>1895</v>
      </c>
      <c r="M7287" s="3">
        <v>999</v>
      </c>
      <c r="N7287" s="3">
        <v>0</v>
      </c>
    </row>
    <row r="7288" spans="1:14" x14ac:dyDescent="0.2">
      <c r="A7288" s="5" t="str">
        <f>HYPERLINK("http://www.ncbi.nlm.nih.gov/protein/84579893","Stx17")</f>
        <v>Stx17</v>
      </c>
      <c r="B7288" s="4"/>
      <c r="C7288" s="3">
        <v>0</v>
      </c>
      <c r="D7288" s="3">
        <v>205</v>
      </c>
      <c r="E7288" s="3">
        <v>0</v>
      </c>
      <c r="F7288" s="3">
        <v>0</v>
      </c>
      <c r="G7288" s="3">
        <v>0</v>
      </c>
      <c r="H7288" s="2">
        <f t="shared" si="226"/>
        <v>205</v>
      </c>
      <c r="I7288" t="str">
        <f t="shared" si="227"/>
        <v>Stx17_205</v>
      </c>
      <c r="J7288" s="3">
        <v>0</v>
      </c>
      <c r="K7288" s="3">
        <v>205</v>
      </c>
      <c r="L7288" s="3">
        <v>0</v>
      </c>
      <c r="M7288" s="3">
        <v>0</v>
      </c>
      <c r="N7288" s="3">
        <v>0</v>
      </c>
    </row>
    <row r="7289" spans="1:14" x14ac:dyDescent="0.2">
      <c r="A7289" s="5" t="str">
        <f>HYPERLINK("http://www.ncbi.nlm.nih.gov/protein/77736535","Stx18")</f>
        <v>Stx18</v>
      </c>
      <c r="B7289" s="4"/>
      <c r="C7289" s="3">
        <v>0</v>
      </c>
      <c r="D7289" s="3">
        <v>38</v>
      </c>
      <c r="E7289" s="3">
        <v>0</v>
      </c>
      <c r="F7289" s="3">
        <v>0</v>
      </c>
      <c r="G7289" s="3">
        <v>0</v>
      </c>
      <c r="H7289" s="2">
        <f t="shared" si="226"/>
        <v>38</v>
      </c>
      <c r="I7289" t="str">
        <f t="shared" si="227"/>
        <v>Stx18_38</v>
      </c>
      <c r="J7289" s="3">
        <v>0</v>
      </c>
      <c r="K7289" s="3">
        <v>38</v>
      </c>
      <c r="L7289" s="3">
        <v>0</v>
      </c>
      <c r="M7289" s="3">
        <v>0</v>
      </c>
      <c r="N7289" s="3">
        <v>0</v>
      </c>
    </row>
    <row r="7290" spans="1:14" x14ac:dyDescent="0.2">
      <c r="A7290" s="5" t="str">
        <f>HYPERLINK("http://www.ncbi.nlm.nih.gov/protein/22726207","Stx3")</f>
        <v>Stx3</v>
      </c>
      <c r="B7290" s="4"/>
      <c r="C7290" s="3">
        <v>0</v>
      </c>
      <c r="D7290" s="3">
        <v>1102</v>
      </c>
      <c r="E7290" s="3">
        <v>2425</v>
      </c>
      <c r="F7290" s="3">
        <v>0</v>
      </c>
      <c r="G7290" s="3">
        <v>0</v>
      </c>
      <c r="H7290" s="2">
        <f t="shared" si="226"/>
        <v>3527</v>
      </c>
      <c r="I7290" t="str">
        <f t="shared" si="227"/>
        <v>Stx3_3527</v>
      </c>
      <c r="J7290" s="3">
        <v>0</v>
      </c>
      <c r="K7290" s="3">
        <v>1102</v>
      </c>
      <c r="L7290" s="3">
        <v>2425</v>
      </c>
      <c r="M7290" s="3">
        <v>0</v>
      </c>
      <c r="N7290" s="3">
        <v>0</v>
      </c>
    </row>
    <row r="7291" spans="1:14" x14ac:dyDescent="0.2">
      <c r="A7291" s="5" t="str">
        <f>HYPERLINK("http://www.ncbi.nlm.nih.gov/protein/70778802","Stx3")</f>
        <v>Stx3</v>
      </c>
      <c r="B7291" s="4"/>
      <c r="C7291" s="3">
        <v>0</v>
      </c>
      <c r="D7291" s="3">
        <v>2417</v>
      </c>
      <c r="E7291" s="3">
        <v>2973</v>
      </c>
      <c r="F7291" s="3">
        <v>0</v>
      </c>
      <c r="G7291" s="3">
        <v>0</v>
      </c>
      <c r="H7291" s="2">
        <f t="shared" si="226"/>
        <v>5390</v>
      </c>
      <c r="I7291" t="str">
        <f t="shared" si="227"/>
        <v>Stx3_5390</v>
      </c>
      <c r="J7291" s="3">
        <v>0</v>
      </c>
      <c r="K7291" s="3">
        <v>2417</v>
      </c>
      <c r="L7291" s="3">
        <v>2973</v>
      </c>
      <c r="M7291" s="3">
        <v>0</v>
      </c>
      <c r="N7291" s="3">
        <v>0</v>
      </c>
    </row>
    <row r="7292" spans="1:14" x14ac:dyDescent="0.2">
      <c r="A7292" s="5" t="str">
        <f>HYPERLINK("http://www.ncbi.nlm.nih.gov/protein/70778911","Stx3")</f>
        <v>Stx3</v>
      </c>
      <c r="B7292" s="4"/>
      <c r="C7292" s="3">
        <v>0</v>
      </c>
      <c r="D7292" s="3">
        <v>2417</v>
      </c>
      <c r="E7292" s="3">
        <v>2973</v>
      </c>
      <c r="F7292" s="3">
        <v>0</v>
      </c>
      <c r="G7292" s="3">
        <v>0</v>
      </c>
      <c r="H7292" s="2">
        <f t="shared" si="226"/>
        <v>5390</v>
      </c>
      <c r="I7292" t="str">
        <f t="shared" si="227"/>
        <v>Stx3_5390</v>
      </c>
      <c r="J7292" s="3">
        <v>0</v>
      </c>
      <c r="K7292" s="3">
        <v>2417</v>
      </c>
      <c r="L7292" s="3">
        <v>2973</v>
      </c>
      <c r="M7292" s="3">
        <v>0</v>
      </c>
      <c r="N7292" s="3">
        <v>0</v>
      </c>
    </row>
    <row r="7293" spans="1:14" x14ac:dyDescent="0.2">
      <c r="A7293" s="5" t="str">
        <f>HYPERLINK("http://www.ncbi.nlm.nih.gov/protein/6678177","Stx4a")</f>
        <v>Stx4a</v>
      </c>
      <c r="B7293" s="4"/>
      <c r="C7293" s="3">
        <v>0</v>
      </c>
      <c r="D7293" s="3">
        <v>6375</v>
      </c>
      <c r="E7293" s="3">
        <v>8413</v>
      </c>
      <c r="F7293" s="3">
        <v>483</v>
      </c>
      <c r="G7293" s="3">
        <v>0</v>
      </c>
      <c r="H7293" s="2">
        <f t="shared" si="226"/>
        <v>15271</v>
      </c>
      <c r="I7293" t="str">
        <f t="shared" si="227"/>
        <v>Stx4a_15271</v>
      </c>
      <c r="J7293" s="3">
        <v>0</v>
      </c>
      <c r="K7293" s="3">
        <v>6375</v>
      </c>
      <c r="L7293" s="3">
        <v>8413</v>
      </c>
      <c r="M7293" s="3">
        <v>483</v>
      </c>
      <c r="N7293" s="3">
        <v>0</v>
      </c>
    </row>
    <row r="7294" spans="1:14" x14ac:dyDescent="0.2">
      <c r="A7294" s="5" t="str">
        <f>HYPERLINK("http://www.ncbi.nlm.nih.gov/protein/268370185;268370181","Stx5a")</f>
        <v>Stx5a</v>
      </c>
      <c r="B7294" s="4"/>
      <c r="C7294" s="3">
        <v>0</v>
      </c>
      <c r="D7294" s="3">
        <v>0</v>
      </c>
      <c r="E7294" s="3">
        <v>966</v>
      </c>
      <c r="F7294" s="3">
        <v>0</v>
      </c>
      <c r="G7294" s="3">
        <v>0</v>
      </c>
      <c r="H7294" s="2">
        <f t="shared" si="226"/>
        <v>966</v>
      </c>
      <c r="I7294" t="str">
        <f t="shared" si="227"/>
        <v>Stx5a_966</v>
      </c>
      <c r="J7294" s="3">
        <v>0</v>
      </c>
      <c r="K7294" s="3">
        <v>0</v>
      </c>
      <c r="L7294" s="3">
        <v>966</v>
      </c>
      <c r="M7294" s="3">
        <v>0</v>
      </c>
      <c r="N7294" s="3">
        <v>0</v>
      </c>
    </row>
    <row r="7295" spans="1:14" x14ac:dyDescent="0.2">
      <c r="A7295" s="5" t="str">
        <f>HYPERLINK("http://www.ncbi.nlm.nih.gov/protein/268370181;268370185","Stx5a")</f>
        <v>Stx5a</v>
      </c>
      <c r="B7295" s="4"/>
      <c r="C7295" s="3">
        <v>0</v>
      </c>
      <c r="D7295" s="3">
        <v>2144</v>
      </c>
      <c r="E7295" s="3">
        <v>0</v>
      </c>
      <c r="F7295" s="3">
        <v>1596</v>
      </c>
      <c r="G7295" s="3">
        <v>0</v>
      </c>
      <c r="H7295" s="2">
        <f t="shared" si="226"/>
        <v>3740</v>
      </c>
      <c r="I7295" t="str">
        <f t="shared" si="227"/>
        <v>Stx5a_3740</v>
      </c>
      <c r="J7295" s="3">
        <v>0</v>
      </c>
      <c r="K7295" s="3">
        <v>2144</v>
      </c>
      <c r="L7295" s="3">
        <v>0</v>
      </c>
      <c r="M7295" s="3">
        <v>1596</v>
      </c>
      <c r="N7295" s="3">
        <v>0</v>
      </c>
    </row>
    <row r="7296" spans="1:14" x14ac:dyDescent="0.2">
      <c r="A7296" s="5" t="str">
        <f>HYPERLINK("http://www.ncbi.nlm.nih.gov/protein/10946800","Stx6")</f>
        <v>Stx6</v>
      </c>
      <c r="B7296" s="4"/>
      <c r="C7296" s="3">
        <v>0</v>
      </c>
      <c r="D7296" s="3">
        <v>3021</v>
      </c>
      <c r="E7296" s="3">
        <v>2082</v>
      </c>
      <c r="F7296" s="3">
        <v>237</v>
      </c>
      <c r="G7296" s="3">
        <v>0</v>
      </c>
      <c r="H7296" s="2">
        <f t="shared" si="226"/>
        <v>5340</v>
      </c>
      <c r="I7296" t="str">
        <f t="shared" si="227"/>
        <v>Stx6_5340</v>
      </c>
      <c r="J7296" s="3">
        <v>0</v>
      </c>
      <c r="K7296" s="3">
        <v>3021</v>
      </c>
      <c r="L7296" s="3">
        <v>2082</v>
      </c>
      <c r="M7296" s="3">
        <v>237</v>
      </c>
      <c r="N7296" s="3">
        <v>0</v>
      </c>
    </row>
    <row r="7297" spans="1:14" x14ac:dyDescent="0.2">
      <c r="A7297" s="5" t="str">
        <f>HYPERLINK("http://www.ncbi.nlm.nih.gov/protein/31560462","Stx7")</f>
        <v>Stx7</v>
      </c>
      <c r="B7297" s="4"/>
      <c r="C7297" s="3">
        <v>35422</v>
      </c>
      <c r="D7297" s="3">
        <v>7826</v>
      </c>
      <c r="E7297" s="3">
        <v>15069</v>
      </c>
      <c r="F7297" s="3">
        <v>16003</v>
      </c>
      <c r="G7297" s="3">
        <v>6158</v>
      </c>
      <c r="H7297" s="2">
        <f t="shared" si="226"/>
        <v>80478</v>
      </c>
      <c r="I7297" t="str">
        <f t="shared" si="227"/>
        <v>Stx7_80478</v>
      </c>
      <c r="J7297" s="3">
        <v>35422</v>
      </c>
      <c r="K7297" s="3">
        <v>7826</v>
      </c>
      <c r="L7297" s="3">
        <v>15069</v>
      </c>
      <c r="M7297" s="3">
        <v>16003</v>
      </c>
      <c r="N7297" s="3">
        <v>6158</v>
      </c>
    </row>
    <row r="7298" spans="1:14" x14ac:dyDescent="0.2">
      <c r="A7298" s="5" t="str">
        <f>HYPERLINK("http://www.ncbi.nlm.nih.gov/protein/9055356","Stx8")</f>
        <v>Stx8</v>
      </c>
      <c r="B7298" s="4"/>
      <c r="C7298" s="3">
        <v>604</v>
      </c>
      <c r="D7298" s="3">
        <v>1376</v>
      </c>
      <c r="E7298" s="3">
        <v>0</v>
      </c>
      <c r="F7298" s="3">
        <v>0</v>
      </c>
      <c r="G7298" s="3">
        <v>0</v>
      </c>
      <c r="H7298" s="2">
        <f t="shared" ref="H7298:H7361" si="228">SUM(C7298:G7298)</f>
        <v>1980</v>
      </c>
      <c r="I7298" t="str">
        <f t="shared" ref="I7298:I7361" si="229">A7298&amp;"_"&amp;H7298</f>
        <v>Stx8_1980</v>
      </c>
      <c r="J7298" s="3">
        <v>604</v>
      </c>
      <c r="K7298" s="3">
        <v>1376</v>
      </c>
      <c r="L7298" s="3">
        <v>0</v>
      </c>
      <c r="M7298" s="3">
        <v>0</v>
      </c>
      <c r="N7298" s="3">
        <v>0</v>
      </c>
    </row>
    <row r="7299" spans="1:14" x14ac:dyDescent="0.2">
      <c r="A7299" s="5" t="str">
        <f>HYPERLINK("http://www.ncbi.nlm.nih.gov/protein/165972305","Stxbp1")</f>
        <v>Stxbp1</v>
      </c>
      <c r="B7299" s="4"/>
      <c r="C7299" s="3">
        <v>0</v>
      </c>
      <c r="D7299" s="3">
        <v>2</v>
      </c>
      <c r="E7299" s="3">
        <v>505</v>
      </c>
      <c r="F7299" s="3">
        <v>0</v>
      </c>
      <c r="G7299" s="3">
        <v>0</v>
      </c>
      <c r="H7299" s="2">
        <f t="shared" si="228"/>
        <v>507</v>
      </c>
      <c r="I7299" t="str">
        <f t="shared" si="229"/>
        <v>Stxbp1_507</v>
      </c>
      <c r="J7299" s="3">
        <v>0</v>
      </c>
      <c r="K7299" s="3">
        <v>2</v>
      </c>
      <c r="L7299" s="3">
        <v>505</v>
      </c>
      <c r="M7299" s="3">
        <v>0</v>
      </c>
      <c r="N7299" s="3">
        <v>0</v>
      </c>
    </row>
    <row r="7300" spans="1:14" x14ac:dyDescent="0.2">
      <c r="A7300" s="5" t="str">
        <f>HYPERLINK("http://www.ncbi.nlm.nih.gov/protein/165972307","Stxbp1")</f>
        <v>Stxbp1</v>
      </c>
      <c r="B7300" s="4"/>
      <c r="C7300" s="3">
        <v>0</v>
      </c>
      <c r="D7300" s="3">
        <v>2</v>
      </c>
      <c r="E7300" s="3">
        <v>505</v>
      </c>
      <c r="F7300" s="3">
        <v>0</v>
      </c>
      <c r="G7300" s="3">
        <v>0</v>
      </c>
      <c r="H7300" s="2">
        <f t="shared" si="228"/>
        <v>507</v>
      </c>
      <c r="I7300" t="str">
        <f t="shared" si="229"/>
        <v>Stxbp1_507</v>
      </c>
      <c r="J7300" s="3">
        <v>0</v>
      </c>
      <c r="K7300" s="3">
        <v>2</v>
      </c>
      <c r="L7300" s="3">
        <v>505</v>
      </c>
      <c r="M7300" s="3">
        <v>0</v>
      </c>
      <c r="N7300" s="3">
        <v>0</v>
      </c>
    </row>
    <row r="7301" spans="1:14" x14ac:dyDescent="0.2">
      <c r="A7301" s="5" t="str">
        <f>HYPERLINK("http://www.ncbi.nlm.nih.gov/protein/6755688","Stxbp2")</f>
        <v>Stxbp2</v>
      </c>
      <c r="B7301" s="4"/>
      <c r="C7301" s="3">
        <v>1446</v>
      </c>
      <c r="D7301" s="3">
        <v>1050</v>
      </c>
      <c r="E7301" s="3">
        <v>22636</v>
      </c>
      <c r="F7301" s="3">
        <v>4993</v>
      </c>
      <c r="G7301" s="3">
        <v>9467</v>
      </c>
      <c r="H7301" s="2">
        <f t="shared" si="228"/>
        <v>39592</v>
      </c>
      <c r="I7301" t="str">
        <f t="shared" si="229"/>
        <v>Stxbp2_39592</v>
      </c>
      <c r="J7301" s="3">
        <v>1446</v>
      </c>
      <c r="K7301" s="3">
        <v>1050</v>
      </c>
      <c r="L7301" s="3">
        <v>22636</v>
      </c>
      <c r="M7301" s="3">
        <v>4993</v>
      </c>
      <c r="N7301" s="3">
        <v>9467</v>
      </c>
    </row>
    <row r="7302" spans="1:14" x14ac:dyDescent="0.2">
      <c r="A7302" s="5" t="str">
        <f>HYPERLINK("http://www.ncbi.nlm.nih.gov/protein/6755690","Stxbp3a")</f>
        <v>Stxbp3a</v>
      </c>
      <c r="B7302" s="4"/>
      <c r="C7302" s="3">
        <v>0</v>
      </c>
      <c r="D7302" s="3">
        <v>2639</v>
      </c>
      <c r="E7302" s="3">
        <v>17086</v>
      </c>
      <c r="F7302" s="3">
        <v>0</v>
      </c>
      <c r="G7302" s="3">
        <v>0</v>
      </c>
      <c r="H7302" s="2">
        <f t="shared" si="228"/>
        <v>19725</v>
      </c>
      <c r="I7302" t="str">
        <f t="shared" si="229"/>
        <v>Stxbp3a_19725</v>
      </c>
      <c r="J7302" s="3">
        <v>0</v>
      </c>
      <c r="K7302" s="3">
        <v>2639</v>
      </c>
      <c r="L7302" s="3">
        <v>17086</v>
      </c>
      <c r="M7302" s="3">
        <v>0</v>
      </c>
      <c r="N7302" s="3">
        <v>0</v>
      </c>
    </row>
    <row r="7303" spans="1:14" x14ac:dyDescent="0.2">
      <c r="A7303" s="5" t="str">
        <f>HYPERLINK("http://www.ncbi.nlm.nih.gov/protein/6755692","Stxbp4")</f>
        <v>Stxbp4</v>
      </c>
      <c r="B7303" s="4"/>
      <c r="C7303" s="3">
        <v>0</v>
      </c>
      <c r="D7303" s="3">
        <v>0</v>
      </c>
      <c r="E7303" s="3">
        <v>164</v>
      </c>
      <c r="F7303" s="3">
        <v>0</v>
      </c>
      <c r="G7303" s="3">
        <v>289</v>
      </c>
      <c r="H7303" s="2">
        <f t="shared" si="228"/>
        <v>453</v>
      </c>
      <c r="I7303" t="str">
        <f t="shared" si="229"/>
        <v>Stxbp4_453</v>
      </c>
      <c r="J7303" s="3">
        <v>0</v>
      </c>
      <c r="K7303" s="3">
        <v>0</v>
      </c>
      <c r="L7303" s="3">
        <v>164</v>
      </c>
      <c r="M7303" s="3">
        <v>0</v>
      </c>
      <c r="N7303" s="3">
        <v>289</v>
      </c>
    </row>
    <row r="7304" spans="1:14" x14ac:dyDescent="0.2">
      <c r="A7304" s="5" t="str">
        <f>HYPERLINK("http://www.ncbi.nlm.nih.gov/protein/158749547","Stxbp5")</f>
        <v>Stxbp5</v>
      </c>
      <c r="B7304" s="4"/>
      <c r="C7304" s="3">
        <v>0</v>
      </c>
      <c r="D7304" s="3">
        <v>177</v>
      </c>
      <c r="E7304" s="3">
        <v>29</v>
      </c>
      <c r="F7304" s="3">
        <v>0</v>
      </c>
      <c r="G7304" s="3">
        <v>0</v>
      </c>
      <c r="H7304" s="2">
        <f t="shared" si="228"/>
        <v>206</v>
      </c>
      <c r="I7304" t="str">
        <f t="shared" si="229"/>
        <v>Stxbp5_206</v>
      </c>
      <c r="J7304" s="3">
        <v>0</v>
      </c>
      <c r="K7304" s="3">
        <v>177</v>
      </c>
      <c r="L7304" s="3">
        <v>29</v>
      </c>
      <c r="M7304" s="3">
        <v>0</v>
      </c>
      <c r="N7304" s="3">
        <v>0</v>
      </c>
    </row>
    <row r="7305" spans="1:14" x14ac:dyDescent="0.2">
      <c r="A7305" s="5" t="str">
        <f>HYPERLINK("http://www.ncbi.nlm.nih.gov/protein/308082030","Styxl1")</f>
        <v>Styxl1</v>
      </c>
      <c r="B7305" s="4"/>
      <c r="C7305" s="3">
        <v>0</v>
      </c>
      <c r="D7305" s="3">
        <v>0</v>
      </c>
      <c r="E7305" s="3">
        <v>0</v>
      </c>
      <c r="F7305" s="3">
        <v>0</v>
      </c>
      <c r="G7305" s="3">
        <v>2677</v>
      </c>
      <c r="H7305" s="2">
        <f t="shared" si="228"/>
        <v>2677</v>
      </c>
      <c r="I7305" t="str">
        <f t="shared" si="229"/>
        <v>Styxl1_2677</v>
      </c>
      <c r="J7305" s="3">
        <v>0</v>
      </c>
      <c r="K7305" s="3">
        <v>0</v>
      </c>
      <c r="L7305" s="3">
        <v>0</v>
      </c>
      <c r="M7305" s="3">
        <v>0</v>
      </c>
      <c r="N7305" s="3">
        <v>2677</v>
      </c>
    </row>
    <row r="7306" spans="1:14" x14ac:dyDescent="0.2">
      <c r="A7306" s="5" t="str">
        <f>HYPERLINK("http://www.ncbi.nlm.nih.gov/protein/6755364","Sub1")</f>
        <v>Sub1</v>
      </c>
      <c r="B7306" s="4"/>
      <c r="C7306" s="3">
        <v>36850</v>
      </c>
      <c r="D7306" s="3">
        <v>78430</v>
      </c>
      <c r="E7306" s="3">
        <v>63815</v>
      </c>
      <c r="F7306" s="3">
        <v>22854</v>
      </c>
      <c r="G7306" s="3">
        <v>707</v>
      </c>
      <c r="H7306" s="2">
        <f t="shared" si="228"/>
        <v>202656</v>
      </c>
      <c r="I7306" t="str">
        <f t="shared" si="229"/>
        <v>Sub1_202656</v>
      </c>
      <c r="J7306" s="3">
        <v>36850</v>
      </c>
      <c r="K7306" s="3">
        <v>78430</v>
      </c>
      <c r="L7306" s="3">
        <v>63815</v>
      </c>
      <c r="M7306" s="3">
        <v>22854</v>
      </c>
      <c r="N7306" s="3">
        <v>707</v>
      </c>
    </row>
    <row r="7307" spans="1:14" x14ac:dyDescent="0.2">
      <c r="A7307" s="5" t="str">
        <f>HYPERLINK("http://www.ncbi.nlm.nih.gov/protein/46849708","Sucla2")</f>
        <v>Sucla2</v>
      </c>
      <c r="B7307" s="4"/>
      <c r="C7307" s="3">
        <v>45619</v>
      </c>
      <c r="D7307" s="3">
        <v>16909</v>
      </c>
      <c r="E7307" s="3">
        <v>120</v>
      </c>
      <c r="F7307" s="3">
        <v>0</v>
      </c>
      <c r="G7307" s="3">
        <v>1274</v>
      </c>
      <c r="H7307" s="2">
        <f t="shared" si="228"/>
        <v>63922</v>
      </c>
      <c r="I7307" t="str">
        <f t="shared" si="229"/>
        <v>Sucla2_63922</v>
      </c>
      <c r="J7307" s="3">
        <v>45619</v>
      </c>
      <c r="K7307" s="3">
        <v>16909</v>
      </c>
      <c r="L7307" s="3">
        <v>120</v>
      </c>
      <c r="M7307" s="3">
        <v>0</v>
      </c>
      <c r="N7307" s="3">
        <v>1274</v>
      </c>
    </row>
    <row r="7308" spans="1:14" x14ac:dyDescent="0.2">
      <c r="A7308" s="5" t="str">
        <f>HYPERLINK("http://www.ncbi.nlm.nih.gov/protein/255958286","Suclg1")</f>
        <v>Suclg1</v>
      </c>
      <c r="B7308" s="4"/>
      <c r="C7308" s="3">
        <v>76354</v>
      </c>
      <c r="D7308" s="3">
        <v>21883</v>
      </c>
      <c r="E7308" s="3">
        <v>41</v>
      </c>
      <c r="F7308" s="3">
        <v>0</v>
      </c>
      <c r="G7308" s="3">
        <v>2527</v>
      </c>
      <c r="H7308" s="2">
        <f t="shared" si="228"/>
        <v>100805</v>
      </c>
      <c r="I7308" t="str">
        <f t="shared" si="229"/>
        <v>Suclg1_100805</v>
      </c>
      <c r="J7308" s="3">
        <v>76354</v>
      </c>
      <c r="K7308" s="3">
        <v>21883</v>
      </c>
      <c r="L7308" s="3">
        <v>41</v>
      </c>
      <c r="M7308" s="3">
        <v>0</v>
      </c>
      <c r="N7308" s="3">
        <v>2527</v>
      </c>
    </row>
    <row r="7309" spans="1:14" x14ac:dyDescent="0.2">
      <c r="A7309" s="5" t="str">
        <f>HYPERLINK("http://www.ncbi.nlm.nih.gov/protein/165972309","Suclg2")</f>
        <v>Suclg2</v>
      </c>
      <c r="B7309" s="4"/>
      <c r="C7309" s="3">
        <v>79009</v>
      </c>
      <c r="D7309" s="3">
        <v>28948</v>
      </c>
      <c r="E7309" s="3">
        <v>493</v>
      </c>
      <c r="F7309" s="3">
        <v>0</v>
      </c>
      <c r="G7309" s="3">
        <v>4048</v>
      </c>
      <c r="H7309" s="2">
        <f t="shared" si="228"/>
        <v>112498</v>
      </c>
      <c r="I7309" t="str">
        <f t="shared" si="229"/>
        <v>Suclg2_112498</v>
      </c>
      <c r="J7309" s="3">
        <v>79009</v>
      </c>
      <c r="K7309" s="3">
        <v>28948</v>
      </c>
      <c r="L7309" s="3">
        <v>493</v>
      </c>
      <c r="M7309" s="3">
        <v>0</v>
      </c>
      <c r="N7309" s="3">
        <v>4048</v>
      </c>
    </row>
    <row r="7310" spans="1:14" x14ac:dyDescent="0.2">
      <c r="A7310" s="5" t="str">
        <f>HYPERLINK("http://www.ncbi.nlm.nih.gov/protein/70794805","Sufu")</f>
        <v>Sufu</v>
      </c>
      <c r="B7310" s="4"/>
      <c r="C7310" s="3">
        <v>0</v>
      </c>
      <c r="D7310" s="3">
        <v>0</v>
      </c>
      <c r="E7310" s="3">
        <v>0</v>
      </c>
      <c r="F7310" s="3">
        <v>0</v>
      </c>
      <c r="G7310" s="3">
        <v>3224</v>
      </c>
      <c r="H7310" s="2">
        <f t="shared" si="228"/>
        <v>3224</v>
      </c>
      <c r="I7310" t="str">
        <f t="shared" si="229"/>
        <v>Sufu_3224</v>
      </c>
      <c r="J7310" s="3">
        <v>0</v>
      </c>
      <c r="K7310" s="3">
        <v>0</v>
      </c>
      <c r="L7310" s="3">
        <v>0</v>
      </c>
      <c r="M7310" s="3">
        <v>0</v>
      </c>
      <c r="N7310" s="3">
        <v>3224</v>
      </c>
    </row>
    <row r="7311" spans="1:14" x14ac:dyDescent="0.2">
      <c r="A7311" s="5" t="str">
        <f>HYPERLINK("http://www.ncbi.nlm.nih.gov/protein/70794807","Sufu")</f>
        <v>Sufu</v>
      </c>
      <c r="B7311" s="4"/>
      <c r="C7311" s="3">
        <v>0</v>
      </c>
      <c r="D7311" s="3">
        <v>0</v>
      </c>
      <c r="E7311" s="3">
        <v>0</v>
      </c>
      <c r="F7311" s="3">
        <v>0</v>
      </c>
      <c r="G7311" s="3">
        <v>3224</v>
      </c>
      <c r="H7311" s="2">
        <f t="shared" si="228"/>
        <v>3224</v>
      </c>
      <c r="I7311" t="str">
        <f t="shared" si="229"/>
        <v>Sufu_3224</v>
      </c>
      <c r="J7311" s="3">
        <v>0</v>
      </c>
      <c r="K7311" s="3">
        <v>0</v>
      </c>
      <c r="L7311" s="3">
        <v>0</v>
      </c>
      <c r="M7311" s="3">
        <v>0</v>
      </c>
      <c r="N7311" s="3">
        <v>3224</v>
      </c>
    </row>
    <row r="7312" spans="1:14" x14ac:dyDescent="0.2">
      <c r="A7312" s="5" t="str">
        <f>HYPERLINK("http://www.ncbi.nlm.nih.gov/protein/23956176","Sugt1")</f>
        <v>Sugt1</v>
      </c>
      <c r="B7312" s="4"/>
      <c r="C7312" s="3">
        <v>3881</v>
      </c>
      <c r="D7312" s="3">
        <v>44</v>
      </c>
      <c r="E7312" s="3">
        <v>6627</v>
      </c>
      <c r="F7312" s="3">
        <v>51651</v>
      </c>
      <c r="G7312" s="3">
        <v>110394</v>
      </c>
      <c r="H7312" s="2">
        <f t="shared" si="228"/>
        <v>172597</v>
      </c>
      <c r="I7312" t="str">
        <f t="shared" si="229"/>
        <v>Sugt1_172597</v>
      </c>
      <c r="J7312" s="3">
        <v>3881</v>
      </c>
      <c r="K7312" s="3">
        <v>44</v>
      </c>
      <c r="L7312" s="3">
        <v>6627</v>
      </c>
      <c r="M7312" s="3">
        <v>51651</v>
      </c>
      <c r="N7312" s="3">
        <v>110394</v>
      </c>
    </row>
    <row r="7313" spans="1:14" x14ac:dyDescent="0.2">
      <c r="A7313" s="5" t="str">
        <f>HYPERLINK("http://www.ncbi.nlm.nih.gov/protein/40254554","Sult1c1")</f>
        <v>Sult1c1</v>
      </c>
      <c r="B7313" s="4"/>
      <c r="C7313" s="3">
        <v>0</v>
      </c>
      <c r="D7313" s="3">
        <v>1127</v>
      </c>
      <c r="E7313" s="3">
        <v>231</v>
      </c>
      <c r="F7313" s="3">
        <v>0</v>
      </c>
      <c r="G7313" s="3">
        <v>33307</v>
      </c>
      <c r="H7313" s="2">
        <f t="shared" si="228"/>
        <v>34665</v>
      </c>
      <c r="I7313" t="str">
        <f t="shared" si="229"/>
        <v>Sult1c1_34665</v>
      </c>
      <c r="J7313" s="3">
        <v>0</v>
      </c>
      <c r="K7313" s="3">
        <v>1127</v>
      </c>
      <c r="L7313" s="3">
        <v>231</v>
      </c>
      <c r="M7313" s="3">
        <v>0</v>
      </c>
      <c r="N7313" s="3">
        <v>33307</v>
      </c>
    </row>
    <row r="7314" spans="1:14" x14ac:dyDescent="0.2">
      <c r="A7314" s="5" t="str">
        <f>HYPERLINK("http://www.ncbi.nlm.nih.gov/protein/34328501","Sult1c2")</f>
        <v>Sult1c2</v>
      </c>
      <c r="B7314" s="4"/>
      <c r="C7314" s="3">
        <v>0</v>
      </c>
      <c r="D7314" s="3">
        <v>0</v>
      </c>
      <c r="E7314" s="3">
        <v>0</v>
      </c>
      <c r="F7314" s="3">
        <v>0</v>
      </c>
      <c r="G7314" s="3">
        <v>1564</v>
      </c>
      <c r="H7314" s="2">
        <f t="shared" si="228"/>
        <v>1564</v>
      </c>
      <c r="I7314" t="str">
        <f t="shared" si="229"/>
        <v>Sult1c2_1564</v>
      </c>
      <c r="J7314" s="3">
        <v>0</v>
      </c>
      <c r="K7314" s="3">
        <v>0</v>
      </c>
      <c r="L7314" s="3">
        <v>0</v>
      </c>
      <c r="M7314" s="3">
        <v>0</v>
      </c>
      <c r="N7314" s="3">
        <v>1564</v>
      </c>
    </row>
    <row r="7315" spans="1:14" x14ac:dyDescent="0.2">
      <c r="A7315" s="5" t="str">
        <f>HYPERLINK("http://www.ncbi.nlm.nih.gov/protein/188219649","Sult1d1")</f>
        <v>Sult1d1</v>
      </c>
      <c r="B7315" s="4"/>
      <c r="C7315" s="3">
        <v>3295</v>
      </c>
      <c r="D7315" s="3">
        <v>3657</v>
      </c>
      <c r="E7315" s="3">
        <v>3086</v>
      </c>
      <c r="F7315" s="3">
        <v>5452</v>
      </c>
      <c r="G7315" s="3">
        <v>259448</v>
      </c>
      <c r="H7315" s="2">
        <f t="shared" si="228"/>
        <v>274938</v>
      </c>
      <c r="I7315" t="str">
        <f t="shared" si="229"/>
        <v>Sult1d1_274938</v>
      </c>
      <c r="J7315" s="3">
        <v>3295</v>
      </c>
      <c r="K7315" s="3">
        <v>3657</v>
      </c>
      <c r="L7315" s="3">
        <v>3086</v>
      </c>
      <c r="M7315" s="3">
        <v>5452</v>
      </c>
      <c r="N7315" s="3">
        <v>259448</v>
      </c>
    </row>
    <row r="7316" spans="1:14" x14ac:dyDescent="0.2">
      <c r="A7316" s="5" t="str">
        <f>HYPERLINK("http://www.ncbi.nlm.nih.gov/protein/229092371","Sult2b1")</f>
        <v>Sult2b1</v>
      </c>
      <c r="B7316" s="4"/>
      <c r="C7316" s="3">
        <v>0</v>
      </c>
      <c r="D7316" s="3">
        <v>230</v>
      </c>
      <c r="E7316" s="3">
        <v>0</v>
      </c>
      <c r="F7316" s="3">
        <v>0</v>
      </c>
      <c r="G7316" s="3">
        <v>1628</v>
      </c>
      <c r="H7316" s="2">
        <f t="shared" si="228"/>
        <v>1858</v>
      </c>
      <c r="I7316" t="str">
        <f t="shared" si="229"/>
        <v>Sult2b1_1858</v>
      </c>
      <c r="J7316" s="3">
        <v>0</v>
      </c>
      <c r="K7316" s="3">
        <v>230</v>
      </c>
      <c r="L7316" s="3">
        <v>0</v>
      </c>
      <c r="M7316" s="3">
        <v>0</v>
      </c>
      <c r="N7316" s="3">
        <v>1628</v>
      </c>
    </row>
    <row r="7317" spans="1:14" x14ac:dyDescent="0.2">
      <c r="A7317" s="5" t="str">
        <f>HYPERLINK("http://www.ncbi.nlm.nih.gov/protein/171906580","Sult3a1")</f>
        <v>Sult3a1</v>
      </c>
      <c r="B7317" s="4"/>
      <c r="C7317" s="3">
        <v>0</v>
      </c>
      <c r="D7317" s="3">
        <v>0</v>
      </c>
      <c r="E7317" s="3">
        <v>0</v>
      </c>
      <c r="F7317" s="3">
        <v>0</v>
      </c>
      <c r="G7317" s="3">
        <v>300</v>
      </c>
      <c r="H7317" s="2">
        <f t="shared" si="228"/>
        <v>300</v>
      </c>
      <c r="I7317" t="str">
        <f t="shared" si="229"/>
        <v>Sult3a1_300</v>
      </c>
      <c r="J7317" s="3">
        <v>0</v>
      </c>
      <c r="K7317" s="3">
        <v>0</v>
      </c>
      <c r="L7317" s="3">
        <v>0</v>
      </c>
      <c r="M7317" s="3">
        <v>0</v>
      </c>
      <c r="N7317" s="3">
        <v>300</v>
      </c>
    </row>
    <row r="7318" spans="1:14" x14ac:dyDescent="0.2">
      <c r="A7318" s="5" t="str">
        <f>HYPERLINK("http://www.ncbi.nlm.nih.gov/protein/144094256","Sumf1")</f>
        <v>Sumf1</v>
      </c>
      <c r="B7318" s="4"/>
      <c r="C7318" s="3">
        <v>0</v>
      </c>
      <c r="D7318" s="3">
        <v>4</v>
      </c>
      <c r="E7318" s="3">
        <v>0</v>
      </c>
      <c r="F7318" s="3">
        <v>0</v>
      </c>
      <c r="G7318" s="3">
        <v>878</v>
      </c>
      <c r="H7318" s="2">
        <f t="shared" si="228"/>
        <v>882</v>
      </c>
      <c r="I7318" t="str">
        <f t="shared" si="229"/>
        <v>Sumf1_882</v>
      </c>
      <c r="J7318" s="3">
        <v>0</v>
      </c>
      <c r="K7318" s="3">
        <v>4</v>
      </c>
      <c r="L7318" s="3">
        <v>0</v>
      </c>
      <c r="M7318" s="3">
        <v>0</v>
      </c>
      <c r="N7318" s="3">
        <v>878</v>
      </c>
    </row>
    <row r="7319" spans="1:14" x14ac:dyDescent="0.2">
      <c r="A7319" s="5" t="str">
        <f>HYPERLINK("http://www.ncbi.nlm.nih.gov/protein/19111164","Sumo2")</f>
        <v>Sumo2</v>
      </c>
      <c r="B7319" s="4"/>
      <c r="C7319" s="3">
        <v>36905</v>
      </c>
      <c r="D7319" s="3">
        <v>221</v>
      </c>
      <c r="E7319" s="3">
        <v>13742</v>
      </c>
      <c r="F7319" s="3">
        <v>13449</v>
      </c>
      <c r="G7319" s="3">
        <v>114688</v>
      </c>
      <c r="H7319" s="2">
        <f t="shared" si="228"/>
        <v>179005</v>
      </c>
      <c r="I7319" t="str">
        <f t="shared" si="229"/>
        <v>Sumo2_179005</v>
      </c>
      <c r="J7319" s="3">
        <v>36905</v>
      </c>
      <c r="K7319" s="3">
        <v>221</v>
      </c>
      <c r="L7319" s="3">
        <v>13742</v>
      </c>
      <c r="M7319" s="3">
        <v>13449</v>
      </c>
      <c r="N7319" s="3">
        <v>114688</v>
      </c>
    </row>
    <row r="7320" spans="1:14" x14ac:dyDescent="0.2">
      <c r="A7320" s="5" t="str">
        <f>HYPERLINK("http://www.ncbi.nlm.nih.gov/protein/9910556","Sumo3")</f>
        <v>Sumo3</v>
      </c>
      <c r="B7320" s="4"/>
      <c r="C7320" s="3">
        <v>36392</v>
      </c>
      <c r="D7320" s="3">
        <v>180</v>
      </c>
      <c r="E7320" s="3">
        <v>13534</v>
      </c>
      <c r="F7320" s="3">
        <v>13449</v>
      </c>
      <c r="G7320" s="3">
        <v>121028</v>
      </c>
      <c r="H7320" s="2">
        <f t="shared" si="228"/>
        <v>184583</v>
      </c>
      <c r="I7320" t="str">
        <f t="shared" si="229"/>
        <v>Sumo3_184583</v>
      </c>
      <c r="J7320" s="3">
        <v>36392</v>
      </c>
      <c r="K7320" s="3">
        <v>180</v>
      </c>
      <c r="L7320" s="3">
        <v>13534</v>
      </c>
      <c r="M7320" s="3">
        <v>13449</v>
      </c>
      <c r="N7320" s="3">
        <v>121028</v>
      </c>
    </row>
    <row r="7321" spans="1:14" x14ac:dyDescent="0.2">
      <c r="A7321" s="5" t="str">
        <f>HYPERLINK("http://www.ncbi.nlm.nih.gov/protein/29789243","Sun1")</f>
        <v>Sun1</v>
      </c>
      <c r="B7321" s="4"/>
      <c r="C7321" s="3">
        <v>1373</v>
      </c>
      <c r="D7321" s="3">
        <v>0</v>
      </c>
      <c r="E7321" s="3">
        <v>0</v>
      </c>
      <c r="F7321" s="3">
        <v>0</v>
      </c>
      <c r="G7321" s="3">
        <v>0</v>
      </c>
      <c r="H7321" s="2">
        <f t="shared" si="228"/>
        <v>1373</v>
      </c>
      <c r="I7321" t="str">
        <f t="shared" si="229"/>
        <v>Sun1_1373</v>
      </c>
      <c r="J7321" s="3">
        <v>1373</v>
      </c>
      <c r="K7321" s="3">
        <v>0</v>
      </c>
      <c r="L7321" s="3">
        <v>0</v>
      </c>
      <c r="M7321" s="3">
        <v>0</v>
      </c>
      <c r="N7321" s="3">
        <v>0</v>
      </c>
    </row>
    <row r="7322" spans="1:14" x14ac:dyDescent="0.2">
      <c r="A7322" s="5" t="str">
        <f>HYPERLINK("http://www.ncbi.nlm.nih.gov/protein/371120922","Sun1")</f>
        <v>Sun1</v>
      </c>
      <c r="B7322" s="4"/>
      <c r="C7322" s="3">
        <v>1373</v>
      </c>
      <c r="D7322" s="3">
        <v>0</v>
      </c>
      <c r="E7322" s="3">
        <v>0</v>
      </c>
      <c r="F7322" s="3">
        <v>0</v>
      </c>
      <c r="G7322" s="3">
        <v>0</v>
      </c>
      <c r="H7322" s="2">
        <f t="shared" si="228"/>
        <v>1373</v>
      </c>
      <c r="I7322" t="str">
        <f t="shared" si="229"/>
        <v>Sun1_1373</v>
      </c>
      <c r="J7322" s="3">
        <v>1373</v>
      </c>
      <c r="K7322" s="3">
        <v>0</v>
      </c>
      <c r="L7322" s="3">
        <v>0</v>
      </c>
      <c r="M7322" s="3">
        <v>0</v>
      </c>
      <c r="N7322" s="3">
        <v>0</v>
      </c>
    </row>
    <row r="7323" spans="1:14" x14ac:dyDescent="0.2">
      <c r="A7323" s="5" t="str">
        <f>HYPERLINK("http://www.ncbi.nlm.nih.gov/protein/371120936","Sun1")</f>
        <v>Sun1</v>
      </c>
      <c r="B7323" s="4"/>
      <c r="C7323" s="3">
        <v>1117</v>
      </c>
      <c r="D7323" s="3">
        <v>0</v>
      </c>
      <c r="E7323" s="3">
        <v>0</v>
      </c>
      <c r="F7323" s="3">
        <v>0</v>
      </c>
      <c r="G7323" s="3">
        <v>0</v>
      </c>
      <c r="H7323" s="2">
        <f t="shared" si="228"/>
        <v>1117</v>
      </c>
      <c r="I7323" t="str">
        <f t="shared" si="229"/>
        <v>Sun1_1117</v>
      </c>
      <c r="J7323" s="3">
        <v>1117</v>
      </c>
      <c r="K7323" s="3">
        <v>0</v>
      </c>
      <c r="L7323" s="3">
        <v>0</v>
      </c>
      <c r="M7323" s="3">
        <v>0</v>
      </c>
      <c r="N7323" s="3">
        <v>0</v>
      </c>
    </row>
    <row r="7324" spans="1:14" x14ac:dyDescent="0.2">
      <c r="A7324" s="5" t="str">
        <f>HYPERLINK("http://www.ncbi.nlm.nih.gov/protein/371121164","Sun1")</f>
        <v>Sun1</v>
      </c>
      <c r="B7324" s="4"/>
      <c r="C7324" s="3">
        <v>1117</v>
      </c>
      <c r="D7324" s="3">
        <v>0</v>
      </c>
      <c r="E7324" s="3">
        <v>0</v>
      </c>
      <c r="F7324" s="3">
        <v>0</v>
      </c>
      <c r="G7324" s="3">
        <v>0</v>
      </c>
      <c r="H7324" s="2">
        <f t="shared" si="228"/>
        <v>1117</v>
      </c>
      <c r="I7324" t="str">
        <f t="shared" si="229"/>
        <v>Sun1_1117</v>
      </c>
      <c r="J7324" s="3">
        <v>1117</v>
      </c>
      <c r="K7324" s="3">
        <v>0</v>
      </c>
      <c r="L7324" s="3">
        <v>0</v>
      </c>
      <c r="M7324" s="3">
        <v>0</v>
      </c>
      <c r="N7324" s="3">
        <v>0</v>
      </c>
    </row>
    <row r="7325" spans="1:14" x14ac:dyDescent="0.2">
      <c r="A7325" s="5" t="str">
        <f>HYPERLINK("http://www.ncbi.nlm.nih.gov/protein/371121280","Sun1")</f>
        <v>Sun1</v>
      </c>
      <c r="B7325" s="4"/>
      <c r="C7325" s="3">
        <v>1117</v>
      </c>
      <c r="D7325" s="3">
        <v>0</v>
      </c>
      <c r="E7325" s="3">
        <v>0</v>
      </c>
      <c r="F7325" s="3">
        <v>0</v>
      </c>
      <c r="G7325" s="3">
        <v>0</v>
      </c>
      <c r="H7325" s="2">
        <f t="shared" si="228"/>
        <v>1117</v>
      </c>
      <c r="I7325" t="str">
        <f t="shared" si="229"/>
        <v>Sun1_1117</v>
      </c>
      <c r="J7325" s="3">
        <v>1117</v>
      </c>
      <c r="K7325" s="3">
        <v>0</v>
      </c>
      <c r="L7325" s="3">
        <v>0</v>
      </c>
      <c r="M7325" s="3">
        <v>0</v>
      </c>
      <c r="N7325" s="3">
        <v>0</v>
      </c>
    </row>
    <row r="7326" spans="1:14" x14ac:dyDescent="0.2">
      <c r="A7326" s="5" t="str">
        <f>HYPERLINK("http://www.ncbi.nlm.nih.gov/protein/168693641","Sun2")</f>
        <v>Sun2</v>
      </c>
      <c r="B7326" s="4"/>
      <c r="C7326" s="3">
        <v>73096</v>
      </c>
      <c r="D7326" s="3">
        <v>0</v>
      </c>
      <c r="E7326" s="3">
        <v>0</v>
      </c>
      <c r="F7326" s="3">
        <v>0</v>
      </c>
      <c r="G7326" s="3">
        <v>0</v>
      </c>
      <c r="H7326" s="2">
        <f t="shared" si="228"/>
        <v>73096</v>
      </c>
      <c r="I7326" t="str">
        <f t="shared" si="229"/>
        <v>Sun2_73096</v>
      </c>
      <c r="J7326" s="3">
        <v>73096</v>
      </c>
      <c r="K7326" s="3">
        <v>0</v>
      </c>
      <c r="L7326" s="3">
        <v>0</v>
      </c>
      <c r="M7326" s="3">
        <v>0</v>
      </c>
      <c r="N7326" s="3">
        <v>0</v>
      </c>
    </row>
    <row r="7327" spans="1:14" x14ac:dyDescent="0.2">
      <c r="A7327" s="5" t="str">
        <f>HYPERLINK("http://www.ncbi.nlm.nih.gov/protein/329299035","Sun2")</f>
        <v>Sun2</v>
      </c>
      <c r="B7327" s="4"/>
      <c r="C7327" s="3">
        <v>73096</v>
      </c>
      <c r="D7327" s="3">
        <v>0</v>
      </c>
      <c r="E7327" s="3">
        <v>0</v>
      </c>
      <c r="F7327" s="3">
        <v>0</v>
      </c>
      <c r="G7327" s="3">
        <v>0</v>
      </c>
      <c r="H7327" s="2">
        <f t="shared" si="228"/>
        <v>73096</v>
      </c>
      <c r="I7327" t="str">
        <f t="shared" si="229"/>
        <v>Sun2_73096</v>
      </c>
      <c r="J7327" s="3">
        <v>73096</v>
      </c>
      <c r="K7327" s="3">
        <v>0</v>
      </c>
      <c r="L7327" s="3">
        <v>0</v>
      </c>
      <c r="M7327" s="3">
        <v>0</v>
      </c>
      <c r="N7327" s="3">
        <v>0</v>
      </c>
    </row>
    <row r="7328" spans="1:14" x14ac:dyDescent="0.2">
      <c r="A7328" s="5" t="str">
        <f>HYPERLINK("http://www.ncbi.nlm.nih.gov/protein/329299037","Sun2")</f>
        <v>Sun2</v>
      </c>
      <c r="B7328" s="4"/>
      <c r="C7328" s="3">
        <v>73096</v>
      </c>
      <c r="D7328" s="3">
        <v>0</v>
      </c>
      <c r="E7328" s="3">
        <v>0</v>
      </c>
      <c r="F7328" s="3">
        <v>0</v>
      </c>
      <c r="G7328" s="3">
        <v>0</v>
      </c>
      <c r="H7328" s="2">
        <f t="shared" si="228"/>
        <v>73096</v>
      </c>
      <c r="I7328" t="str">
        <f t="shared" si="229"/>
        <v>Sun2_73096</v>
      </c>
      <c r="J7328" s="3">
        <v>73096</v>
      </c>
      <c r="K7328" s="3">
        <v>0</v>
      </c>
      <c r="L7328" s="3">
        <v>0</v>
      </c>
      <c r="M7328" s="3">
        <v>0</v>
      </c>
      <c r="N7328" s="3">
        <v>0</v>
      </c>
    </row>
    <row r="7329" spans="1:14" x14ac:dyDescent="0.2">
      <c r="A7329" s="5" t="str">
        <f>HYPERLINK("http://www.ncbi.nlm.nih.gov/protein/154350222","Supt16")</f>
        <v>Supt16</v>
      </c>
      <c r="B7329" s="4"/>
      <c r="C7329" s="3">
        <v>10929</v>
      </c>
      <c r="D7329" s="3">
        <v>8068</v>
      </c>
      <c r="E7329" s="3">
        <v>9084</v>
      </c>
      <c r="F7329" s="3">
        <v>38071</v>
      </c>
      <c r="G7329" s="3">
        <v>4091</v>
      </c>
      <c r="H7329" s="2">
        <f t="shared" si="228"/>
        <v>70243</v>
      </c>
      <c r="I7329" t="str">
        <f t="shared" si="229"/>
        <v>Supt16_70243</v>
      </c>
      <c r="J7329" s="3">
        <v>10929</v>
      </c>
      <c r="K7329" s="3">
        <v>8068</v>
      </c>
      <c r="L7329" s="3">
        <v>9084</v>
      </c>
      <c r="M7329" s="3">
        <v>38071</v>
      </c>
      <c r="N7329" s="3">
        <v>4091</v>
      </c>
    </row>
    <row r="7330" spans="1:14" x14ac:dyDescent="0.2">
      <c r="A7330" s="5" t="str">
        <f>HYPERLINK("http://www.ncbi.nlm.nih.gov/protein/6678181","Supt4a")</f>
        <v>Supt4a</v>
      </c>
      <c r="B7330" s="4"/>
      <c r="C7330" s="3">
        <v>0</v>
      </c>
      <c r="D7330" s="3">
        <v>276</v>
      </c>
      <c r="E7330" s="3">
        <v>0</v>
      </c>
      <c r="F7330" s="3">
        <v>393</v>
      </c>
      <c r="G7330" s="3">
        <v>2324</v>
      </c>
      <c r="H7330" s="2">
        <f t="shared" si="228"/>
        <v>2993</v>
      </c>
      <c r="I7330" t="str">
        <f t="shared" si="229"/>
        <v>Supt4a_2993</v>
      </c>
      <c r="J7330" s="3">
        <v>0</v>
      </c>
      <c r="K7330" s="3">
        <v>276</v>
      </c>
      <c r="L7330" s="3">
        <v>0</v>
      </c>
      <c r="M7330" s="3">
        <v>393</v>
      </c>
      <c r="N7330" s="3">
        <v>2324</v>
      </c>
    </row>
    <row r="7331" spans="1:14" x14ac:dyDescent="0.2">
      <c r="A7331" s="5" t="str">
        <f>HYPERLINK("http://www.ncbi.nlm.nih.gov/protein/22094123","Supt5")</f>
        <v>Supt5</v>
      </c>
      <c r="B7331" s="4"/>
      <c r="C7331" s="3">
        <v>0</v>
      </c>
      <c r="D7331" s="3">
        <v>397</v>
      </c>
      <c r="E7331" s="3">
        <v>16</v>
      </c>
      <c r="F7331" s="3">
        <v>3070</v>
      </c>
      <c r="G7331" s="3">
        <v>35202</v>
      </c>
      <c r="H7331" s="2">
        <f t="shared" si="228"/>
        <v>38685</v>
      </c>
      <c r="I7331" t="str">
        <f t="shared" si="229"/>
        <v>Supt5_38685</v>
      </c>
      <c r="J7331" s="3">
        <v>0</v>
      </c>
      <c r="K7331" s="3">
        <v>397</v>
      </c>
      <c r="L7331" s="3">
        <v>16</v>
      </c>
      <c r="M7331" s="3">
        <v>3070</v>
      </c>
      <c r="N7331" s="3">
        <v>35202</v>
      </c>
    </row>
    <row r="7332" spans="1:14" x14ac:dyDescent="0.2">
      <c r="A7332" s="5" t="str">
        <f>HYPERLINK("http://www.ncbi.nlm.nih.gov/protein/166091434","Supt6")</f>
        <v>Supt6</v>
      </c>
      <c r="B7332" s="4"/>
      <c r="C7332" s="3">
        <v>458</v>
      </c>
      <c r="D7332" s="3">
        <v>8</v>
      </c>
      <c r="E7332" s="3">
        <v>0</v>
      </c>
      <c r="F7332" s="3">
        <v>82</v>
      </c>
      <c r="G7332" s="3">
        <v>38618</v>
      </c>
      <c r="H7332" s="2">
        <f t="shared" si="228"/>
        <v>39166</v>
      </c>
      <c r="I7332" t="str">
        <f t="shared" si="229"/>
        <v>Supt6_39166</v>
      </c>
      <c r="J7332" s="3">
        <v>458</v>
      </c>
      <c r="K7332" s="3">
        <v>8</v>
      </c>
      <c r="L7332" s="3">
        <v>0</v>
      </c>
      <c r="M7332" s="3">
        <v>82</v>
      </c>
      <c r="N7332" s="3">
        <v>38618</v>
      </c>
    </row>
    <row r="7333" spans="1:14" x14ac:dyDescent="0.2">
      <c r="A7333" s="5" t="str">
        <f>HYPERLINK("http://www.ncbi.nlm.nih.gov/protein/31088872","Supv3l1")</f>
        <v>Supv3l1</v>
      </c>
      <c r="B7333" s="4"/>
      <c r="C7333" s="3">
        <v>0</v>
      </c>
      <c r="D7333" s="3">
        <v>4501</v>
      </c>
      <c r="E7333" s="3">
        <v>0</v>
      </c>
      <c r="F7333" s="3">
        <v>0</v>
      </c>
      <c r="G7333" s="3">
        <v>0</v>
      </c>
      <c r="H7333" s="2">
        <f t="shared" si="228"/>
        <v>4501</v>
      </c>
      <c r="I7333" t="str">
        <f t="shared" si="229"/>
        <v>Supv3l1_4501</v>
      </c>
      <c r="J7333" s="3">
        <v>0</v>
      </c>
      <c r="K7333" s="3">
        <v>4501</v>
      </c>
      <c r="L7333" s="3">
        <v>0</v>
      </c>
      <c r="M7333" s="3">
        <v>0</v>
      </c>
      <c r="N7333" s="3">
        <v>0</v>
      </c>
    </row>
    <row r="7334" spans="1:14" x14ac:dyDescent="0.2">
      <c r="A7334" s="5" t="str">
        <f>HYPERLINK("http://www.ncbi.nlm.nih.gov/protein/160707899","Surf1")</f>
        <v>Surf1</v>
      </c>
      <c r="B7334" s="4"/>
      <c r="C7334" s="3">
        <v>0</v>
      </c>
      <c r="D7334" s="3">
        <v>246</v>
      </c>
      <c r="E7334" s="3">
        <v>0</v>
      </c>
      <c r="F7334" s="3">
        <v>0</v>
      </c>
      <c r="G7334" s="3">
        <v>0</v>
      </c>
      <c r="H7334" s="2">
        <f t="shared" si="228"/>
        <v>246</v>
      </c>
      <c r="I7334" t="str">
        <f t="shared" si="229"/>
        <v>Surf1_246</v>
      </c>
      <c r="J7334" s="3">
        <v>0</v>
      </c>
      <c r="K7334" s="3">
        <v>246</v>
      </c>
      <c r="L7334" s="3">
        <v>0</v>
      </c>
      <c r="M7334" s="3">
        <v>0</v>
      </c>
      <c r="N7334" s="3">
        <v>0</v>
      </c>
    </row>
    <row r="7335" spans="1:14" x14ac:dyDescent="0.2">
      <c r="A7335" s="5" t="str">
        <f>HYPERLINK("http://www.ncbi.nlm.nih.gov/protein/411147435","Surf1")</f>
        <v>Surf1</v>
      </c>
      <c r="B7335" s="4"/>
      <c r="C7335" s="3">
        <v>0</v>
      </c>
      <c r="D7335" s="3">
        <v>246</v>
      </c>
      <c r="E7335" s="3">
        <v>0</v>
      </c>
      <c r="F7335" s="3">
        <v>0</v>
      </c>
      <c r="G7335" s="3">
        <v>0</v>
      </c>
      <c r="H7335" s="2">
        <f t="shared" si="228"/>
        <v>246</v>
      </c>
      <c r="I7335" t="str">
        <f t="shared" si="229"/>
        <v>Surf1_246</v>
      </c>
      <c r="J7335" s="3">
        <v>0</v>
      </c>
      <c r="K7335" s="3">
        <v>246</v>
      </c>
      <c r="L7335" s="3">
        <v>0</v>
      </c>
      <c r="M7335" s="3">
        <v>0</v>
      </c>
      <c r="N7335" s="3">
        <v>0</v>
      </c>
    </row>
    <row r="7336" spans="1:14" x14ac:dyDescent="0.2">
      <c r="A7336" s="5" t="str">
        <f>HYPERLINK("http://www.ncbi.nlm.nih.gov/protein/7305529","Surf2")</f>
        <v>Surf2</v>
      </c>
      <c r="B7336" s="4"/>
      <c r="C7336" s="3">
        <v>0</v>
      </c>
      <c r="D7336" s="3">
        <v>0</v>
      </c>
      <c r="E7336" s="3">
        <v>0</v>
      </c>
      <c r="F7336" s="3">
        <v>1981</v>
      </c>
      <c r="G7336" s="3">
        <v>0</v>
      </c>
      <c r="H7336" s="2">
        <f t="shared" si="228"/>
        <v>1981</v>
      </c>
      <c r="I7336" t="str">
        <f t="shared" si="229"/>
        <v>Surf2_1981</v>
      </c>
      <c r="J7336" s="3">
        <v>0</v>
      </c>
      <c r="K7336" s="3">
        <v>0</v>
      </c>
      <c r="L7336" s="3">
        <v>0</v>
      </c>
      <c r="M7336" s="3">
        <v>1981</v>
      </c>
      <c r="N7336" s="3">
        <v>0</v>
      </c>
    </row>
    <row r="7337" spans="1:14" x14ac:dyDescent="0.2">
      <c r="A7337" s="5" t="str">
        <f>HYPERLINK("http://www.ncbi.nlm.nih.gov/protein/6755698","Surf4")</f>
        <v>Surf4</v>
      </c>
      <c r="B7337" s="4"/>
      <c r="C7337" s="3">
        <v>35807</v>
      </c>
      <c r="D7337" s="3">
        <v>132</v>
      </c>
      <c r="E7337" s="3">
        <v>639</v>
      </c>
      <c r="F7337" s="3">
        <v>1105</v>
      </c>
      <c r="G7337" s="3">
        <v>0</v>
      </c>
      <c r="H7337" s="2">
        <f t="shared" si="228"/>
        <v>37683</v>
      </c>
      <c r="I7337" t="str">
        <f t="shared" si="229"/>
        <v>Surf4_37683</v>
      </c>
      <c r="J7337" s="3">
        <v>35807</v>
      </c>
      <c r="K7337" s="3">
        <v>132</v>
      </c>
      <c r="L7337" s="3">
        <v>639</v>
      </c>
      <c r="M7337" s="3">
        <v>1105</v>
      </c>
      <c r="N7337" s="3">
        <v>0</v>
      </c>
    </row>
    <row r="7338" spans="1:14" x14ac:dyDescent="0.2">
      <c r="A7338" s="5" t="str">
        <f>HYPERLINK("http://www.ncbi.nlm.nih.gov/protein/6678185","Surf6")</f>
        <v>Surf6</v>
      </c>
      <c r="B7338" s="4"/>
      <c r="C7338" s="3">
        <v>824</v>
      </c>
      <c r="D7338" s="3">
        <v>0</v>
      </c>
      <c r="E7338" s="3">
        <v>0</v>
      </c>
      <c r="F7338" s="3">
        <v>0</v>
      </c>
      <c r="G7338" s="3">
        <v>0</v>
      </c>
      <c r="H7338" s="2">
        <f t="shared" si="228"/>
        <v>824</v>
      </c>
      <c r="I7338" t="str">
        <f t="shared" si="229"/>
        <v>Surf6_824</v>
      </c>
      <c r="J7338" s="3">
        <v>824</v>
      </c>
      <c r="K7338" s="3">
        <v>0</v>
      </c>
      <c r="L7338" s="3">
        <v>0</v>
      </c>
      <c r="M7338" s="3">
        <v>0</v>
      </c>
      <c r="N7338" s="3">
        <v>0</v>
      </c>
    </row>
    <row r="7339" spans="1:14" x14ac:dyDescent="0.2">
      <c r="A7339" s="5" t="str">
        <f>HYPERLINK("http://www.ncbi.nlm.nih.gov/protein/268607615","Suv420h1")</f>
        <v>Suv420h1</v>
      </c>
      <c r="B7339" s="4"/>
      <c r="C7339" s="3">
        <v>0</v>
      </c>
      <c r="D7339" s="3">
        <v>0</v>
      </c>
      <c r="E7339" s="3">
        <v>309</v>
      </c>
      <c r="F7339" s="3">
        <v>0</v>
      </c>
      <c r="G7339" s="3">
        <v>17232</v>
      </c>
      <c r="H7339" s="2">
        <f t="shared" si="228"/>
        <v>17541</v>
      </c>
      <c r="I7339" t="str">
        <f t="shared" si="229"/>
        <v>Suv420h1_17541</v>
      </c>
      <c r="J7339" s="3">
        <v>0</v>
      </c>
      <c r="K7339" s="3">
        <v>0</v>
      </c>
      <c r="L7339" s="3">
        <v>309</v>
      </c>
      <c r="M7339" s="3">
        <v>0</v>
      </c>
      <c r="N7339" s="3">
        <v>17232</v>
      </c>
    </row>
    <row r="7340" spans="1:14" x14ac:dyDescent="0.2">
      <c r="A7340" s="5" t="str">
        <f>HYPERLINK("http://www.ncbi.nlm.nih.gov/protein/268607619","Suv420h1")</f>
        <v>Suv420h1</v>
      </c>
      <c r="B7340" s="4"/>
      <c r="C7340" s="3">
        <v>0</v>
      </c>
      <c r="D7340" s="3">
        <v>0</v>
      </c>
      <c r="E7340" s="3">
        <v>309</v>
      </c>
      <c r="F7340" s="3">
        <v>0</v>
      </c>
      <c r="G7340" s="3">
        <v>17232</v>
      </c>
      <c r="H7340" s="2">
        <f t="shared" si="228"/>
        <v>17541</v>
      </c>
      <c r="I7340" t="str">
        <f t="shared" si="229"/>
        <v>Suv420h1_17541</v>
      </c>
      <c r="J7340" s="3">
        <v>0</v>
      </c>
      <c r="K7340" s="3">
        <v>0</v>
      </c>
      <c r="L7340" s="3">
        <v>309</v>
      </c>
      <c r="M7340" s="3">
        <v>0</v>
      </c>
      <c r="N7340" s="3">
        <v>17232</v>
      </c>
    </row>
    <row r="7341" spans="1:14" x14ac:dyDescent="0.2">
      <c r="A7341" s="5" t="str">
        <f>HYPERLINK("http://www.ncbi.nlm.nih.gov/protein/237858757","Svip")</f>
        <v>Svip</v>
      </c>
      <c r="B7341" s="4"/>
      <c r="C7341" s="3">
        <v>0</v>
      </c>
      <c r="D7341" s="3">
        <v>0</v>
      </c>
      <c r="E7341" s="3">
        <v>4</v>
      </c>
      <c r="F7341" s="3">
        <v>0</v>
      </c>
      <c r="G7341" s="3">
        <v>0</v>
      </c>
      <c r="H7341" s="2">
        <f t="shared" si="228"/>
        <v>4</v>
      </c>
      <c r="I7341" t="str">
        <f t="shared" si="229"/>
        <v>Svip_4</v>
      </c>
      <c r="J7341" s="3">
        <v>0</v>
      </c>
      <c r="K7341" s="3">
        <v>0</v>
      </c>
      <c r="L7341" s="3">
        <v>4</v>
      </c>
      <c r="M7341" s="3">
        <v>0</v>
      </c>
      <c r="N7341" s="3">
        <v>0</v>
      </c>
    </row>
    <row r="7342" spans="1:14" x14ac:dyDescent="0.2">
      <c r="A7342" s="5" t="str">
        <f>HYPERLINK("http://www.ncbi.nlm.nih.gov/protein/228008363","Swap70")</f>
        <v>Swap70</v>
      </c>
      <c r="B7342" s="4"/>
      <c r="C7342" s="3">
        <v>0</v>
      </c>
      <c r="D7342" s="3">
        <v>234</v>
      </c>
      <c r="E7342" s="3">
        <v>0</v>
      </c>
      <c r="F7342" s="3">
        <v>0</v>
      </c>
      <c r="G7342" s="3">
        <v>15593</v>
      </c>
      <c r="H7342" s="2">
        <f t="shared" si="228"/>
        <v>15827</v>
      </c>
      <c r="I7342" t="str">
        <f t="shared" si="229"/>
        <v>Swap70_15827</v>
      </c>
      <c r="J7342" s="3">
        <v>0</v>
      </c>
      <c r="K7342" s="3">
        <v>234</v>
      </c>
      <c r="L7342" s="3">
        <v>0</v>
      </c>
      <c r="M7342" s="3">
        <v>0</v>
      </c>
      <c r="N7342" s="3">
        <v>15593</v>
      </c>
    </row>
    <row r="7343" spans="1:14" x14ac:dyDescent="0.2">
      <c r="A7343" s="5" t="str">
        <f>HYPERLINK("http://www.ncbi.nlm.nih.gov/protein/270265917","Syap1")</f>
        <v>Syap1</v>
      </c>
      <c r="B7343" s="4"/>
      <c r="C7343" s="3">
        <v>0</v>
      </c>
      <c r="D7343" s="3">
        <v>198</v>
      </c>
      <c r="E7343" s="3">
        <v>20</v>
      </c>
      <c r="F7343" s="3">
        <v>0</v>
      </c>
      <c r="G7343" s="3">
        <v>20637</v>
      </c>
      <c r="H7343" s="2">
        <f t="shared" si="228"/>
        <v>20855</v>
      </c>
      <c r="I7343" t="str">
        <f t="shared" si="229"/>
        <v>Syap1_20855</v>
      </c>
      <c r="J7343" s="3">
        <v>0</v>
      </c>
      <c r="K7343" s="3">
        <v>198</v>
      </c>
      <c r="L7343" s="3">
        <v>20</v>
      </c>
      <c r="M7343" s="3">
        <v>0</v>
      </c>
      <c r="N7343" s="3">
        <v>20637</v>
      </c>
    </row>
    <row r="7344" spans="1:14" x14ac:dyDescent="0.2">
      <c r="A7344" s="5" t="str">
        <f>HYPERLINK("http://www.ncbi.nlm.nih.gov/protein/56550045","Syk")</f>
        <v>Syk</v>
      </c>
      <c r="B7344" s="4"/>
      <c r="C7344" s="3">
        <v>0</v>
      </c>
      <c r="D7344" s="3">
        <v>0</v>
      </c>
      <c r="E7344" s="3">
        <v>0</v>
      </c>
      <c r="F7344" s="3">
        <v>0</v>
      </c>
      <c r="G7344" s="3">
        <v>1060</v>
      </c>
      <c r="H7344" s="2">
        <f t="shared" si="228"/>
        <v>1060</v>
      </c>
      <c r="I7344" t="str">
        <f t="shared" si="229"/>
        <v>Syk_1060</v>
      </c>
      <c r="J7344" s="3">
        <v>0</v>
      </c>
      <c r="K7344" s="3">
        <v>0</v>
      </c>
      <c r="L7344" s="3">
        <v>0</v>
      </c>
      <c r="M7344" s="3">
        <v>0</v>
      </c>
      <c r="N7344" s="3">
        <v>1060</v>
      </c>
    </row>
    <row r="7345" spans="1:14" x14ac:dyDescent="0.2">
      <c r="A7345" s="5" t="str">
        <f>HYPERLINK("http://www.ncbi.nlm.nih.gov/protein/226437613","Sympk")</f>
        <v>Sympk</v>
      </c>
      <c r="B7345" s="4"/>
      <c r="C7345" s="3">
        <v>4631</v>
      </c>
      <c r="D7345" s="3">
        <v>0</v>
      </c>
      <c r="E7345" s="3">
        <v>337</v>
      </c>
      <c r="F7345" s="3">
        <v>557</v>
      </c>
      <c r="G7345" s="3">
        <v>5451</v>
      </c>
      <c r="H7345" s="2">
        <f t="shared" si="228"/>
        <v>10976</v>
      </c>
      <c r="I7345" t="str">
        <f t="shared" si="229"/>
        <v>Sympk_10976</v>
      </c>
      <c r="J7345" s="3">
        <v>4631</v>
      </c>
      <c r="K7345" s="3">
        <v>0</v>
      </c>
      <c r="L7345" s="3">
        <v>337</v>
      </c>
      <c r="M7345" s="3">
        <v>557</v>
      </c>
      <c r="N7345" s="3">
        <v>5451</v>
      </c>
    </row>
    <row r="7346" spans="1:14" x14ac:dyDescent="0.2">
      <c r="A7346" s="5" t="str">
        <f>HYPERLINK("http://www.ncbi.nlm.nih.gov/protein/85701452","Syna")</f>
        <v>Syna</v>
      </c>
      <c r="B7346" s="4"/>
      <c r="C7346" s="3">
        <v>3661</v>
      </c>
      <c r="D7346" s="3">
        <v>0</v>
      </c>
      <c r="E7346" s="3">
        <v>2919</v>
      </c>
      <c r="F7346" s="3">
        <v>5984</v>
      </c>
      <c r="G7346" s="3">
        <v>0</v>
      </c>
      <c r="H7346" s="2">
        <f t="shared" si="228"/>
        <v>12564</v>
      </c>
      <c r="I7346" t="str">
        <f t="shared" si="229"/>
        <v>Syna_12564</v>
      </c>
      <c r="J7346" s="3">
        <v>3661</v>
      </c>
      <c r="K7346" s="3">
        <v>0</v>
      </c>
      <c r="L7346" s="3">
        <v>2919</v>
      </c>
      <c r="M7346" s="3">
        <v>5984</v>
      </c>
      <c r="N7346" s="3">
        <v>0</v>
      </c>
    </row>
    <row r="7347" spans="1:14" x14ac:dyDescent="0.2">
      <c r="A7347" s="5" t="str">
        <f>HYPERLINK("http://www.ncbi.nlm.nih.gov/protein/547235396","Syncrip")</f>
        <v>Syncrip</v>
      </c>
      <c r="B7347" s="4"/>
      <c r="C7347" s="3">
        <v>100866</v>
      </c>
      <c r="D7347" s="3">
        <v>0</v>
      </c>
      <c r="E7347" s="3">
        <v>0</v>
      </c>
      <c r="F7347" s="3">
        <v>0</v>
      </c>
      <c r="G7347" s="3">
        <v>0</v>
      </c>
      <c r="H7347" s="2">
        <f t="shared" si="228"/>
        <v>100866</v>
      </c>
      <c r="I7347" t="str">
        <f t="shared" si="229"/>
        <v>Syncrip_100866</v>
      </c>
      <c r="J7347" s="3">
        <v>100866</v>
      </c>
      <c r="K7347" s="3">
        <v>0</v>
      </c>
      <c r="L7347" s="3">
        <v>0</v>
      </c>
      <c r="M7347" s="3">
        <v>0</v>
      </c>
      <c r="N7347" s="3">
        <v>0</v>
      </c>
    </row>
    <row r="7348" spans="1:14" x14ac:dyDescent="0.2">
      <c r="A7348" s="5" t="str">
        <f>HYPERLINK("http://www.ncbi.nlm.nih.gov/protein/114145493","Syncrip")</f>
        <v>Syncrip</v>
      </c>
      <c r="B7348" s="4"/>
      <c r="C7348" s="3">
        <v>122083</v>
      </c>
      <c r="D7348" s="3">
        <v>18383</v>
      </c>
      <c r="E7348" s="3">
        <v>130029</v>
      </c>
      <c r="F7348" s="3">
        <v>278129</v>
      </c>
      <c r="G7348" s="3">
        <v>364</v>
      </c>
      <c r="H7348" s="2">
        <f t="shared" si="228"/>
        <v>548988</v>
      </c>
      <c r="I7348" t="str">
        <f t="shared" si="229"/>
        <v>Syncrip_548988</v>
      </c>
      <c r="J7348" s="3">
        <v>122083</v>
      </c>
      <c r="K7348" s="3">
        <v>18383</v>
      </c>
      <c r="L7348" s="3">
        <v>130029</v>
      </c>
      <c r="M7348" s="3">
        <v>278129</v>
      </c>
      <c r="N7348" s="3">
        <v>364</v>
      </c>
    </row>
    <row r="7349" spans="1:14" x14ac:dyDescent="0.2">
      <c r="A7349" s="5" t="str">
        <f>HYPERLINK("http://www.ncbi.nlm.nih.gov/protein/29788787","Syncrip")</f>
        <v>Syncrip</v>
      </c>
      <c r="B7349" s="4"/>
      <c r="C7349" s="3">
        <v>122083</v>
      </c>
      <c r="D7349" s="3">
        <v>18383</v>
      </c>
      <c r="E7349" s="3">
        <v>130029</v>
      </c>
      <c r="F7349" s="3">
        <v>278129</v>
      </c>
      <c r="G7349" s="3">
        <v>364</v>
      </c>
      <c r="H7349" s="2">
        <f t="shared" si="228"/>
        <v>548988</v>
      </c>
      <c r="I7349" t="str">
        <f t="shared" si="229"/>
        <v>Syncrip_548988</v>
      </c>
      <c r="J7349" s="3">
        <v>122083</v>
      </c>
      <c r="K7349" s="3">
        <v>18383</v>
      </c>
      <c r="L7349" s="3">
        <v>130029</v>
      </c>
      <c r="M7349" s="3">
        <v>278129</v>
      </c>
      <c r="N7349" s="3">
        <v>364</v>
      </c>
    </row>
    <row r="7350" spans="1:14" x14ac:dyDescent="0.2">
      <c r="A7350" s="5" t="str">
        <f>HYPERLINK("http://www.ncbi.nlm.nih.gov/protein/119120816","Syne1")</f>
        <v>Syne1</v>
      </c>
      <c r="B7350" s="4"/>
      <c r="C7350" s="3">
        <v>0</v>
      </c>
      <c r="D7350" s="3">
        <v>10</v>
      </c>
      <c r="E7350" s="3">
        <v>2785</v>
      </c>
      <c r="F7350" s="3">
        <v>0</v>
      </c>
      <c r="G7350" s="3">
        <v>2399</v>
      </c>
      <c r="H7350" s="2">
        <f t="shared" si="228"/>
        <v>5194</v>
      </c>
      <c r="I7350" t="str">
        <f t="shared" si="229"/>
        <v>Syne1_5194</v>
      </c>
      <c r="J7350" s="3">
        <v>0</v>
      </c>
      <c r="K7350" s="3">
        <v>10</v>
      </c>
      <c r="L7350" s="3">
        <v>2785</v>
      </c>
      <c r="M7350" s="3">
        <v>0</v>
      </c>
      <c r="N7350" s="3">
        <v>2399</v>
      </c>
    </row>
    <row r="7351" spans="1:14" x14ac:dyDescent="0.2">
      <c r="A7351" s="5" t="str">
        <f>HYPERLINK("http://www.ncbi.nlm.nih.gov/protein/119120865","Syne1")</f>
        <v>Syne1</v>
      </c>
      <c r="B7351" s="4"/>
      <c r="C7351" s="3">
        <v>0</v>
      </c>
      <c r="D7351" s="3">
        <v>10</v>
      </c>
      <c r="E7351" s="3">
        <v>2785</v>
      </c>
      <c r="F7351" s="3">
        <v>0</v>
      </c>
      <c r="G7351" s="3">
        <v>2399</v>
      </c>
      <c r="H7351" s="2">
        <f t="shared" si="228"/>
        <v>5194</v>
      </c>
      <c r="I7351" t="str">
        <f t="shared" si="229"/>
        <v>Syne1_5194</v>
      </c>
      <c r="J7351" s="3">
        <v>0</v>
      </c>
      <c r="K7351" s="3">
        <v>10</v>
      </c>
      <c r="L7351" s="3">
        <v>2785</v>
      </c>
      <c r="M7351" s="3">
        <v>0</v>
      </c>
      <c r="N7351" s="3">
        <v>2399</v>
      </c>
    </row>
    <row r="7352" spans="1:14" x14ac:dyDescent="0.2">
      <c r="A7352" s="5" t="str">
        <f>HYPERLINK("http://www.ncbi.nlm.nih.gov/protein/145699091","Syne2")</f>
        <v>Syne2</v>
      </c>
      <c r="B7352" s="4"/>
      <c r="C7352" s="3">
        <v>1471053</v>
      </c>
      <c r="D7352" s="3">
        <v>258278</v>
      </c>
      <c r="E7352" s="3">
        <v>278571</v>
      </c>
      <c r="F7352" s="3">
        <v>494326</v>
      </c>
      <c r="G7352" s="3">
        <v>661290</v>
      </c>
      <c r="H7352" s="2">
        <f t="shared" si="228"/>
        <v>3163518</v>
      </c>
      <c r="I7352" t="str">
        <f t="shared" si="229"/>
        <v>Syne2_3163518</v>
      </c>
      <c r="J7352" s="3">
        <v>1471053</v>
      </c>
      <c r="K7352" s="3">
        <v>258278</v>
      </c>
      <c r="L7352" s="3">
        <v>278571</v>
      </c>
      <c r="M7352" s="3">
        <v>494326</v>
      </c>
      <c r="N7352" s="3">
        <v>661290</v>
      </c>
    </row>
    <row r="7353" spans="1:14" x14ac:dyDescent="0.2">
      <c r="A7353" s="5" t="str">
        <f>HYPERLINK("http://www.ncbi.nlm.nih.gov/protein/46877048","Syngr1")</f>
        <v>Syngr1</v>
      </c>
      <c r="B7353" s="4"/>
      <c r="C7353" s="3">
        <v>0</v>
      </c>
      <c r="D7353" s="3">
        <v>267</v>
      </c>
      <c r="E7353" s="3">
        <v>658</v>
      </c>
      <c r="F7353" s="3">
        <v>1621</v>
      </c>
      <c r="G7353" s="3">
        <v>0</v>
      </c>
      <c r="H7353" s="2">
        <f t="shared" si="228"/>
        <v>2546</v>
      </c>
      <c r="I7353" t="str">
        <f t="shared" si="229"/>
        <v>Syngr1_2546</v>
      </c>
      <c r="J7353" s="3">
        <v>0</v>
      </c>
      <c r="K7353" s="3">
        <v>267</v>
      </c>
      <c r="L7353" s="3">
        <v>658</v>
      </c>
      <c r="M7353" s="3">
        <v>1621</v>
      </c>
      <c r="N7353" s="3">
        <v>0</v>
      </c>
    </row>
    <row r="7354" spans="1:14" x14ac:dyDescent="0.2">
      <c r="A7354" s="5" t="str">
        <f>HYPERLINK("http://www.ncbi.nlm.nih.gov/protein/6678193","Syngr1")</f>
        <v>Syngr1</v>
      </c>
      <c r="B7354" s="4"/>
      <c r="C7354" s="3">
        <v>0</v>
      </c>
      <c r="D7354" s="3">
        <v>267</v>
      </c>
      <c r="E7354" s="3">
        <v>658</v>
      </c>
      <c r="F7354" s="3">
        <v>1621</v>
      </c>
      <c r="G7354" s="3">
        <v>0</v>
      </c>
      <c r="H7354" s="2">
        <f t="shared" si="228"/>
        <v>2546</v>
      </c>
      <c r="I7354" t="str">
        <f t="shared" si="229"/>
        <v>Syngr1_2546</v>
      </c>
      <c r="J7354" s="3">
        <v>0</v>
      </c>
      <c r="K7354" s="3">
        <v>267</v>
      </c>
      <c r="L7354" s="3">
        <v>658</v>
      </c>
      <c r="M7354" s="3">
        <v>1621</v>
      </c>
      <c r="N7354" s="3">
        <v>0</v>
      </c>
    </row>
    <row r="7355" spans="1:14" x14ac:dyDescent="0.2">
      <c r="A7355" s="5" t="str">
        <f>HYPERLINK("http://www.ncbi.nlm.nih.gov/protein/7106429","Syngr2")</f>
        <v>Syngr2</v>
      </c>
      <c r="B7355" s="4"/>
      <c r="C7355" s="3">
        <v>2398</v>
      </c>
      <c r="D7355" s="3">
        <v>4943</v>
      </c>
      <c r="E7355" s="3">
        <v>8761</v>
      </c>
      <c r="F7355" s="3">
        <v>15716</v>
      </c>
      <c r="G7355" s="3">
        <v>0</v>
      </c>
      <c r="H7355" s="2">
        <f t="shared" si="228"/>
        <v>31818</v>
      </c>
      <c r="I7355" t="str">
        <f t="shared" si="229"/>
        <v>Syngr2_31818</v>
      </c>
      <c r="J7355" s="3">
        <v>2398</v>
      </c>
      <c r="K7355" s="3">
        <v>4943</v>
      </c>
      <c r="L7355" s="3">
        <v>8761</v>
      </c>
      <c r="M7355" s="3">
        <v>15716</v>
      </c>
      <c r="N7355" s="3">
        <v>0</v>
      </c>
    </row>
    <row r="7356" spans="1:14" x14ac:dyDescent="0.2">
      <c r="A7356" s="5" t="str">
        <f>HYPERLINK("http://www.ncbi.nlm.nih.gov/protein/31560541","Syngr3")</f>
        <v>Syngr3</v>
      </c>
      <c r="B7356" s="4"/>
      <c r="C7356" s="3">
        <v>0</v>
      </c>
      <c r="D7356" s="3">
        <v>0</v>
      </c>
      <c r="E7356" s="3">
        <v>9</v>
      </c>
      <c r="F7356" s="3">
        <v>0</v>
      </c>
      <c r="G7356" s="3">
        <v>0</v>
      </c>
      <c r="H7356" s="2">
        <f t="shared" si="228"/>
        <v>9</v>
      </c>
      <c r="I7356" t="str">
        <f t="shared" si="229"/>
        <v>Syngr3_9</v>
      </c>
      <c r="J7356" s="3">
        <v>0</v>
      </c>
      <c r="K7356" s="3">
        <v>0</v>
      </c>
      <c r="L7356" s="3">
        <v>9</v>
      </c>
      <c r="M7356" s="3">
        <v>0</v>
      </c>
      <c r="N7356" s="3">
        <v>0</v>
      </c>
    </row>
    <row r="7357" spans="1:14" x14ac:dyDescent="0.2">
      <c r="A7357" s="5" t="str">
        <f>HYPERLINK("http://www.ncbi.nlm.nih.gov/protein/256773218","Synj1")</f>
        <v>Synj1</v>
      </c>
      <c r="B7357" s="4"/>
      <c r="C7357" s="3">
        <v>0</v>
      </c>
      <c r="D7357" s="3">
        <v>0</v>
      </c>
      <c r="E7357" s="3">
        <v>0</v>
      </c>
      <c r="F7357" s="3">
        <v>1080</v>
      </c>
      <c r="G7357" s="3">
        <v>0</v>
      </c>
      <c r="H7357" s="2">
        <f t="shared" si="228"/>
        <v>1080</v>
      </c>
      <c r="I7357" t="str">
        <f t="shared" si="229"/>
        <v>Synj1_1080</v>
      </c>
      <c r="J7357" s="3">
        <v>0</v>
      </c>
      <c r="K7357" s="3">
        <v>0</v>
      </c>
      <c r="L7357" s="3">
        <v>0</v>
      </c>
      <c r="M7357" s="3">
        <v>1080</v>
      </c>
      <c r="N7357" s="3">
        <v>0</v>
      </c>
    </row>
    <row r="7358" spans="1:14" x14ac:dyDescent="0.2">
      <c r="A7358" s="5" t="str">
        <f>HYPERLINK("http://www.ncbi.nlm.nih.gov/protein/256773220","Synj1")</f>
        <v>Synj1</v>
      </c>
      <c r="B7358" s="4"/>
      <c r="C7358" s="3">
        <v>0</v>
      </c>
      <c r="D7358" s="3">
        <v>0</v>
      </c>
      <c r="E7358" s="3">
        <v>0</v>
      </c>
      <c r="F7358" s="3">
        <v>1080</v>
      </c>
      <c r="G7358" s="3">
        <v>0</v>
      </c>
      <c r="H7358" s="2">
        <f t="shared" si="228"/>
        <v>1080</v>
      </c>
      <c r="I7358" t="str">
        <f t="shared" si="229"/>
        <v>Synj1_1080</v>
      </c>
      <c r="J7358" s="3">
        <v>0</v>
      </c>
      <c r="K7358" s="3">
        <v>0</v>
      </c>
      <c r="L7358" s="3">
        <v>0</v>
      </c>
      <c r="M7358" s="3">
        <v>1080</v>
      </c>
      <c r="N7358" s="3">
        <v>0</v>
      </c>
    </row>
    <row r="7359" spans="1:14" x14ac:dyDescent="0.2">
      <c r="A7359" s="5" t="str">
        <f>HYPERLINK("http://www.ncbi.nlm.nih.gov/protein/13384642","Synj2bp")</f>
        <v>Synj2bp</v>
      </c>
      <c r="B7359" s="4"/>
      <c r="C7359" s="3">
        <v>7798</v>
      </c>
      <c r="D7359" s="3">
        <v>6260</v>
      </c>
      <c r="E7359" s="3">
        <v>89</v>
      </c>
      <c r="F7359" s="3">
        <v>0</v>
      </c>
      <c r="G7359" s="3">
        <v>0</v>
      </c>
      <c r="H7359" s="2">
        <f t="shared" si="228"/>
        <v>14147</v>
      </c>
      <c r="I7359" t="str">
        <f t="shared" si="229"/>
        <v>Synj2bp_14147</v>
      </c>
      <c r="J7359" s="3">
        <v>7798</v>
      </c>
      <c r="K7359" s="3">
        <v>6260</v>
      </c>
      <c r="L7359" s="3">
        <v>89</v>
      </c>
      <c r="M7359" s="3">
        <v>0</v>
      </c>
      <c r="N7359" s="3">
        <v>0</v>
      </c>
    </row>
    <row r="7360" spans="1:14" x14ac:dyDescent="0.2">
      <c r="A7360" s="5" t="str">
        <f>HYPERLINK("http://www.ncbi.nlm.nih.gov/protein/169234726","Synrg")</f>
        <v>Synrg</v>
      </c>
      <c r="B7360" s="4"/>
      <c r="C7360" s="3">
        <v>0</v>
      </c>
      <c r="D7360" s="3">
        <v>0</v>
      </c>
      <c r="E7360" s="3">
        <v>0</v>
      </c>
      <c r="F7360" s="3">
        <v>0</v>
      </c>
      <c r="G7360" s="3">
        <v>8278</v>
      </c>
      <c r="H7360" s="2">
        <f t="shared" si="228"/>
        <v>8278</v>
      </c>
      <c r="I7360" t="str">
        <f t="shared" si="229"/>
        <v>Synrg_8278</v>
      </c>
      <c r="J7360" s="3">
        <v>0</v>
      </c>
      <c r="K7360" s="3">
        <v>0</v>
      </c>
      <c r="L7360" s="3">
        <v>0</v>
      </c>
      <c r="M7360" s="3">
        <v>0</v>
      </c>
      <c r="N7360" s="3">
        <v>8278</v>
      </c>
    </row>
    <row r="7361" spans="1:14" x14ac:dyDescent="0.2">
      <c r="A7361" s="5" t="str">
        <f>HYPERLINK("http://www.ncbi.nlm.nih.gov/protein/34996507","Synrg")</f>
        <v>Synrg</v>
      </c>
      <c r="B7361" s="4"/>
      <c r="C7361" s="3">
        <v>0</v>
      </c>
      <c r="D7361" s="3">
        <v>0</v>
      </c>
      <c r="E7361" s="3">
        <v>0</v>
      </c>
      <c r="F7361" s="3">
        <v>0</v>
      </c>
      <c r="G7361" s="3">
        <v>7786</v>
      </c>
      <c r="H7361" s="2">
        <f t="shared" si="228"/>
        <v>7786</v>
      </c>
      <c r="I7361" t="str">
        <f t="shared" si="229"/>
        <v>Synrg_7786</v>
      </c>
      <c r="J7361" s="3">
        <v>0</v>
      </c>
      <c r="K7361" s="3">
        <v>0</v>
      </c>
      <c r="L7361" s="3">
        <v>0</v>
      </c>
      <c r="M7361" s="3">
        <v>0</v>
      </c>
      <c r="N7361" s="3">
        <v>7786</v>
      </c>
    </row>
    <row r="7362" spans="1:14" x14ac:dyDescent="0.2">
      <c r="A7362" s="5" t="str">
        <f>HYPERLINK("http://www.ncbi.nlm.nih.gov/protein/226958374","Sypl")</f>
        <v>Sypl</v>
      </c>
      <c r="B7362" s="4"/>
      <c r="C7362" s="3">
        <v>17025</v>
      </c>
      <c r="D7362" s="3">
        <v>403</v>
      </c>
      <c r="E7362" s="3">
        <v>16562</v>
      </c>
      <c r="F7362" s="3">
        <v>663</v>
      </c>
      <c r="G7362" s="3">
        <v>0</v>
      </c>
      <c r="H7362" s="2">
        <f t="shared" ref="H7362:H7425" si="230">SUM(C7362:G7362)</f>
        <v>34653</v>
      </c>
      <c r="I7362" t="str">
        <f t="shared" ref="I7362:I7425" si="231">A7362&amp;"_"&amp;H7362</f>
        <v>Sypl_34653</v>
      </c>
      <c r="J7362" s="3">
        <v>17025</v>
      </c>
      <c r="K7362" s="3">
        <v>403</v>
      </c>
      <c r="L7362" s="3">
        <v>16562</v>
      </c>
      <c r="M7362" s="3">
        <v>663</v>
      </c>
      <c r="N7362" s="3">
        <v>0</v>
      </c>
    </row>
    <row r="7363" spans="1:14" x14ac:dyDescent="0.2">
      <c r="A7363" s="5" t="str">
        <f>HYPERLINK("http://www.ncbi.nlm.nih.gov/protein/41282044","Sypl")</f>
        <v>Sypl</v>
      </c>
      <c r="B7363" s="4"/>
      <c r="C7363" s="3">
        <v>17025</v>
      </c>
      <c r="D7363" s="3">
        <v>668</v>
      </c>
      <c r="E7363" s="3">
        <v>17939</v>
      </c>
      <c r="F7363" s="3">
        <v>663</v>
      </c>
      <c r="G7363" s="3">
        <v>0</v>
      </c>
      <c r="H7363" s="2">
        <f t="shared" si="230"/>
        <v>36295</v>
      </c>
      <c r="I7363" t="str">
        <f t="shared" si="231"/>
        <v>Sypl_36295</v>
      </c>
      <c r="J7363" s="3">
        <v>17025</v>
      </c>
      <c r="K7363" s="3">
        <v>668</v>
      </c>
      <c r="L7363" s="3">
        <v>17939</v>
      </c>
      <c r="M7363" s="3">
        <v>663</v>
      </c>
      <c r="N7363" s="3">
        <v>0</v>
      </c>
    </row>
    <row r="7364" spans="1:14" x14ac:dyDescent="0.2">
      <c r="A7364" s="5" t="str">
        <f>HYPERLINK("http://www.ncbi.nlm.nih.gov/protein/258547102","Syvn1")</f>
        <v>Syvn1</v>
      </c>
      <c r="B7364" s="4"/>
      <c r="C7364" s="3">
        <v>0</v>
      </c>
      <c r="D7364" s="3">
        <v>0</v>
      </c>
      <c r="E7364" s="3">
        <v>1232</v>
      </c>
      <c r="F7364" s="3">
        <v>0</v>
      </c>
      <c r="G7364" s="3">
        <v>0</v>
      </c>
      <c r="H7364" s="2">
        <f t="shared" si="230"/>
        <v>1232</v>
      </c>
      <c r="I7364" t="str">
        <f t="shared" si="231"/>
        <v>Syvn1_1232</v>
      </c>
      <c r="J7364" s="3">
        <v>0</v>
      </c>
      <c r="K7364" s="3">
        <v>0</v>
      </c>
      <c r="L7364" s="3">
        <v>1232</v>
      </c>
      <c r="M7364" s="3">
        <v>0</v>
      </c>
      <c r="N7364" s="3">
        <v>0</v>
      </c>
    </row>
    <row r="7365" spans="1:14" x14ac:dyDescent="0.2">
      <c r="A7365" s="5" t="str">
        <f>HYPERLINK("http://www.ncbi.nlm.nih.gov/protein/33239391","Szrd1")</f>
        <v>Szrd1</v>
      </c>
      <c r="B7365" s="4"/>
      <c r="C7365" s="3">
        <v>0</v>
      </c>
      <c r="D7365" s="3">
        <v>0</v>
      </c>
      <c r="E7365" s="3">
        <v>0</v>
      </c>
      <c r="F7365" s="3">
        <v>0</v>
      </c>
      <c r="G7365" s="3">
        <v>332</v>
      </c>
      <c r="H7365" s="2">
        <f t="shared" si="230"/>
        <v>332</v>
      </c>
      <c r="I7365" t="str">
        <f t="shared" si="231"/>
        <v>Szrd1_332</v>
      </c>
      <c r="J7365" s="3">
        <v>0</v>
      </c>
      <c r="K7365" s="3">
        <v>0</v>
      </c>
      <c r="L7365" s="3">
        <v>0</v>
      </c>
      <c r="M7365" s="3">
        <v>0</v>
      </c>
      <c r="N7365" s="3">
        <v>332</v>
      </c>
    </row>
    <row r="7366" spans="1:14" x14ac:dyDescent="0.2">
      <c r="A7366" s="5" t="str">
        <f>HYPERLINK("http://www.ncbi.nlm.nih.gov/protein/71043934","Szrd1")</f>
        <v>Szrd1</v>
      </c>
      <c r="B7366" s="4"/>
      <c r="C7366" s="3">
        <v>0</v>
      </c>
      <c r="D7366" s="3">
        <v>0</v>
      </c>
      <c r="E7366" s="3">
        <v>0</v>
      </c>
      <c r="F7366" s="3">
        <v>0</v>
      </c>
      <c r="G7366" s="3">
        <v>332</v>
      </c>
      <c r="H7366" s="2">
        <f t="shared" si="230"/>
        <v>332</v>
      </c>
      <c r="I7366" t="str">
        <f t="shared" si="231"/>
        <v>Szrd1_332</v>
      </c>
      <c r="J7366" s="3">
        <v>0</v>
      </c>
      <c r="K7366" s="3">
        <v>0</v>
      </c>
      <c r="L7366" s="3">
        <v>0</v>
      </c>
      <c r="M7366" s="3">
        <v>0</v>
      </c>
      <c r="N7366" s="3">
        <v>332</v>
      </c>
    </row>
    <row r="7367" spans="1:14" x14ac:dyDescent="0.2">
      <c r="A7367" s="5" t="str">
        <f>HYPERLINK("http://www.ncbi.nlm.nih.gov/protein/34328268","Tab1")</f>
        <v>Tab1</v>
      </c>
      <c r="B7367" s="4"/>
      <c r="C7367" s="3">
        <v>0</v>
      </c>
      <c r="D7367" s="3">
        <v>0</v>
      </c>
      <c r="E7367" s="3">
        <v>183</v>
      </c>
      <c r="F7367" s="3">
        <v>0</v>
      </c>
      <c r="G7367" s="3">
        <v>5762</v>
      </c>
      <c r="H7367" s="2">
        <f t="shared" si="230"/>
        <v>5945</v>
      </c>
      <c r="I7367" t="str">
        <f t="shared" si="231"/>
        <v>Tab1_5945</v>
      </c>
      <c r="J7367" s="3">
        <v>0</v>
      </c>
      <c r="K7367" s="3">
        <v>0</v>
      </c>
      <c r="L7367" s="3">
        <v>183</v>
      </c>
      <c r="M7367" s="3">
        <v>0</v>
      </c>
      <c r="N7367" s="3">
        <v>5762</v>
      </c>
    </row>
    <row r="7368" spans="1:14" x14ac:dyDescent="0.2">
      <c r="A7368" s="5" t="str">
        <f>HYPERLINK("http://www.ncbi.nlm.nih.gov/protein/6678207","Tac1")</f>
        <v>Tac1</v>
      </c>
      <c r="B7368" s="4"/>
      <c r="C7368" s="3">
        <v>2947</v>
      </c>
      <c r="D7368" s="3">
        <v>0</v>
      </c>
      <c r="E7368" s="3">
        <v>0</v>
      </c>
      <c r="F7368" s="3">
        <v>0</v>
      </c>
      <c r="G7368" s="3">
        <v>0</v>
      </c>
      <c r="H7368" s="2">
        <f t="shared" si="230"/>
        <v>2947</v>
      </c>
      <c r="I7368" t="str">
        <f t="shared" si="231"/>
        <v>Tac1_2947</v>
      </c>
      <c r="J7368" s="3">
        <v>2947</v>
      </c>
      <c r="K7368" s="3">
        <v>0</v>
      </c>
      <c r="L7368" s="3">
        <v>0</v>
      </c>
      <c r="M7368" s="3">
        <v>0</v>
      </c>
      <c r="N7368" s="3">
        <v>0</v>
      </c>
    </row>
    <row r="7369" spans="1:14" x14ac:dyDescent="0.2">
      <c r="A7369" s="5" t="str">
        <f>HYPERLINK("http://www.ncbi.nlm.nih.gov/protein/52486864","Tacc2")</f>
        <v>Tacc2</v>
      </c>
      <c r="B7369" s="4"/>
      <c r="C7369" s="3">
        <v>0</v>
      </c>
      <c r="D7369" s="3">
        <v>0</v>
      </c>
      <c r="E7369" s="3">
        <v>0</v>
      </c>
      <c r="F7369" s="3">
        <v>0</v>
      </c>
      <c r="G7369" s="3">
        <v>150</v>
      </c>
      <c r="H7369" s="2">
        <f t="shared" si="230"/>
        <v>150</v>
      </c>
      <c r="I7369" t="str">
        <f t="shared" si="231"/>
        <v>Tacc2_150</v>
      </c>
      <c r="J7369" s="3">
        <v>0</v>
      </c>
      <c r="K7369" s="3">
        <v>0</v>
      </c>
      <c r="L7369" s="3">
        <v>0</v>
      </c>
      <c r="M7369" s="3">
        <v>0</v>
      </c>
      <c r="N7369" s="3">
        <v>150</v>
      </c>
    </row>
    <row r="7370" spans="1:14" x14ac:dyDescent="0.2">
      <c r="A7370" s="5" t="str">
        <f>HYPERLINK("http://www.ncbi.nlm.nih.gov/protein/52486915","Tacc2")</f>
        <v>Tacc2</v>
      </c>
      <c r="B7370" s="4"/>
      <c r="C7370" s="3">
        <v>0</v>
      </c>
      <c r="D7370" s="3">
        <v>0</v>
      </c>
      <c r="E7370" s="3">
        <v>0</v>
      </c>
      <c r="F7370" s="3">
        <v>0</v>
      </c>
      <c r="G7370" s="3">
        <v>150</v>
      </c>
      <c r="H7370" s="2">
        <f t="shared" si="230"/>
        <v>150</v>
      </c>
      <c r="I7370" t="str">
        <f t="shared" si="231"/>
        <v>Tacc2_150</v>
      </c>
      <c r="J7370" s="3">
        <v>0</v>
      </c>
      <c r="K7370" s="3">
        <v>0</v>
      </c>
      <c r="L7370" s="3">
        <v>0</v>
      </c>
      <c r="M7370" s="3">
        <v>0</v>
      </c>
      <c r="N7370" s="3">
        <v>150</v>
      </c>
    </row>
    <row r="7371" spans="1:14" x14ac:dyDescent="0.2">
      <c r="A7371" s="5" t="str">
        <f>HYPERLINK("http://www.ncbi.nlm.nih.gov/protein/52486843","Tacc2")</f>
        <v>Tacc2</v>
      </c>
      <c r="B7371" s="4"/>
      <c r="C7371" s="3">
        <v>0</v>
      </c>
      <c r="D7371" s="3">
        <v>0</v>
      </c>
      <c r="E7371" s="3">
        <v>20</v>
      </c>
      <c r="F7371" s="3">
        <v>0</v>
      </c>
      <c r="G7371" s="3">
        <v>8718</v>
      </c>
      <c r="H7371" s="2">
        <f t="shared" si="230"/>
        <v>8738</v>
      </c>
      <c r="I7371" t="str">
        <f t="shared" si="231"/>
        <v>Tacc2_8738</v>
      </c>
      <c r="J7371" s="3">
        <v>0</v>
      </c>
      <c r="K7371" s="3">
        <v>0</v>
      </c>
      <c r="L7371" s="3">
        <v>20</v>
      </c>
      <c r="M7371" s="3">
        <v>0</v>
      </c>
      <c r="N7371" s="3">
        <v>8718</v>
      </c>
    </row>
    <row r="7372" spans="1:14" x14ac:dyDescent="0.2">
      <c r="A7372" s="5" t="str">
        <f>HYPERLINK("http://www.ncbi.nlm.nih.gov/protein/94681040","Tacc3")</f>
        <v>Tacc3</v>
      </c>
      <c r="B7372" s="4"/>
      <c r="C7372" s="3">
        <v>0</v>
      </c>
      <c r="D7372" s="3">
        <v>0</v>
      </c>
      <c r="E7372" s="3">
        <v>0</v>
      </c>
      <c r="F7372" s="3">
        <v>0</v>
      </c>
      <c r="G7372" s="3">
        <v>514</v>
      </c>
      <c r="H7372" s="2">
        <f t="shared" si="230"/>
        <v>514</v>
      </c>
      <c r="I7372" t="str">
        <f t="shared" si="231"/>
        <v>Tacc3_514</v>
      </c>
      <c r="J7372" s="3">
        <v>0</v>
      </c>
      <c r="K7372" s="3">
        <v>0</v>
      </c>
      <c r="L7372" s="3">
        <v>0</v>
      </c>
      <c r="M7372" s="3">
        <v>0</v>
      </c>
      <c r="N7372" s="3">
        <v>514</v>
      </c>
    </row>
    <row r="7373" spans="1:14" x14ac:dyDescent="0.2">
      <c r="A7373" s="5" t="str">
        <f>HYPERLINK("http://www.ncbi.nlm.nih.gov/protein/39930435","Taco1")</f>
        <v>Taco1</v>
      </c>
      <c r="B7373" s="4"/>
      <c r="C7373" s="3">
        <v>0</v>
      </c>
      <c r="D7373" s="3">
        <v>860</v>
      </c>
      <c r="E7373" s="3">
        <v>0</v>
      </c>
      <c r="F7373" s="3">
        <v>0</v>
      </c>
      <c r="G7373" s="3">
        <v>0</v>
      </c>
      <c r="H7373" s="2">
        <f t="shared" si="230"/>
        <v>860</v>
      </c>
      <c r="I7373" t="str">
        <f t="shared" si="231"/>
        <v>Taco1_860</v>
      </c>
      <c r="J7373" s="3">
        <v>0</v>
      </c>
      <c r="K7373" s="3">
        <v>860</v>
      </c>
      <c r="L7373" s="3">
        <v>0</v>
      </c>
      <c r="M7373" s="3">
        <v>0</v>
      </c>
      <c r="N7373" s="3">
        <v>0</v>
      </c>
    </row>
    <row r="7374" spans="1:14" x14ac:dyDescent="0.2">
      <c r="A7374" s="5" t="str">
        <f>HYPERLINK("http://www.ncbi.nlm.nih.gov/protein/31560359","Tacstd2")</f>
        <v>Tacstd2</v>
      </c>
      <c r="B7374" s="4"/>
      <c r="C7374" s="3">
        <v>0</v>
      </c>
      <c r="D7374" s="3">
        <v>5985</v>
      </c>
      <c r="E7374" s="3">
        <v>19164</v>
      </c>
      <c r="F7374" s="3">
        <v>0</v>
      </c>
      <c r="G7374" s="3">
        <v>0</v>
      </c>
      <c r="H7374" s="2">
        <f t="shared" si="230"/>
        <v>25149</v>
      </c>
      <c r="I7374" t="str">
        <f t="shared" si="231"/>
        <v>Tacstd2_25149</v>
      </c>
      <c r="J7374" s="3">
        <v>0</v>
      </c>
      <c r="K7374" s="3">
        <v>5985</v>
      </c>
      <c r="L7374" s="3">
        <v>19164</v>
      </c>
      <c r="M7374" s="3">
        <v>0</v>
      </c>
      <c r="N7374" s="3">
        <v>0</v>
      </c>
    </row>
    <row r="7375" spans="1:14" x14ac:dyDescent="0.2">
      <c r="A7375" s="5" t="str">
        <f>HYPERLINK("http://www.ncbi.nlm.nih.gov/protein/30794436","Taf11")</f>
        <v>Taf11</v>
      </c>
      <c r="B7375" s="4"/>
      <c r="C7375" s="3">
        <v>0</v>
      </c>
      <c r="D7375" s="3">
        <v>0</v>
      </c>
      <c r="E7375" s="3">
        <v>0</v>
      </c>
      <c r="F7375" s="3">
        <v>139</v>
      </c>
      <c r="G7375" s="3">
        <v>0</v>
      </c>
      <c r="H7375" s="2">
        <f t="shared" si="230"/>
        <v>139</v>
      </c>
      <c r="I7375" t="str">
        <f t="shared" si="231"/>
        <v>Taf11_139</v>
      </c>
      <c r="J7375" s="3">
        <v>0</v>
      </c>
      <c r="K7375" s="3">
        <v>0</v>
      </c>
      <c r="L7375" s="3">
        <v>0</v>
      </c>
      <c r="M7375" s="3">
        <v>139</v>
      </c>
      <c r="N7375" s="3">
        <v>0</v>
      </c>
    </row>
    <row r="7376" spans="1:14" x14ac:dyDescent="0.2">
      <c r="A7376" s="5" t="str">
        <f>HYPERLINK("http://www.ncbi.nlm.nih.gov/protein/30794412","Taf15")</f>
        <v>Taf15</v>
      </c>
      <c r="B7376" s="4"/>
      <c r="C7376" s="3">
        <v>51477</v>
      </c>
      <c r="D7376" s="3">
        <v>6206</v>
      </c>
      <c r="E7376" s="3">
        <v>11478</v>
      </c>
      <c r="F7376" s="3">
        <v>1498</v>
      </c>
      <c r="G7376" s="3">
        <v>278</v>
      </c>
      <c r="H7376" s="2">
        <f t="shared" si="230"/>
        <v>70937</v>
      </c>
      <c r="I7376" t="str">
        <f t="shared" si="231"/>
        <v>Taf15_70937</v>
      </c>
      <c r="J7376" s="3">
        <v>51477</v>
      </c>
      <c r="K7376" s="3">
        <v>6206</v>
      </c>
      <c r="L7376" s="3">
        <v>11478</v>
      </c>
      <c r="M7376" s="3">
        <v>1498</v>
      </c>
      <c r="N7376" s="3">
        <v>278</v>
      </c>
    </row>
    <row r="7377" spans="1:14" x14ac:dyDescent="0.2">
      <c r="A7377" s="5" t="str">
        <f>HYPERLINK("http://www.ncbi.nlm.nih.gov/protein/295317363","Taf6l")</f>
        <v>Taf6l</v>
      </c>
      <c r="B7377" s="4"/>
      <c r="C7377" s="3">
        <v>0</v>
      </c>
      <c r="D7377" s="3">
        <v>0</v>
      </c>
      <c r="E7377" s="3">
        <v>12</v>
      </c>
      <c r="F7377" s="3">
        <v>1080</v>
      </c>
      <c r="G7377" s="3">
        <v>0</v>
      </c>
      <c r="H7377" s="2">
        <f t="shared" si="230"/>
        <v>1092</v>
      </c>
      <c r="I7377" t="str">
        <f t="shared" si="231"/>
        <v>Taf6l_1092</v>
      </c>
      <c r="J7377" s="3">
        <v>0</v>
      </c>
      <c r="K7377" s="3">
        <v>0</v>
      </c>
      <c r="L7377" s="3">
        <v>12</v>
      </c>
      <c r="M7377" s="3">
        <v>1080</v>
      </c>
      <c r="N7377" s="3">
        <v>0</v>
      </c>
    </row>
    <row r="7378" spans="1:14" x14ac:dyDescent="0.2">
      <c r="A7378" s="5" t="str">
        <f>HYPERLINK("http://www.ncbi.nlm.nih.gov/protein/295317365","Taf6l")</f>
        <v>Taf6l</v>
      </c>
      <c r="B7378" s="4"/>
      <c r="C7378" s="3">
        <v>0</v>
      </c>
      <c r="D7378" s="3">
        <v>0</v>
      </c>
      <c r="E7378" s="3">
        <v>12</v>
      </c>
      <c r="F7378" s="3">
        <v>884</v>
      </c>
      <c r="G7378" s="3">
        <v>0</v>
      </c>
      <c r="H7378" s="2">
        <f t="shared" si="230"/>
        <v>896</v>
      </c>
      <c r="I7378" t="str">
        <f t="shared" si="231"/>
        <v>Taf6l_896</v>
      </c>
      <c r="J7378" s="3">
        <v>0</v>
      </c>
      <c r="K7378" s="3">
        <v>0</v>
      </c>
      <c r="L7378" s="3">
        <v>12</v>
      </c>
      <c r="M7378" s="3">
        <v>884</v>
      </c>
      <c r="N7378" s="3">
        <v>0</v>
      </c>
    </row>
    <row r="7379" spans="1:14" x14ac:dyDescent="0.2">
      <c r="A7379" s="5" t="str">
        <f>HYPERLINK("http://www.ncbi.nlm.nih.gov/protein/283046765","Taf7l")</f>
        <v>Taf7l</v>
      </c>
      <c r="B7379" s="4"/>
      <c r="C7379" s="3">
        <v>0</v>
      </c>
      <c r="D7379" s="3">
        <v>0</v>
      </c>
      <c r="E7379" s="3">
        <v>111</v>
      </c>
      <c r="F7379" s="3">
        <v>3233</v>
      </c>
      <c r="G7379" s="3">
        <v>0</v>
      </c>
      <c r="H7379" s="2">
        <f t="shared" si="230"/>
        <v>3344</v>
      </c>
      <c r="I7379" t="str">
        <f t="shared" si="231"/>
        <v>Taf7l_3344</v>
      </c>
      <c r="J7379" s="3">
        <v>0</v>
      </c>
      <c r="K7379" s="3">
        <v>0</v>
      </c>
      <c r="L7379" s="3">
        <v>111</v>
      </c>
      <c r="M7379" s="3">
        <v>3233</v>
      </c>
      <c r="N7379" s="3">
        <v>0</v>
      </c>
    </row>
    <row r="7380" spans="1:14" x14ac:dyDescent="0.2">
      <c r="A7380" s="5" t="str">
        <f>HYPERLINK("http://www.ncbi.nlm.nih.gov/protein/30519911","Tagln2")</f>
        <v>Tagln2</v>
      </c>
      <c r="B7380" s="4"/>
      <c r="C7380" s="3">
        <v>41189</v>
      </c>
      <c r="D7380" s="3">
        <v>10283</v>
      </c>
      <c r="E7380" s="3">
        <v>23855</v>
      </c>
      <c r="F7380" s="3">
        <v>311</v>
      </c>
      <c r="G7380" s="3">
        <v>347256</v>
      </c>
      <c r="H7380" s="2">
        <f t="shared" si="230"/>
        <v>422894</v>
      </c>
      <c r="I7380" t="str">
        <f t="shared" si="231"/>
        <v>Tagln2_422894</v>
      </c>
      <c r="J7380" s="3">
        <v>41189</v>
      </c>
      <c r="K7380" s="3">
        <v>10283</v>
      </c>
      <c r="L7380" s="3">
        <v>23855</v>
      </c>
      <c r="M7380" s="3">
        <v>311</v>
      </c>
      <c r="N7380" s="3">
        <v>347256</v>
      </c>
    </row>
    <row r="7381" spans="1:14" x14ac:dyDescent="0.2">
      <c r="A7381" s="5" t="str">
        <f>HYPERLINK("http://www.ncbi.nlm.nih.gov/protein/9790125","Tagln3")</f>
        <v>Tagln3</v>
      </c>
      <c r="B7381" s="4"/>
      <c r="C7381" s="3">
        <v>0</v>
      </c>
      <c r="D7381" s="3">
        <v>8</v>
      </c>
      <c r="E7381" s="3">
        <v>2144</v>
      </c>
      <c r="F7381" s="3">
        <v>0</v>
      </c>
      <c r="G7381" s="3">
        <v>18688</v>
      </c>
      <c r="H7381" s="2">
        <f t="shared" si="230"/>
        <v>20840</v>
      </c>
      <c r="I7381" t="str">
        <f t="shared" si="231"/>
        <v>Tagln3_20840</v>
      </c>
      <c r="J7381" s="3">
        <v>0</v>
      </c>
      <c r="K7381" s="3">
        <v>8</v>
      </c>
      <c r="L7381" s="3">
        <v>2144</v>
      </c>
      <c r="M7381" s="3">
        <v>0</v>
      </c>
      <c r="N7381" s="3">
        <v>18688</v>
      </c>
    </row>
    <row r="7382" spans="1:14" x14ac:dyDescent="0.2">
      <c r="A7382" s="5" t="str">
        <f>HYPERLINK("http://www.ncbi.nlm.nih.gov/protein/33859640","Taldo1")</f>
        <v>Taldo1</v>
      </c>
      <c r="B7382" s="4"/>
      <c r="C7382" s="3">
        <v>31816</v>
      </c>
      <c r="D7382" s="3">
        <v>20000</v>
      </c>
      <c r="E7382" s="3">
        <v>26687</v>
      </c>
      <c r="F7382" s="3">
        <v>36025</v>
      </c>
      <c r="G7382" s="3">
        <v>631357</v>
      </c>
      <c r="H7382" s="2">
        <f t="shared" si="230"/>
        <v>745885</v>
      </c>
      <c r="I7382" t="str">
        <f t="shared" si="231"/>
        <v>Taldo1_745885</v>
      </c>
      <c r="J7382" s="3">
        <v>31816</v>
      </c>
      <c r="K7382" s="3">
        <v>20000</v>
      </c>
      <c r="L7382" s="3">
        <v>26687</v>
      </c>
      <c r="M7382" s="3">
        <v>36025</v>
      </c>
      <c r="N7382" s="3">
        <v>631357</v>
      </c>
    </row>
    <row r="7383" spans="1:14" x14ac:dyDescent="0.2">
      <c r="A7383" s="5" t="str">
        <f>HYPERLINK("http://www.ncbi.nlm.nih.gov/protein/76559944","Tamm41")</f>
        <v>Tamm41</v>
      </c>
      <c r="B7383" s="4"/>
      <c r="C7383" s="3">
        <v>0</v>
      </c>
      <c r="D7383" s="3">
        <v>157</v>
      </c>
      <c r="E7383" s="3">
        <v>0</v>
      </c>
      <c r="F7383" s="3">
        <v>0</v>
      </c>
      <c r="G7383" s="3">
        <v>0</v>
      </c>
      <c r="H7383" s="2">
        <f t="shared" si="230"/>
        <v>157</v>
      </c>
      <c r="I7383" t="str">
        <f t="shared" si="231"/>
        <v>Tamm41_157</v>
      </c>
      <c r="J7383" s="3">
        <v>0</v>
      </c>
      <c r="K7383" s="3">
        <v>157</v>
      </c>
      <c r="L7383" s="3">
        <v>0</v>
      </c>
      <c r="M7383" s="3">
        <v>0</v>
      </c>
      <c r="N7383" s="3">
        <v>0</v>
      </c>
    </row>
    <row r="7384" spans="1:14" x14ac:dyDescent="0.2">
      <c r="A7384" s="5" t="str">
        <f>HYPERLINK("http://www.ncbi.nlm.nih.gov/protein/57164407","Tanc1")</f>
        <v>Tanc1</v>
      </c>
      <c r="B7384" s="4"/>
      <c r="C7384" s="3">
        <v>18</v>
      </c>
      <c r="D7384" s="3">
        <v>0</v>
      </c>
      <c r="E7384" s="3">
        <v>160</v>
      </c>
      <c r="F7384" s="3">
        <v>156</v>
      </c>
      <c r="G7384" s="3">
        <v>0</v>
      </c>
      <c r="H7384" s="2">
        <f t="shared" si="230"/>
        <v>334</v>
      </c>
      <c r="I7384" t="str">
        <f t="shared" si="231"/>
        <v>Tanc1_334</v>
      </c>
      <c r="J7384" s="3">
        <v>18</v>
      </c>
      <c r="K7384" s="3">
        <v>0</v>
      </c>
      <c r="L7384" s="3">
        <v>160</v>
      </c>
      <c r="M7384" s="3">
        <v>156</v>
      </c>
      <c r="N7384" s="3">
        <v>0</v>
      </c>
    </row>
    <row r="7385" spans="1:14" x14ac:dyDescent="0.2">
      <c r="A7385" s="5" t="str">
        <f>HYPERLINK("http://www.ncbi.nlm.nih.gov/protein/124378026","Tanc2")</f>
        <v>Tanc2</v>
      </c>
      <c r="B7385" s="4"/>
      <c r="C7385" s="3">
        <v>0</v>
      </c>
      <c r="D7385" s="3">
        <v>528</v>
      </c>
      <c r="E7385" s="3">
        <v>0</v>
      </c>
      <c r="F7385" s="3">
        <v>982</v>
      </c>
      <c r="G7385" s="3">
        <v>0</v>
      </c>
      <c r="H7385" s="2">
        <f t="shared" si="230"/>
        <v>1510</v>
      </c>
      <c r="I7385" t="str">
        <f t="shared" si="231"/>
        <v>Tanc2_1510</v>
      </c>
      <c r="J7385" s="3">
        <v>0</v>
      </c>
      <c r="K7385" s="3">
        <v>528</v>
      </c>
      <c r="L7385" s="3">
        <v>0</v>
      </c>
      <c r="M7385" s="3">
        <v>982</v>
      </c>
      <c r="N7385" s="3">
        <v>0</v>
      </c>
    </row>
    <row r="7386" spans="1:14" x14ac:dyDescent="0.2">
      <c r="A7386" s="5" t="str">
        <f>HYPERLINK("http://www.ncbi.nlm.nih.gov/protein/255918143","Tango2")</f>
        <v>Tango2</v>
      </c>
      <c r="B7386" s="4"/>
      <c r="C7386" s="3">
        <v>0</v>
      </c>
      <c r="D7386" s="3">
        <v>0</v>
      </c>
      <c r="E7386" s="3">
        <v>0</v>
      </c>
      <c r="F7386" s="3">
        <v>0</v>
      </c>
      <c r="G7386" s="3">
        <v>867</v>
      </c>
      <c r="H7386" s="2">
        <f t="shared" si="230"/>
        <v>867</v>
      </c>
      <c r="I7386" t="str">
        <f t="shared" si="231"/>
        <v>Tango2_867</v>
      </c>
      <c r="J7386" s="3">
        <v>0</v>
      </c>
      <c r="K7386" s="3">
        <v>0</v>
      </c>
      <c r="L7386" s="3">
        <v>0</v>
      </c>
      <c r="M7386" s="3">
        <v>0</v>
      </c>
      <c r="N7386" s="3">
        <v>867</v>
      </c>
    </row>
    <row r="7387" spans="1:14" x14ac:dyDescent="0.2">
      <c r="A7387" s="5" t="str">
        <f>HYPERLINK("http://www.ncbi.nlm.nih.gov/protein/124358959","Taok1")</f>
        <v>Taok1</v>
      </c>
      <c r="B7387" s="4"/>
      <c r="C7387" s="3">
        <v>0</v>
      </c>
      <c r="D7387" s="3">
        <v>814</v>
      </c>
      <c r="E7387" s="3">
        <v>2992</v>
      </c>
      <c r="F7387" s="3">
        <v>0</v>
      </c>
      <c r="G7387" s="3">
        <v>0</v>
      </c>
      <c r="H7387" s="2">
        <f t="shared" si="230"/>
        <v>3806</v>
      </c>
      <c r="I7387" t="str">
        <f t="shared" si="231"/>
        <v>Taok1_3806</v>
      </c>
      <c r="J7387" s="3">
        <v>0</v>
      </c>
      <c r="K7387" s="3">
        <v>814</v>
      </c>
      <c r="L7387" s="3">
        <v>2992</v>
      </c>
      <c r="M7387" s="3">
        <v>0</v>
      </c>
      <c r="N7387" s="3">
        <v>0</v>
      </c>
    </row>
    <row r="7388" spans="1:14" x14ac:dyDescent="0.2">
      <c r="A7388" s="5" t="str">
        <f>HYPERLINK("http://www.ncbi.nlm.nih.gov/protein/255003682","Taok2")</f>
        <v>Taok2</v>
      </c>
      <c r="B7388" s="4"/>
      <c r="C7388" s="3">
        <v>6499</v>
      </c>
      <c r="D7388" s="3">
        <v>0</v>
      </c>
      <c r="E7388" s="3">
        <v>0</v>
      </c>
      <c r="F7388" s="3">
        <v>0</v>
      </c>
      <c r="G7388" s="3">
        <v>0</v>
      </c>
      <c r="H7388" s="2">
        <f t="shared" si="230"/>
        <v>6499</v>
      </c>
      <c r="I7388" t="str">
        <f t="shared" si="231"/>
        <v>Taok2_6499</v>
      </c>
      <c r="J7388" s="3">
        <v>6499</v>
      </c>
      <c r="K7388" s="3">
        <v>0</v>
      </c>
      <c r="L7388" s="3">
        <v>0</v>
      </c>
      <c r="M7388" s="3">
        <v>0</v>
      </c>
      <c r="N7388" s="3">
        <v>0</v>
      </c>
    </row>
    <row r="7389" spans="1:14" x14ac:dyDescent="0.2">
      <c r="A7389" s="5" t="str">
        <f>HYPERLINK("http://www.ncbi.nlm.nih.gov/protein/124486801","Taok3")</f>
        <v>Taok3</v>
      </c>
      <c r="B7389" s="4"/>
      <c r="C7389" s="3">
        <v>0</v>
      </c>
      <c r="D7389" s="3">
        <v>328</v>
      </c>
      <c r="E7389" s="3">
        <v>3287</v>
      </c>
      <c r="F7389" s="3">
        <v>0</v>
      </c>
      <c r="G7389" s="3">
        <v>2099</v>
      </c>
      <c r="H7389" s="2">
        <f t="shared" si="230"/>
        <v>5714</v>
      </c>
      <c r="I7389" t="str">
        <f t="shared" si="231"/>
        <v>Taok3_5714</v>
      </c>
      <c r="J7389" s="3">
        <v>0</v>
      </c>
      <c r="K7389" s="3">
        <v>328</v>
      </c>
      <c r="L7389" s="3">
        <v>3287</v>
      </c>
      <c r="M7389" s="3">
        <v>0</v>
      </c>
      <c r="N7389" s="3">
        <v>2099</v>
      </c>
    </row>
    <row r="7390" spans="1:14" x14ac:dyDescent="0.2">
      <c r="A7390" s="5" t="str">
        <f>HYPERLINK("http://www.ncbi.nlm.nih.gov/protein/6678219","Tapbp")</f>
        <v>Tapbp</v>
      </c>
      <c r="B7390" s="4"/>
      <c r="C7390" s="3">
        <v>915</v>
      </c>
      <c r="D7390" s="3">
        <v>528</v>
      </c>
      <c r="E7390" s="3">
        <v>416</v>
      </c>
      <c r="F7390" s="3">
        <v>229</v>
      </c>
      <c r="G7390" s="3">
        <v>0</v>
      </c>
      <c r="H7390" s="2">
        <f t="shared" si="230"/>
        <v>2088</v>
      </c>
      <c r="I7390" t="str">
        <f t="shared" si="231"/>
        <v>Tapbp_2088</v>
      </c>
      <c r="J7390" s="3">
        <v>915</v>
      </c>
      <c r="K7390" s="3">
        <v>528</v>
      </c>
      <c r="L7390" s="3">
        <v>416</v>
      </c>
      <c r="M7390" s="3">
        <v>229</v>
      </c>
      <c r="N7390" s="3">
        <v>0</v>
      </c>
    </row>
    <row r="7391" spans="1:14" x14ac:dyDescent="0.2">
      <c r="A7391" s="5" t="str">
        <f>HYPERLINK("http://www.ncbi.nlm.nih.gov/protein/70778974","Tapbp")</f>
        <v>Tapbp</v>
      </c>
      <c r="B7391" s="4"/>
      <c r="C7391" s="3">
        <v>915</v>
      </c>
      <c r="D7391" s="3">
        <v>528</v>
      </c>
      <c r="E7391" s="3">
        <v>416</v>
      </c>
      <c r="F7391" s="3">
        <v>229</v>
      </c>
      <c r="G7391" s="3">
        <v>0</v>
      </c>
      <c r="H7391" s="2">
        <f t="shared" si="230"/>
        <v>2088</v>
      </c>
      <c r="I7391" t="str">
        <f t="shared" si="231"/>
        <v>Tapbp_2088</v>
      </c>
      <c r="J7391" s="3">
        <v>915</v>
      </c>
      <c r="K7391" s="3">
        <v>528</v>
      </c>
      <c r="L7391" s="3">
        <v>416</v>
      </c>
      <c r="M7391" s="3">
        <v>229</v>
      </c>
      <c r="N7391" s="3">
        <v>0</v>
      </c>
    </row>
    <row r="7392" spans="1:14" x14ac:dyDescent="0.2">
      <c r="A7392" s="5" t="str">
        <f>HYPERLINK("http://www.ncbi.nlm.nih.gov/protein/71143116","Tapt1")</f>
        <v>Tapt1</v>
      </c>
      <c r="B7392" s="4"/>
      <c r="C7392" s="3">
        <v>0</v>
      </c>
      <c r="D7392" s="3">
        <v>15</v>
      </c>
      <c r="E7392" s="3">
        <v>0</v>
      </c>
      <c r="F7392" s="3">
        <v>0</v>
      </c>
      <c r="G7392" s="3">
        <v>0</v>
      </c>
      <c r="H7392" s="2">
        <f t="shared" si="230"/>
        <v>15</v>
      </c>
      <c r="I7392" t="str">
        <f t="shared" si="231"/>
        <v>Tapt1_15</v>
      </c>
      <c r="J7392" s="3">
        <v>0</v>
      </c>
      <c r="K7392" s="3">
        <v>15</v>
      </c>
      <c r="L7392" s="3">
        <v>0</v>
      </c>
      <c r="M7392" s="3">
        <v>0</v>
      </c>
      <c r="N7392" s="3">
        <v>0</v>
      </c>
    </row>
    <row r="7393" spans="1:14" x14ac:dyDescent="0.2">
      <c r="A7393" s="5" t="str">
        <f>HYPERLINK("http://www.ncbi.nlm.nih.gov/protein/166295185","Tarbp2")</f>
        <v>Tarbp2</v>
      </c>
      <c r="B7393" s="4"/>
      <c r="C7393" s="3">
        <v>0</v>
      </c>
      <c r="D7393" s="3">
        <v>0</v>
      </c>
      <c r="E7393" s="3">
        <v>0</v>
      </c>
      <c r="F7393" s="3">
        <v>0</v>
      </c>
      <c r="G7393" s="3">
        <v>2560</v>
      </c>
      <c r="H7393" s="2">
        <f t="shared" si="230"/>
        <v>2560</v>
      </c>
      <c r="I7393" t="str">
        <f t="shared" si="231"/>
        <v>Tarbp2_2560</v>
      </c>
      <c r="J7393" s="3">
        <v>0</v>
      </c>
      <c r="K7393" s="3">
        <v>0</v>
      </c>
      <c r="L7393" s="3">
        <v>0</v>
      </c>
      <c r="M7393" s="3">
        <v>0</v>
      </c>
      <c r="N7393" s="3">
        <v>2560</v>
      </c>
    </row>
    <row r="7394" spans="1:14" x14ac:dyDescent="0.2">
      <c r="A7394" s="5" t="str">
        <f>HYPERLINK("http://www.ncbi.nlm.nih.gov/protein/21704096","Tardbp")</f>
        <v>Tardbp</v>
      </c>
      <c r="B7394" s="4"/>
      <c r="C7394" s="3">
        <v>342469</v>
      </c>
      <c r="D7394" s="3">
        <v>6290</v>
      </c>
      <c r="E7394" s="3">
        <v>18966</v>
      </c>
      <c r="F7394" s="3">
        <v>11255</v>
      </c>
      <c r="G7394" s="3">
        <v>1210</v>
      </c>
      <c r="H7394" s="2">
        <f t="shared" si="230"/>
        <v>380190</v>
      </c>
      <c r="I7394" t="str">
        <f t="shared" si="231"/>
        <v>Tardbp_380190</v>
      </c>
      <c r="J7394" s="3">
        <v>342469</v>
      </c>
      <c r="K7394" s="3">
        <v>6290</v>
      </c>
      <c r="L7394" s="3">
        <v>18966</v>
      </c>
      <c r="M7394" s="3">
        <v>11255</v>
      </c>
      <c r="N7394" s="3">
        <v>1210</v>
      </c>
    </row>
    <row r="7395" spans="1:14" x14ac:dyDescent="0.2">
      <c r="A7395" s="5" t="str">
        <f>HYPERLINK("http://www.ncbi.nlm.nih.gov/protein/56682929","Tardbp")</f>
        <v>Tardbp</v>
      </c>
      <c r="B7395" s="4"/>
      <c r="C7395" s="3">
        <v>273675</v>
      </c>
      <c r="D7395" s="3">
        <v>6793</v>
      </c>
      <c r="E7395" s="3">
        <v>14342</v>
      </c>
      <c r="F7395" s="3">
        <v>11255</v>
      </c>
      <c r="G7395" s="3">
        <v>1210</v>
      </c>
      <c r="H7395" s="2">
        <f t="shared" si="230"/>
        <v>307275</v>
      </c>
      <c r="I7395" t="str">
        <f t="shared" si="231"/>
        <v>Tardbp_307275</v>
      </c>
      <c r="J7395" s="3">
        <v>273675</v>
      </c>
      <c r="K7395" s="3">
        <v>6793</v>
      </c>
      <c r="L7395" s="3">
        <v>14342</v>
      </c>
      <c r="M7395" s="3">
        <v>11255</v>
      </c>
      <c r="N7395" s="3">
        <v>1210</v>
      </c>
    </row>
    <row r="7396" spans="1:14" x14ac:dyDescent="0.2">
      <c r="A7396" s="5" t="str">
        <f>HYPERLINK("http://www.ncbi.nlm.nih.gov/protein/56682931","Tardbp")</f>
        <v>Tardbp</v>
      </c>
      <c r="B7396" s="4"/>
      <c r="C7396" s="3">
        <v>273675</v>
      </c>
      <c r="D7396" s="3">
        <v>6793</v>
      </c>
      <c r="E7396" s="3">
        <v>14342</v>
      </c>
      <c r="F7396" s="3">
        <v>11255</v>
      </c>
      <c r="G7396" s="3">
        <v>1210</v>
      </c>
      <c r="H7396" s="2">
        <f t="shared" si="230"/>
        <v>307275</v>
      </c>
      <c r="I7396" t="str">
        <f t="shared" si="231"/>
        <v>Tardbp_307275</v>
      </c>
      <c r="J7396" s="3">
        <v>273675</v>
      </c>
      <c r="K7396" s="3">
        <v>6793</v>
      </c>
      <c r="L7396" s="3">
        <v>14342</v>
      </c>
      <c r="M7396" s="3">
        <v>11255</v>
      </c>
      <c r="N7396" s="3">
        <v>1210</v>
      </c>
    </row>
    <row r="7397" spans="1:14" x14ac:dyDescent="0.2">
      <c r="A7397" s="5" t="str">
        <f>HYPERLINK("http://www.ncbi.nlm.nih.gov/protein/56682933","Tardbp")</f>
        <v>Tardbp</v>
      </c>
      <c r="B7397" s="4"/>
      <c r="C7397" s="3">
        <v>273675</v>
      </c>
      <c r="D7397" s="3">
        <v>6793</v>
      </c>
      <c r="E7397" s="3">
        <v>14342</v>
      </c>
      <c r="F7397" s="3">
        <v>11255</v>
      </c>
      <c r="G7397" s="3">
        <v>1210</v>
      </c>
      <c r="H7397" s="2">
        <f t="shared" si="230"/>
        <v>307275</v>
      </c>
      <c r="I7397" t="str">
        <f t="shared" si="231"/>
        <v>Tardbp_307275</v>
      </c>
      <c r="J7397" s="3">
        <v>273675</v>
      </c>
      <c r="K7397" s="3">
        <v>6793</v>
      </c>
      <c r="L7397" s="3">
        <v>14342</v>
      </c>
      <c r="M7397" s="3">
        <v>11255</v>
      </c>
      <c r="N7397" s="3">
        <v>1210</v>
      </c>
    </row>
    <row r="7398" spans="1:14" x14ac:dyDescent="0.2">
      <c r="A7398" s="5" t="str">
        <f>HYPERLINK("http://www.ncbi.nlm.nih.gov/protein/56682935","Tardbp")</f>
        <v>Tardbp</v>
      </c>
      <c r="B7398" s="4"/>
      <c r="C7398" s="3">
        <v>273675</v>
      </c>
      <c r="D7398" s="3">
        <v>6793</v>
      </c>
      <c r="E7398" s="3">
        <v>14342</v>
      </c>
      <c r="F7398" s="3">
        <v>11255</v>
      </c>
      <c r="G7398" s="3">
        <v>1210</v>
      </c>
      <c r="H7398" s="2">
        <f t="shared" si="230"/>
        <v>307275</v>
      </c>
      <c r="I7398" t="str">
        <f t="shared" si="231"/>
        <v>Tardbp_307275</v>
      </c>
      <c r="J7398" s="3">
        <v>273675</v>
      </c>
      <c r="K7398" s="3">
        <v>6793</v>
      </c>
      <c r="L7398" s="3">
        <v>14342</v>
      </c>
      <c r="M7398" s="3">
        <v>11255</v>
      </c>
      <c r="N7398" s="3">
        <v>1210</v>
      </c>
    </row>
    <row r="7399" spans="1:14" x14ac:dyDescent="0.2">
      <c r="A7399" s="5" t="str">
        <f>HYPERLINK("http://www.ncbi.nlm.nih.gov/protein/27229277","Tars")</f>
        <v>Tars</v>
      </c>
      <c r="B7399" s="4"/>
      <c r="C7399" s="3">
        <v>0</v>
      </c>
      <c r="D7399" s="3">
        <v>6012</v>
      </c>
      <c r="E7399" s="3">
        <v>13673</v>
      </c>
      <c r="F7399" s="3">
        <v>124249</v>
      </c>
      <c r="G7399" s="3">
        <v>85301</v>
      </c>
      <c r="H7399" s="2">
        <f t="shared" si="230"/>
        <v>229235</v>
      </c>
      <c r="I7399" t="str">
        <f t="shared" si="231"/>
        <v>Tars_229235</v>
      </c>
      <c r="J7399" s="3">
        <v>0</v>
      </c>
      <c r="K7399" s="3">
        <v>6012</v>
      </c>
      <c r="L7399" s="3">
        <v>13673</v>
      </c>
      <c r="M7399" s="3">
        <v>124249</v>
      </c>
      <c r="N7399" s="3">
        <v>85301</v>
      </c>
    </row>
    <row r="7400" spans="1:14" x14ac:dyDescent="0.2">
      <c r="A7400" s="5" t="str">
        <f>HYPERLINK("http://www.ncbi.nlm.nih.gov/protein/254692865","Tars2")</f>
        <v>Tars2</v>
      </c>
      <c r="B7400" s="4"/>
      <c r="C7400" s="3">
        <v>3606</v>
      </c>
      <c r="D7400" s="3">
        <v>4332</v>
      </c>
      <c r="E7400" s="3">
        <v>13</v>
      </c>
      <c r="F7400" s="3">
        <v>0</v>
      </c>
      <c r="G7400" s="3">
        <v>0</v>
      </c>
      <c r="H7400" s="2">
        <f t="shared" si="230"/>
        <v>7951</v>
      </c>
      <c r="I7400" t="str">
        <f t="shared" si="231"/>
        <v>Tars2_7951</v>
      </c>
      <c r="J7400" s="3">
        <v>3606</v>
      </c>
      <c r="K7400" s="3">
        <v>4332</v>
      </c>
      <c r="L7400" s="3">
        <v>13</v>
      </c>
      <c r="M7400" s="3">
        <v>0</v>
      </c>
      <c r="N7400" s="3">
        <v>0</v>
      </c>
    </row>
    <row r="7401" spans="1:14" x14ac:dyDescent="0.2">
      <c r="A7401" s="5" t="str">
        <f>HYPERLINK("http://www.ncbi.nlm.nih.gov/protein/254692867","Tars2")</f>
        <v>Tars2</v>
      </c>
      <c r="B7401" s="4"/>
      <c r="C7401" s="3">
        <v>769</v>
      </c>
      <c r="D7401" s="3">
        <v>3409</v>
      </c>
      <c r="E7401" s="3">
        <v>13</v>
      </c>
      <c r="F7401" s="3">
        <v>0</v>
      </c>
      <c r="G7401" s="3">
        <v>0</v>
      </c>
      <c r="H7401" s="2">
        <f t="shared" si="230"/>
        <v>4191</v>
      </c>
      <c r="I7401" t="str">
        <f t="shared" si="231"/>
        <v>Tars2_4191</v>
      </c>
      <c r="J7401" s="3">
        <v>769</v>
      </c>
      <c r="K7401" s="3">
        <v>3409</v>
      </c>
      <c r="L7401" s="3">
        <v>13</v>
      </c>
      <c r="M7401" s="3">
        <v>0</v>
      </c>
      <c r="N7401" s="3">
        <v>0</v>
      </c>
    </row>
    <row r="7402" spans="1:14" x14ac:dyDescent="0.2">
      <c r="A7402" s="5" t="str">
        <f>HYPERLINK("http://www.ncbi.nlm.nih.gov/protein/254692871","Tars2")</f>
        <v>Tars2</v>
      </c>
      <c r="B7402" s="4"/>
      <c r="C7402" s="3">
        <v>3606</v>
      </c>
      <c r="D7402" s="3">
        <v>2161</v>
      </c>
      <c r="E7402" s="3">
        <v>13</v>
      </c>
      <c r="F7402" s="3">
        <v>0</v>
      </c>
      <c r="G7402" s="3">
        <v>0</v>
      </c>
      <c r="H7402" s="2">
        <f t="shared" si="230"/>
        <v>5780</v>
      </c>
      <c r="I7402" t="str">
        <f t="shared" si="231"/>
        <v>Tars2_5780</v>
      </c>
      <c r="J7402" s="3">
        <v>3606</v>
      </c>
      <c r="K7402" s="3">
        <v>2161</v>
      </c>
      <c r="L7402" s="3">
        <v>13</v>
      </c>
      <c r="M7402" s="3">
        <v>0</v>
      </c>
      <c r="N7402" s="3">
        <v>0</v>
      </c>
    </row>
    <row r="7403" spans="1:14" x14ac:dyDescent="0.2">
      <c r="A7403" s="5" t="str">
        <f>HYPERLINK("http://www.ncbi.nlm.nih.gov/protein/254692873","Tars2")</f>
        <v>Tars2</v>
      </c>
      <c r="B7403" s="4"/>
      <c r="C7403" s="3">
        <v>3606</v>
      </c>
      <c r="D7403" s="3">
        <v>4323</v>
      </c>
      <c r="E7403" s="3">
        <v>13</v>
      </c>
      <c r="F7403" s="3">
        <v>0</v>
      </c>
      <c r="G7403" s="3">
        <v>0</v>
      </c>
      <c r="H7403" s="2">
        <f t="shared" si="230"/>
        <v>7942</v>
      </c>
      <c r="I7403" t="str">
        <f t="shared" si="231"/>
        <v>Tars2_7942</v>
      </c>
      <c r="J7403" s="3">
        <v>3606</v>
      </c>
      <c r="K7403" s="3">
        <v>4323</v>
      </c>
      <c r="L7403" s="3">
        <v>13</v>
      </c>
      <c r="M7403" s="3">
        <v>0</v>
      </c>
      <c r="N7403" s="3">
        <v>0</v>
      </c>
    </row>
    <row r="7404" spans="1:14" x14ac:dyDescent="0.2">
      <c r="A7404" s="5" t="str">
        <f>HYPERLINK("http://www.ncbi.nlm.nih.gov/protein/227908819","Tarsl2")</f>
        <v>Tarsl2</v>
      </c>
      <c r="B7404" s="4"/>
      <c r="C7404" s="3">
        <v>0</v>
      </c>
      <c r="D7404" s="3">
        <v>0</v>
      </c>
      <c r="E7404" s="3">
        <v>1299</v>
      </c>
      <c r="F7404" s="3">
        <v>3389</v>
      </c>
      <c r="G7404" s="3">
        <v>11213</v>
      </c>
      <c r="H7404" s="2">
        <f t="shared" si="230"/>
        <v>15901</v>
      </c>
      <c r="I7404" t="str">
        <f t="shared" si="231"/>
        <v>Tarsl2_15901</v>
      </c>
      <c r="J7404" s="3">
        <v>0</v>
      </c>
      <c r="K7404" s="3">
        <v>0</v>
      </c>
      <c r="L7404" s="3">
        <v>1299</v>
      </c>
      <c r="M7404" s="3">
        <v>3389</v>
      </c>
      <c r="N7404" s="3">
        <v>11213</v>
      </c>
    </row>
    <row r="7405" spans="1:14" x14ac:dyDescent="0.2">
      <c r="A7405" s="5" t="str">
        <f>HYPERLINK("http://www.ncbi.nlm.nih.gov/protein/13994201","Tas1r3")</f>
        <v>Tas1r3</v>
      </c>
      <c r="B7405" s="4"/>
      <c r="C7405" s="3">
        <v>0</v>
      </c>
      <c r="D7405" s="3">
        <v>0</v>
      </c>
      <c r="E7405" s="3">
        <v>0</v>
      </c>
      <c r="F7405" s="3">
        <v>1146</v>
      </c>
      <c r="G7405" s="3">
        <v>0</v>
      </c>
      <c r="H7405" s="2">
        <f t="shared" si="230"/>
        <v>1146</v>
      </c>
      <c r="I7405" t="str">
        <f t="shared" si="231"/>
        <v>Tas1r3_1146</v>
      </c>
      <c r="J7405" s="3">
        <v>0</v>
      </c>
      <c r="K7405" s="3">
        <v>0</v>
      </c>
      <c r="L7405" s="3">
        <v>0</v>
      </c>
      <c r="M7405" s="3">
        <v>1146</v>
      </c>
      <c r="N7405" s="3">
        <v>0</v>
      </c>
    </row>
    <row r="7406" spans="1:14" x14ac:dyDescent="0.2">
      <c r="A7406" s="5" t="str">
        <f>HYPERLINK("http://www.ncbi.nlm.nih.gov/protein/30424744","Tatdn1")</f>
        <v>Tatdn1</v>
      </c>
      <c r="B7406" s="4"/>
      <c r="C7406" s="3">
        <v>0</v>
      </c>
      <c r="D7406" s="3">
        <v>0</v>
      </c>
      <c r="E7406" s="3">
        <v>0</v>
      </c>
      <c r="F7406" s="3">
        <v>0</v>
      </c>
      <c r="G7406" s="3">
        <v>5644</v>
      </c>
      <c r="H7406" s="2">
        <f t="shared" si="230"/>
        <v>5644</v>
      </c>
      <c r="I7406" t="str">
        <f t="shared" si="231"/>
        <v>Tatdn1_5644</v>
      </c>
      <c r="J7406" s="3">
        <v>0</v>
      </c>
      <c r="K7406" s="3">
        <v>0</v>
      </c>
      <c r="L7406" s="3">
        <v>0</v>
      </c>
      <c r="M7406" s="3">
        <v>0</v>
      </c>
      <c r="N7406" s="3">
        <v>5644</v>
      </c>
    </row>
    <row r="7407" spans="1:14" x14ac:dyDescent="0.2">
      <c r="A7407" s="5" t="str">
        <f>HYPERLINK("http://www.ncbi.nlm.nih.gov/protein/256773241","Tax1bp1")</f>
        <v>Tax1bp1</v>
      </c>
      <c r="B7407" s="4"/>
      <c r="C7407" s="3">
        <v>0</v>
      </c>
      <c r="D7407" s="3">
        <v>0</v>
      </c>
      <c r="E7407" s="3">
        <v>0</v>
      </c>
      <c r="F7407" s="3">
        <v>1261</v>
      </c>
      <c r="G7407" s="3">
        <v>0</v>
      </c>
      <c r="H7407" s="2">
        <f t="shared" si="230"/>
        <v>1261</v>
      </c>
      <c r="I7407" t="str">
        <f t="shared" si="231"/>
        <v>Tax1bp1_1261</v>
      </c>
      <c r="J7407" s="3">
        <v>0</v>
      </c>
      <c r="K7407" s="3">
        <v>0</v>
      </c>
      <c r="L7407" s="3">
        <v>0</v>
      </c>
      <c r="M7407" s="3">
        <v>1261</v>
      </c>
      <c r="N7407" s="3">
        <v>0</v>
      </c>
    </row>
    <row r="7408" spans="1:14" x14ac:dyDescent="0.2">
      <c r="A7408" s="5" t="str">
        <f>HYPERLINK("http://www.ncbi.nlm.nih.gov/protein/21313140","Tax1bp3")</f>
        <v>Tax1bp3</v>
      </c>
      <c r="B7408" s="4"/>
      <c r="C7408" s="3">
        <v>9336</v>
      </c>
      <c r="D7408" s="3">
        <v>726</v>
      </c>
      <c r="E7408" s="3">
        <v>1831</v>
      </c>
      <c r="F7408" s="3">
        <v>966</v>
      </c>
      <c r="G7408" s="3">
        <v>1039</v>
      </c>
      <c r="H7408" s="2">
        <f t="shared" si="230"/>
        <v>13898</v>
      </c>
      <c r="I7408" t="str">
        <f t="shared" si="231"/>
        <v>Tax1bp3_13898</v>
      </c>
      <c r="J7408" s="3">
        <v>9336</v>
      </c>
      <c r="K7408" s="3">
        <v>726</v>
      </c>
      <c r="L7408" s="3">
        <v>1831</v>
      </c>
      <c r="M7408" s="3">
        <v>966</v>
      </c>
      <c r="N7408" s="3">
        <v>1039</v>
      </c>
    </row>
    <row r="7409" spans="1:14" x14ac:dyDescent="0.2">
      <c r="A7409" s="5" t="str">
        <f>HYPERLINK("http://www.ncbi.nlm.nih.gov/protein/120587003","Tbc1d1")</f>
        <v>Tbc1d1</v>
      </c>
      <c r="B7409" s="4"/>
      <c r="C7409" s="3">
        <v>0</v>
      </c>
      <c r="D7409" s="3">
        <v>365</v>
      </c>
      <c r="E7409" s="3">
        <v>521</v>
      </c>
      <c r="F7409" s="3">
        <v>13261</v>
      </c>
      <c r="G7409" s="3">
        <v>9564</v>
      </c>
      <c r="H7409" s="2">
        <f t="shared" si="230"/>
        <v>23711</v>
      </c>
      <c r="I7409" t="str">
        <f t="shared" si="231"/>
        <v>Tbc1d1_23711</v>
      </c>
      <c r="J7409" s="3">
        <v>0</v>
      </c>
      <c r="K7409" s="3">
        <v>365</v>
      </c>
      <c r="L7409" s="3">
        <v>521</v>
      </c>
      <c r="M7409" s="3">
        <v>13261</v>
      </c>
      <c r="N7409" s="3">
        <v>9564</v>
      </c>
    </row>
    <row r="7410" spans="1:14" x14ac:dyDescent="0.2">
      <c r="A7410" s="5" t="str">
        <f>HYPERLINK("http://www.ncbi.nlm.nih.gov/protein/19527240","Tbc1d10a")</f>
        <v>Tbc1d10a</v>
      </c>
      <c r="B7410" s="4"/>
      <c r="C7410" s="3">
        <v>0</v>
      </c>
      <c r="D7410" s="3">
        <v>0</v>
      </c>
      <c r="E7410" s="3">
        <v>14360</v>
      </c>
      <c r="F7410" s="3">
        <v>1261</v>
      </c>
      <c r="G7410" s="3">
        <v>2003</v>
      </c>
      <c r="H7410" s="2">
        <f t="shared" si="230"/>
        <v>17624</v>
      </c>
      <c r="I7410" t="str">
        <f t="shared" si="231"/>
        <v>Tbc1d10a_17624</v>
      </c>
      <c r="J7410" s="3">
        <v>0</v>
      </c>
      <c r="K7410" s="3">
        <v>0</v>
      </c>
      <c r="L7410" s="3">
        <v>14360</v>
      </c>
      <c r="M7410" s="3">
        <v>1261</v>
      </c>
      <c r="N7410" s="3">
        <v>2003</v>
      </c>
    </row>
    <row r="7411" spans="1:14" x14ac:dyDescent="0.2">
      <c r="A7411" s="5" t="str">
        <f>HYPERLINK("http://www.ncbi.nlm.nih.gov/protein/167614490","Tbc1d10b")</f>
        <v>Tbc1d10b</v>
      </c>
      <c r="B7411" s="4"/>
      <c r="C7411" s="3">
        <v>0</v>
      </c>
      <c r="D7411" s="3">
        <v>0</v>
      </c>
      <c r="E7411" s="3">
        <v>32</v>
      </c>
      <c r="F7411" s="3">
        <v>0</v>
      </c>
      <c r="G7411" s="3">
        <v>0</v>
      </c>
      <c r="H7411" s="2">
        <f t="shared" si="230"/>
        <v>32</v>
      </c>
      <c r="I7411" t="str">
        <f t="shared" si="231"/>
        <v>Tbc1d10b_32</v>
      </c>
      <c r="J7411" s="3">
        <v>0</v>
      </c>
      <c r="K7411" s="3">
        <v>0</v>
      </c>
      <c r="L7411" s="3">
        <v>32</v>
      </c>
      <c r="M7411" s="3">
        <v>0</v>
      </c>
      <c r="N7411" s="3">
        <v>0</v>
      </c>
    </row>
    <row r="7412" spans="1:14" x14ac:dyDescent="0.2">
      <c r="A7412" s="5" t="str">
        <f>HYPERLINK("http://www.ncbi.nlm.nih.gov/protein/22122839","Tbc1d13")</f>
        <v>Tbc1d13</v>
      </c>
      <c r="B7412" s="4"/>
      <c r="C7412" s="3">
        <v>0</v>
      </c>
      <c r="D7412" s="3">
        <v>0</v>
      </c>
      <c r="E7412" s="3">
        <v>64</v>
      </c>
      <c r="F7412" s="3">
        <v>0</v>
      </c>
      <c r="G7412" s="3">
        <v>1938</v>
      </c>
      <c r="H7412" s="2">
        <f t="shared" si="230"/>
        <v>2002</v>
      </c>
      <c r="I7412" t="str">
        <f t="shared" si="231"/>
        <v>Tbc1d13_2002</v>
      </c>
      <c r="J7412" s="3">
        <v>0</v>
      </c>
      <c r="K7412" s="3">
        <v>0</v>
      </c>
      <c r="L7412" s="3">
        <v>64</v>
      </c>
      <c r="M7412" s="3">
        <v>0</v>
      </c>
      <c r="N7412" s="3">
        <v>1938</v>
      </c>
    </row>
    <row r="7413" spans="1:14" x14ac:dyDescent="0.2">
      <c r="A7413" s="5" t="str">
        <f>HYPERLINK("http://www.ncbi.nlm.nih.gov/protein/255958202","Tbc1d15")</f>
        <v>Tbc1d15</v>
      </c>
      <c r="B7413" s="4"/>
      <c r="C7413" s="3">
        <v>0</v>
      </c>
      <c r="D7413" s="3">
        <v>1269</v>
      </c>
      <c r="E7413" s="3">
        <v>1551</v>
      </c>
      <c r="F7413" s="3">
        <v>17664</v>
      </c>
      <c r="G7413" s="3">
        <v>20016</v>
      </c>
      <c r="H7413" s="2">
        <f t="shared" si="230"/>
        <v>40500</v>
      </c>
      <c r="I7413" t="str">
        <f t="shared" si="231"/>
        <v>Tbc1d15_40500</v>
      </c>
      <c r="J7413" s="3">
        <v>0</v>
      </c>
      <c r="K7413" s="3">
        <v>1269</v>
      </c>
      <c r="L7413" s="3">
        <v>1551</v>
      </c>
      <c r="M7413" s="3">
        <v>17664</v>
      </c>
      <c r="N7413" s="3">
        <v>20016</v>
      </c>
    </row>
    <row r="7414" spans="1:14" x14ac:dyDescent="0.2">
      <c r="A7414" s="5" t="str">
        <f>HYPERLINK("http://www.ncbi.nlm.nih.gov/protein/111120337","Tbc1d17")</f>
        <v>Tbc1d17</v>
      </c>
      <c r="B7414" s="4"/>
      <c r="C7414" s="3">
        <v>0</v>
      </c>
      <c r="D7414" s="3">
        <v>165</v>
      </c>
      <c r="E7414" s="3">
        <v>265</v>
      </c>
      <c r="F7414" s="3">
        <v>8587</v>
      </c>
      <c r="G7414" s="3">
        <v>1906</v>
      </c>
      <c r="H7414" s="2">
        <f t="shared" si="230"/>
        <v>10923</v>
      </c>
      <c r="I7414" t="str">
        <f t="shared" si="231"/>
        <v>Tbc1d17_10923</v>
      </c>
      <c r="J7414" s="3">
        <v>0</v>
      </c>
      <c r="K7414" s="3">
        <v>165</v>
      </c>
      <c r="L7414" s="3">
        <v>265</v>
      </c>
      <c r="M7414" s="3">
        <v>8587</v>
      </c>
      <c r="N7414" s="3">
        <v>1906</v>
      </c>
    </row>
    <row r="7415" spans="1:14" x14ac:dyDescent="0.2">
      <c r="A7415" s="5" t="str">
        <f>HYPERLINK("http://www.ncbi.nlm.nih.gov/protein/111038126","Tbc1d2")</f>
        <v>Tbc1d2</v>
      </c>
      <c r="B7415" s="4"/>
      <c r="C7415" s="3">
        <v>0</v>
      </c>
      <c r="D7415" s="3">
        <v>0</v>
      </c>
      <c r="E7415" s="3">
        <v>133</v>
      </c>
      <c r="F7415" s="3">
        <v>2259</v>
      </c>
      <c r="G7415" s="3">
        <v>9821</v>
      </c>
      <c r="H7415" s="2">
        <f t="shared" si="230"/>
        <v>12213</v>
      </c>
      <c r="I7415" t="str">
        <f t="shared" si="231"/>
        <v>Tbc1d2_12213</v>
      </c>
      <c r="J7415" s="3">
        <v>0</v>
      </c>
      <c r="K7415" s="3">
        <v>0</v>
      </c>
      <c r="L7415" s="3">
        <v>133</v>
      </c>
      <c r="M7415" s="3">
        <v>2259</v>
      </c>
      <c r="N7415" s="3">
        <v>9821</v>
      </c>
    </row>
    <row r="7416" spans="1:14" x14ac:dyDescent="0.2">
      <c r="A7416" s="5" t="str">
        <f>HYPERLINK("http://www.ncbi.nlm.nih.gov/protein/42734463","Tbc1d22a")</f>
        <v>Tbc1d22a</v>
      </c>
      <c r="B7416" s="4"/>
      <c r="C7416" s="3">
        <v>0</v>
      </c>
      <c r="D7416" s="3">
        <v>0</v>
      </c>
      <c r="E7416" s="3">
        <v>219</v>
      </c>
      <c r="F7416" s="3">
        <v>467</v>
      </c>
      <c r="G7416" s="3">
        <v>0</v>
      </c>
      <c r="H7416" s="2">
        <f t="shared" si="230"/>
        <v>686</v>
      </c>
      <c r="I7416" t="str">
        <f t="shared" si="231"/>
        <v>Tbc1d22a_686</v>
      </c>
      <c r="J7416" s="3">
        <v>0</v>
      </c>
      <c r="K7416" s="3">
        <v>0</v>
      </c>
      <c r="L7416" s="3">
        <v>219</v>
      </c>
      <c r="M7416" s="3">
        <v>467</v>
      </c>
      <c r="N7416" s="3">
        <v>0</v>
      </c>
    </row>
    <row r="7417" spans="1:14" x14ac:dyDescent="0.2">
      <c r="A7417" s="5" t="str">
        <f>HYPERLINK("http://www.ncbi.nlm.nih.gov/protein/38348532","Tbc1d22b")</f>
        <v>Tbc1d22b</v>
      </c>
      <c r="B7417" s="4"/>
      <c r="C7417" s="3">
        <v>0</v>
      </c>
      <c r="D7417" s="3">
        <v>0</v>
      </c>
      <c r="E7417" s="3">
        <v>51</v>
      </c>
      <c r="F7417" s="3">
        <v>0</v>
      </c>
      <c r="G7417" s="3">
        <v>0</v>
      </c>
      <c r="H7417" s="2">
        <f t="shared" si="230"/>
        <v>51</v>
      </c>
      <c r="I7417" t="str">
        <f t="shared" si="231"/>
        <v>Tbc1d22b_51</v>
      </c>
      <c r="J7417" s="3">
        <v>0</v>
      </c>
      <c r="K7417" s="3">
        <v>0</v>
      </c>
      <c r="L7417" s="3">
        <v>51</v>
      </c>
      <c r="M7417" s="3">
        <v>0</v>
      </c>
      <c r="N7417" s="3">
        <v>0</v>
      </c>
    </row>
    <row r="7418" spans="1:14" x14ac:dyDescent="0.2">
      <c r="A7418" s="5" t="str">
        <f>HYPERLINK("http://www.ncbi.nlm.nih.gov/protein/27754079","Tbc1d23")</f>
        <v>Tbc1d23</v>
      </c>
      <c r="B7418" s="4"/>
      <c r="C7418" s="3">
        <v>0</v>
      </c>
      <c r="D7418" s="3">
        <v>0</v>
      </c>
      <c r="E7418" s="3">
        <v>528</v>
      </c>
      <c r="F7418" s="3">
        <v>6131</v>
      </c>
      <c r="G7418" s="3">
        <v>5333</v>
      </c>
      <c r="H7418" s="2">
        <f t="shared" si="230"/>
        <v>11992</v>
      </c>
      <c r="I7418" t="str">
        <f t="shared" si="231"/>
        <v>Tbc1d23_11992</v>
      </c>
      <c r="J7418" s="3">
        <v>0</v>
      </c>
      <c r="K7418" s="3">
        <v>0</v>
      </c>
      <c r="L7418" s="3">
        <v>528</v>
      </c>
      <c r="M7418" s="3">
        <v>6131</v>
      </c>
      <c r="N7418" s="3">
        <v>5333</v>
      </c>
    </row>
    <row r="7419" spans="1:14" x14ac:dyDescent="0.2">
      <c r="A7419" s="5" t="str">
        <f>HYPERLINK("http://www.ncbi.nlm.nih.gov/protein/255522819","Tbc1d24")</f>
        <v>Tbc1d24</v>
      </c>
      <c r="B7419" s="4"/>
      <c r="C7419" s="3">
        <v>0</v>
      </c>
      <c r="D7419" s="3">
        <v>0</v>
      </c>
      <c r="E7419" s="3">
        <v>0</v>
      </c>
      <c r="F7419" s="3">
        <v>0</v>
      </c>
      <c r="G7419" s="3">
        <v>396</v>
      </c>
      <c r="H7419" s="2">
        <f t="shared" si="230"/>
        <v>396</v>
      </c>
      <c r="I7419" t="str">
        <f t="shared" si="231"/>
        <v>Tbc1d24_396</v>
      </c>
      <c r="J7419" s="3">
        <v>0</v>
      </c>
      <c r="K7419" s="3">
        <v>0</v>
      </c>
      <c r="L7419" s="3">
        <v>0</v>
      </c>
      <c r="M7419" s="3">
        <v>0</v>
      </c>
      <c r="N7419" s="3">
        <v>396</v>
      </c>
    </row>
    <row r="7420" spans="1:14" x14ac:dyDescent="0.2">
      <c r="A7420" s="5" t="str">
        <f>HYPERLINK("http://www.ncbi.nlm.nih.gov/protein/255522825","Tbc1d24")</f>
        <v>Tbc1d24</v>
      </c>
      <c r="B7420" s="4"/>
      <c r="C7420" s="3">
        <v>0</v>
      </c>
      <c r="D7420" s="3">
        <v>0</v>
      </c>
      <c r="E7420" s="3">
        <v>0</v>
      </c>
      <c r="F7420" s="3">
        <v>0</v>
      </c>
      <c r="G7420" s="3">
        <v>396</v>
      </c>
      <c r="H7420" s="2">
        <f t="shared" si="230"/>
        <v>396</v>
      </c>
      <c r="I7420" t="str">
        <f t="shared" si="231"/>
        <v>Tbc1d24_396</v>
      </c>
      <c r="J7420" s="3">
        <v>0</v>
      </c>
      <c r="K7420" s="3">
        <v>0</v>
      </c>
      <c r="L7420" s="3">
        <v>0</v>
      </c>
      <c r="M7420" s="3">
        <v>0</v>
      </c>
      <c r="N7420" s="3">
        <v>396</v>
      </c>
    </row>
    <row r="7421" spans="1:14" x14ac:dyDescent="0.2">
      <c r="A7421" s="5" t="str">
        <f>HYPERLINK("http://www.ncbi.nlm.nih.gov/protein/163644270","Tbc1d4")</f>
        <v>Tbc1d4</v>
      </c>
      <c r="B7421" s="4"/>
      <c r="C7421" s="3">
        <v>348</v>
      </c>
      <c r="D7421" s="3">
        <v>0</v>
      </c>
      <c r="E7421" s="3">
        <v>320</v>
      </c>
      <c r="F7421" s="3">
        <v>24925</v>
      </c>
      <c r="G7421" s="3">
        <v>7400</v>
      </c>
      <c r="H7421" s="2">
        <f t="shared" si="230"/>
        <v>32993</v>
      </c>
      <c r="I7421" t="str">
        <f t="shared" si="231"/>
        <v>Tbc1d4_32993</v>
      </c>
      <c r="J7421" s="3">
        <v>348</v>
      </c>
      <c r="K7421" s="3">
        <v>0</v>
      </c>
      <c r="L7421" s="3">
        <v>320</v>
      </c>
      <c r="M7421" s="3">
        <v>24925</v>
      </c>
      <c r="N7421" s="3">
        <v>7400</v>
      </c>
    </row>
    <row r="7422" spans="1:14" x14ac:dyDescent="0.2">
      <c r="A7422" s="5" t="str">
        <f>HYPERLINK("http://www.ncbi.nlm.nih.gov/protein/164518898","Tbc1d5")</f>
        <v>Tbc1d5</v>
      </c>
      <c r="B7422" s="4"/>
      <c r="C7422" s="3">
        <v>0</v>
      </c>
      <c r="D7422" s="3">
        <v>0</v>
      </c>
      <c r="E7422" s="3">
        <v>2381</v>
      </c>
      <c r="F7422" s="3">
        <v>2464</v>
      </c>
      <c r="G7422" s="3">
        <v>0</v>
      </c>
      <c r="H7422" s="2">
        <f t="shared" si="230"/>
        <v>4845</v>
      </c>
      <c r="I7422" t="str">
        <f t="shared" si="231"/>
        <v>Tbc1d5_4845</v>
      </c>
      <c r="J7422" s="3">
        <v>0</v>
      </c>
      <c r="K7422" s="3">
        <v>0</v>
      </c>
      <c r="L7422" s="3">
        <v>2381</v>
      </c>
      <c r="M7422" s="3">
        <v>2464</v>
      </c>
      <c r="N7422" s="3">
        <v>0</v>
      </c>
    </row>
    <row r="7423" spans="1:14" x14ac:dyDescent="0.2">
      <c r="A7423" s="5" t="str">
        <f>HYPERLINK("http://www.ncbi.nlm.nih.gov/protein/125630636","Tbc1d8b")</f>
        <v>Tbc1d8b</v>
      </c>
      <c r="B7423" s="4"/>
      <c r="C7423" s="3">
        <v>0</v>
      </c>
      <c r="D7423" s="3">
        <v>0</v>
      </c>
      <c r="E7423" s="3">
        <v>0</v>
      </c>
      <c r="F7423" s="3">
        <v>0</v>
      </c>
      <c r="G7423" s="3">
        <v>3631</v>
      </c>
      <c r="H7423" s="2">
        <f t="shared" si="230"/>
        <v>3631</v>
      </c>
      <c r="I7423" t="str">
        <f t="shared" si="231"/>
        <v>Tbc1d8b_3631</v>
      </c>
      <c r="J7423" s="3">
        <v>0</v>
      </c>
      <c r="K7423" s="3">
        <v>0</v>
      </c>
      <c r="L7423" s="3">
        <v>0</v>
      </c>
      <c r="M7423" s="3">
        <v>0</v>
      </c>
      <c r="N7423" s="3">
        <v>3631</v>
      </c>
    </row>
    <row r="7424" spans="1:14" x14ac:dyDescent="0.2">
      <c r="A7424" s="5" t="str">
        <f>HYPERLINK("http://www.ncbi.nlm.nih.gov/protein/162329599","Tbc1d9")</f>
        <v>Tbc1d9</v>
      </c>
      <c r="B7424" s="4"/>
      <c r="C7424" s="3">
        <v>0</v>
      </c>
      <c r="D7424" s="3">
        <v>0</v>
      </c>
      <c r="E7424" s="3">
        <v>18</v>
      </c>
      <c r="F7424" s="3">
        <v>0</v>
      </c>
      <c r="G7424" s="3">
        <v>0</v>
      </c>
      <c r="H7424" s="2">
        <f t="shared" si="230"/>
        <v>18</v>
      </c>
      <c r="I7424" t="str">
        <f t="shared" si="231"/>
        <v>Tbc1d9_18</v>
      </c>
      <c r="J7424" s="3">
        <v>0</v>
      </c>
      <c r="K7424" s="3">
        <v>0</v>
      </c>
      <c r="L7424" s="3">
        <v>18</v>
      </c>
      <c r="M7424" s="3">
        <v>0</v>
      </c>
      <c r="N7424" s="3">
        <v>0</v>
      </c>
    </row>
    <row r="7425" spans="1:14" x14ac:dyDescent="0.2">
      <c r="A7425" s="5" t="str">
        <f>HYPERLINK("http://www.ncbi.nlm.nih.gov/protein/30794404","Tbc1d9")</f>
        <v>Tbc1d9</v>
      </c>
      <c r="B7425" s="4"/>
      <c r="C7425" s="3">
        <v>0</v>
      </c>
      <c r="D7425" s="3">
        <v>0</v>
      </c>
      <c r="E7425" s="3">
        <v>18</v>
      </c>
      <c r="F7425" s="3">
        <v>0</v>
      </c>
      <c r="G7425" s="3">
        <v>0</v>
      </c>
      <c r="H7425" s="2">
        <f t="shared" si="230"/>
        <v>18</v>
      </c>
      <c r="I7425" t="str">
        <f t="shared" si="231"/>
        <v>Tbc1d9_18</v>
      </c>
      <c r="J7425" s="3">
        <v>0</v>
      </c>
      <c r="K7425" s="3">
        <v>0</v>
      </c>
      <c r="L7425" s="3">
        <v>18</v>
      </c>
      <c r="M7425" s="3">
        <v>0</v>
      </c>
      <c r="N7425" s="3">
        <v>0</v>
      </c>
    </row>
    <row r="7426" spans="1:14" x14ac:dyDescent="0.2">
      <c r="A7426" s="5" t="str">
        <f>HYPERLINK("http://www.ncbi.nlm.nih.gov/protein/124358940","Tbc1d9b")</f>
        <v>Tbc1d9b</v>
      </c>
      <c r="B7426" s="4"/>
      <c r="C7426" s="3">
        <v>0</v>
      </c>
      <c r="D7426" s="3">
        <v>29</v>
      </c>
      <c r="E7426" s="3">
        <v>881</v>
      </c>
      <c r="F7426" s="3">
        <v>3037</v>
      </c>
      <c r="G7426" s="3">
        <v>8300</v>
      </c>
      <c r="H7426" s="2">
        <f t="shared" ref="H7426:H7489" si="232">SUM(C7426:G7426)</f>
        <v>12247</v>
      </c>
      <c r="I7426" t="str">
        <f t="shared" ref="I7426:I7489" si="233">A7426&amp;"_"&amp;H7426</f>
        <v>Tbc1d9b_12247</v>
      </c>
      <c r="J7426" s="3">
        <v>0</v>
      </c>
      <c r="K7426" s="3">
        <v>29</v>
      </c>
      <c r="L7426" s="3">
        <v>881</v>
      </c>
      <c r="M7426" s="3">
        <v>3037</v>
      </c>
      <c r="N7426" s="3">
        <v>8300</v>
      </c>
    </row>
    <row r="7427" spans="1:14" x14ac:dyDescent="0.2">
      <c r="A7427" s="5" t="str">
        <f>HYPERLINK("http://www.ncbi.nlm.nih.gov/protein/6678225","Tbca")</f>
        <v>Tbca</v>
      </c>
      <c r="B7427" s="4"/>
      <c r="C7427" s="3">
        <v>0</v>
      </c>
      <c r="D7427" s="3">
        <v>0</v>
      </c>
      <c r="E7427" s="3">
        <v>135</v>
      </c>
      <c r="F7427" s="3">
        <v>0</v>
      </c>
      <c r="G7427" s="3">
        <v>66560</v>
      </c>
      <c r="H7427" s="2">
        <f t="shared" si="232"/>
        <v>66695</v>
      </c>
      <c r="I7427" t="str">
        <f t="shared" si="233"/>
        <v>Tbca_66695</v>
      </c>
      <c r="J7427" s="3">
        <v>0</v>
      </c>
      <c r="K7427" s="3">
        <v>0</v>
      </c>
      <c r="L7427" s="3">
        <v>135</v>
      </c>
      <c r="M7427" s="3">
        <v>0</v>
      </c>
      <c r="N7427" s="3">
        <v>66560</v>
      </c>
    </row>
    <row r="7428" spans="1:14" x14ac:dyDescent="0.2">
      <c r="A7428" s="5" t="str">
        <f>HYPERLINK("http://www.ncbi.nlm.nih.gov/protein/170650659","Tbcb")</f>
        <v>Tbcb</v>
      </c>
      <c r="B7428" s="4"/>
      <c r="C7428" s="3">
        <v>0</v>
      </c>
      <c r="D7428" s="3">
        <v>157</v>
      </c>
      <c r="E7428" s="3">
        <v>183</v>
      </c>
      <c r="F7428" s="3">
        <v>0</v>
      </c>
      <c r="G7428" s="3">
        <v>37387</v>
      </c>
      <c r="H7428" s="2">
        <f t="shared" si="232"/>
        <v>37727</v>
      </c>
      <c r="I7428" t="str">
        <f t="shared" si="233"/>
        <v>Tbcb_37727</v>
      </c>
      <c r="J7428" s="3">
        <v>0</v>
      </c>
      <c r="K7428" s="3">
        <v>157</v>
      </c>
      <c r="L7428" s="3">
        <v>183</v>
      </c>
      <c r="M7428" s="3">
        <v>0</v>
      </c>
      <c r="N7428" s="3">
        <v>37387</v>
      </c>
    </row>
    <row r="7429" spans="1:14" x14ac:dyDescent="0.2">
      <c r="A7429" s="5" t="str">
        <f>HYPERLINK("http://www.ncbi.nlm.nih.gov/protein/87044901","Tbcc")</f>
        <v>Tbcc</v>
      </c>
      <c r="B7429" s="4"/>
      <c r="C7429" s="3">
        <v>0</v>
      </c>
      <c r="D7429" s="3">
        <v>0</v>
      </c>
      <c r="E7429" s="3">
        <v>173</v>
      </c>
      <c r="F7429" s="3">
        <v>0</v>
      </c>
      <c r="G7429" s="3">
        <v>56386</v>
      </c>
      <c r="H7429" s="2">
        <f t="shared" si="232"/>
        <v>56559</v>
      </c>
      <c r="I7429" t="str">
        <f t="shared" si="233"/>
        <v>Tbcc_56559</v>
      </c>
      <c r="J7429" s="3">
        <v>0</v>
      </c>
      <c r="K7429" s="3">
        <v>0</v>
      </c>
      <c r="L7429" s="3">
        <v>173</v>
      </c>
      <c r="M7429" s="3">
        <v>0</v>
      </c>
      <c r="N7429" s="3">
        <v>56386</v>
      </c>
    </row>
    <row r="7430" spans="1:14" x14ac:dyDescent="0.2">
      <c r="A7430" s="5" t="str">
        <f>HYPERLINK("http://www.ncbi.nlm.nih.gov/protein/28077067","Tbcd")</f>
        <v>Tbcd</v>
      </c>
      <c r="B7430" s="4"/>
      <c r="C7430" s="3">
        <v>0</v>
      </c>
      <c r="D7430" s="3">
        <v>0</v>
      </c>
      <c r="E7430" s="3">
        <v>3442</v>
      </c>
      <c r="F7430" s="3">
        <v>15217</v>
      </c>
      <c r="G7430" s="3">
        <v>88300</v>
      </c>
      <c r="H7430" s="2">
        <f t="shared" si="232"/>
        <v>106959</v>
      </c>
      <c r="I7430" t="str">
        <f t="shared" si="233"/>
        <v>Tbcd_106959</v>
      </c>
      <c r="J7430" s="3">
        <v>0</v>
      </c>
      <c r="K7430" s="3">
        <v>0</v>
      </c>
      <c r="L7430" s="3">
        <v>3442</v>
      </c>
      <c r="M7430" s="3">
        <v>15217</v>
      </c>
      <c r="N7430" s="3">
        <v>88300</v>
      </c>
    </row>
    <row r="7431" spans="1:14" x14ac:dyDescent="0.2">
      <c r="A7431" s="5" t="str">
        <f>HYPERLINK("http://www.ncbi.nlm.nih.gov/protein/31543843","Tbce")</f>
        <v>Tbce</v>
      </c>
      <c r="B7431" s="4"/>
      <c r="C7431" s="3">
        <v>0</v>
      </c>
      <c r="D7431" s="3">
        <v>0</v>
      </c>
      <c r="E7431" s="3">
        <v>0</v>
      </c>
      <c r="F7431" s="3">
        <v>0</v>
      </c>
      <c r="G7431" s="3">
        <v>10313</v>
      </c>
      <c r="H7431" s="2">
        <f t="shared" si="232"/>
        <v>10313</v>
      </c>
      <c r="I7431" t="str">
        <f t="shared" si="233"/>
        <v>Tbce_10313</v>
      </c>
      <c r="J7431" s="3">
        <v>0</v>
      </c>
      <c r="K7431" s="3">
        <v>0</v>
      </c>
      <c r="L7431" s="3">
        <v>0</v>
      </c>
      <c r="M7431" s="3">
        <v>0</v>
      </c>
      <c r="N7431" s="3">
        <v>10313</v>
      </c>
    </row>
    <row r="7432" spans="1:14" x14ac:dyDescent="0.2">
      <c r="A7432" s="5" t="str">
        <f>HYPERLINK("http://www.ncbi.nlm.nih.gov/protein/27370562","Tbcel")</f>
        <v>Tbcel</v>
      </c>
      <c r="B7432" s="4"/>
      <c r="C7432" s="3">
        <v>0</v>
      </c>
      <c r="D7432" s="3">
        <v>29</v>
      </c>
      <c r="E7432" s="3">
        <v>22</v>
      </c>
      <c r="F7432" s="3">
        <v>0</v>
      </c>
      <c r="G7432" s="3">
        <v>2517</v>
      </c>
      <c r="H7432" s="2">
        <f t="shared" si="232"/>
        <v>2568</v>
      </c>
      <c r="I7432" t="str">
        <f t="shared" si="233"/>
        <v>Tbcel_2568</v>
      </c>
      <c r="J7432" s="3">
        <v>0</v>
      </c>
      <c r="K7432" s="3">
        <v>29</v>
      </c>
      <c r="L7432" s="3">
        <v>22</v>
      </c>
      <c r="M7432" s="3">
        <v>0</v>
      </c>
      <c r="N7432" s="3">
        <v>2517</v>
      </c>
    </row>
    <row r="7433" spans="1:14" x14ac:dyDescent="0.2">
      <c r="A7433" s="5" t="str">
        <f>HYPERLINK("http://www.ncbi.nlm.nih.gov/protein/251823839","Tbk1")</f>
        <v>Tbk1</v>
      </c>
      <c r="B7433" s="4"/>
      <c r="C7433" s="3">
        <v>0</v>
      </c>
      <c r="D7433" s="3">
        <v>150</v>
      </c>
      <c r="E7433" s="3">
        <v>73</v>
      </c>
      <c r="F7433" s="3">
        <v>0</v>
      </c>
      <c r="G7433" s="3">
        <v>996</v>
      </c>
      <c r="H7433" s="2">
        <f t="shared" si="232"/>
        <v>1219</v>
      </c>
      <c r="I7433" t="str">
        <f t="shared" si="233"/>
        <v>Tbk1_1219</v>
      </c>
      <c r="J7433" s="3">
        <v>0</v>
      </c>
      <c r="K7433" s="3">
        <v>150</v>
      </c>
      <c r="L7433" s="3">
        <v>73</v>
      </c>
      <c r="M7433" s="3">
        <v>0</v>
      </c>
      <c r="N7433" s="3">
        <v>996</v>
      </c>
    </row>
    <row r="7434" spans="1:14" x14ac:dyDescent="0.2">
      <c r="A7434" s="5" t="str">
        <f>HYPERLINK("http://www.ncbi.nlm.nih.gov/protein/33468969","Tbl1x")</f>
        <v>Tbl1x</v>
      </c>
      <c r="B7434" s="4"/>
      <c r="C7434" s="3">
        <v>0</v>
      </c>
      <c r="D7434" s="3">
        <v>466</v>
      </c>
      <c r="E7434" s="3">
        <v>505</v>
      </c>
      <c r="F7434" s="3">
        <v>11738</v>
      </c>
      <c r="G7434" s="3">
        <v>8129</v>
      </c>
      <c r="H7434" s="2">
        <f t="shared" si="232"/>
        <v>20838</v>
      </c>
      <c r="I7434" t="str">
        <f t="shared" si="233"/>
        <v>Tbl1x_20838</v>
      </c>
      <c r="J7434" s="3">
        <v>0</v>
      </c>
      <c r="K7434" s="3">
        <v>466</v>
      </c>
      <c r="L7434" s="3">
        <v>505</v>
      </c>
      <c r="M7434" s="3">
        <v>11738</v>
      </c>
      <c r="N7434" s="3">
        <v>8129</v>
      </c>
    </row>
    <row r="7435" spans="1:14" x14ac:dyDescent="0.2">
      <c r="A7435" s="5" t="str">
        <f>HYPERLINK("http://www.ncbi.nlm.nih.gov/protein/31543001","Tbl1xr1")</f>
        <v>Tbl1xr1</v>
      </c>
      <c r="B7435" s="4"/>
      <c r="C7435" s="3">
        <v>0</v>
      </c>
      <c r="D7435" s="3">
        <v>466</v>
      </c>
      <c r="E7435" s="3">
        <v>680</v>
      </c>
      <c r="F7435" s="3">
        <v>16003</v>
      </c>
      <c r="G7435" s="3">
        <v>11395</v>
      </c>
      <c r="H7435" s="2">
        <f t="shared" si="232"/>
        <v>28544</v>
      </c>
      <c r="I7435" t="str">
        <f t="shared" si="233"/>
        <v>Tbl1xr1_28544</v>
      </c>
      <c r="J7435" s="3">
        <v>0</v>
      </c>
      <c r="K7435" s="3">
        <v>466</v>
      </c>
      <c r="L7435" s="3">
        <v>680</v>
      </c>
      <c r="M7435" s="3">
        <v>16003</v>
      </c>
      <c r="N7435" s="3">
        <v>11395</v>
      </c>
    </row>
    <row r="7436" spans="1:14" x14ac:dyDescent="0.2">
      <c r="A7436" s="5" t="str">
        <f>HYPERLINK("http://www.ncbi.nlm.nih.gov/protein/31543845","Tbl2")</f>
        <v>Tbl2</v>
      </c>
      <c r="B7436" s="4"/>
      <c r="C7436" s="3">
        <v>5657</v>
      </c>
      <c r="D7436" s="3">
        <v>7876</v>
      </c>
      <c r="E7436" s="3">
        <v>2012</v>
      </c>
      <c r="F7436" s="3">
        <v>0</v>
      </c>
      <c r="G7436" s="3">
        <v>0</v>
      </c>
      <c r="H7436" s="2">
        <f t="shared" si="232"/>
        <v>15545</v>
      </c>
      <c r="I7436" t="str">
        <f t="shared" si="233"/>
        <v>Tbl2_15545</v>
      </c>
      <c r="J7436" s="3">
        <v>5657</v>
      </c>
      <c r="K7436" s="3">
        <v>7876</v>
      </c>
      <c r="L7436" s="3">
        <v>2012</v>
      </c>
      <c r="M7436" s="3">
        <v>0</v>
      </c>
      <c r="N7436" s="3">
        <v>0</v>
      </c>
    </row>
    <row r="7437" spans="1:14" x14ac:dyDescent="0.2">
      <c r="A7437" s="5" t="str">
        <f>HYPERLINK("http://www.ncbi.nlm.nih.gov/protein/30102935","Tbl3")</f>
        <v>Tbl3</v>
      </c>
      <c r="B7437" s="4"/>
      <c r="C7437" s="3">
        <v>7231</v>
      </c>
      <c r="D7437" s="3">
        <v>50</v>
      </c>
      <c r="E7437" s="3">
        <v>19</v>
      </c>
      <c r="F7437" s="3">
        <v>704</v>
      </c>
      <c r="G7437" s="3">
        <v>0</v>
      </c>
      <c r="H7437" s="2">
        <f t="shared" si="232"/>
        <v>8004</v>
      </c>
      <c r="I7437" t="str">
        <f t="shared" si="233"/>
        <v>Tbl3_8004</v>
      </c>
      <c r="J7437" s="3">
        <v>7231</v>
      </c>
      <c r="K7437" s="3">
        <v>50</v>
      </c>
      <c r="L7437" s="3">
        <v>19</v>
      </c>
      <c r="M7437" s="3">
        <v>704</v>
      </c>
      <c r="N7437" s="3">
        <v>0</v>
      </c>
    </row>
    <row r="7438" spans="1:14" x14ac:dyDescent="0.2">
      <c r="A7438" s="5" t="str">
        <f>HYPERLINK("http://www.ncbi.nlm.nih.gov/protein/172073171","Tbp")</f>
        <v>Tbp</v>
      </c>
      <c r="B7438" s="4"/>
      <c r="C7438" s="3">
        <v>37</v>
      </c>
      <c r="D7438" s="3">
        <v>0</v>
      </c>
      <c r="E7438" s="3">
        <v>6</v>
      </c>
      <c r="F7438" s="3">
        <v>0</v>
      </c>
      <c r="G7438" s="3">
        <v>0</v>
      </c>
      <c r="H7438" s="2">
        <f t="shared" si="232"/>
        <v>43</v>
      </c>
      <c r="I7438" t="str">
        <f t="shared" si="233"/>
        <v>Tbp_43</v>
      </c>
      <c r="J7438" s="3">
        <v>37</v>
      </c>
      <c r="K7438" s="3">
        <v>0</v>
      </c>
      <c r="L7438" s="3">
        <v>6</v>
      </c>
      <c r="M7438" s="3">
        <v>0</v>
      </c>
      <c r="N7438" s="3">
        <v>0</v>
      </c>
    </row>
    <row r="7439" spans="1:14" x14ac:dyDescent="0.2">
      <c r="A7439" s="5" t="str">
        <f>HYPERLINK("http://www.ncbi.nlm.nih.gov/protein/6755811","Tbpl1")</f>
        <v>Tbpl1</v>
      </c>
      <c r="B7439" s="4"/>
      <c r="C7439" s="3">
        <v>0</v>
      </c>
      <c r="D7439" s="3">
        <v>397</v>
      </c>
      <c r="E7439" s="3">
        <v>483</v>
      </c>
      <c r="F7439" s="3">
        <v>360</v>
      </c>
      <c r="G7439" s="3">
        <v>6790</v>
      </c>
      <c r="H7439" s="2">
        <f t="shared" si="232"/>
        <v>8030</v>
      </c>
      <c r="I7439" t="str">
        <f t="shared" si="233"/>
        <v>Tbpl1_8030</v>
      </c>
      <c r="J7439" s="3">
        <v>0</v>
      </c>
      <c r="K7439" s="3">
        <v>397</v>
      </c>
      <c r="L7439" s="3">
        <v>483</v>
      </c>
      <c r="M7439" s="3">
        <v>360</v>
      </c>
      <c r="N7439" s="3">
        <v>6790</v>
      </c>
    </row>
    <row r="7440" spans="1:14" x14ac:dyDescent="0.2">
      <c r="A7440" s="5" t="str">
        <f>HYPERLINK("http://www.ncbi.nlm.nih.gov/protein/39979630","Tbpl2")</f>
        <v>Tbpl2</v>
      </c>
      <c r="B7440" s="4"/>
      <c r="C7440" s="3">
        <v>0</v>
      </c>
      <c r="D7440" s="3">
        <v>0</v>
      </c>
      <c r="E7440" s="3">
        <v>6</v>
      </c>
      <c r="F7440" s="3">
        <v>0</v>
      </c>
      <c r="G7440" s="3">
        <v>0</v>
      </c>
      <c r="H7440" s="2">
        <f t="shared" si="232"/>
        <v>6</v>
      </c>
      <c r="I7440" t="str">
        <f t="shared" si="233"/>
        <v>Tbpl2_6</v>
      </c>
      <c r="J7440" s="3">
        <v>0</v>
      </c>
      <c r="K7440" s="3">
        <v>0</v>
      </c>
      <c r="L7440" s="3">
        <v>6</v>
      </c>
      <c r="M7440" s="3">
        <v>0</v>
      </c>
      <c r="N7440" s="3">
        <v>0</v>
      </c>
    </row>
    <row r="7441" spans="1:14" x14ac:dyDescent="0.2">
      <c r="A7441" s="5" t="str">
        <f>HYPERLINK("http://www.ncbi.nlm.nih.gov/protein/20589521","Tbrg4")</f>
        <v>Tbrg4</v>
      </c>
      <c r="B7441" s="4"/>
      <c r="C7441" s="3">
        <v>1611</v>
      </c>
      <c r="D7441" s="3">
        <v>4108</v>
      </c>
      <c r="E7441" s="3">
        <v>414</v>
      </c>
      <c r="F7441" s="3">
        <v>0</v>
      </c>
      <c r="G7441" s="3">
        <v>0</v>
      </c>
      <c r="H7441" s="2">
        <f t="shared" si="232"/>
        <v>6133</v>
      </c>
      <c r="I7441" t="str">
        <f t="shared" si="233"/>
        <v>Tbrg4_6133</v>
      </c>
      <c r="J7441" s="3">
        <v>1611</v>
      </c>
      <c r="K7441" s="3">
        <v>4108</v>
      </c>
      <c r="L7441" s="3">
        <v>414</v>
      </c>
      <c r="M7441" s="3">
        <v>0</v>
      </c>
      <c r="N7441" s="3">
        <v>0</v>
      </c>
    </row>
    <row r="7442" spans="1:14" x14ac:dyDescent="0.2">
      <c r="A7442" s="5" t="str">
        <f>HYPERLINK("http://www.ncbi.nlm.nih.gov/protein/229094709","Tcea1")</f>
        <v>Tcea1</v>
      </c>
      <c r="B7442" s="4"/>
      <c r="C7442" s="3">
        <v>0</v>
      </c>
      <c r="D7442" s="3">
        <v>2534</v>
      </c>
      <c r="E7442" s="3">
        <v>8192</v>
      </c>
      <c r="F7442" s="3">
        <v>20955</v>
      </c>
      <c r="G7442" s="3">
        <v>134747</v>
      </c>
      <c r="H7442" s="2">
        <f t="shared" si="232"/>
        <v>166428</v>
      </c>
      <c r="I7442" t="str">
        <f t="shared" si="233"/>
        <v>Tcea1_166428</v>
      </c>
      <c r="J7442" s="3">
        <v>0</v>
      </c>
      <c r="K7442" s="3">
        <v>2534</v>
      </c>
      <c r="L7442" s="3">
        <v>8192</v>
      </c>
      <c r="M7442" s="3">
        <v>20955</v>
      </c>
      <c r="N7442" s="3">
        <v>134747</v>
      </c>
    </row>
    <row r="7443" spans="1:14" x14ac:dyDescent="0.2">
      <c r="A7443" s="5" t="str">
        <f>HYPERLINK("http://www.ncbi.nlm.nih.gov/protein/229094714","Tcea1")</f>
        <v>Tcea1</v>
      </c>
      <c r="B7443" s="4"/>
      <c r="C7443" s="3">
        <v>0</v>
      </c>
      <c r="D7443" s="3">
        <v>2227</v>
      </c>
      <c r="E7443" s="3">
        <v>7388</v>
      </c>
      <c r="F7443" s="3">
        <v>20186</v>
      </c>
      <c r="G7443" s="3">
        <v>120214</v>
      </c>
      <c r="H7443" s="2">
        <f t="shared" si="232"/>
        <v>150015</v>
      </c>
      <c r="I7443" t="str">
        <f t="shared" si="233"/>
        <v>Tcea1_150015</v>
      </c>
      <c r="J7443" s="3">
        <v>0</v>
      </c>
      <c r="K7443" s="3">
        <v>2227</v>
      </c>
      <c r="L7443" s="3">
        <v>7388</v>
      </c>
      <c r="M7443" s="3">
        <v>20186</v>
      </c>
      <c r="N7443" s="3">
        <v>120214</v>
      </c>
    </row>
    <row r="7444" spans="1:14" x14ac:dyDescent="0.2">
      <c r="A7444" s="5" t="str">
        <f>HYPERLINK("http://www.ncbi.nlm.nih.gov/protein/6755728","Tcea1")</f>
        <v>Tcea1</v>
      </c>
      <c r="B7444" s="4"/>
      <c r="C7444" s="3">
        <v>0</v>
      </c>
      <c r="D7444" s="3">
        <v>2534</v>
      </c>
      <c r="E7444" s="3">
        <v>8192</v>
      </c>
      <c r="F7444" s="3">
        <v>20669</v>
      </c>
      <c r="G7444" s="3">
        <v>134747</v>
      </c>
      <c r="H7444" s="2">
        <f t="shared" si="232"/>
        <v>166142</v>
      </c>
      <c r="I7444" t="str">
        <f t="shared" si="233"/>
        <v>Tcea1_166142</v>
      </c>
      <c r="J7444" s="3">
        <v>0</v>
      </c>
      <c r="K7444" s="3">
        <v>2534</v>
      </c>
      <c r="L7444" s="3">
        <v>8192</v>
      </c>
      <c r="M7444" s="3">
        <v>20669</v>
      </c>
      <c r="N7444" s="3">
        <v>134747</v>
      </c>
    </row>
    <row r="7445" spans="1:14" x14ac:dyDescent="0.2">
      <c r="A7445" s="5" t="str">
        <f>HYPERLINK("http://www.ncbi.nlm.nih.gov/protein/6678235","Tcea2")</f>
        <v>Tcea2</v>
      </c>
      <c r="B7445" s="4"/>
      <c r="C7445" s="3">
        <v>0</v>
      </c>
      <c r="D7445" s="3">
        <v>6</v>
      </c>
      <c r="E7445" s="3">
        <v>399</v>
      </c>
      <c r="F7445" s="3">
        <v>262</v>
      </c>
      <c r="G7445" s="3">
        <v>343</v>
      </c>
      <c r="H7445" s="2">
        <f t="shared" si="232"/>
        <v>1010</v>
      </c>
      <c r="I7445" t="str">
        <f t="shared" si="233"/>
        <v>Tcea2_1010</v>
      </c>
      <c r="J7445" s="3">
        <v>0</v>
      </c>
      <c r="K7445" s="3">
        <v>6</v>
      </c>
      <c r="L7445" s="3">
        <v>399</v>
      </c>
      <c r="M7445" s="3">
        <v>262</v>
      </c>
      <c r="N7445" s="3">
        <v>343</v>
      </c>
    </row>
    <row r="7446" spans="1:14" x14ac:dyDescent="0.2">
      <c r="A7446" s="5" t="str">
        <f>HYPERLINK("http://www.ncbi.nlm.nih.gov/protein/13385800","Tceb2")</f>
        <v>Tceb2</v>
      </c>
      <c r="B7446" s="4"/>
      <c r="C7446" s="3">
        <v>1611</v>
      </c>
      <c r="D7446" s="3">
        <v>2158</v>
      </c>
      <c r="E7446" s="3">
        <v>7219</v>
      </c>
      <c r="F7446" s="3">
        <v>7130</v>
      </c>
      <c r="G7446" s="3">
        <v>57189</v>
      </c>
      <c r="H7446" s="2">
        <f t="shared" si="232"/>
        <v>75307</v>
      </c>
      <c r="I7446" t="str">
        <f t="shared" si="233"/>
        <v>Tceb2_75307</v>
      </c>
      <c r="J7446" s="3">
        <v>1611</v>
      </c>
      <c r="K7446" s="3">
        <v>2158</v>
      </c>
      <c r="L7446" s="3">
        <v>7219</v>
      </c>
      <c r="M7446" s="3">
        <v>7130</v>
      </c>
      <c r="N7446" s="3">
        <v>57189</v>
      </c>
    </row>
    <row r="7447" spans="1:14" x14ac:dyDescent="0.2">
      <c r="A7447" s="5" t="str">
        <f>HYPERLINK("http://www.ncbi.nlm.nih.gov/protein/87196334","Tcerg1")</f>
        <v>Tcerg1</v>
      </c>
      <c r="B7447" s="4"/>
      <c r="C7447" s="3">
        <v>1428</v>
      </c>
      <c r="D7447" s="3">
        <v>38</v>
      </c>
      <c r="E7447" s="3">
        <v>102</v>
      </c>
      <c r="F7447" s="3">
        <v>0</v>
      </c>
      <c r="G7447" s="3">
        <v>0</v>
      </c>
      <c r="H7447" s="2">
        <f t="shared" si="232"/>
        <v>1568</v>
      </c>
      <c r="I7447" t="str">
        <f t="shared" si="233"/>
        <v>Tcerg1_1568</v>
      </c>
      <c r="J7447" s="3">
        <v>1428</v>
      </c>
      <c r="K7447" s="3">
        <v>38</v>
      </c>
      <c r="L7447" s="3">
        <v>102</v>
      </c>
      <c r="M7447" s="3">
        <v>0</v>
      </c>
      <c r="N7447" s="3">
        <v>0</v>
      </c>
    </row>
    <row r="7448" spans="1:14" x14ac:dyDescent="0.2">
      <c r="A7448" s="5" t="str">
        <f>HYPERLINK("http://www.ncbi.nlm.nih.gov/protein/209863008","Tcirg1")</f>
        <v>Tcirg1</v>
      </c>
      <c r="B7448" s="4"/>
      <c r="C7448" s="3">
        <v>1062</v>
      </c>
      <c r="D7448" s="3">
        <v>5647</v>
      </c>
      <c r="E7448" s="3">
        <v>2817</v>
      </c>
      <c r="F7448" s="3">
        <v>0</v>
      </c>
      <c r="G7448" s="3">
        <v>0</v>
      </c>
      <c r="H7448" s="2">
        <f t="shared" si="232"/>
        <v>9526</v>
      </c>
      <c r="I7448" t="str">
        <f t="shared" si="233"/>
        <v>Tcirg1_9526</v>
      </c>
      <c r="J7448" s="3">
        <v>1062</v>
      </c>
      <c r="K7448" s="3">
        <v>5647</v>
      </c>
      <c r="L7448" s="3">
        <v>2817</v>
      </c>
      <c r="M7448" s="3">
        <v>0</v>
      </c>
      <c r="N7448" s="3">
        <v>0</v>
      </c>
    </row>
    <row r="7449" spans="1:14" x14ac:dyDescent="0.2">
      <c r="A7449" s="5" t="str">
        <f>HYPERLINK("http://www.ncbi.nlm.nih.gov/protein/312176443","Tcof1")</f>
        <v>Tcof1</v>
      </c>
      <c r="B7449" s="4"/>
      <c r="C7449" s="3">
        <v>0</v>
      </c>
      <c r="D7449" s="3">
        <v>2434</v>
      </c>
      <c r="E7449" s="3">
        <v>360</v>
      </c>
      <c r="F7449" s="3">
        <v>0</v>
      </c>
      <c r="G7449" s="3">
        <v>0</v>
      </c>
      <c r="H7449" s="2">
        <f t="shared" si="232"/>
        <v>2794</v>
      </c>
      <c r="I7449" t="str">
        <f t="shared" si="233"/>
        <v>Tcof1_2794</v>
      </c>
      <c r="J7449" s="3">
        <v>0</v>
      </c>
      <c r="K7449" s="3">
        <v>2434</v>
      </c>
      <c r="L7449" s="3">
        <v>360</v>
      </c>
      <c r="M7449" s="3">
        <v>0</v>
      </c>
      <c r="N7449" s="3">
        <v>0</v>
      </c>
    </row>
    <row r="7450" spans="1:14" x14ac:dyDescent="0.2">
      <c r="A7450" s="5" t="str">
        <f>HYPERLINK("http://www.ncbi.nlm.nih.gov/protein/6755742","Tcof1")</f>
        <v>Tcof1</v>
      </c>
      <c r="B7450" s="4"/>
      <c r="C7450" s="3">
        <v>0</v>
      </c>
      <c r="D7450" s="3">
        <v>2434</v>
      </c>
      <c r="E7450" s="3">
        <v>360</v>
      </c>
      <c r="F7450" s="3">
        <v>0</v>
      </c>
      <c r="G7450" s="3">
        <v>0</v>
      </c>
      <c r="H7450" s="2">
        <f t="shared" si="232"/>
        <v>2794</v>
      </c>
      <c r="I7450" t="str">
        <f t="shared" si="233"/>
        <v>Tcof1_2794</v>
      </c>
      <c r="J7450" s="3">
        <v>0</v>
      </c>
      <c r="K7450" s="3">
        <v>2434</v>
      </c>
      <c r="L7450" s="3">
        <v>360</v>
      </c>
      <c r="M7450" s="3">
        <v>0</v>
      </c>
      <c r="N7450" s="3">
        <v>0</v>
      </c>
    </row>
    <row r="7451" spans="1:14" x14ac:dyDescent="0.2">
      <c r="A7451" s="5" t="str">
        <f>HYPERLINK("http://www.ncbi.nlm.nih.gov/protein/110625624","Tcp1")</f>
        <v>Tcp1</v>
      </c>
      <c r="B7451" s="4"/>
      <c r="C7451" s="3">
        <v>6279</v>
      </c>
      <c r="D7451" s="3">
        <v>21178</v>
      </c>
      <c r="E7451" s="3">
        <v>71612</v>
      </c>
      <c r="F7451" s="3">
        <v>1612515</v>
      </c>
      <c r="G7451" s="3">
        <v>14340</v>
      </c>
      <c r="H7451" s="2">
        <f t="shared" si="232"/>
        <v>1725924</v>
      </c>
      <c r="I7451" t="str">
        <f t="shared" si="233"/>
        <v>Tcp1_1725924</v>
      </c>
      <c r="J7451" s="3">
        <v>6279</v>
      </c>
      <c r="K7451" s="3">
        <v>21178</v>
      </c>
      <c r="L7451" s="3">
        <v>71612</v>
      </c>
      <c r="M7451" s="3">
        <v>1612515</v>
      </c>
      <c r="N7451" s="3">
        <v>14340</v>
      </c>
    </row>
    <row r="7452" spans="1:14" x14ac:dyDescent="0.2">
      <c r="A7452" s="5" t="str">
        <f>HYPERLINK("http://www.ncbi.nlm.nih.gov/protein/28893201","Tcp11l1")</f>
        <v>Tcp11l1</v>
      </c>
      <c r="B7452" s="4"/>
      <c r="C7452" s="3">
        <v>0</v>
      </c>
      <c r="D7452" s="3">
        <v>0</v>
      </c>
      <c r="E7452" s="3">
        <v>16</v>
      </c>
      <c r="F7452" s="3">
        <v>0</v>
      </c>
      <c r="G7452" s="3">
        <v>696</v>
      </c>
      <c r="H7452" s="2">
        <f t="shared" si="232"/>
        <v>712</v>
      </c>
      <c r="I7452" t="str">
        <f t="shared" si="233"/>
        <v>Tcp11l1_712</v>
      </c>
      <c r="J7452" s="3">
        <v>0</v>
      </c>
      <c r="K7452" s="3">
        <v>0</v>
      </c>
      <c r="L7452" s="3">
        <v>16</v>
      </c>
      <c r="M7452" s="3">
        <v>0</v>
      </c>
      <c r="N7452" s="3">
        <v>696</v>
      </c>
    </row>
    <row r="7453" spans="1:14" x14ac:dyDescent="0.2">
      <c r="A7453" s="5" t="str">
        <f>HYPERLINK("http://www.ncbi.nlm.nih.gov/protein/166706899","Tdg")</f>
        <v>Tdg</v>
      </c>
      <c r="B7453" s="4"/>
      <c r="C7453" s="3">
        <v>0</v>
      </c>
      <c r="D7453" s="3">
        <v>0</v>
      </c>
      <c r="E7453" s="3">
        <v>290</v>
      </c>
      <c r="F7453" s="3">
        <v>0</v>
      </c>
      <c r="G7453" s="3">
        <v>0</v>
      </c>
      <c r="H7453" s="2">
        <f t="shared" si="232"/>
        <v>290</v>
      </c>
      <c r="I7453" t="str">
        <f t="shared" si="233"/>
        <v>Tdg_290</v>
      </c>
      <c r="J7453" s="3">
        <v>0</v>
      </c>
      <c r="K7453" s="3">
        <v>0</v>
      </c>
      <c r="L7453" s="3">
        <v>290</v>
      </c>
      <c r="M7453" s="3">
        <v>0</v>
      </c>
      <c r="N7453" s="3">
        <v>0</v>
      </c>
    </row>
    <row r="7454" spans="1:14" x14ac:dyDescent="0.2">
      <c r="A7454" s="5" t="str">
        <f>HYPERLINK("http://www.ncbi.nlm.nih.gov/protein/166706901","Tdg")</f>
        <v>Tdg</v>
      </c>
      <c r="B7454" s="4"/>
      <c r="C7454" s="3">
        <v>0</v>
      </c>
      <c r="D7454" s="3">
        <v>0</v>
      </c>
      <c r="E7454" s="3">
        <v>290</v>
      </c>
      <c r="F7454" s="3">
        <v>0</v>
      </c>
      <c r="G7454" s="3">
        <v>0</v>
      </c>
      <c r="H7454" s="2">
        <f t="shared" si="232"/>
        <v>290</v>
      </c>
      <c r="I7454" t="str">
        <f t="shared" si="233"/>
        <v>Tdg_290</v>
      </c>
      <c r="J7454" s="3">
        <v>0</v>
      </c>
      <c r="K7454" s="3">
        <v>0</v>
      </c>
      <c r="L7454" s="3">
        <v>290</v>
      </c>
      <c r="M7454" s="3">
        <v>0</v>
      </c>
      <c r="N7454" s="3">
        <v>0</v>
      </c>
    </row>
    <row r="7455" spans="1:14" x14ac:dyDescent="0.2">
      <c r="A7455" s="5" t="str">
        <f>HYPERLINK("http://www.ncbi.nlm.nih.gov/protein/162417986","Tdp1")</f>
        <v>Tdp1</v>
      </c>
      <c r="B7455" s="4"/>
      <c r="C7455" s="3">
        <v>0</v>
      </c>
      <c r="D7455" s="3">
        <v>0</v>
      </c>
      <c r="E7455" s="3">
        <v>53</v>
      </c>
      <c r="F7455" s="3">
        <v>647</v>
      </c>
      <c r="G7455" s="3">
        <v>0</v>
      </c>
      <c r="H7455" s="2">
        <f t="shared" si="232"/>
        <v>700</v>
      </c>
      <c r="I7455" t="str">
        <f t="shared" si="233"/>
        <v>Tdp1_700</v>
      </c>
      <c r="J7455" s="3">
        <v>0</v>
      </c>
      <c r="K7455" s="3">
        <v>0</v>
      </c>
      <c r="L7455" s="3">
        <v>53</v>
      </c>
      <c r="M7455" s="3">
        <v>647</v>
      </c>
      <c r="N7455" s="3">
        <v>0</v>
      </c>
    </row>
    <row r="7456" spans="1:14" x14ac:dyDescent="0.2">
      <c r="A7456" s="5" t="str">
        <f>HYPERLINK("http://www.ncbi.nlm.nih.gov/protein/9507213","Tdp2")</f>
        <v>Tdp2</v>
      </c>
      <c r="B7456" s="4"/>
      <c r="C7456" s="3">
        <v>0</v>
      </c>
      <c r="D7456" s="3">
        <v>104</v>
      </c>
      <c r="E7456" s="3">
        <v>0</v>
      </c>
      <c r="F7456" s="3">
        <v>0</v>
      </c>
      <c r="G7456" s="3">
        <v>54</v>
      </c>
      <c r="H7456" s="2">
        <f t="shared" si="232"/>
        <v>158</v>
      </c>
      <c r="I7456" t="str">
        <f t="shared" si="233"/>
        <v>Tdp2_158</v>
      </c>
      <c r="J7456" s="3">
        <v>0</v>
      </c>
      <c r="K7456" s="3">
        <v>104</v>
      </c>
      <c r="L7456" s="3">
        <v>0</v>
      </c>
      <c r="M7456" s="3">
        <v>0</v>
      </c>
      <c r="N7456" s="3">
        <v>54</v>
      </c>
    </row>
    <row r="7457" spans="1:14" x14ac:dyDescent="0.2">
      <c r="A7457" s="5" t="str">
        <f>HYPERLINK("http://www.ncbi.nlm.nih.gov/protein/225703112","Tdrd3")</f>
        <v>Tdrd3</v>
      </c>
      <c r="B7457" s="4"/>
      <c r="C7457" s="3">
        <v>0</v>
      </c>
      <c r="D7457" s="3">
        <v>0</v>
      </c>
      <c r="E7457" s="3">
        <v>5353</v>
      </c>
      <c r="F7457" s="3">
        <v>0</v>
      </c>
      <c r="G7457" s="3">
        <v>0</v>
      </c>
      <c r="H7457" s="2">
        <f t="shared" si="232"/>
        <v>5353</v>
      </c>
      <c r="I7457" t="str">
        <f t="shared" si="233"/>
        <v>Tdrd3_5353</v>
      </c>
      <c r="J7457" s="3">
        <v>0</v>
      </c>
      <c r="K7457" s="3">
        <v>0</v>
      </c>
      <c r="L7457" s="3">
        <v>5353</v>
      </c>
      <c r="M7457" s="3">
        <v>0</v>
      </c>
      <c r="N7457" s="3">
        <v>0</v>
      </c>
    </row>
    <row r="7458" spans="1:14" x14ac:dyDescent="0.2">
      <c r="A7458" s="5" t="str">
        <f>HYPERLINK("http://www.ncbi.nlm.nih.gov/protein/359279950","Tdrd3")</f>
        <v>Tdrd3</v>
      </c>
      <c r="B7458" s="4"/>
      <c r="C7458" s="3">
        <v>0</v>
      </c>
      <c r="D7458" s="3">
        <v>0</v>
      </c>
      <c r="E7458" s="3">
        <v>5353</v>
      </c>
      <c r="F7458" s="3">
        <v>0</v>
      </c>
      <c r="G7458" s="3">
        <v>0</v>
      </c>
      <c r="H7458" s="2">
        <f t="shared" si="232"/>
        <v>5353</v>
      </c>
      <c r="I7458" t="str">
        <f t="shared" si="233"/>
        <v>Tdrd3_5353</v>
      </c>
      <c r="J7458" s="3">
        <v>0</v>
      </c>
      <c r="K7458" s="3">
        <v>0</v>
      </c>
      <c r="L7458" s="3">
        <v>5353</v>
      </c>
      <c r="M7458" s="3">
        <v>0</v>
      </c>
      <c r="N7458" s="3">
        <v>0</v>
      </c>
    </row>
    <row r="7459" spans="1:14" x14ac:dyDescent="0.2">
      <c r="A7459" s="5" t="str">
        <f>HYPERLINK("http://www.ncbi.nlm.nih.gov/protein/124249058","Tecpr1")</f>
        <v>Tecpr1</v>
      </c>
      <c r="B7459" s="4"/>
      <c r="C7459" s="3">
        <v>0</v>
      </c>
      <c r="D7459" s="3">
        <v>58</v>
      </c>
      <c r="E7459" s="3">
        <v>22</v>
      </c>
      <c r="F7459" s="3">
        <v>0</v>
      </c>
      <c r="G7459" s="3">
        <v>942</v>
      </c>
      <c r="H7459" s="2">
        <f t="shared" si="232"/>
        <v>1022</v>
      </c>
      <c r="I7459" t="str">
        <f t="shared" si="233"/>
        <v>Tecpr1_1022</v>
      </c>
      <c r="J7459" s="3">
        <v>0</v>
      </c>
      <c r="K7459" s="3">
        <v>58</v>
      </c>
      <c r="L7459" s="3">
        <v>22</v>
      </c>
      <c r="M7459" s="3">
        <v>0</v>
      </c>
      <c r="N7459" s="3">
        <v>942</v>
      </c>
    </row>
    <row r="7460" spans="1:14" x14ac:dyDescent="0.2">
      <c r="A7460" s="5" t="str">
        <f>HYPERLINK("http://www.ncbi.nlm.nih.gov/protein/19923070","Tecr")</f>
        <v>Tecr</v>
      </c>
      <c r="B7460" s="4"/>
      <c r="C7460" s="3">
        <v>18599</v>
      </c>
      <c r="D7460" s="3">
        <v>11452</v>
      </c>
      <c r="E7460" s="3">
        <v>6570</v>
      </c>
      <c r="F7460" s="3">
        <v>1293</v>
      </c>
      <c r="G7460" s="3">
        <v>0</v>
      </c>
      <c r="H7460" s="2">
        <f t="shared" si="232"/>
        <v>37914</v>
      </c>
      <c r="I7460" t="str">
        <f t="shared" si="233"/>
        <v>Tecr_37914</v>
      </c>
      <c r="J7460" s="3">
        <v>18599</v>
      </c>
      <c r="K7460" s="3">
        <v>11452</v>
      </c>
      <c r="L7460" s="3">
        <v>6570</v>
      </c>
      <c r="M7460" s="3">
        <v>1293</v>
      </c>
      <c r="N7460" s="3">
        <v>0</v>
      </c>
    </row>
    <row r="7461" spans="1:14" x14ac:dyDescent="0.2">
      <c r="A7461" s="5" t="str">
        <f>HYPERLINK("http://www.ncbi.nlm.nih.gov/protein/226342960","Tecr")</f>
        <v>Tecr</v>
      </c>
      <c r="B7461" s="4"/>
      <c r="C7461" s="3">
        <v>18599</v>
      </c>
      <c r="D7461" s="3">
        <v>11452</v>
      </c>
      <c r="E7461" s="3">
        <v>6570</v>
      </c>
      <c r="F7461" s="3">
        <v>1293</v>
      </c>
      <c r="G7461" s="3">
        <v>0</v>
      </c>
      <c r="H7461" s="2">
        <f t="shared" si="232"/>
        <v>37914</v>
      </c>
      <c r="I7461" t="str">
        <f t="shared" si="233"/>
        <v>Tecr_37914</v>
      </c>
      <c r="J7461" s="3">
        <v>18599</v>
      </c>
      <c r="K7461" s="3">
        <v>11452</v>
      </c>
      <c r="L7461" s="3">
        <v>6570</v>
      </c>
      <c r="M7461" s="3">
        <v>1293</v>
      </c>
      <c r="N7461" s="3">
        <v>0</v>
      </c>
    </row>
    <row r="7462" spans="1:14" x14ac:dyDescent="0.2">
      <c r="A7462" s="5" t="str">
        <f>HYPERLINK("http://www.ncbi.nlm.nih.gov/protein/134053922","Tefm")</f>
        <v>Tefm</v>
      </c>
      <c r="B7462" s="4"/>
      <c r="C7462" s="3">
        <v>0</v>
      </c>
      <c r="D7462" s="3">
        <v>2962</v>
      </c>
      <c r="E7462" s="3">
        <v>0</v>
      </c>
      <c r="F7462" s="3">
        <v>0</v>
      </c>
      <c r="G7462" s="3">
        <v>0</v>
      </c>
      <c r="H7462" s="2">
        <f t="shared" si="232"/>
        <v>2962</v>
      </c>
      <c r="I7462" t="str">
        <f t="shared" si="233"/>
        <v>Tefm_2962</v>
      </c>
      <c r="J7462" s="3">
        <v>0</v>
      </c>
      <c r="K7462" s="3">
        <v>2962</v>
      </c>
      <c r="L7462" s="3">
        <v>0</v>
      </c>
      <c r="M7462" s="3">
        <v>0</v>
      </c>
      <c r="N7462" s="3">
        <v>0</v>
      </c>
    </row>
    <row r="7463" spans="1:14" x14ac:dyDescent="0.2">
      <c r="A7463" s="5" t="str">
        <f>HYPERLINK("http://www.ncbi.nlm.nih.gov/protein/117956379","Tekt1")</f>
        <v>Tekt1</v>
      </c>
      <c r="B7463" s="4"/>
      <c r="C7463" s="3">
        <v>5473</v>
      </c>
      <c r="D7463" s="3">
        <v>0</v>
      </c>
      <c r="E7463" s="3">
        <v>1826</v>
      </c>
      <c r="F7463" s="3">
        <v>0</v>
      </c>
      <c r="G7463" s="3">
        <v>0</v>
      </c>
      <c r="H7463" s="2">
        <f t="shared" si="232"/>
        <v>7299</v>
      </c>
      <c r="I7463" t="str">
        <f t="shared" si="233"/>
        <v>Tekt1_7299</v>
      </c>
      <c r="J7463" s="3">
        <v>5473</v>
      </c>
      <c r="K7463" s="3">
        <v>0</v>
      </c>
      <c r="L7463" s="3">
        <v>1826</v>
      </c>
      <c r="M7463" s="3">
        <v>0</v>
      </c>
      <c r="N7463" s="3">
        <v>0</v>
      </c>
    </row>
    <row r="7464" spans="1:14" x14ac:dyDescent="0.2">
      <c r="A7464" s="5" t="str">
        <f>HYPERLINK("http://www.ncbi.nlm.nih.gov/protein/255683437","Telo2")</f>
        <v>Telo2</v>
      </c>
      <c r="B7464" s="4"/>
      <c r="C7464" s="3">
        <v>0</v>
      </c>
      <c r="D7464" s="3">
        <v>0</v>
      </c>
      <c r="E7464" s="3">
        <v>0</v>
      </c>
      <c r="F7464" s="3">
        <v>7817</v>
      </c>
      <c r="G7464" s="3">
        <v>0</v>
      </c>
      <c r="H7464" s="2">
        <f t="shared" si="232"/>
        <v>7817</v>
      </c>
      <c r="I7464" t="str">
        <f t="shared" si="233"/>
        <v>Telo2_7817</v>
      </c>
      <c r="J7464" s="3">
        <v>0</v>
      </c>
      <c r="K7464" s="3">
        <v>0</v>
      </c>
      <c r="L7464" s="3">
        <v>0</v>
      </c>
      <c r="M7464" s="3">
        <v>7817</v>
      </c>
      <c r="N7464" s="3">
        <v>0</v>
      </c>
    </row>
    <row r="7465" spans="1:14" x14ac:dyDescent="0.2">
      <c r="A7465" s="5" t="str">
        <f>HYPERLINK("http://www.ncbi.nlm.nih.gov/protein/254675210","Ten1")</f>
        <v>Ten1</v>
      </c>
      <c r="B7465" s="4"/>
      <c r="C7465" s="3">
        <v>0</v>
      </c>
      <c r="D7465" s="3">
        <v>0</v>
      </c>
      <c r="E7465" s="3">
        <v>186</v>
      </c>
      <c r="F7465" s="3">
        <v>2022</v>
      </c>
      <c r="G7465" s="3">
        <v>3170</v>
      </c>
      <c r="H7465" s="2">
        <f t="shared" si="232"/>
        <v>5378</v>
      </c>
      <c r="I7465" t="str">
        <f t="shared" si="233"/>
        <v>Ten1_5378</v>
      </c>
      <c r="J7465" s="3">
        <v>0</v>
      </c>
      <c r="K7465" s="3">
        <v>0</v>
      </c>
      <c r="L7465" s="3">
        <v>186</v>
      </c>
      <c r="M7465" s="3">
        <v>2022</v>
      </c>
      <c r="N7465" s="3">
        <v>3170</v>
      </c>
    </row>
    <row r="7466" spans="1:14" x14ac:dyDescent="0.2">
      <c r="A7466" s="5" t="str">
        <f>HYPERLINK("http://www.ncbi.nlm.nih.gov/protein/119372288","Tenc1")</f>
        <v>Tenc1</v>
      </c>
      <c r="B7466" s="4"/>
      <c r="C7466" s="3">
        <v>0</v>
      </c>
      <c r="D7466" s="3">
        <v>240</v>
      </c>
      <c r="E7466" s="3">
        <v>357</v>
      </c>
      <c r="F7466" s="3">
        <v>0</v>
      </c>
      <c r="G7466" s="3">
        <v>7015</v>
      </c>
      <c r="H7466" s="2">
        <f t="shared" si="232"/>
        <v>7612</v>
      </c>
      <c r="I7466" t="str">
        <f t="shared" si="233"/>
        <v>Tenc1_7612</v>
      </c>
      <c r="J7466" s="3">
        <v>0</v>
      </c>
      <c r="K7466" s="3">
        <v>240</v>
      </c>
      <c r="L7466" s="3">
        <v>357</v>
      </c>
      <c r="M7466" s="3">
        <v>0</v>
      </c>
      <c r="N7466" s="3">
        <v>7015</v>
      </c>
    </row>
    <row r="7467" spans="1:14" x14ac:dyDescent="0.2">
      <c r="A7467" s="5" t="str">
        <f>HYPERLINK("http://www.ncbi.nlm.nih.gov/protein/7657413","Tenm1")</f>
        <v>Tenm1</v>
      </c>
      <c r="B7467" s="4"/>
      <c r="C7467" s="3">
        <v>0</v>
      </c>
      <c r="D7467" s="3">
        <v>0</v>
      </c>
      <c r="E7467" s="3">
        <v>148</v>
      </c>
      <c r="F7467" s="3">
        <v>0</v>
      </c>
      <c r="G7467" s="3">
        <v>0</v>
      </c>
      <c r="H7467" s="2">
        <f t="shared" si="232"/>
        <v>148</v>
      </c>
      <c r="I7467" t="str">
        <f t="shared" si="233"/>
        <v>Tenm1_148</v>
      </c>
      <c r="J7467" s="3">
        <v>0</v>
      </c>
      <c r="K7467" s="3">
        <v>0</v>
      </c>
      <c r="L7467" s="3">
        <v>148</v>
      </c>
      <c r="M7467" s="3">
        <v>0</v>
      </c>
      <c r="N7467" s="3">
        <v>0</v>
      </c>
    </row>
    <row r="7468" spans="1:14" x14ac:dyDescent="0.2">
      <c r="A7468" s="5" t="str">
        <f>HYPERLINK("http://www.ncbi.nlm.nih.gov/protein/6678285","Tep1")</f>
        <v>Tep1</v>
      </c>
      <c r="B7468" s="4"/>
      <c r="C7468" s="3">
        <v>0</v>
      </c>
      <c r="D7468" s="3">
        <v>0</v>
      </c>
      <c r="E7468" s="3">
        <v>0</v>
      </c>
      <c r="F7468" s="3">
        <v>57</v>
      </c>
      <c r="G7468" s="3">
        <v>0</v>
      </c>
      <c r="H7468" s="2">
        <f t="shared" si="232"/>
        <v>57</v>
      </c>
      <c r="I7468" t="str">
        <f t="shared" si="233"/>
        <v>Tep1_57</v>
      </c>
      <c r="J7468" s="3">
        <v>0</v>
      </c>
      <c r="K7468" s="3">
        <v>0</v>
      </c>
      <c r="L7468" s="3">
        <v>0</v>
      </c>
      <c r="M7468" s="3">
        <v>57</v>
      </c>
      <c r="N7468" s="3">
        <v>0</v>
      </c>
    </row>
    <row r="7469" spans="1:14" x14ac:dyDescent="0.2">
      <c r="A7469" s="5" t="str">
        <f>HYPERLINK("http://www.ncbi.nlm.nih.gov/protein/133904140","Terf2")</f>
        <v>Terf2</v>
      </c>
      <c r="B7469" s="4"/>
      <c r="C7469" s="3">
        <v>330</v>
      </c>
      <c r="D7469" s="3">
        <v>0</v>
      </c>
      <c r="E7469" s="3">
        <v>0</v>
      </c>
      <c r="F7469" s="3">
        <v>0</v>
      </c>
      <c r="G7469" s="3">
        <v>0</v>
      </c>
      <c r="H7469" s="2">
        <f t="shared" si="232"/>
        <v>330</v>
      </c>
      <c r="I7469" t="str">
        <f t="shared" si="233"/>
        <v>Terf2_330</v>
      </c>
      <c r="J7469" s="3">
        <v>330</v>
      </c>
      <c r="K7469" s="3">
        <v>0</v>
      </c>
      <c r="L7469" s="3">
        <v>0</v>
      </c>
      <c r="M7469" s="3">
        <v>0</v>
      </c>
      <c r="N7469" s="3">
        <v>0</v>
      </c>
    </row>
    <row r="7470" spans="1:14" x14ac:dyDescent="0.2">
      <c r="A7470" s="5" t="str">
        <f>HYPERLINK("http://www.ncbi.nlm.nih.gov/protein/133904142","Terf2")</f>
        <v>Terf2</v>
      </c>
      <c r="B7470" s="4"/>
      <c r="C7470" s="3">
        <v>330</v>
      </c>
      <c r="D7470" s="3">
        <v>0</v>
      </c>
      <c r="E7470" s="3">
        <v>0</v>
      </c>
      <c r="F7470" s="3">
        <v>0</v>
      </c>
      <c r="G7470" s="3">
        <v>0</v>
      </c>
      <c r="H7470" s="2">
        <f t="shared" si="232"/>
        <v>330</v>
      </c>
      <c r="I7470" t="str">
        <f t="shared" si="233"/>
        <v>Terf2_330</v>
      </c>
      <c r="J7470" s="3">
        <v>330</v>
      </c>
      <c r="K7470" s="3">
        <v>0</v>
      </c>
      <c r="L7470" s="3">
        <v>0</v>
      </c>
      <c r="M7470" s="3">
        <v>0</v>
      </c>
      <c r="N7470" s="3">
        <v>0</v>
      </c>
    </row>
    <row r="7471" spans="1:14" x14ac:dyDescent="0.2">
      <c r="A7471" s="5" t="str">
        <f>HYPERLINK("http://www.ncbi.nlm.nih.gov/protein/6678291","Tert")</f>
        <v>Tert</v>
      </c>
      <c r="B7471" s="4"/>
      <c r="C7471" s="3">
        <v>1959</v>
      </c>
      <c r="D7471" s="3">
        <v>0</v>
      </c>
      <c r="E7471" s="3">
        <v>0</v>
      </c>
      <c r="F7471" s="3">
        <v>917</v>
      </c>
      <c r="G7471" s="3">
        <v>0</v>
      </c>
      <c r="H7471" s="2">
        <f t="shared" si="232"/>
        <v>2876</v>
      </c>
      <c r="I7471" t="str">
        <f t="shared" si="233"/>
        <v>Tert_2876</v>
      </c>
      <c r="J7471" s="3">
        <v>1959</v>
      </c>
      <c r="K7471" s="3">
        <v>0</v>
      </c>
      <c r="L7471" s="3">
        <v>0</v>
      </c>
      <c r="M7471" s="3">
        <v>917</v>
      </c>
      <c r="N7471" s="3">
        <v>0</v>
      </c>
    </row>
    <row r="7472" spans="1:14" x14ac:dyDescent="0.2">
      <c r="A7472" s="5" t="str">
        <f>HYPERLINK("http://www.ncbi.nlm.nih.gov/protein/46395466","Tes")</f>
        <v>Tes</v>
      </c>
      <c r="B7472" s="4"/>
      <c r="C7472" s="3">
        <v>0</v>
      </c>
      <c r="D7472" s="3">
        <v>1998</v>
      </c>
      <c r="E7472" s="3">
        <v>686</v>
      </c>
      <c r="F7472" s="3">
        <v>0</v>
      </c>
      <c r="G7472" s="3">
        <v>51491</v>
      </c>
      <c r="H7472" s="2">
        <f t="shared" si="232"/>
        <v>54175</v>
      </c>
      <c r="I7472" t="str">
        <f t="shared" si="233"/>
        <v>Tes_54175</v>
      </c>
      <c r="J7472" s="3">
        <v>0</v>
      </c>
      <c r="K7472" s="3">
        <v>1998</v>
      </c>
      <c r="L7472" s="3">
        <v>686</v>
      </c>
      <c r="M7472" s="3">
        <v>0</v>
      </c>
      <c r="N7472" s="3">
        <v>51491</v>
      </c>
    </row>
    <row r="7473" spans="1:14" x14ac:dyDescent="0.2">
      <c r="A7473" s="5" t="str">
        <f>HYPERLINK("http://www.ncbi.nlm.nih.gov/protein/124249335","Tex10")</f>
        <v>Tex10</v>
      </c>
      <c r="B7473" s="4"/>
      <c r="C7473" s="3">
        <v>549</v>
      </c>
      <c r="D7473" s="3">
        <v>0</v>
      </c>
      <c r="E7473" s="3">
        <v>250</v>
      </c>
      <c r="F7473" s="3">
        <v>1523</v>
      </c>
      <c r="G7473" s="3">
        <v>0</v>
      </c>
      <c r="H7473" s="2">
        <f t="shared" si="232"/>
        <v>2322</v>
      </c>
      <c r="I7473" t="str">
        <f t="shared" si="233"/>
        <v>Tex10_2322</v>
      </c>
      <c r="J7473" s="3">
        <v>549</v>
      </c>
      <c r="K7473" s="3">
        <v>0</v>
      </c>
      <c r="L7473" s="3">
        <v>250</v>
      </c>
      <c r="M7473" s="3">
        <v>1523</v>
      </c>
      <c r="N7473" s="3">
        <v>0</v>
      </c>
    </row>
    <row r="7474" spans="1:14" x14ac:dyDescent="0.2">
      <c r="A7474" s="5" t="str">
        <f>HYPERLINK("http://www.ncbi.nlm.nih.gov/protein/125347370","Tex13a")</f>
        <v>Tex13a</v>
      </c>
      <c r="B7474" s="4"/>
      <c r="C7474" s="3">
        <v>0</v>
      </c>
      <c r="D7474" s="3">
        <v>0</v>
      </c>
      <c r="E7474" s="3">
        <v>160</v>
      </c>
      <c r="F7474" s="3">
        <v>0</v>
      </c>
      <c r="G7474" s="3">
        <v>0</v>
      </c>
      <c r="H7474" s="2">
        <f t="shared" si="232"/>
        <v>160</v>
      </c>
      <c r="I7474" t="str">
        <f t="shared" si="233"/>
        <v>Tex13a_160</v>
      </c>
      <c r="J7474" s="3">
        <v>0</v>
      </c>
      <c r="K7474" s="3">
        <v>0</v>
      </c>
      <c r="L7474" s="3">
        <v>160</v>
      </c>
      <c r="M7474" s="3">
        <v>0</v>
      </c>
      <c r="N7474" s="3">
        <v>0</v>
      </c>
    </row>
    <row r="7475" spans="1:14" x14ac:dyDescent="0.2">
      <c r="A7475" s="5" t="str">
        <f>HYPERLINK("http://www.ncbi.nlm.nih.gov/protein/126090850","Tex264")</f>
        <v>Tex264</v>
      </c>
      <c r="B7475" s="4"/>
      <c r="C7475" s="3">
        <v>0</v>
      </c>
      <c r="D7475" s="3">
        <v>0</v>
      </c>
      <c r="E7475" s="3">
        <v>42</v>
      </c>
      <c r="F7475" s="3">
        <v>0</v>
      </c>
      <c r="G7475" s="3">
        <v>0</v>
      </c>
      <c r="H7475" s="2">
        <f t="shared" si="232"/>
        <v>42</v>
      </c>
      <c r="I7475" t="str">
        <f t="shared" si="233"/>
        <v>Tex264_42</v>
      </c>
      <c r="J7475" s="3">
        <v>0</v>
      </c>
      <c r="K7475" s="3">
        <v>0</v>
      </c>
      <c r="L7475" s="3">
        <v>42</v>
      </c>
      <c r="M7475" s="3">
        <v>0</v>
      </c>
      <c r="N7475" s="3">
        <v>0</v>
      </c>
    </row>
    <row r="7476" spans="1:14" x14ac:dyDescent="0.2">
      <c r="A7476" s="5" t="str">
        <f>HYPERLINK("http://www.ncbi.nlm.nih.gov/protein/198278417","Tex30")</f>
        <v>Tex30</v>
      </c>
      <c r="B7476" s="4"/>
      <c r="C7476" s="3">
        <v>0</v>
      </c>
      <c r="D7476" s="3">
        <v>0</v>
      </c>
      <c r="E7476" s="3">
        <v>672</v>
      </c>
      <c r="F7476" s="3">
        <v>213</v>
      </c>
      <c r="G7476" s="3">
        <v>0</v>
      </c>
      <c r="H7476" s="2">
        <f t="shared" si="232"/>
        <v>885</v>
      </c>
      <c r="I7476" t="str">
        <f t="shared" si="233"/>
        <v>Tex30_885</v>
      </c>
      <c r="J7476" s="3">
        <v>0</v>
      </c>
      <c r="K7476" s="3">
        <v>0</v>
      </c>
      <c r="L7476" s="3">
        <v>672</v>
      </c>
      <c r="M7476" s="3">
        <v>213</v>
      </c>
      <c r="N7476" s="3">
        <v>0</v>
      </c>
    </row>
    <row r="7477" spans="1:14" x14ac:dyDescent="0.2">
      <c r="A7477" s="5" t="str">
        <f>HYPERLINK("http://www.ncbi.nlm.nih.gov/protein/6678303","Tfam")</f>
        <v>Tfam</v>
      </c>
      <c r="B7477" s="4"/>
      <c r="C7477" s="3">
        <v>2856</v>
      </c>
      <c r="D7477" s="3">
        <v>3198</v>
      </c>
      <c r="E7477" s="3">
        <v>0</v>
      </c>
      <c r="F7477" s="3">
        <v>0</v>
      </c>
      <c r="G7477" s="3">
        <v>0</v>
      </c>
      <c r="H7477" s="2">
        <f t="shared" si="232"/>
        <v>6054</v>
      </c>
      <c r="I7477" t="str">
        <f t="shared" si="233"/>
        <v>Tfam_6054</v>
      </c>
      <c r="J7477" s="3">
        <v>2856</v>
      </c>
      <c r="K7477" s="3">
        <v>3198</v>
      </c>
      <c r="L7477" s="3">
        <v>0</v>
      </c>
      <c r="M7477" s="3">
        <v>0</v>
      </c>
      <c r="N7477" s="3">
        <v>0</v>
      </c>
    </row>
    <row r="7478" spans="1:14" x14ac:dyDescent="0.2">
      <c r="A7478" s="5" t="str">
        <f>HYPERLINK("http://www.ncbi.nlm.nih.gov/protein/22122569","Tfb1m")</f>
        <v>Tfb1m</v>
      </c>
      <c r="B7478" s="4"/>
      <c r="C7478" s="3">
        <v>0</v>
      </c>
      <c r="D7478" s="3">
        <v>207</v>
      </c>
      <c r="E7478" s="3">
        <v>0</v>
      </c>
      <c r="F7478" s="3">
        <v>0</v>
      </c>
      <c r="G7478" s="3">
        <v>0</v>
      </c>
      <c r="H7478" s="2">
        <f t="shared" si="232"/>
        <v>207</v>
      </c>
      <c r="I7478" t="str">
        <f t="shared" si="233"/>
        <v>Tfb1m_207</v>
      </c>
      <c r="J7478" s="3">
        <v>0</v>
      </c>
      <c r="K7478" s="3">
        <v>207</v>
      </c>
      <c r="L7478" s="3">
        <v>0</v>
      </c>
      <c r="M7478" s="3">
        <v>0</v>
      </c>
      <c r="N7478" s="3">
        <v>0</v>
      </c>
    </row>
    <row r="7479" spans="1:14" x14ac:dyDescent="0.2">
      <c r="A7479" s="5" t="str">
        <f>HYPERLINK("http://www.ncbi.nlm.nih.gov/protein/15628025","Tfcp2")</f>
        <v>Tfcp2</v>
      </c>
      <c r="B7479" s="4"/>
      <c r="C7479" s="3">
        <v>0</v>
      </c>
      <c r="D7479" s="3">
        <v>923</v>
      </c>
      <c r="E7479" s="3">
        <v>73</v>
      </c>
      <c r="F7479" s="3">
        <v>2005</v>
      </c>
      <c r="G7479" s="3">
        <v>0</v>
      </c>
      <c r="H7479" s="2">
        <f t="shared" si="232"/>
        <v>3001</v>
      </c>
      <c r="I7479" t="str">
        <f t="shared" si="233"/>
        <v>Tfcp2_3001</v>
      </c>
      <c r="J7479" s="3">
        <v>0</v>
      </c>
      <c r="K7479" s="3">
        <v>923</v>
      </c>
      <c r="L7479" s="3">
        <v>73</v>
      </c>
      <c r="M7479" s="3">
        <v>2005</v>
      </c>
      <c r="N7479" s="3">
        <v>0</v>
      </c>
    </row>
    <row r="7480" spans="1:14" x14ac:dyDescent="0.2">
      <c r="A7480" s="5" t="str">
        <f>HYPERLINK("http://www.ncbi.nlm.nih.gov/protein/239835744","Tfeb")</f>
        <v>Tfeb</v>
      </c>
      <c r="B7480" s="4"/>
      <c r="C7480" s="3">
        <v>1428</v>
      </c>
      <c r="D7480" s="3">
        <v>0</v>
      </c>
      <c r="E7480" s="3">
        <v>0</v>
      </c>
      <c r="F7480" s="3">
        <v>0</v>
      </c>
      <c r="G7480" s="3">
        <v>0</v>
      </c>
      <c r="H7480" s="2">
        <f t="shared" si="232"/>
        <v>1428</v>
      </c>
      <c r="I7480" t="str">
        <f t="shared" si="233"/>
        <v>Tfeb_1428</v>
      </c>
      <c r="J7480" s="3">
        <v>1428</v>
      </c>
      <c r="K7480" s="3">
        <v>0</v>
      </c>
      <c r="L7480" s="3">
        <v>0</v>
      </c>
      <c r="M7480" s="3">
        <v>0</v>
      </c>
      <c r="N7480" s="3">
        <v>0</v>
      </c>
    </row>
    <row r="7481" spans="1:14" x14ac:dyDescent="0.2">
      <c r="A7481" s="5" t="str">
        <f>HYPERLINK("http://www.ncbi.nlm.nih.gov/protein/239835746","Tfeb")</f>
        <v>Tfeb</v>
      </c>
      <c r="B7481" s="4"/>
      <c r="C7481" s="3">
        <v>1428</v>
      </c>
      <c r="D7481" s="3">
        <v>0</v>
      </c>
      <c r="E7481" s="3">
        <v>0</v>
      </c>
      <c r="F7481" s="3">
        <v>0</v>
      </c>
      <c r="G7481" s="3">
        <v>0</v>
      </c>
      <c r="H7481" s="2">
        <f t="shared" si="232"/>
        <v>1428</v>
      </c>
      <c r="I7481" t="str">
        <f t="shared" si="233"/>
        <v>Tfeb_1428</v>
      </c>
      <c r="J7481" s="3">
        <v>1428</v>
      </c>
      <c r="K7481" s="3">
        <v>0</v>
      </c>
      <c r="L7481" s="3">
        <v>0</v>
      </c>
      <c r="M7481" s="3">
        <v>0</v>
      </c>
      <c r="N7481" s="3">
        <v>0</v>
      </c>
    </row>
    <row r="7482" spans="1:14" x14ac:dyDescent="0.2">
      <c r="A7482" s="5" t="str">
        <f>HYPERLINK("http://www.ncbi.nlm.nih.gov/protein/356995942","Tfg")</f>
        <v>Tfg</v>
      </c>
      <c r="B7482" s="4"/>
      <c r="C7482" s="3">
        <v>0</v>
      </c>
      <c r="D7482" s="3">
        <v>814</v>
      </c>
      <c r="E7482" s="3">
        <v>2729</v>
      </c>
      <c r="F7482" s="3">
        <v>9667</v>
      </c>
      <c r="G7482" s="3">
        <v>51909</v>
      </c>
      <c r="H7482" s="2">
        <f t="shared" si="232"/>
        <v>65119</v>
      </c>
      <c r="I7482" t="str">
        <f t="shared" si="233"/>
        <v>Tfg_65119</v>
      </c>
      <c r="J7482" s="3">
        <v>0</v>
      </c>
      <c r="K7482" s="3">
        <v>814</v>
      </c>
      <c r="L7482" s="3">
        <v>2729</v>
      </c>
      <c r="M7482" s="3">
        <v>9667</v>
      </c>
      <c r="N7482" s="3">
        <v>51909</v>
      </c>
    </row>
    <row r="7483" spans="1:14" x14ac:dyDescent="0.2">
      <c r="A7483" s="5" t="str">
        <f>HYPERLINK("http://www.ncbi.nlm.nih.gov/protein/9790261","Tfg")</f>
        <v>Tfg</v>
      </c>
      <c r="B7483" s="4"/>
      <c r="C7483" s="3">
        <v>0</v>
      </c>
      <c r="D7483" s="3">
        <v>814</v>
      </c>
      <c r="E7483" s="3">
        <v>2729</v>
      </c>
      <c r="F7483" s="3">
        <v>9667</v>
      </c>
      <c r="G7483" s="3">
        <v>51909</v>
      </c>
      <c r="H7483" s="2">
        <f t="shared" si="232"/>
        <v>65119</v>
      </c>
      <c r="I7483" t="str">
        <f t="shared" si="233"/>
        <v>Tfg_65119</v>
      </c>
      <c r="J7483" s="3">
        <v>0</v>
      </c>
      <c r="K7483" s="3">
        <v>814</v>
      </c>
      <c r="L7483" s="3">
        <v>2729</v>
      </c>
      <c r="M7483" s="3">
        <v>9667</v>
      </c>
      <c r="N7483" s="3">
        <v>51909</v>
      </c>
    </row>
    <row r="7484" spans="1:14" x14ac:dyDescent="0.2">
      <c r="A7484" s="5" t="str">
        <f>HYPERLINK("http://www.ncbi.nlm.nih.gov/protein/10190660","Tfip11")</f>
        <v>Tfip11</v>
      </c>
      <c r="B7484" s="4"/>
      <c r="C7484" s="3">
        <v>0</v>
      </c>
      <c r="D7484" s="3">
        <v>63</v>
      </c>
      <c r="E7484" s="3">
        <v>843</v>
      </c>
      <c r="F7484" s="3">
        <v>467</v>
      </c>
      <c r="G7484" s="3">
        <v>0</v>
      </c>
      <c r="H7484" s="2">
        <f t="shared" si="232"/>
        <v>1373</v>
      </c>
      <c r="I7484" t="str">
        <f t="shared" si="233"/>
        <v>Tfip11_1373</v>
      </c>
      <c r="J7484" s="3">
        <v>0</v>
      </c>
      <c r="K7484" s="3">
        <v>63</v>
      </c>
      <c r="L7484" s="3">
        <v>843</v>
      </c>
      <c r="M7484" s="3">
        <v>467</v>
      </c>
      <c r="N7484" s="3">
        <v>0</v>
      </c>
    </row>
    <row r="7485" spans="1:14" x14ac:dyDescent="0.2">
      <c r="A7485" s="5" t="str">
        <f>HYPERLINK("http://www.ncbi.nlm.nih.gov/protein/11596855","Tfrc")</f>
        <v>Tfrc</v>
      </c>
      <c r="B7485" s="4"/>
      <c r="C7485" s="3">
        <v>4558</v>
      </c>
      <c r="D7485" s="3">
        <v>4605</v>
      </c>
      <c r="E7485" s="3">
        <v>24006</v>
      </c>
      <c r="F7485" s="3">
        <v>15855</v>
      </c>
      <c r="G7485" s="3">
        <v>0</v>
      </c>
      <c r="H7485" s="2">
        <f t="shared" si="232"/>
        <v>49024</v>
      </c>
      <c r="I7485" t="str">
        <f t="shared" si="233"/>
        <v>Tfrc_49024</v>
      </c>
      <c r="J7485" s="3">
        <v>4558</v>
      </c>
      <c r="K7485" s="3">
        <v>4605</v>
      </c>
      <c r="L7485" s="3">
        <v>24006</v>
      </c>
      <c r="M7485" s="3">
        <v>15855</v>
      </c>
      <c r="N7485" s="3">
        <v>0</v>
      </c>
    </row>
    <row r="7486" spans="1:14" x14ac:dyDescent="0.2">
      <c r="A7486" s="5" t="str">
        <f>HYPERLINK("http://www.ncbi.nlm.nih.gov/protein/6678329","Tgm2")</f>
        <v>Tgm2</v>
      </c>
      <c r="B7486" s="4"/>
      <c r="C7486" s="3">
        <v>0</v>
      </c>
      <c r="D7486" s="3">
        <v>25</v>
      </c>
      <c r="E7486" s="3">
        <v>3494</v>
      </c>
      <c r="F7486" s="3">
        <v>213</v>
      </c>
      <c r="G7486" s="3">
        <v>47240</v>
      </c>
      <c r="H7486" s="2">
        <f t="shared" si="232"/>
        <v>50972</v>
      </c>
      <c r="I7486" t="str">
        <f t="shared" si="233"/>
        <v>Tgm2_50972</v>
      </c>
      <c r="J7486" s="3">
        <v>0</v>
      </c>
      <c r="K7486" s="3">
        <v>25</v>
      </c>
      <c r="L7486" s="3">
        <v>3494</v>
      </c>
      <c r="M7486" s="3">
        <v>213</v>
      </c>
      <c r="N7486" s="3">
        <v>47240</v>
      </c>
    </row>
    <row r="7487" spans="1:14" x14ac:dyDescent="0.2">
      <c r="A7487" s="5" t="str">
        <f>HYPERLINK("http://www.ncbi.nlm.nih.gov/protein/227496324","Tgs1")</f>
        <v>Tgs1</v>
      </c>
      <c r="B7487" s="4"/>
      <c r="C7487" s="3">
        <v>0</v>
      </c>
      <c r="D7487" s="3">
        <v>0</v>
      </c>
      <c r="E7487" s="3">
        <v>0</v>
      </c>
      <c r="F7487" s="3">
        <v>0</v>
      </c>
      <c r="G7487" s="3">
        <v>193</v>
      </c>
      <c r="H7487" s="2">
        <f t="shared" si="232"/>
        <v>193</v>
      </c>
      <c r="I7487" t="str">
        <f t="shared" si="233"/>
        <v>Tgs1_193</v>
      </c>
      <c r="J7487" s="3">
        <v>0</v>
      </c>
      <c r="K7487" s="3">
        <v>0</v>
      </c>
      <c r="L7487" s="3">
        <v>0</v>
      </c>
      <c r="M7487" s="3">
        <v>0</v>
      </c>
      <c r="N7487" s="3">
        <v>193</v>
      </c>
    </row>
    <row r="7488" spans="1:14" x14ac:dyDescent="0.2">
      <c r="A7488" s="5" t="str">
        <f>HYPERLINK("http://www.ncbi.nlm.nih.gov/protein/241982820","Thada")</f>
        <v>Thada</v>
      </c>
      <c r="B7488" s="4"/>
      <c r="C7488" s="3">
        <v>0</v>
      </c>
      <c r="D7488" s="3">
        <v>6</v>
      </c>
      <c r="E7488" s="3">
        <v>94</v>
      </c>
      <c r="F7488" s="3">
        <v>1727</v>
      </c>
      <c r="G7488" s="3">
        <v>353</v>
      </c>
      <c r="H7488" s="2">
        <f t="shared" si="232"/>
        <v>2180</v>
      </c>
      <c r="I7488" t="str">
        <f t="shared" si="233"/>
        <v>Thada_2180</v>
      </c>
      <c r="J7488" s="3">
        <v>0</v>
      </c>
      <c r="K7488" s="3">
        <v>6</v>
      </c>
      <c r="L7488" s="3">
        <v>94</v>
      </c>
      <c r="M7488" s="3">
        <v>1727</v>
      </c>
      <c r="N7488" s="3">
        <v>353</v>
      </c>
    </row>
    <row r="7489" spans="1:14" x14ac:dyDescent="0.2">
      <c r="A7489" s="5" t="str">
        <f>HYPERLINK("http://www.ncbi.nlm.nih.gov/protein/47059073","Thbs1")</f>
        <v>Thbs1</v>
      </c>
      <c r="B7489" s="4"/>
      <c r="C7489" s="3">
        <v>0</v>
      </c>
      <c r="D7489" s="3">
        <v>432</v>
      </c>
      <c r="E7489" s="3">
        <v>398</v>
      </c>
      <c r="F7489" s="3">
        <v>0</v>
      </c>
      <c r="G7489" s="3">
        <v>2238</v>
      </c>
      <c r="H7489" s="2">
        <f t="shared" si="232"/>
        <v>3068</v>
      </c>
      <c r="I7489" t="str">
        <f t="shared" si="233"/>
        <v>Thbs1_3068</v>
      </c>
      <c r="J7489" s="3">
        <v>0</v>
      </c>
      <c r="K7489" s="3">
        <v>432</v>
      </c>
      <c r="L7489" s="3">
        <v>398</v>
      </c>
      <c r="M7489" s="3">
        <v>0</v>
      </c>
      <c r="N7489" s="3">
        <v>2238</v>
      </c>
    </row>
    <row r="7490" spans="1:14" x14ac:dyDescent="0.2">
      <c r="A7490" s="5" t="str">
        <f>HYPERLINK("http://www.ncbi.nlm.nih.gov/protein/29243946","Thnsl1")</f>
        <v>Thnsl1</v>
      </c>
      <c r="B7490" s="4"/>
      <c r="C7490" s="3">
        <v>0</v>
      </c>
      <c r="D7490" s="3">
        <v>720</v>
      </c>
      <c r="E7490" s="3">
        <v>0</v>
      </c>
      <c r="F7490" s="3">
        <v>0</v>
      </c>
      <c r="G7490" s="3">
        <v>0</v>
      </c>
      <c r="H7490" s="2">
        <f t="shared" ref="H7490:H7553" si="234">SUM(C7490:G7490)</f>
        <v>720</v>
      </c>
      <c r="I7490" t="str">
        <f t="shared" ref="I7490:I7553" si="235">A7490&amp;"_"&amp;H7490</f>
        <v>Thnsl1_720</v>
      </c>
      <c r="J7490" s="3">
        <v>0</v>
      </c>
      <c r="K7490" s="3">
        <v>720</v>
      </c>
      <c r="L7490" s="3">
        <v>0</v>
      </c>
      <c r="M7490" s="3">
        <v>0</v>
      </c>
      <c r="N7490" s="3">
        <v>0</v>
      </c>
    </row>
    <row r="7491" spans="1:14" x14ac:dyDescent="0.2">
      <c r="A7491" s="5" t="str">
        <f>HYPERLINK("http://www.ncbi.nlm.nih.gov/protein/47604972","Thnsl1")</f>
        <v>Thnsl1</v>
      </c>
      <c r="B7491" s="4"/>
      <c r="C7491" s="3">
        <v>0</v>
      </c>
      <c r="D7491" s="3">
        <v>230</v>
      </c>
      <c r="E7491" s="3">
        <v>0</v>
      </c>
      <c r="F7491" s="3">
        <v>0</v>
      </c>
      <c r="G7491" s="3">
        <v>0</v>
      </c>
      <c r="H7491" s="2">
        <f t="shared" si="234"/>
        <v>230</v>
      </c>
      <c r="I7491" t="str">
        <f t="shared" si="235"/>
        <v>Thnsl1_230</v>
      </c>
      <c r="J7491" s="3">
        <v>0</v>
      </c>
      <c r="K7491" s="3">
        <v>230</v>
      </c>
      <c r="L7491" s="3">
        <v>0</v>
      </c>
      <c r="M7491" s="3">
        <v>0</v>
      </c>
      <c r="N7491" s="3">
        <v>0</v>
      </c>
    </row>
    <row r="7492" spans="1:14" x14ac:dyDescent="0.2">
      <c r="A7492" s="5" t="str">
        <f>HYPERLINK("http://www.ncbi.nlm.nih.gov/protein/23956332","Thoc1")</f>
        <v>Thoc1</v>
      </c>
      <c r="B7492" s="4"/>
      <c r="C7492" s="3">
        <v>0</v>
      </c>
      <c r="D7492" s="3">
        <v>0</v>
      </c>
      <c r="E7492" s="3">
        <v>329</v>
      </c>
      <c r="F7492" s="3">
        <v>0</v>
      </c>
      <c r="G7492" s="3">
        <v>0</v>
      </c>
      <c r="H7492" s="2">
        <f t="shared" si="234"/>
        <v>329</v>
      </c>
      <c r="I7492" t="str">
        <f t="shared" si="235"/>
        <v>Thoc1_329</v>
      </c>
      <c r="J7492" s="3">
        <v>0</v>
      </c>
      <c r="K7492" s="3">
        <v>0</v>
      </c>
      <c r="L7492" s="3">
        <v>329</v>
      </c>
      <c r="M7492" s="3">
        <v>0</v>
      </c>
      <c r="N7492" s="3">
        <v>0</v>
      </c>
    </row>
    <row r="7493" spans="1:14" x14ac:dyDescent="0.2">
      <c r="A7493" s="5" t="str">
        <f>HYPERLINK("http://www.ncbi.nlm.nih.gov/protein/125656163","Thoc2")</f>
        <v>Thoc2</v>
      </c>
      <c r="B7493" s="4"/>
      <c r="C7493" s="3">
        <v>4796</v>
      </c>
      <c r="D7493" s="3">
        <v>0</v>
      </c>
      <c r="E7493" s="3">
        <v>13</v>
      </c>
      <c r="F7493" s="3">
        <v>0</v>
      </c>
      <c r="G7493" s="3">
        <v>0</v>
      </c>
      <c r="H7493" s="2">
        <f t="shared" si="234"/>
        <v>4809</v>
      </c>
      <c r="I7493" t="str">
        <f t="shared" si="235"/>
        <v>Thoc2_4809</v>
      </c>
      <c r="J7493" s="3">
        <v>4796</v>
      </c>
      <c r="K7493" s="3">
        <v>0</v>
      </c>
      <c r="L7493" s="3">
        <v>13</v>
      </c>
      <c r="M7493" s="3">
        <v>0</v>
      </c>
      <c r="N7493" s="3">
        <v>0</v>
      </c>
    </row>
    <row r="7494" spans="1:14" x14ac:dyDescent="0.2">
      <c r="A7494" s="5" t="str">
        <f>HYPERLINK("http://www.ncbi.nlm.nih.gov/protein/254553424","Thoc3")</f>
        <v>Thoc3</v>
      </c>
      <c r="B7494" s="4"/>
      <c r="C7494" s="3">
        <v>0</v>
      </c>
      <c r="D7494" s="3">
        <v>0</v>
      </c>
      <c r="E7494" s="3">
        <v>45</v>
      </c>
      <c r="F7494" s="3">
        <v>0</v>
      </c>
      <c r="G7494" s="3">
        <v>578</v>
      </c>
      <c r="H7494" s="2">
        <f t="shared" si="234"/>
        <v>623</v>
      </c>
      <c r="I7494" t="str">
        <f t="shared" si="235"/>
        <v>Thoc3_623</v>
      </c>
      <c r="J7494" s="3">
        <v>0</v>
      </c>
      <c r="K7494" s="3">
        <v>0</v>
      </c>
      <c r="L7494" s="3">
        <v>45</v>
      </c>
      <c r="M7494" s="3">
        <v>0</v>
      </c>
      <c r="N7494" s="3">
        <v>578</v>
      </c>
    </row>
    <row r="7495" spans="1:14" x14ac:dyDescent="0.2">
      <c r="A7495" s="5" t="str">
        <f>HYPERLINK("http://www.ncbi.nlm.nih.gov/protein/56605680","Thoc6")</f>
        <v>Thoc6</v>
      </c>
      <c r="B7495" s="4"/>
      <c r="C7495" s="3">
        <v>439</v>
      </c>
      <c r="D7495" s="3">
        <v>0</v>
      </c>
      <c r="E7495" s="3">
        <v>98</v>
      </c>
      <c r="F7495" s="3">
        <v>1130</v>
      </c>
      <c r="G7495" s="3">
        <v>225</v>
      </c>
      <c r="H7495" s="2">
        <f t="shared" si="234"/>
        <v>1892</v>
      </c>
      <c r="I7495" t="str">
        <f t="shared" si="235"/>
        <v>Thoc6_1892</v>
      </c>
      <c r="J7495" s="3">
        <v>439</v>
      </c>
      <c r="K7495" s="3">
        <v>0</v>
      </c>
      <c r="L7495" s="3">
        <v>98</v>
      </c>
      <c r="M7495" s="3">
        <v>1130</v>
      </c>
      <c r="N7495" s="3">
        <v>225</v>
      </c>
    </row>
    <row r="7496" spans="1:14" x14ac:dyDescent="0.2">
      <c r="A7496" s="5" t="str">
        <f>HYPERLINK("http://www.ncbi.nlm.nih.gov/protein/239916005","Thop1")</f>
        <v>Thop1</v>
      </c>
      <c r="B7496" s="4"/>
      <c r="C7496" s="3">
        <v>3039</v>
      </c>
      <c r="D7496" s="3">
        <v>5933</v>
      </c>
      <c r="E7496" s="3">
        <v>12282</v>
      </c>
      <c r="F7496" s="3">
        <v>7359</v>
      </c>
      <c r="G7496" s="3">
        <v>115609</v>
      </c>
      <c r="H7496" s="2">
        <f t="shared" si="234"/>
        <v>144222</v>
      </c>
      <c r="I7496" t="str">
        <f t="shared" si="235"/>
        <v>Thop1_144222</v>
      </c>
      <c r="J7496" s="3">
        <v>3039</v>
      </c>
      <c r="K7496" s="3">
        <v>5933</v>
      </c>
      <c r="L7496" s="3">
        <v>12282</v>
      </c>
      <c r="M7496" s="3">
        <v>7359</v>
      </c>
      <c r="N7496" s="3">
        <v>115609</v>
      </c>
    </row>
    <row r="7497" spans="1:14" x14ac:dyDescent="0.2">
      <c r="A7497" s="5" t="str">
        <f>HYPERLINK("http://www.ncbi.nlm.nih.gov/protein/68533246","Thrap3")</f>
        <v>Thrap3</v>
      </c>
      <c r="B7497" s="4"/>
      <c r="C7497" s="3">
        <v>20741</v>
      </c>
      <c r="D7497" s="3">
        <v>1528</v>
      </c>
      <c r="E7497" s="3">
        <v>620</v>
      </c>
      <c r="F7497" s="3">
        <v>9372</v>
      </c>
      <c r="G7497" s="3">
        <v>0</v>
      </c>
      <c r="H7497" s="2">
        <f t="shared" si="234"/>
        <v>32261</v>
      </c>
      <c r="I7497" t="str">
        <f t="shared" si="235"/>
        <v>Thrap3_32261</v>
      </c>
      <c r="J7497" s="3">
        <v>20741</v>
      </c>
      <c r="K7497" s="3">
        <v>1528</v>
      </c>
      <c r="L7497" s="3">
        <v>620</v>
      </c>
      <c r="M7497" s="3">
        <v>9372</v>
      </c>
      <c r="N7497" s="3">
        <v>0</v>
      </c>
    </row>
    <row r="7498" spans="1:14" x14ac:dyDescent="0.2">
      <c r="A7498" s="5" t="str">
        <f>HYPERLINK("http://www.ncbi.nlm.nih.gov/protein/23346499","Thtpa")</f>
        <v>Thtpa</v>
      </c>
      <c r="B7498" s="4"/>
      <c r="C7498" s="3">
        <v>0</v>
      </c>
      <c r="D7498" s="3">
        <v>0</v>
      </c>
      <c r="E7498" s="3">
        <v>0</v>
      </c>
      <c r="F7498" s="3">
        <v>0</v>
      </c>
      <c r="G7498" s="3">
        <v>15850</v>
      </c>
      <c r="H7498" s="2">
        <f t="shared" si="234"/>
        <v>15850</v>
      </c>
      <c r="I7498" t="str">
        <f t="shared" si="235"/>
        <v>Thtpa_15850</v>
      </c>
      <c r="J7498" s="3">
        <v>0</v>
      </c>
      <c r="K7498" s="3">
        <v>0</v>
      </c>
      <c r="L7498" s="3">
        <v>0</v>
      </c>
      <c r="M7498" s="3">
        <v>0</v>
      </c>
      <c r="N7498" s="3">
        <v>15850</v>
      </c>
    </row>
    <row r="7499" spans="1:14" x14ac:dyDescent="0.2">
      <c r="A7499" s="5" t="str">
        <f>HYPERLINK("http://www.ncbi.nlm.nih.gov/protein/21704176","Thumpd1")</f>
        <v>Thumpd1</v>
      </c>
      <c r="B7499" s="4"/>
      <c r="C7499" s="3">
        <v>0</v>
      </c>
      <c r="D7499" s="3">
        <v>357</v>
      </c>
      <c r="E7499" s="3">
        <v>183</v>
      </c>
      <c r="F7499" s="3">
        <v>0</v>
      </c>
      <c r="G7499" s="3">
        <v>32942</v>
      </c>
      <c r="H7499" s="2">
        <f t="shared" si="234"/>
        <v>33482</v>
      </c>
      <c r="I7499" t="str">
        <f t="shared" si="235"/>
        <v>Thumpd1_33482</v>
      </c>
      <c r="J7499" s="3">
        <v>0</v>
      </c>
      <c r="K7499" s="3">
        <v>357</v>
      </c>
      <c r="L7499" s="3">
        <v>183</v>
      </c>
      <c r="M7499" s="3">
        <v>0</v>
      </c>
      <c r="N7499" s="3">
        <v>32942</v>
      </c>
    </row>
    <row r="7500" spans="1:14" x14ac:dyDescent="0.2">
      <c r="A7500" s="5" t="str">
        <f>HYPERLINK("http://www.ncbi.nlm.nih.gov/protein/6680129","Thumpd3")</f>
        <v>Thumpd3</v>
      </c>
      <c r="B7500" s="4"/>
      <c r="C7500" s="3">
        <v>0</v>
      </c>
      <c r="D7500" s="3">
        <v>221</v>
      </c>
      <c r="E7500" s="3">
        <v>190</v>
      </c>
      <c r="F7500" s="3">
        <v>2783</v>
      </c>
      <c r="G7500" s="3">
        <v>10056</v>
      </c>
      <c r="H7500" s="2">
        <f t="shared" si="234"/>
        <v>13250</v>
      </c>
      <c r="I7500" t="str">
        <f t="shared" si="235"/>
        <v>Thumpd3_13250</v>
      </c>
      <c r="J7500" s="3">
        <v>0</v>
      </c>
      <c r="K7500" s="3">
        <v>221</v>
      </c>
      <c r="L7500" s="3">
        <v>190</v>
      </c>
      <c r="M7500" s="3">
        <v>2783</v>
      </c>
      <c r="N7500" s="3">
        <v>10056</v>
      </c>
    </row>
    <row r="7501" spans="1:14" x14ac:dyDescent="0.2">
      <c r="A7501" s="5" t="str">
        <f>HYPERLINK("http://www.ncbi.nlm.nih.gov/protein/21362343","Thyn1")</f>
        <v>Thyn1</v>
      </c>
      <c r="B7501" s="4"/>
      <c r="C7501" s="3">
        <v>0</v>
      </c>
      <c r="D7501" s="3">
        <v>0</v>
      </c>
      <c r="E7501" s="3">
        <v>44</v>
      </c>
      <c r="F7501" s="3">
        <v>1080</v>
      </c>
      <c r="G7501" s="3">
        <v>0</v>
      </c>
      <c r="H7501" s="2">
        <f t="shared" si="234"/>
        <v>1124</v>
      </c>
      <c r="I7501" t="str">
        <f t="shared" si="235"/>
        <v>Thyn1_1124</v>
      </c>
      <c r="J7501" s="3">
        <v>0</v>
      </c>
      <c r="K7501" s="3">
        <v>0</v>
      </c>
      <c r="L7501" s="3">
        <v>44</v>
      </c>
      <c r="M7501" s="3">
        <v>1080</v>
      </c>
      <c r="N7501" s="3">
        <v>0</v>
      </c>
    </row>
    <row r="7502" spans="1:14" x14ac:dyDescent="0.2">
      <c r="A7502" s="5" t="str">
        <f>HYPERLINK("http://www.ncbi.nlm.nih.gov/protein/255760009","Tia1")</f>
        <v>Tia1</v>
      </c>
      <c r="B7502" s="4"/>
      <c r="C7502" s="3">
        <v>2709</v>
      </c>
      <c r="D7502" s="3">
        <v>236</v>
      </c>
      <c r="E7502" s="3">
        <v>1023</v>
      </c>
      <c r="F7502" s="3">
        <v>3479</v>
      </c>
      <c r="G7502" s="3">
        <v>1499</v>
      </c>
      <c r="H7502" s="2">
        <f t="shared" si="234"/>
        <v>8946</v>
      </c>
      <c r="I7502" t="str">
        <f t="shared" si="235"/>
        <v>Tia1_8946</v>
      </c>
      <c r="J7502" s="3">
        <v>2709</v>
      </c>
      <c r="K7502" s="3">
        <v>236</v>
      </c>
      <c r="L7502" s="3">
        <v>1023</v>
      </c>
      <c r="M7502" s="3">
        <v>3479</v>
      </c>
      <c r="N7502" s="3">
        <v>1499</v>
      </c>
    </row>
    <row r="7503" spans="1:14" x14ac:dyDescent="0.2">
      <c r="A7503" s="5" t="str">
        <f>HYPERLINK("http://www.ncbi.nlm.nih.gov/protein/255760011","Tia1")</f>
        <v>Tia1</v>
      </c>
      <c r="B7503" s="4"/>
      <c r="C7503" s="3">
        <v>2709</v>
      </c>
      <c r="D7503" s="3">
        <v>236</v>
      </c>
      <c r="E7503" s="3">
        <v>1023</v>
      </c>
      <c r="F7503" s="3">
        <v>3479</v>
      </c>
      <c r="G7503" s="3">
        <v>1499</v>
      </c>
      <c r="H7503" s="2">
        <f t="shared" si="234"/>
        <v>8946</v>
      </c>
      <c r="I7503" t="str">
        <f t="shared" si="235"/>
        <v>Tia1_8946</v>
      </c>
      <c r="J7503" s="3">
        <v>2709</v>
      </c>
      <c r="K7503" s="3">
        <v>236</v>
      </c>
      <c r="L7503" s="3">
        <v>1023</v>
      </c>
      <c r="M7503" s="3">
        <v>3479</v>
      </c>
      <c r="N7503" s="3">
        <v>1499</v>
      </c>
    </row>
    <row r="7504" spans="1:14" x14ac:dyDescent="0.2">
      <c r="A7504" s="5" t="str">
        <f>HYPERLINK("http://www.ncbi.nlm.nih.gov/protein/6755783","Tia1")</f>
        <v>Tia1</v>
      </c>
      <c r="B7504" s="4"/>
      <c r="C7504" s="3">
        <v>2709</v>
      </c>
      <c r="D7504" s="3">
        <v>236</v>
      </c>
      <c r="E7504" s="3">
        <v>1023</v>
      </c>
      <c r="F7504" s="3">
        <v>3479</v>
      </c>
      <c r="G7504" s="3">
        <v>1499</v>
      </c>
      <c r="H7504" s="2">
        <f t="shared" si="234"/>
        <v>8946</v>
      </c>
      <c r="I7504" t="str">
        <f t="shared" si="235"/>
        <v>Tia1_8946</v>
      </c>
      <c r="J7504" s="3">
        <v>2709</v>
      </c>
      <c r="K7504" s="3">
        <v>236</v>
      </c>
      <c r="L7504" s="3">
        <v>1023</v>
      </c>
      <c r="M7504" s="3">
        <v>3479</v>
      </c>
      <c r="N7504" s="3">
        <v>1499</v>
      </c>
    </row>
    <row r="7505" spans="1:14" x14ac:dyDescent="0.2">
      <c r="A7505" s="5" t="str">
        <f>HYPERLINK("http://www.ncbi.nlm.nih.gov/protein/6678349","Tial1")</f>
        <v>Tial1</v>
      </c>
      <c r="B7505" s="4"/>
      <c r="C7505" s="3">
        <v>2709</v>
      </c>
      <c r="D7505" s="3">
        <v>236</v>
      </c>
      <c r="E7505" s="3">
        <v>2371</v>
      </c>
      <c r="F7505" s="3">
        <v>3962</v>
      </c>
      <c r="G7505" s="3">
        <v>5890</v>
      </c>
      <c r="H7505" s="2">
        <f t="shared" si="234"/>
        <v>15168</v>
      </c>
      <c r="I7505" t="str">
        <f t="shared" si="235"/>
        <v>Tial1_15168</v>
      </c>
      <c r="J7505" s="3">
        <v>2709</v>
      </c>
      <c r="K7505" s="3">
        <v>236</v>
      </c>
      <c r="L7505" s="3">
        <v>2371</v>
      </c>
      <c r="M7505" s="3">
        <v>3962</v>
      </c>
      <c r="N7505" s="3">
        <v>5890</v>
      </c>
    </row>
    <row r="7506" spans="1:14" x14ac:dyDescent="0.2">
      <c r="A7506" s="5" t="str">
        <f>HYPERLINK("http://www.ncbi.nlm.nih.gov/protein/21553067","Tifa")</f>
        <v>Tifa</v>
      </c>
      <c r="B7506" s="4"/>
      <c r="C7506" s="3">
        <v>0</v>
      </c>
      <c r="D7506" s="3">
        <v>0</v>
      </c>
      <c r="E7506" s="3">
        <v>0</v>
      </c>
      <c r="F7506" s="3">
        <v>0</v>
      </c>
      <c r="G7506" s="3">
        <v>118</v>
      </c>
      <c r="H7506" s="2">
        <f t="shared" si="234"/>
        <v>118</v>
      </c>
      <c r="I7506" t="str">
        <f t="shared" si="235"/>
        <v>Tifa_118</v>
      </c>
      <c r="J7506" s="3">
        <v>0</v>
      </c>
      <c r="K7506" s="3">
        <v>0</v>
      </c>
      <c r="L7506" s="3">
        <v>0</v>
      </c>
      <c r="M7506" s="3">
        <v>0</v>
      </c>
      <c r="N7506" s="3">
        <v>118</v>
      </c>
    </row>
    <row r="7507" spans="1:14" x14ac:dyDescent="0.2">
      <c r="A7507" s="5" t="str">
        <f>HYPERLINK("http://www.ncbi.nlm.nih.gov/protein/209862977","Timeless")</f>
        <v>Timeless</v>
      </c>
      <c r="B7507" s="4"/>
      <c r="C7507" s="3">
        <v>0</v>
      </c>
      <c r="D7507" s="3">
        <v>958</v>
      </c>
      <c r="E7507" s="3">
        <v>2055</v>
      </c>
      <c r="F7507" s="3">
        <v>32456</v>
      </c>
      <c r="G7507" s="3">
        <v>30811</v>
      </c>
      <c r="H7507" s="2">
        <f t="shared" si="234"/>
        <v>66280</v>
      </c>
      <c r="I7507" t="str">
        <f t="shared" si="235"/>
        <v>Timeless_66280</v>
      </c>
      <c r="J7507" s="3">
        <v>0</v>
      </c>
      <c r="K7507" s="3">
        <v>958</v>
      </c>
      <c r="L7507" s="3">
        <v>2055</v>
      </c>
      <c r="M7507" s="3">
        <v>32456</v>
      </c>
      <c r="N7507" s="3">
        <v>30811</v>
      </c>
    </row>
    <row r="7508" spans="1:14" x14ac:dyDescent="0.2">
      <c r="A7508" s="5" t="str">
        <f>HYPERLINK("http://www.ncbi.nlm.nih.gov/protein/255760015","Timeless")</f>
        <v>Timeless</v>
      </c>
      <c r="B7508" s="4"/>
      <c r="C7508" s="3">
        <v>0</v>
      </c>
      <c r="D7508" s="3">
        <v>958</v>
      </c>
      <c r="E7508" s="3">
        <v>2055</v>
      </c>
      <c r="F7508" s="3">
        <v>32456</v>
      </c>
      <c r="G7508" s="3">
        <v>30811</v>
      </c>
      <c r="H7508" s="2">
        <f t="shared" si="234"/>
        <v>66280</v>
      </c>
      <c r="I7508" t="str">
        <f t="shared" si="235"/>
        <v>Timeless_66280</v>
      </c>
      <c r="J7508" s="3">
        <v>0</v>
      </c>
      <c r="K7508" s="3">
        <v>958</v>
      </c>
      <c r="L7508" s="3">
        <v>2055</v>
      </c>
      <c r="M7508" s="3">
        <v>32456</v>
      </c>
      <c r="N7508" s="3">
        <v>30811</v>
      </c>
    </row>
    <row r="7509" spans="1:14" x14ac:dyDescent="0.2">
      <c r="A7509" s="5" t="str">
        <f>HYPERLINK("http://www.ncbi.nlm.nih.gov/protein/6755789","Timeless")</f>
        <v>Timeless</v>
      </c>
      <c r="B7509" s="4"/>
      <c r="C7509" s="3">
        <v>0</v>
      </c>
      <c r="D7509" s="3">
        <v>958</v>
      </c>
      <c r="E7509" s="3">
        <v>2055</v>
      </c>
      <c r="F7509" s="3">
        <v>32456</v>
      </c>
      <c r="G7509" s="3">
        <v>30811</v>
      </c>
      <c r="H7509" s="2">
        <f t="shared" si="234"/>
        <v>66280</v>
      </c>
      <c r="I7509" t="str">
        <f t="shared" si="235"/>
        <v>Timeless_66280</v>
      </c>
      <c r="J7509" s="3">
        <v>0</v>
      </c>
      <c r="K7509" s="3">
        <v>958</v>
      </c>
      <c r="L7509" s="3">
        <v>2055</v>
      </c>
      <c r="M7509" s="3">
        <v>32456</v>
      </c>
      <c r="N7509" s="3">
        <v>30811</v>
      </c>
    </row>
    <row r="7510" spans="1:14" x14ac:dyDescent="0.2">
      <c r="A7510" s="5" t="str">
        <f>HYPERLINK("http://www.ncbi.nlm.nih.gov/protein/158937240","Timm10")</f>
        <v>Timm10</v>
      </c>
      <c r="B7510" s="4"/>
      <c r="C7510" s="3">
        <v>0</v>
      </c>
      <c r="D7510" s="3">
        <v>336</v>
      </c>
      <c r="E7510" s="3">
        <v>0</v>
      </c>
      <c r="F7510" s="3">
        <v>0</v>
      </c>
      <c r="G7510" s="3">
        <v>0</v>
      </c>
      <c r="H7510" s="2">
        <f t="shared" si="234"/>
        <v>336</v>
      </c>
      <c r="I7510" t="str">
        <f t="shared" si="235"/>
        <v>Timm10_336</v>
      </c>
      <c r="J7510" s="3">
        <v>0</v>
      </c>
      <c r="K7510" s="3">
        <v>336</v>
      </c>
      <c r="L7510" s="3">
        <v>0</v>
      </c>
      <c r="M7510" s="3">
        <v>0</v>
      </c>
      <c r="N7510" s="3">
        <v>0</v>
      </c>
    </row>
    <row r="7511" spans="1:14" x14ac:dyDescent="0.2">
      <c r="A7511" s="5" t="str">
        <f>HYPERLINK("http://www.ncbi.nlm.nih.gov/protein/9507187","Timm10b")</f>
        <v>Timm10b</v>
      </c>
      <c r="B7511" s="4"/>
      <c r="C7511" s="3">
        <v>0</v>
      </c>
      <c r="D7511" s="3">
        <v>935</v>
      </c>
      <c r="E7511" s="3">
        <v>0</v>
      </c>
      <c r="F7511" s="3">
        <v>0</v>
      </c>
      <c r="G7511" s="3">
        <v>0</v>
      </c>
      <c r="H7511" s="2">
        <f t="shared" si="234"/>
        <v>935</v>
      </c>
      <c r="I7511" t="str">
        <f t="shared" si="235"/>
        <v>Timm10b_935</v>
      </c>
      <c r="J7511" s="3">
        <v>0</v>
      </c>
      <c r="K7511" s="3">
        <v>935</v>
      </c>
      <c r="L7511" s="3">
        <v>0</v>
      </c>
      <c r="M7511" s="3">
        <v>0</v>
      </c>
      <c r="N7511" s="3">
        <v>0</v>
      </c>
    </row>
    <row r="7512" spans="1:14" x14ac:dyDescent="0.2">
      <c r="A7512" s="5" t="str">
        <f>HYPERLINK("http://www.ncbi.nlm.nih.gov/protein/7305581","Timm13")</f>
        <v>Timm13</v>
      </c>
      <c r="B7512" s="4"/>
      <c r="C7512" s="3">
        <v>1794</v>
      </c>
      <c r="D7512" s="3">
        <v>2236</v>
      </c>
      <c r="E7512" s="3">
        <v>47</v>
      </c>
      <c r="F7512" s="3">
        <v>0</v>
      </c>
      <c r="G7512" s="3">
        <v>386</v>
      </c>
      <c r="H7512" s="2">
        <f t="shared" si="234"/>
        <v>4463</v>
      </c>
      <c r="I7512" t="str">
        <f t="shared" si="235"/>
        <v>Timm13_4463</v>
      </c>
      <c r="J7512" s="3">
        <v>1794</v>
      </c>
      <c r="K7512" s="3">
        <v>2236</v>
      </c>
      <c r="L7512" s="3">
        <v>47</v>
      </c>
      <c r="M7512" s="3">
        <v>0</v>
      </c>
      <c r="N7512" s="3">
        <v>386</v>
      </c>
    </row>
    <row r="7513" spans="1:14" x14ac:dyDescent="0.2">
      <c r="A7513" s="5" t="str">
        <f>HYPERLINK("http://www.ncbi.nlm.nih.gov/protein/33468937","Timm17b")</f>
        <v>Timm17b</v>
      </c>
      <c r="B7513" s="4"/>
      <c r="C7513" s="3">
        <v>1428</v>
      </c>
      <c r="D7513" s="3">
        <v>144</v>
      </c>
      <c r="E7513" s="3">
        <v>0</v>
      </c>
      <c r="F7513" s="3">
        <v>0</v>
      </c>
      <c r="G7513" s="3">
        <v>0</v>
      </c>
      <c r="H7513" s="2">
        <f t="shared" si="234"/>
        <v>1572</v>
      </c>
      <c r="I7513" t="str">
        <f t="shared" si="235"/>
        <v>Timm17b_1572</v>
      </c>
      <c r="J7513" s="3">
        <v>1428</v>
      </c>
      <c r="K7513" s="3">
        <v>144</v>
      </c>
      <c r="L7513" s="3">
        <v>0</v>
      </c>
      <c r="M7513" s="3">
        <v>0</v>
      </c>
      <c r="N7513" s="3">
        <v>0</v>
      </c>
    </row>
    <row r="7514" spans="1:14" x14ac:dyDescent="0.2">
      <c r="A7514" s="5" t="str">
        <f>HYPERLINK("http://www.ncbi.nlm.nih.gov/protein/21313128","Timm21")</f>
        <v>Timm21</v>
      </c>
      <c r="B7514" s="4"/>
      <c r="C7514" s="3">
        <v>0</v>
      </c>
      <c r="D7514" s="3">
        <v>232</v>
      </c>
      <c r="E7514" s="3">
        <v>0</v>
      </c>
      <c r="F7514" s="3">
        <v>0</v>
      </c>
      <c r="G7514" s="3">
        <v>0</v>
      </c>
      <c r="H7514" s="2">
        <f t="shared" si="234"/>
        <v>232</v>
      </c>
      <c r="I7514" t="str">
        <f t="shared" si="235"/>
        <v>Timm21_232</v>
      </c>
      <c r="J7514" s="3">
        <v>0</v>
      </c>
      <c r="K7514" s="3">
        <v>232</v>
      </c>
      <c r="L7514" s="3">
        <v>0</v>
      </c>
      <c r="M7514" s="3">
        <v>0</v>
      </c>
      <c r="N7514" s="3">
        <v>0</v>
      </c>
    </row>
    <row r="7515" spans="1:14" x14ac:dyDescent="0.2">
      <c r="A7515" s="5" t="str">
        <f>HYPERLINK("http://www.ncbi.nlm.nih.gov/protein/296785067","Timm22")</f>
        <v>Timm22</v>
      </c>
      <c r="B7515" s="4"/>
      <c r="C7515" s="3">
        <v>0</v>
      </c>
      <c r="D7515" s="3">
        <v>413</v>
      </c>
      <c r="E7515" s="3">
        <v>0</v>
      </c>
      <c r="F7515" s="3">
        <v>0</v>
      </c>
      <c r="G7515" s="3">
        <v>0</v>
      </c>
      <c r="H7515" s="2">
        <f t="shared" si="234"/>
        <v>413</v>
      </c>
      <c r="I7515" t="str">
        <f t="shared" si="235"/>
        <v>Timm22_413</v>
      </c>
      <c r="J7515" s="3">
        <v>0</v>
      </c>
      <c r="K7515" s="3">
        <v>413</v>
      </c>
      <c r="L7515" s="3">
        <v>0</v>
      </c>
      <c r="M7515" s="3">
        <v>0</v>
      </c>
      <c r="N7515" s="3">
        <v>0</v>
      </c>
    </row>
    <row r="7516" spans="1:14" x14ac:dyDescent="0.2">
      <c r="A7516" s="5" t="str">
        <f>HYPERLINK("http://www.ncbi.nlm.nih.gov/protein/31543865","Timm22")</f>
        <v>Timm22</v>
      </c>
      <c r="B7516" s="4"/>
      <c r="C7516" s="3">
        <v>0</v>
      </c>
      <c r="D7516" s="3">
        <v>662</v>
      </c>
      <c r="E7516" s="3">
        <v>0</v>
      </c>
      <c r="F7516" s="3">
        <v>0</v>
      </c>
      <c r="G7516" s="3">
        <v>0</v>
      </c>
      <c r="H7516" s="2">
        <f t="shared" si="234"/>
        <v>662</v>
      </c>
      <c r="I7516" t="str">
        <f t="shared" si="235"/>
        <v>Timm22_662</v>
      </c>
      <c r="J7516" s="3">
        <v>0</v>
      </c>
      <c r="K7516" s="3">
        <v>662</v>
      </c>
      <c r="L7516" s="3">
        <v>0</v>
      </c>
      <c r="M7516" s="3">
        <v>0</v>
      </c>
      <c r="N7516" s="3">
        <v>0</v>
      </c>
    </row>
    <row r="7517" spans="1:14" x14ac:dyDescent="0.2">
      <c r="A7517" s="5" t="str">
        <f>HYPERLINK("http://www.ncbi.nlm.nih.gov/protein/254675168","Timm23")</f>
        <v>Timm23</v>
      </c>
      <c r="B7517" s="4"/>
      <c r="C7517" s="3">
        <v>3478</v>
      </c>
      <c r="D7517" s="3">
        <v>541</v>
      </c>
      <c r="E7517" s="3">
        <v>222</v>
      </c>
      <c r="F7517" s="3">
        <v>0</v>
      </c>
      <c r="G7517" s="3">
        <v>0</v>
      </c>
      <c r="H7517" s="2">
        <f t="shared" si="234"/>
        <v>4241</v>
      </c>
      <c r="I7517" t="str">
        <f t="shared" si="235"/>
        <v>Timm23_4241</v>
      </c>
      <c r="J7517" s="3">
        <v>3478</v>
      </c>
      <c r="K7517" s="3">
        <v>541</v>
      </c>
      <c r="L7517" s="3">
        <v>222</v>
      </c>
      <c r="M7517" s="3">
        <v>0</v>
      </c>
      <c r="N7517" s="3">
        <v>0</v>
      </c>
    </row>
    <row r="7518" spans="1:14" x14ac:dyDescent="0.2">
      <c r="A7518" s="5" t="str">
        <f>HYPERLINK("http://www.ncbi.nlm.nih.gov/protein/170763467","Timm44")</f>
        <v>Timm44</v>
      </c>
      <c r="B7518" s="4"/>
      <c r="C7518" s="3">
        <v>27056</v>
      </c>
      <c r="D7518" s="3">
        <v>14009</v>
      </c>
      <c r="E7518" s="3">
        <v>146</v>
      </c>
      <c r="F7518" s="3">
        <v>286</v>
      </c>
      <c r="G7518" s="3">
        <v>0</v>
      </c>
      <c r="H7518" s="2">
        <f t="shared" si="234"/>
        <v>41497</v>
      </c>
      <c r="I7518" t="str">
        <f t="shared" si="235"/>
        <v>Timm44_41497</v>
      </c>
      <c r="J7518" s="3">
        <v>27056</v>
      </c>
      <c r="K7518" s="3">
        <v>14009</v>
      </c>
      <c r="L7518" s="3">
        <v>146</v>
      </c>
      <c r="M7518" s="3">
        <v>286</v>
      </c>
      <c r="N7518" s="3">
        <v>0</v>
      </c>
    </row>
    <row r="7519" spans="1:14" x14ac:dyDescent="0.2">
      <c r="A7519" s="5" t="str">
        <f>HYPERLINK("http://www.ncbi.nlm.nih.gov/protein/22094989","Timm50")</f>
        <v>Timm50</v>
      </c>
      <c r="B7519" s="4"/>
      <c r="C7519" s="3">
        <v>39687</v>
      </c>
      <c r="D7519" s="3">
        <v>11218</v>
      </c>
      <c r="E7519" s="3">
        <v>2385</v>
      </c>
      <c r="F7519" s="3">
        <v>0</v>
      </c>
      <c r="G7519" s="3">
        <v>0</v>
      </c>
      <c r="H7519" s="2">
        <f t="shared" si="234"/>
        <v>53290</v>
      </c>
      <c r="I7519" t="str">
        <f t="shared" si="235"/>
        <v>Timm50_53290</v>
      </c>
      <c r="J7519" s="3">
        <v>39687</v>
      </c>
      <c r="K7519" s="3">
        <v>11218</v>
      </c>
      <c r="L7519" s="3">
        <v>2385</v>
      </c>
      <c r="M7519" s="3">
        <v>0</v>
      </c>
      <c r="N7519" s="3">
        <v>0</v>
      </c>
    </row>
    <row r="7520" spans="1:14" x14ac:dyDescent="0.2">
      <c r="A7520" s="5" t="str">
        <f>HYPERLINK("http://www.ncbi.nlm.nih.gov/protein/7305577","Timm8a1")</f>
        <v>Timm8a1</v>
      </c>
      <c r="B7520" s="4"/>
      <c r="C7520" s="3">
        <v>531</v>
      </c>
      <c r="D7520" s="3">
        <v>1200</v>
      </c>
      <c r="E7520" s="3">
        <v>9</v>
      </c>
      <c r="F7520" s="3">
        <v>0</v>
      </c>
      <c r="G7520" s="3">
        <v>1114</v>
      </c>
      <c r="H7520" s="2">
        <f t="shared" si="234"/>
        <v>2854</v>
      </c>
      <c r="I7520" t="str">
        <f t="shared" si="235"/>
        <v>Timm8a1_2854</v>
      </c>
      <c r="J7520" s="3">
        <v>531</v>
      </c>
      <c r="K7520" s="3">
        <v>1200</v>
      </c>
      <c r="L7520" s="3">
        <v>9</v>
      </c>
      <c r="M7520" s="3">
        <v>0</v>
      </c>
      <c r="N7520" s="3">
        <v>1114</v>
      </c>
    </row>
    <row r="7521" spans="1:14" x14ac:dyDescent="0.2">
      <c r="A7521" s="5" t="str">
        <f>HYPERLINK("http://www.ncbi.nlm.nih.gov/protein/83627687","Timm8a2")</f>
        <v>Timm8a2</v>
      </c>
      <c r="B7521" s="4"/>
      <c r="C7521" s="3">
        <v>531</v>
      </c>
      <c r="D7521" s="3">
        <v>787</v>
      </c>
      <c r="E7521" s="3">
        <v>9</v>
      </c>
      <c r="F7521" s="3">
        <v>0</v>
      </c>
      <c r="G7521" s="3">
        <v>268</v>
      </c>
      <c r="H7521" s="2">
        <f t="shared" si="234"/>
        <v>1595</v>
      </c>
      <c r="I7521" t="str">
        <f t="shared" si="235"/>
        <v>Timm8a2_1595</v>
      </c>
      <c r="J7521" s="3">
        <v>531</v>
      </c>
      <c r="K7521" s="3">
        <v>787</v>
      </c>
      <c r="L7521" s="3">
        <v>9</v>
      </c>
      <c r="M7521" s="3">
        <v>0</v>
      </c>
      <c r="N7521" s="3">
        <v>268</v>
      </c>
    </row>
    <row r="7522" spans="1:14" x14ac:dyDescent="0.2">
      <c r="A7522" s="5" t="str">
        <f>HYPERLINK("http://www.ncbi.nlm.nih.gov/protein/7305579","Timm8b")</f>
        <v>Timm8b</v>
      </c>
      <c r="B7522" s="4"/>
      <c r="C7522" s="3">
        <v>11844</v>
      </c>
      <c r="D7522" s="3">
        <v>969</v>
      </c>
      <c r="E7522" s="3">
        <v>205</v>
      </c>
      <c r="F7522" s="3">
        <v>0</v>
      </c>
      <c r="G7522" s="3">
        <v>921</v>
      </c>
      <c r="H7522" s="2">
        <f t="shared" si="234"/>
        <v>13939</v>
      </c>
      <c r="I7522" t="str">
        <f t="shared" si="235"/>
        <v>Timm8b_13939</v>
      </c>
      <c r="J7522" s="3">
        <v>11844</v>
      </c>
      <c r="K7522" s="3">
        <v>969</v>
      </c>
      <c r="L7522" s="3">
        <v>205</v>
      </c>
      <c r="M7522" s="3">
        <v>0</v>
      </c>
      <c r="N7522" s="3">
        <v>921</v>
      </c>
    </row>
    <row r="7523" spans="1:14" x14ac:dyDescent="0.2">
      <c r="A7523" s="5" t="str">
        <f>HYPERLINK("http://www.ncbi.nlm.nih.gov/protein/67846099;7305573","Timm9")</f>
        <v>Timm9</v>
      </c>
      <c r="B7523" s="4"/>
      <c r="C7523" s="3">
        <v>8494</v>
      </c>
      <c r="D7523" s="3">
        <v>0</v>
      </c>
      <c r="E7523" s="3">
        <v>0</v>
      </c>
      <c r="F7523" s="3">
        <v>0</v>
      </c>
      <c r="G7523" s="3">
        <v>0</v>
      </c>
      <c r="H7523" s="2">
        <f t="shared" si="234"/>
        <v>8494</v>
      </c>
      <c r="I7523" t="str">
        <f t="shared" si="235"/>
        <v>Timm9_8494</v>
      </c>
      <c r="J7523" s="3">
        <v>8494</v>
      </c>
      <c r="K7523" s="3">
        <v>0</v>
      </c>
      <c r="L7523" s="3">
        <v>0</v>
      </c>
      <c r="M7523" s="3">
        <v>0</v>
      </c>
      <c r="N7523" s="3">
        <v>0</v>
      </c>
    </row>
    <row r="7524" spans="1:14" x14ac:dyDescent="0.2">
      <c r="A7524" s="5" t="str">
        <f>HYPERLINK("http://www.ncbi.nlm.nih.gov/protein/7305573","Timm9")</f>
        <v>Timm9</v>
      </c>
      <c r="B7524" s="4"/>
      <c r="C7524" s="3">
        <v>0</v>
      </c>
      <c r="D7524" s="3">
        <v>2532</v>
      </c>
      <c r="E7524" s="3">
        <v>221</v>
      </c>
      <c r="F7524" s="3">
        <v>0</v>
      </c>
      <c r="G7524" s="3">
        <v>0</v>
      </c>
      <c r="H7524" s="2">
        <f t="shared" si="234"/>
        <v>2753</v>
      </c>
      <c r="I7524" t="str">
        <f t="shared" si="235"/>
        <v>Timm9_2753</v>
      </c>
      <c r="J7524" s="3">
        <v>0</v>
      </c>
      <c r="K7524" s="3">
        <v>2532</v>
      </c>
      <c r="L7524" s="3">
        <v>221</v>
      </c>
      <c r="M7524" s="3">
        <v>0</v>
      </c>
      <c r="N7524" s="3">
        <v>0</v>
      </c>
    </row>
    <row r="7525" spans="1:14" x14ac:dyDescent="0.2">
      <c r="A7525" s="5" t="str">
        <f>HYPERLINK("http://www.ncbi.nlm.nih.gov/protein/225543444","Timmdc1")</f>
        <v>Timmdc1</v>
      </c>
      <c r="B7525" s="4"/>
      <c r="C7525" s="3">
        <v>0</v>
      </c>
      <c r="D7525" s="3">
        <v>2094</v>
      </c>
      <c r="E7525" s="3">
        <v>0</v>
      </c>
      <c r="F7525" s="3">
        <v>0</v>
      </c>
      <c r="G7525" s="3">
        <v>0</v>
      </c>
      <c r="H7525" s="2">
        <f t="shared" si="234"/>
        <v>2094</v>
      </c>
      <c r="I7525" t="str">
        <f t="shared" si="235"/>
        <v>Timmdc1_2094</v>
      </c>
      <c r="J7525" s="3">
        <v>0</v>
      </c>
      <c r="K7525" s="3">
        <v>2094</v>
      </c>
      <c r="L7525" s="3">
        <v>0</v>
      </c>
      <c r="M7525" s="3">
        <v>0</v>
      </c>
      <c r="N7525" s="3">
        <v>0</v>
      </c>
    </row>
    <row r="7526" spans="1:14" x14ac:dyDescent="0.2">
      <c r="A7526" s="5" t="str">
        <f>HYPERLINK("http://www.ncbi.nlm.nih.gov/protein/31542102","Tiparp")</f>
        <v>Tiparp</v>
      </c>
      <c r="B7526" s="4"/>
      <c r="C7526" s="3">
        <v>3442</v>
      </c>
      <c r="D7526" s="3">
        <v>0</v>
      </c>
      <c r="E7526" s="3">
        <v>506</v>
      </c>
      <c r="F7526" s="3">
        <v>5714</v>
      </c>
      <c r="G7526" s="3">
        <v>7614</v>
      </c>
      <c r="H7526" s="2">
        <f t="shared" si="234"/>
        <v>17276</v>
      </c>
      <c r="I7526" t="str">
        <f t="shared" si="235"/>
        <v>Tiparp_17276</v>
      </c>
      <c r="J7526" s="3">
        <v>3442</v>
      </c>
      <c r="K7526" s="3">
        <v>0</v>
      </c>
      <c r="L7526" s="3">
        <v>506</v>
      </c>
      <c r="M7526" s="3">
        <v>5714</v>
      </c>
      <c r="N7526" s="3">
        <v>7614</v>
      </c>
    </row>
    <row r="7527" spans="1:14" x14ac:dyDescent="0.2">
      <c r="A7527" s="5" t="str">
        <f>HYPERLINK("http://www.ncbi.nlm.nih.gov/protein/21313608","Tipin")</f>
        <v>Tipin</v>
      </c>
      <c r="B7527" s="4"/>
      <c r="C7527" s="3">
        <v>0</v>
      </c>
      <c r="D7527" s="3">
        <v>0</v>
      </c>
      <c r="E7527" s="3">
        <v>0</v>
      </c>
      <c r="F7527" s="3">
        <v>0</v>
      </c>
      <c r="G7527" s="3">
        <v>8439</v>
      </c>
      <c r="H7527" s="2">
        <f t="shared" si="234"/>
        <v>8439</v>
      </c>
      <c r="I7527" t="str">
        <f t="shared" si="235"/>
        <v>Tipin_8439</v>
      </c>
      <c r="J7527" s="3">
        <v>0</v>
      </c>
      <c r="K7527" s="3">
        <v>0</v>
      </c>
      <c r="L7527" s="3">
        <v>0</v>
      </c>
      <c r="M7527" s="3">
        <v>0</v>
      </c>
      <c r="N7527" s="3">
        <v>8439</v>
      </c>
    </row>
    <row r="7528" spans="1:14" x14ac:dyDescent="0.2">
      <c r="A7528" s="5" t="str">
        <f>HYPERLINK("http://www.ncbi.nlm.nih.gov/protein/21704010","Tiprl")</f>
        <v>Tiprl</v>
      </c>
      <c r="B7528" s="4"/>
      <c r="C7528" s="3">
        <v>0</v>
      </c>
      <c r="D7528" s="3">
        <v>367</v>
      </c>
      <c r="E7528" s="3">
        <v>337</v>
      </c>
      <c r="F7528" s="3">
        <v>450</v>
      </c>
      <c r="G7528" s="3">
        <v>4123</v>
      </c>
      <c r="H7528" s="2">
        <f t="shared" si="234"/>
        <v>5277</v>
      </c>
      <c r="I7528" t="str">
        <f t="shared" si="235"/>
        <v>Tiprl_5277</v>
      </c>
      <c r="J7528" s="3">
        <v>0</v>
      </c>
      <c r="K7528" s="3">
        <v>367</v>
      </c>
      <c r="L7528" s="3">
        <v>337</v>
      </c>
      <c r="M7528" s="3">
        <v>450</v>
      </c>
      <c r="N7528" s="3">
        <v>4123</v>
      </c>
    </row>
    <row r="7529" spans="1:14" x14ac:dyDescent="0.2">
      <c r="A7529" s="5" t="str">
        <f>HYPERLINK("http://www.ncbi.nlm.nih.gov/protein/21311861","Tjap1")</f>
        <v>Tjap1</v>
      </c>
      <c r="B7529" s="4"/>
      <c r="C7529" s="3">
        <v>0</v>
      </c>
      <c r="D7529" s="3">
        <v>0</v>
      </c>
      <c r="E7529" s="3">
        <v>0</v>
      </c>
      <c r="F7529" s="3">
        <v>0</v>
      </c>
      <c r="G7529" s="3">
        <v>4027</v>
      </c>
      <c r="H7529" s="2">
        <f t="shared" si="234"/>
        <v>4027</v>
      </c>
      <c r="I7529" t="str">
        <f t="shared" si="235"/>
        <v>Tjap1_4027</v>
      </c>
      <c r="J7529" s="3">
        <v>0</v>
      </c>
      <c r="K7529" s="3">
        <v>0</v>
      </c>
      <c r="L7529" s="3">
        <v>0</v>
      </c>
      <c r="M7529" s="3">
        <v>0</v>
      </c>
      <c r="N7529" s="3">
        <v>4027</v>
      </c>
    </row>
    <row r="7530" spans="1:14" x14ac:dyDescent="0.2">
      <c r="A7530" s="5" t="str">
        <f>HYPERLINK("http://www.ncbi.nlm.nih.gov/protein/254675277","Tjp1")</f>
        <v>Tjp1</v>
      </c>
      <c r="B7530" s="4"/>
      <c r="C7530" s="3">
        <v>13052</v>
      </c>
      <c r="D7530" s="3">
        <v>438</v>
      </c>
      <c r="E7530" s="3">
        <v>628</v>
      </c>
      <c r="F7530" s="3">
        <v>2775</v>
      </c>
      <c r="G7530" s="3">
        <v>21269</v>
      </c>
      <c r="H7530" s="2">
        <f t="shared" si="234"/>
        <v>38162</v>
      </c>
      <c r="I7530" t="str">
        <f t="shared" si="235"/>
        <v>Tjp1_38162</v>
      </c>
      <c r="J7530" s="3">
        <v>13052</v>
      </c>
      <c r="K7530" s="3">
        <v>438</v>
      </c>
      <c r="L7530" s="3">
        <v>628</v>
      </c>
      <c r="M7530" s="3">
        <v>2775</v>
      </c>
      <c r="N7530" s="3">
        <v>21269</v>
      </c>
    </row>
    <row r="7531" spans="1:14" x14ac:dyDescent="0.2">
      <c r="A7531" s="5" t="str">
        <f>HYPERLINK("http://www.ncbi.nlm.nih.gov/protein/254675279","Tjp1")</f>
        <v>Tjp1</v>
      </c>
      <c r="B7531" s="4"/>
      <c r="C7531" s="3">
        <v>13052</v>
      </c>
      <c r="D7531" s="3">
        <v>438</v>
      </c>
      <c r="E7531" s="3">
        <v>628</v>
      </c>
      <c r="F7531" s="3">
        <v>2775</v>
      </c>
      <c r="G7531" s="3">
        <v>21269</v>
      </c>
      <c r="H7531" s="2">
        <f t="shared" si="234"/>
        <v>38162</v>
      </c>
      <c r="I7531" t="str">
        <f t="shared" si="235"/>
        <v>Tjp1_38162</v>
      </c>
      <c r="J7531" s="3">
        <v>13052</v>
      </c>
      <c r="K7531" s="3">
        <v>438</v>
      </c>
      <c r="L7531" s="3">
        <v>628</v>
      </c>
      <c r="M7531" s="3">
        <v>2775</v>
      </c>
      <c r="N7531" s="3">
        <v>21269</v>
      </c>
    </row>
    <row r="7532" spans="1:14" x14ac:dyDescent="0.2">
      <c r="A7532" s="5" t="str">
        <f>HYPERLINK("http://www.ncbi.nlm.nih.gov/protein/160333863","Tjp2")</f>
        <v>Tjp2</v>
      </c>
      <c r="B7532" s="4"/>
      <c r="C7532" s="3">
        <v>33573</v>
      </c>
      <c r="D7532" s="3">
        <v>4428</v>
      </c>
      <c r="E7532" s="3">
        <v>14842</v>
      </c>
      <c r="F7532" s="3">
        <v>48991</v>
      </c>
      <c r="G7532" s="3">
        <v>223207</v>
      </c>
      <c r="H7532" s="2">
        <f t="shared" si="234"/>
        <v>325041</v>
      </c>
      <c r="I7532" t="str">
        <f t="shared" si="235"/>
        <v>Tjp2_325041</v>
      </c>
      <c r="J7532" s="3">
        <v>33573</v>
      </c>
      <c r="K7532" s="3">
        <v>4428</v>
      </c>
      <c r="L7532" s="3">
        <v>14842</v>
      </c>
      <c r="M7532" s="3">
        <v>48991</v>
      </c>
      <c r="N7532" s="3">
        <v>223207</v>
      </c>
    </row>
    <row r="7533" spans="1:14" x14ac:dyDescent="0.2">
      <c r="A7533" s="5" t="str">
        <f>HYPERLINK("http://www.ncbi.nlm.nih.gov/protein/312222765","Tjp2")</f>
        <v>Tjp2</v>
      </c>
      <c r="B7533" s="4"/>
      <c r="C7533" s="3">
        <v>33573</v>
      </c>
      <c r="D7533" s="3">
        <v>4428</v>
      </c>
      <c r="E7533" s="3">
        <v>14842</v>
      </c>
      <c r="F7533" s="3">
        <v>48991</v>
      </c>
      <c r="G7533" s="3">
        <v>218849</v>
      </c>
      <c r="H7533" s="2">
        <f t="shared" si="234"/>
        <v>320683</v>
      </c>
      <c r="I7533" t="str">
        <f t="shared" si="235"/>
        <v>Tjp2_320683</v>
      </c>
      <c r="J7533" s="3">
        <v>33573</v>
      </c>
      <c r="K7533" s="3">
        <v>4428</v>
      </c>
      <c r="L7533" s="3">
        <v>14842</v>
      </c>
      <c r="M7533" s="3">
        <v>48991</v>
      </c>
      <c r="N7533" s="3">
        <v>218849</v>
      </c>
    </row>
    <row r="7534" spans="1:14" x14ac:dyDescent="0.2">
      <c r="A7534" s="5" t="str">
        <f>HYPERLINK("http://www.ncbi.nlm.nih.gov/protein/530788242","Tjp3")</f>
        <v>Tjp3</v>
      </c>
      <c r="B7534" s="4"/>
      <c r="C7534" s="3">
        <v>9849</v>
      </c>
      <c r="D7534" s="3">
        <v>0</v>
      </c>
      <c r="E7534" s="3">
        <v>0</v>
      </c>
      <c r="F7534" s="3">
        <v>0</v>
      </c>
      <c r="G7534" s="3">
        <v>0</v>
      </c>
      <c r="H7534" s="2">
        <f t="shared" si="234"/>
        <v>9849</v>
      </c>
      <c r="I7534" t="str">
        <f t="shared" si="235"/>
        <v>Tjp3_9849</v>
      </c>
      <c r="J7534" s="3">
        <v>9849</v>
      </c>
      <c r="K7534" s="3">
        <v>0</v>
      </c>
      <c r="L7534" s="3">
        <v>0</v>
      </c>
      <c r="M7534" s="3">
        <v>0</v>
      </c>
      <c r="N7534" s="3">
        <v>0</v>
      </c>
    </row>
    <row r="7535" spans="1:14" x14ac:dyDescent="0.2">
      <c r="A7535" s="5" t="str">
        <f>HYPERLINK("http://www.ncbi.nlm.nih.gov/protein/114052811","Tjp3")</f>
        <v>Tjp3</v>
      </c>
      <c r="B7535" s="4"/>
      <c r="C7535" s="3">
        <v>10709</v>
      </c>
      <c r="D7535" s="3">
        <v>61</v>
      </c>
      <c r="E7535" s="3">
        <v>3077</v>
      </c>
      <c r="F7535" s="3">
        <v>13703</v>
      </c>
      <c r="G7535" s="3">
        <v>6576</v>
      </c>
      <c r="H7535" s="2">
        <f t="shared" si="234"/>
        <v>34126</v>
      </c>
      <c r="I7535" t="str">
        <f t="shared" si="235"/>
        <v>Tjp3_34126</v>
      </c>
      <c r="J7535" s="3">
        <v>10709</v>
      </c>
      <c r="K7535" s="3">
        <v>61</v>
      </c>
      <c r="L7535" s="3">
        <v>3077</v>
      </c>
      <c r="M7535" s="3">
        <v>13703</v>
      </c>
      <c r="N7535" s="3">
        <v>6576</v>
      </c>
    </row>
    <row r="7536" spans="1:14" x14ac:dyDescent="0.2">
      <c r="A7536" s="5" t="str">
        <f>HYPERLINK("http://www.ncbi.nlm.nih.gov/protein/6678359","Tkt")</f>
        <v>Tkt</v>
      </c>
      <c r="B7536" s="4"/>
      <c r="C7536" s="3">
        <v>179527</v>
      </c>
      <c r="D7536" s="3">
        <v>53985</v>
      </c>
      <c r="E7536" s="3">
        <v>137851</v>
      </c>
      <c r="F7536" s="3">
        <v>714796</v>
      </c>
      <c r="G7536" s="3">
        <v>603727</v>
      </c>
      <c r="H7536" s="2">
        <f t="shared" si="234"/>
        <v>1689886</v>
      </c>
      <c r="I7536" t="str">
        <f t="shared" si="235"/>
        <v>Tkt_1689886</v>
      </c>
      <c r="J7536" s="3">
        <v>179527</v>
      </c>
      <c r="K7536" s="3">
        <v>53985</v>
      </c>
      <c r="L7536" s="3">
        <v>137851</v>
      </c>
      <c r="M7536" s="3">
        <v>714796</v>
      </c>
      <c r="N7536" s="3">
        <v>603727</v>
      </c>
    </row>
    <row r="7537" spans="1:14" x14ac:dyDescent="0.2">
      <c r="A7537" s="5" t="str">
        <f>HYPERLINK("http://www.ncbi.nlm.nih.gov/protein/148287022","Tktl2")</f>
        <v>Tktl2</v>
      </c>
      <c r="B7537" s="4"/>
      <c r="C7537" s="3">
        <v>0</v>
      </c>
      <c r="D7537" s="3">
        <v>0</v>
      </c>
      <c r="E7537" s="3">
        <v>348</v>
      </c>
      <c r="F7537" s="3">
        <v>0</v>
      </c>
      <c r="G7537" s="3">
        <v>0</v>
      </c>
      <c r="H7537" s="2">
        <f t="shared" si="234"/>
        <v>348</v>
      </c>
      <c r="I7537" t="str">
        <f t="shared" si="235"/>
        <v>Tktl2_348</v>
      </c>
      <c r="J7537" s="3">
        <v>0</v>
      </c>
      <c r="K7537" s="3">
        <v>0</v>
      </c>
      <c r="L7537" s="3">
        <v>348</v>
      </c>
      <c r="M7537" s="3">
        <v>0</v>
      </c>
      <c r="N7537" s="3">
        <v>0</v>
      </c>
    </row>
    <row r="7538" spans="1:14" x14ac:dyDescent="0.2">
      <c r="A7538" s="5" t="str">
        <f>HYPERLINK("http://www.ncbi.nlm.nih.gov/protein/409191601;148287022","Tktl2")</f>
        <v>Tktl2</v>
      </c>
      <c r="B7538" s="4"/>
      <c r="C7538" s="3">
        <v>0</v>
      </c>
      <c r="D7538" s="3">
        <v>0</v>
      </c>
      <c r="E7538" s="3">
        <v>0</v>
      </c>
      <c r="F7538" s="3">
        <v>16903</v>
      </c>
      <c r="G7538" s="3">
        <v>0</v>
      </c>
      <c r="H7538" s="2">
        <f t="shared" si="234"/>
        <v>16903</v>
      </c>
      <c r="I7538" t="str">
        <f t="shared" si="235"/>
        <v>Tktl2_16903</v>
      </c>
      <c r="J7538" s="3">
        <v>0</v>
      </c>
      <c r="K7538" s="3">
        <v>0</v>
      </c>
      <c r="L7538" s="3">
        <v>0</v>
      </c>
      <c r="M7538" s="3">
        <v>16903</v>
      </c>
      <c r="N7538" s="3">
        <v>0</v>
      </c>
    </row>
    <row r="7539" spans="1:14" x14ac:dyDescent="0.2">
      <c r="A7539" s="5" t="str">
        <f>HYPERLINK("http://www.ncbi.nlm.nih.gov/protein/21539617","Tlcd1")</f>
        <v>Tlcd1</v>
      </c>
      <c r="B7539" s="4"/>
      <c r="C7539" s="3">
        <v>0</v>
      </c>
      <c r="D7539" s="3">
        <v>347</v>
      </c>
      <c r="E7539" s="3">
        <v>202</v>
      </c>
      <c r="F7539" s="3">
        <v>0</v>
      </c>
      <c r="G7539" s="3">
        <v>0</v>
      </c>
      <c r="H7539" s="2">
        <f t="shared" si="234"/>
        <v>549</v>
      </c>
      <c r="I7539" t="str">
        <f t="shared" si="235"/>
        <v>Tlcd1_549</v>
      </c>
      <c r="J7539" s="3">
        <v>0</v>
      </c>
      <c r="K7539" s="3">
        <v>347</v>
      </c>
      <c r="L7539" s="3">
        <v>202</v>
      </c>
      <c r="M7539" s="3">
        <v>0</v>
      </c>
      <c r="N7539" s="3">
        <v>0</v>
      </c>
    </row>
    <row r="7540" spans="1:14" x14ac:dyDescent="0.2">
      <c r="A7540" s="5" t="str">
        <f>HYPERLINK("http://www.ncbi.nlm.nih.gov/protein/145207950","Tle3")</f>
        <v>Tle3</v>
      </c>
      <c r="B7540" s="4"/>
      <c r="C7540" s="3">
        <v>0</v>
      </c>
      <c r="D7540" s="3">
        <v>0</v>
      </c>
      <c r="E7540" s="3">
        <v>0</v>
      </c>
      <c r="F7540" s="3">
        <v>0</v>
      </c>
      <c r="G7540" s="3">
        <v>1531</v>
      </c>
      <c r="H7540" s="2">
        <f t="shared" si="234"/>
        <v>1531</v>
      </c>
      <c r="I7540" t="str">
        <f t="shared" si="235"/>
        <v>Tle3_1531</v>
      </c>
      <c r="J7540" s="3">
        <v>0</v>
      </c>
      <c r="K7540" s="3">
        <v>0</v>
      </c>
      <c r="L7540" s="3">
        <v>0</v>
      </c>
      <c r="M7540" s="3">
        <v>0</v>
      </c>
      <c r="N7540" s="3">
        <v>1531</v>
      </c>
    </row>
    <row r="7541" spans="1:14" x14ac:dyDescent="0.2">
      <c r="A7541" s="5" t="str">
        <f>HYPERLINK("http://www.ncbi.nlm.nih.gov/protein/145207972","Tle3")</f>
        <v>Tle3</v>
      </c>
      <c r="B7541" s="4"/>
      <c r="C7541" s="3">
        <v>0</v>
      </c>
      <c r="D7541" s="3">
        <v>0</v>
      </c>
      <c r="E7541" s="3">
        <v>0</v>
      </c>
      <c r="F7541" s="3">
        <v>0</v>
      </c>
      <c r="G7541" s="3">
        <v>1531</v>
      </c>
      <c r="H7541" s="2">
        <f t="shared" si="234"/>
        <v>1531</v>
      </c>
      <c r="I7541" t="str">
        <f t="shared" si="235"/>
        <v>Tle3_1531</v>
      </c>
      <c r="J7541" s="3">
        <v>0</v>
      </c>
      <c r="K7541" s="3">
        <v>0</v>
      </c>
      <c r="L7541" s="3">
        <v>0</v>
      </c>
      <c r="M7541" s="3">
        <v>0</v>
      </c>
      <c r="N7541" s="3">
        <v>1531</v>
      </c>
    </row>
    <row r="7542" spans="1:14" x14ac:dyDescent="0.2">
      <c r="A7542" s="5" t="str">
        <f>HYPERLINK("http://www.ncbi.nlm.nih.gov/protein/145207988","Tle3")</f>
        <v>Tle3</v>
      </c>
      <c r="B7542" s="4"/>
      <c r="C7542" s="3">
        <v>0</v>
      </c>
      <c r="D7542" s="3">
        <v>0</v>
      </c>
      <c r="E7542" s="3">
        <v>0</v>
      </c>
      <c r="F7542" s="3">
        <v>0</v>
      </c>
      <c r="G7542" s="3">
        <v>1531</v>
      </c>
      <c r="H7542" s="2">
        <f t="shared" si="234"/>
        <v>1531</v>
      </c>
      <c r="I7542" t="str">
        <f t="shared" si="235"/>
        <v>Tle3_1531</v>
      </c>
      <c r="J7542" s="3">
        <v>0</v>
      </c>
      <c r="K7542" s="3">
        <v>0</v>
      </c>
      <c r="L7542" s="3">
        <v>0</v>
      </c>
      <c r="M7542" s="3">
        <v>0</v>
      </c>
      <c r="N7542" s="3">
        <v>1531</v>
      </c>
    </row>
    <row r="7543" spans="1:14" x14ac:dyDescent="0.2">
      <c r="A7543" s="5" t="str">
        <f>HYPERLINK("http://www.ncbi.nlm.nih.gov/protein/227116327","Tln1")</f>
        <v>Tln1</v>
      </c>
      <c r="B7543" s="4"/>
      <c r="C7543" s="3">
        <v>183</v>
      </c>
      <c r="D7543" s="3">
        <v>22098</v>
      </c>
      <c r="E7543" s="3">
        <v>35184</v>
      </c>
      <c r="F7543" s="3">
        <v>106069</v>
      </c>
      <c r="G7543" s="3">
        <v>358576</v>
      </c>
      <c r="H7543" s="2">
        <f t="shared" si="234"/>
        <v>522110</v>
      </c>
      <c r="I7543" t="str">
        <f t="shared" si="235"/>
        <v>Tln1_522110</v>
      </c>
      <c r="J7543" s="3">
        <v>183</v>
      </c>
      <c r="K7543" s="3">
        <v>22098</v>
      </c>
      <c r="L7543" s="3">
        <v>35184</v>
      </c>
      <c r="M7543" s="3">
        <v>106069</v>
      </c>
      <c r="N7543" s="3">
        <v>358576</v>
      </c>
    </row>
    <row r="7544" spans="1:14" x14ac:dyDescent="0.2">
      <c r="A7544" s="5" t="str">
        <f>HYPERLINK("http://www.ncbi.nlm.nih.gov/protein/163310736","Tln2")</f>
        <v>Tln2</v>
      </c>
      <c r="B7544" s="4"/>
      <c r="C7544" s="3">
        <v>0</v>
      </c>
      <c r="D7544" s="3">
        <v>2791</v>
      </c>
      <c r="E7544" s="3">
        <v>7268</v>
      </c>
      <c r="F7544" s="3">
        <v>7359</v>
      </c>
      <c r="G7544" s="3">
        <v>56257</v>
      </c>
      <c r="H7544" s="2">
        <f t="shared" si="234"/>
        <v>73675</v>
      </c>
      <c r="I7544" t="str">
        <f t="shared" si="235"/>
        <v>Tln2_73675</v>
      </c>
      <c r="J7544" s="3">
        <v>0</v>
      </c>
      <c r="K7544" s="3">
        <v>2791</v>
      </c>
      <c r="L7544" s="3">
        <v>7268</v>
      </c>
      <c r="M7544" s="3">
        <v>7359</v>
      </c>
      <c r="N7544" s="3">
        <v>56257</v>
      </c>
    </row>
    <row r="7545" spans="1:14" x14ac:dyDescent="0.2">
      <c r="A7545" s="5" t="str">
        <f>HYPERLINK("http://www.ncbi.nlm.nih.gov/protein/45429999","Tlr13")</f>
        <v>Tlr13</v>
      </c>
      <c r="B7545" s="4"/>
      <c r="C7545" s="3">
        <v>0</v>
      </c>
      <c r="D7545" s="3">
        <v>0</v>
      </c>
      <c r="E7545" s="3">
        <v>31</v>
      </c>
      <c r="F7545" s="3">
        <v>0</v>
      </c>
      <c r="G7545" s="3">
        <v>0</v>
      </c>
      <c r="H7545" s="2">
        <f t="shared" si="234"/>
        <v>31</v>
      </c>
      <c r="I7545" t="str">
        <f t="shared" si="235"/>
        <v>Tlr13_31</v>
      </c>
      <c r="J7545" s="3">
        <v>0</v>
      </c>
      <c r="K7545" s="3">
        <v>0</v>
      </c>
      <c r="L7545" s="3">
        <v>31</v>
      </c>
      <c r="M7545" s="3">
        <v>0</v>
      </c>
      <c r="N7545" s="3">
        <v>0</v>
      </c>
    </row>
    <row r="7546" spans="1:14" x14ac:dyDescent="0.2">
      <c r="A7546" s="5" t="str">
        <f>HYPERLINK("http://www.ncbi.nlm.nih.gov/protein/18875360","Tlr7")</f>
        <v>Tlr7</v>
      </c>
      <c r="B7546" s="4"/>
      <c r="C7546" s="3">
        <v>3661</v>
      </c>
      <c r="D7546" s="3">
        <v>668</v>
      </c>
      <c r="E7546" s="3">
        <v>5201</v>
      </c>
      <c r="F7546" s="3">
        <v>6917</v>
      </c>
      <c r="G7546" s="3">
        <v>17360</v>
      </c>
      <c r="H7546" s="2">
        <f t="shared" si="234"/>
        <v>33807</v>
      </c>
      <c r="I7546" t="str">
        <f t="shared" si="235"/>
        <v>Tlr7_33807</v>
      </c>
      <c r="J7546" s="3">
        <v>3661</v>
      </c>
      <c r="K7546" s="3">
        <v>668</v>
      </c>
      <c r="L7546" s="3">
        <v>5201</v>
      </c>
      <c r="M7546" s="3">
        <v>6917</v>
      </c>
      <c r="N7546" s="3">
        <v>17360</v>
      </c>
    </row>
    <row r="7547" spans="1:14" x14ac:dyDescent="0.2">
      <c r="A7547" s="5" t="str">
        <f>HYPERLINK("http://www.ncbi.nlm.nih.gov/protein/229324850","Tm2d2")</f>
        <v>Tm2d2</v>
      </c>
      <c r="B7547" s="4"/>
      <c r="C7547" s="3">
        <v>0</v>
      </c>
      <c r="D7547" s="3">
        <v>79</v>
      </c>
      <c r="E7547" s="3">
        <v>0</v>
      </c>
      <c r="F7547" s="3">
        <v>0</v>
      </c>
      <c r="G7547" s="3">
        <v>0</v>
      </c>
      <c r="H7547" s="2">
        <f t="shared" si="234"/>
        <v>79</v>
      </c>
      <c r="I7547" t="str">
        <f t="shared" si="235"/>
        <v>Tm2d2_79</v>
      </c>
      <c r="J7547" s="3">
        <v>0</v>
      </c>
      <c r="K7547" s="3">
        <v>79</v>
      </c>
      <c r="L7547" s="3">
        <v>0</v>
      </c>
      <c r="M7547" s="3">
        <v>0</v>
      </c>
      <c r="N7547" s="3">
        <v>0</v>
      </c>
    </row>
    <row r="7548" spans="1:14" x14ac:dyDescent="0.2">
      <c r="A7548" s="5" t="str">
        <f>HYPERLINK("http://www.ncbi.nlm.nih.gov/protein/119964708","Tm7sf3")</f>
        <v>Tm7sf3</v>
      </c>
      <c r="B7548" s="4"/>
      <c r="C7548" s="3">
        <v>0</v>
      </c>
      <c r="D7548" s="3">
        <v>0</v>
      </c>
      <c r="E7548" s="3">
        <v>148</v>
      </c>
      <c r="F7548" s="3">
        <v>0</v>
      </c>
      <c r="G7548" s="3">
        <v>0</v>
      </c>
      <c r="H7548" s="2">
        <f t="shared" si="234"/>
        <v>148</v>
      </c>
      <c r="I7548" t="str">
        <f t="shared" si="235"/>
        <v>Tm7sf3_148</v>
      </c>
      <c r="J7548" s="3">
        <v>0</v>
      </c>
      <c r="K7548" s="3">
        <v>0</v>
      </c>
      <c r="L7548" s="3">
        <v>148</v>
      </c>
      <c r="M7548" s="3">
        <v>0</v>
      </c>
      <c r="N7548" s="3">
        <v>0</v>
      </c>
    </row>
    <row r="7549" spans="1:14" x14ac:dyDescent="0.2">
      <c r="A7549" s="5" t="str">
        <f>HYPERLINK("http://www.ncbi.nlm.nih.gov/protein/27229185","Tm9sf1")</f>
        <v>Tm9sf1</v>
      </c>
      <c r="B7549" s="4"/>
      <c r="C7549" s="3">
        <v>0</v>
      </c>
      <c r="D7549" s="3">
        <v>3140</v>
      </c>
      <c r="E7549" s="3">
        <v>1737</v>
      </c>
      <c r="F7549" s="3">
        <v>0</v>
      </c>
      <c r="G7549" s="3">
        <v>0</v>
      </c>
      <c r="H7549" s="2">
        <f t="shared" si="234"/>
        <v>4877</v>
      </c>
      <c r="I7549" t="str">
        <f t="shared" si="235"/>
        <v>Tm9sf1_4877</v>
      </c>
      <c r="J7549" s="3">
        <v>0</v>
      </c>
      <c r="K7549" s="3">
        <v>3140</v>
      </c>
      <c r="L7549" s="3">
        <v>1737</v>
      </c>
      <c r="M7549" s="3">
        <v>0</v>
      </c>
      <c r="N7549" s="3">
        <v>0</v>
      </c>
    </row>
    <row r="7550" spans="1:14" x14ac:dyDescent="0.2">
      <c r="A7550" s="5" t="str">
        <f>HYPERLINK("http://www.ncbi.nlm.nih.gov/protein/188528894","Tm9sf2")</f>
        <v>Tm9sf2</v>
      </c>
      <c r="B7550" s="4"/>
      <c r="C7550" s="3">
        <v>3387</v>
      </c>
      <c r="D7550" s="3">
        <v>8872</v>
      </c>
      <c r="E7550" s="3">
        <v>8780</v>
      </c>
      <c r="F7550" s="3">
        <v>172</v>
      </c>
      <c r="G7550" s="3">
        <v>0</v>
      </c>
      <c r="H7550" s="2">
        <f t="shared" si="234"/>
        <v>21211</v>
      </c>
      <c r="I7550" t="str">
        <f t="shared" si="235"/>
        <v>Tm9sf2_21211</v>
      </c>
      <c r="J7550" s="3">
        <v>3387</v>
      </c>
      <c r="K7550" s="3">
        <v>8872</v>
      </c>
      <c r="L7550" s="3">
        <v>8780</v>
      </c>
      <c r="M7550" s="3">
        <v>172</v>
      </c>
      <c r="N7550" s="3">
        <v>0</v>
      </c>
    </row>
    <row r="7551" spans="1:14" x14ac:dyDescent="0.2">
      <c r="A7551" s="5" t="str">
        <f>HYPERLINK("http://www.ncbi.nlm.nih.gov/protein/19111162","Tm9sf3")</f>
        <v>Tm9sf3</v>
      </c>
      <c r="B7551" s="4"/>
      <c r="C7551" s="3">
        <v>0</v>
      </c>
      <c r="D7551" s="3">
        <v>2737</v>
      </c>
      <c r="E7551" s="3">
        <v>1620</v>
      </c>
      <c r="F7551" s="3">
        <v>0</v>
      </c>
      <c r="G7551" s="3">
        <v>0</v>
      </c>
      <c r="H7551" s="2">
        <f t="shared" si="234"/>
        <v>4357</v>
      </c>
      <c r="I7551" t="str">
        <f t="shared" si="235"/>
        <v>Tm9sf3_4357</v>
      </c>
      <c r="J7551" s="3">
        <v>0</v>
      </c>
      <c r="K7551" s="3">
        <v>2737</v>
      </c>
      <c r="L7551" s="3">
        <v>1620</v>
      </c>
      <c r="M7551" s="3">
        <v>0</v>
      </c>
      <c r="N7551" s="3">
        <v>0</v>
      </c>
    </row>
    <row r="7552" spans="1:14" x14ac:dyDescent="0.2">
      <c r="A7552" s="5" t="str">
        <f>HYPERLINK("http://www.ncbi.nlm.nih.gov/protein/31542095","Tm9sf4")</f>
        <v>Tm9sf4</v>
      </c>
      <c r="B7552" s="4"/>
      <c r="C7552" s="3">
        <v>0</v>
      </c>
      <c r="D7552" s="3">
        <v>2336</v>
      </c>
      <c r="E7552" s="3">
        <v>1147</v>
      </c>
      <c r="F7552" s="3">
        <v>0</v>
      </c>
      <c r="G7552" s="3">
        <v>0</v>
      </c>
      <c r="H7552" s="2">
        <f t="shared" si="234"/>
        <v>3483</v>
      </c>
      <c r="I7552" t="str">
        <f t="shared" si="235"/>
        <v>Tm9sf4_3483</v>
      </c>
      <c r="J7552" s="3">
        <v>0</v>
      </c>
      <c r="K7552" s="3">
        <v>2336</v>
      </c>
      <c r="L7552" s="3">
        <v>1147</v>
      </c>
      <c r="M7552" s="3">
        <v>0</v>
      </c>
      <c r="N7552" s="3">
        <v>0</v>
      </c>
    </row>
    <row r="7553" spans="1:14" x14ac:dyDescent="0.2">
      <c r="A7553" s="5" t="str">
        <f>HYPERLINK("http://www.ncbi.nlm.nih.gov/protein/309264231","Tma7-ps")</f>
        <v>Tma7-ps</v>
      </c>
      <c r="B7553" s="4"/>
      <c r="C7553" s="3">
        <v>732</v>
      </c>
      <c r="D7553" s="3">
        <v>0</v>
      </c>
      <c r="E7553" s="3">
        <v>375</v>
      </c>
      <c r="F7553" s="3">
        <v>229</v>
      </c>
      <c r="G7553" s="3">
        <v>6372</v>
      </c>
      <c r="H7553" s="2">
        <f t="shared" si="234"/>
        <v>7708</v>
      </c>
      <c r="I7553" t="str">
        <f t="shared" si="235"/>
        <v>Tma7-ps_7708</v>
      </c>
      <c r="J7553" s="3">
        <v>732</v>
      </c>
      <c r="K7553" s="3">
        <v>0</v>
      </c>
      <c r="L7553" s="3">
        <v>375</v>
      </c>
      <c r="M7553" s="3">
        <v>229</v>
      </c>
      <c r="N7553" s="3">
        <v>6372</v>
      </c>
    </row>
    <row r="7554" spans="1:14" x14ac:dyDescent="0.2">
      <c r="A7554" s="5" t="str">
        <f>HYPERLINK("http://www.ncbi.nlm.nih.gov/protein/283945625","Tmbim6")</f>
        <v>Tmbim6</v>
      </c>
      <c r="B7554" s="4"/>
      <c r="C7554" s="3">
        <v>1721</v>
      </c>
      <c r="D7554" s="3">
        <v>0</v>
      </c>
      <c r="E7554" s="3">
        <v>0</v>
      </c>
      <c r="F7554" s="3">
        <v>0</v>
      </c>
      <c r="G7554" s="3">
        <v>0</v>
      </c>
      <c r="H7554" s="2">
        <f t="shared" ref="H7554:H7617" si="236">SUM(C7554:G7554)</f>
        <v>1721</v>
      </c>
      <c r="I7554" t="str">
        <f t="shared" ref="I7554:I7617" si="237">A7554&amp;"_"&amp;H7554</f>
        <v>Tmbim6_1721</v>
      </c>
      <c r="J7554" s="3">
        <v>1721</v>
      </c>
      <c r="K7554" s="3">
        <v>0</v>
      </c>
      <c r="L7554" s="3">
        <v>0</v>
      </c>
      <c r="M7554" s="3">
        <v>0</v>
      </c>
      <c r="N7554" s="3">
        <v>0</v>
      </c>
    </row>
    <row r="7555" spans="1:14" x14ac:dyDescent="0.2">
      <c r="A7555" s="5" t="str">
        <f>HYPERLINK("http://www.ncbi.nlm.nih.gov/protein/283945625;283945630","Tmbim6")</f>
        <v>Tmbim6</v>
      </c>
      <c r="B7555" s="4"/>
      <c r="C7555" s="3">
        <v>0</v>
      </c>
      <c r="D7555" s="3">
        <v>0</v>
      </c>
      <c r="E7555" s="3">
        <v>1632</v>
      </c>
      <c r="F7555" s="3">
        <v>0</v>
      </c>
      <c r="G7555" s="3">
        <v>0</v>
      </c>
      <c r="H7555" s="2">
        <f t="shared" si="236"/>
        <v>1632</v>
      </c>
      <c r="I7555" t="str">
        <f t="shared" si="237"/>
        <v>Tmbim6_1632</v>
      </c>
      <c r="J7555" s="3">
        <v>0</v>
      </c>
      <c r="K7555" s="3">
        <v>0</v>
      </c>
      <c r="L7555" s="3">
        <v>1632</v>
      </c>
      <c r="M7555" s="3">
        <v>0</v>
      </c>
      <c r="N7555" s="3">
        <v>0</v>
      </c>
    </row>
    <row r="7556" spans="1:14" x14ac:dyDescent="0.2">
      <c r="A7556" s="5" t="str">
        <f>HYPERLINK("http://www.ncbi.nlm.nih.gov/protein/283945630","Tmbim6")</f>
        <v>Tmbim6</v>
      </c>
      <c r="B7556" s="4"/>
      <c r="C7556" s="3">
        <v>0</v>
      </c>
      <c r="D7556" s="3">
        <v>566</v>
      </c>
      <c r="E7556" s="3">
        <v>0</v>
      </c>
      <c r="F7556" s="3">
        <v>2775</v>
      </c>
      <c r="G7556" s="3">
        <v>0</v>
      </c>
      <c r="H7556" s="2">
        <f t="shared" si="236"/>
        <v>3341</v>
      </c>
      <c r="I7556" t="str">
        <f t="shared" si="237"/>
        <v>Tmbim6_3341</v>
      </c>
      <c r="J7556" s="3">
        <v>0</v>
      </c>
      <c r="K7556" s="3">
        <v>566</v>
      </c>
      <c r="L7556" s="3">
        <v>0</v>
      </c>
      <c r="M7556" s="3">
        <v>2775</v>
      </c>
      <c r="N7556" s="3">
        <v>0</v>
      </c>
    </row>
    <row r="7557" spans="1:14" x14ac:dyDescent="0.2">
      <c r="A7557" s="5" t="str">
        <f>HYPERLINK("http://www.ncbi.nlm.nih.gov/protein/31542282","Tmc7")</f>
        <v>Tmc7</v>
      </c>
      <c r="B7557" s="4"/>
      <c r="C7557" s="3">
        <v>0</v>
      </c>
      <c r="D7557" s="3">
        <v>0</v>
      </c>
      <c r="E7557" s="3">
        <v>133</v>
      </c>
      <c r="F7557" s="3">
        <v>0</v>
      </c>
      <c r="G7557" s="3">
        <v>0</v>
      </c>
      <c r="H7557" s="2">
        <f t="shared" si="236"/>
        <v>133</v>
      </c>
      <c r="I7557" t="str">
        <f t="shared" si="237"/>
        <v>Tmc7_133</v>
      </c>
      <c r="J7557" s="3">
        <v>0</v>
      </c>
      <c r="K7557" s="3">
        <v>0</v>
      </c>
      <c r="L7557" s="3">
        <v>133</v>
      </c>
      <c r="M7557" s="3">
        <v>0</v>
      </c>
      <c r="N7557" s="3">
        <v>0</v>
      </c>
    </row>
    <row r="7558" spans="1:14" x14ac:dyDescent="0.2">
      <c r="A7558" s="5" t="str">
        <f>HYPERLINK("http://www.ncbi.nlm.nih.gov/protein/87116677","Tmco1")</f>
        <v>Tmco1</v>
      </c>
      <c r="B7558" s="4"/>
      <c r="C7558" s="3">
        <v>7780</v>
      </c>
      <c r="D7558" s="3">
        <v>75</v>
      </c>
      <c r="E7558" s="3">
        <v>868</v>
      </c>
      <c r="F7558" s="3">
        <v>164</v>
      </c>
      <c r="G7558" s="3">
        <v>0</v>
      </c>
      <c r="H7558" s="2">
        <f t="shared" si="236"/>
        <v>8887</v>
      </c>
      <c r="I7558" t="str">
        <f t="shared" si="237"/>
        <v>Tmco1_8887</v>
      </c>
      <c r="J7558" s="3">
        <v>7780</v>
      </c>
      <c r="K7558" s="3">
        <v>75</v>
      </c>
      <c r="L7558" s="3">
        <v>868</v>
      </c>
      <c r="M7558" s="3">
        <v>164</v>
      </c>
      <c r="N7558" s="3">
        <v>0</v>
      </c>
    </row>
    <row r="7559" spans="1:14" x14ac:dyDescent="0.2">
      <c r="A7559" s="5" t="str">
        <f>HYPERLINK("http://www.ncbi.nlm.nih.gov/protein/21313340","Tmco4")</f>
        <v>Tmco4</v>
      </c>
      <c r="B7559" s="4"/>
      <c r="C7559" s="3">
        <v>0</v>
      </c>
      <c r="D7559" s="3">
        <v>4</v>
      </c>
      <c r="E7559" s="3">
        <v>0</v>
      </c>
      <c r="F7559" s="3">
        <v>303</v>
      </c>
      <c r="G7559" s="3">
        <v>0</v>
      </c>
      <c r="H7559" s="2">
        <f t="shared" si="236"/>
        <v>307</v>
      </c>
      <c r="I7559" t="str">
        <f t="shared" si="237"/>
        <v>Tmco4_307</v>
      </c>
      <c r="J7559" s="3">
        <v>0</v>
      </c>
      <c r="K7559" s="3">
        <v>4</v>
      </c>
      <c r="L7559" s="3">
        <v>0</v>
      </c>
      <c r="M7559" s="3">
        <v>303</v>
      </c>
      <c r="N7559" s="3">
        <v>0</v>
      </c>
    </row>
    <row r="7560" spans="1:14" x14ac:dyDescent="0.2">
      <c r="A7560" s="5" t="str">
        <f>HYPERLINK("http://www.ncbi.nlm.nih.gov/protein/112181164","Tmco6")</f>
        <v>Tmco6</v>
      </c>
      <c r="B7560" s="4"/>
      <c r="C7560" s="3">
        <v>0</v>
      </c>
      <c r="D7560" s="3">
        <v>0</v>
      </c>
      <c r="E7560" s="3">
        <v>0</v>
      </c>
      <c r="F7560" s="3">
        <v>2055</v>
      </c>
      <c r="G7560" s="3">
        <v>1446</v>
      </c>
      <c r="H7560" s="2">
        <f t="shared" si="236"/>
        <v>3501</v>
      </c>
      <c r="I7560" t="str">
        <f t="shared" si="237"/>
        <v>Tmco6_3501</v>
      </c>
      <c r="J7560" s="3">
        <v>0</v>
      </c>
      <c r="K7560" s="3">
        <v>0</v>
      </c>
      <c r="L7560" s="3">
        <v>0</v>
      </c>
      <c r="M7560" s="3">
        <v>2055</v>
      </c>
      <c r="N7560" s="3">
        <v>1446</v>
      </c>
    </row>
    <row r="7561" spans="1:14" x14ac:dyDescent="0.2">
      <c r="A7561" s="5" t="str">
        <f>HYPERLINK("http://www.ncbi.nlm.nih.gov/protein/85362703","Tmed1")</f>
        <v>Tmed1</v>
      </c>
      <c r="B7561" s="4"/>
      <c r="C7561" s="3">
        <v>0</v>
      </c>
      <c r="D7561" s="3">
        <v>1964</v>
      </c>
      <c r="E7561" s="3">
        <v>152</v>
      </c>
      <c r="F7561" s="3">
        <v>0</v>
      </c>
      <c r="G7561" s="3">
        <v>0</v>
      </c>
      <c r="H7561" s="2">
        <f t="shared" si="236"/>
        <v>2116</v>
      </c>
      <c r="I7561" t="str">
        <f t="shared" si="237"/>
        <v>Tmed1_2116</v>
      </c>
      <c r="J7561" s="3">
        <v>0</v>
      </c>
      <c r="K7561" s="3">
        <v>1964</v>
      </c>
      <c r="L7561" s="3">
        <v>152</v>
      </c>
      <c r="M7561" s="3">
        <v>0</v>
      </c>
      <c r="N7561" s="3">
        <v>0</v>
      </c>
    </row>
    <row r="7562" spans="1:14" x14ac:dyDescent="0.2">
      <c r="A7562" s="5" t="str">
        <f>HYPERLINK("http://www.ncbi.nlm.nih.gov/protein/21312062","Tmed10")</f>
        <v>Tmed10</v>
      </c>
      <c r="B7562" s="4"/>
      <c r="C7562" s="3">
        <v>181266</v>
      </c>
      <c r="D7562" s="3">
        <v>27413</v>
      </c>
      <c r="E7562" s="3">
        <v>19850</v>
      </c>
      <c r="F7562" s="3">
        <v>27512</v>
      </c>
      <c r="G7562" s="3">
        <v>0</v>
      </c>
      <c r="H7562" s="2">
        <f t="shared" si="236"/>
        <v>256041</v>
      </c>
      <c r="I7562" t="str">
        <f t="shared" si="237"/>
        <v>Tmed10_256041</v>
      </c>
      <c r="J7562" s="3">
        <v>181266</v>
      </c>
      <c r="K7562" s="3">
        <v>27413</v>
      </c>
      <c r="L7562" s="3">
        <v>19850</v>
      </c>
      <c r="M7562" s="3">
        <v>27512</v>
      </c>
      <c r="N7562" s="3">
        <v>0</v>
      </c>
    </row>
    <row r="7563" spans="1:14" x14ac:dyDescent="0.2">
      <c r="A7563" s="5" t="str">
        <f>HYPERLINK("http://www.ncbi.nlm.nih.gov/protein/281427153","Tmed3")</f>
        <v>Tmed3</v>
      </c>
      <c r="B7563" s="4"/>
      <c r="C7563" s="3">
        <v>1025</v>
      </c>
      <c r="D7563" s="3">
        <v>695</v>
      </c>
      <c r="E7563" s="3">
        <v>856</v>
      </c>
      <c r="F7563" s="3">
        <v>295</v>
      </c>
      <c r="G7563" s="3">
        <v>0</v>
      </c>
      <c r="H7563" s="2">
        <f t="shared" si="236"/>
        <v>2871</v>
      </c>
      <c r="I7563" t="str">
        <f t="shared" si="237"/>
        <v>Tmed3_2871</v>
      </c>
      <c r="J7563" s="3">
        <v>1025</v>
      </c>
      <c r="K7563" s="3">
        <v>695</v>
      </c>
      <c r="L7563" s="3">
        <v>856</v>
      </c>
      <c r="M7563" s="3">
        <v>295</v>
      </c>
      <c r="N7563" s="3">
        <v>0</v>
      </c>
    </row>
    <row r="7564" spans="1:14" x14ac:dyDescent="0.2">
      <c r="A7564" s="5" t="str">
        <f>HYPERLINK("http://www.ncbi.nlm.nih.gov/protein/19527236","Tmed4")</f>
        <v>Tmed4</v>
      </c>
      <c r="B7564" s="4"/>
      <c r="C7564" s="3">
        <v>61142</v>
      </c>
      <c r="D7564" s="3">
        <v>4263</v>
      </c>
      <c r="E7564" s="3">
        <v>5650</v>
      </c>
      <c r="F7564" s="3">
        <v>1228</v>
      </c>
      <c r="G7564" s="3">
        <v>0</v>
      </c>
      <c r="H7564" s="2">
        <f t="shared" si="236"/>
        <v>72283</v>
      </c>
      <c r="I7564" t="str">
        <f t="shared" si="237"/>
        <v>Tmed4_72283</v>
      </c>
      <c r="J7564" s="3">
        <v>61142</v>
      </c>
      <c r="K7564" s="3">
        <v>4263</v>
      </c>
      <c r="L7564" s="3">
        <v>5650</v>
      </c>
      <c r="M7564" s="3">
        <v>1228</v>
      </c>
      <c r="N7564" s="3">
        <v>0</v>
      </c>
    </row>
    <row r="7565" spans="1:14" x14ac:dyDescent="0.2">
      <c r="A7565" s="5" t="str">
        <f>HYPERLINK("http://www.ncbi.nlm.nih.gov/protein/21746165","Tmed5")</f>
        <v>Tmed5</v>
      </c>
      <c r="B7565" s="4"/>
      <c r="C7565" s="3">
        <v>6352</v>
      </c>
      <c r="D7565" s="3">
        <v>760</v>
      </c>
      <c r="E7565" s="3">
        <v>1823</v>
      </c>
      <c r="F7565" s="3">
        <v>368</v>
      </c>
      <c r="G7565" s="3">
        <v>0</v>
      </c>
      <c r="H7565" s="2">
        <f t="shared" si="236"/>
        <v>9303</v>
      </c>
      <c r="I7565" t="str">
        <f t="shared" si="237"/>
        <v>Tmed5_9303</v>
      </c>
      <c r="J7565" s="3">
        <v>6352</v>
      </c>
      <c r="K7565" s="3">
        <v>760</v>
      </c>
      <c r="L7565" s="3">
        <v>1823</v>
      </c>
      <c r="M7565" s="3">
        <v>368</v>
      </c>
      <c r="N7565" s="3">
        <v>0</v>
      </c>
    </row>
    <row r="7566" spans="1:14" x14ac:dyDescent="0.2">
      <c r="A7566" s="5" t="str">
        <f>HYPERLINK("http://www.ncbi.nlm.nih.gov/protein/255003819","Tmed7")</f>
        <v>Tmed7</v>
      </c>
      <c r="B7566" s="4"/>
      <c r="C7566" s="3">
        <v>47449</v>
      </c>
      <c r="D7566" s="3">
        <v>18387</v>
      </c>
      <c r="E7566" s="3">
        <v>8438</v>
      </c>
      <c r="F7566" s="3">
        <v>2300</v>
      </c>
      <c r="G7566" s="3">
        <v>0</v>
      </c>
      <c r="H7566" s="2">
        <f t="shared" si="236"/>
        <v>76574</v>
      </c>
      <c r="I7566" t="str">
        <f t="shared" si="237"/>
        <v>Tmed7_76574</v>
      </c>
      <c r="J7566" s="3">
        <v>47449</v>
      </c>
      <c r="K7566" s="3">
        <v>18387</v>
      </c>
      <c r="L7566" s="3">
        <v>8438</v>
      </c>
      <c r="M7566" s="3">
        <v>2300</v>
      </c>
      <c r="N7566" s="3">
        <v>0</v>
      </c>
    </row>
    <row r="7567" spans="1:14" x14ac:dyDescent="0.2">
      <c r="A7567" s="5" t="str">
        <f>HYPERLINK("http://www.ncbi.nlm.nih.gov/protein/145966911","Tmed9")</f>
        <v>Tmed9</v>
      </c>
      <c r="B7567" s="4"/>
      <c r="C7567" s="3">
        <v>49078</v>
      </c>
      <c r="D7567" s="3">
        <v>20441</v>
      </c>
      <c r="E7567" s="3">
        <v>18846</v>
      </c>
      <c r="F7567" s="3">
        <v>8341</v>
      </c>
      <c r="G7567" s="3">
        <v>0</v>
      </c>
      <c r="H7567" s="2">
        <f t="shared" si="236"/>
        <v>96706</v>
      </c>
      <c r="I7567" t="str">
        <f t="shared" si="237"/>
        <v>Tmed9_96706</v>
      </c>
      <c r="J7567" s="3">
        <v>49078</v>
      </c>
      <c r="K7567" s="3">
        <v>20441</v>
      </c>
      <c r="L7567" s="3">
        <v>18846</v>
      </c>
      <c r="M7567" s="3">
        <v>8341</v>
      </c>
      <c r="N7567" s="3">
        <v>0</v>
      </c>
    </row>
    <row r="7568" spans="1:14" x14ac:dyDescent="0.2">
      <c r="A7568" s="5" t="str">
        <f>HYPERLINK("http://www.ncbi.nlm.nih.gov/protein/145966766","Tmem102")</f>
        <v>Tmem102</v>
      </c>
      <c r="B7568" s="4"/>
      <c r="C7568" s="3">
        <v>0</v>
      </c>
      <c r="D7568" s="3">
        <v>0</v>
      </c>
      <c r="E7568" s="3">
        <v>95</v>
      </c>
      <c r="F7568" s="3">
        <v>49</v>
      </c>
      <c r="G7568" s="3">
        <v>0</v>
      </c>
      <c r="H7568" s="2">
        <f t="shared" si="236"/>
        <v>144</v>
      </c>
      <c r="I7568" t="str">
        <f t="shared" si="237"/>
        <v>Tmem102_144</v>
      </c>
      <c r="J7568" s="3">
        <v>0</v>
      </c>
      <c r="K7568" s="3">
        <v>0</v>
      </c>
      <c r="L7568" s="3">
        <v>95</v>
      </c>
      <c r="M7568" s="3">
        <v>49</v>
      </c>
      <c r="N7568" s="3">
        <v>0</v>
      </c>
    </row>
    <row r="7569" spans="1:14" x14ac:dyDescent="0.2">
      <c r="A7569" s="5" t="str">
        <f>HYPERLINK("http://www.ncbi.nlm.nih.gov/protein/188035856","Tmem106b")</f>
        <v>Tmem106b</v>
      </c>
      <c r="B7569" s="4"/>
      <c r="C7569" s="3">
        <v>0</v>
      </c>
      <c r="D7569" s="3">
        <v>3785</v>
      </c>
      <c r="E7569" s="3">
        <v>3737</v>
      </c>
      <c r="F7569" s="3">
        <v>2169</v>
      </c>
      <c r="G7569" s="3">
        <v>0</v>
      </c>
      <c r="H7569" s="2">
        <f t="shared" si="236"/>
        <v>9691</v>
      </c>
      <c r="I7569" t="str">
        <f t="shared" si="237"/>
        <v>Tmem106b_9691</v>
      </c>
      <c r="J7569" s="3">
        <v>0</v>
      </c>
      <c r="K7569" s="3">
        <v>3785</v>
      </c>
      <c r="L7569" s="3">
        <v>3737</v>
      </c>
      <c r="M7569" s="3">
        <v>2169</v>
      </c>
      <c r="N7569" s="3">
        <v>0</v>
      </c>
    </row>
    <row r="7570" spans="1:14" x14ac:dyDescent="0.2">
      <c r="A7570" s="5" t="str">
        <f>HYPERLINK("http://www.ncbi.nlm.nih.gov/protein/19527378","Tmem109")</f>
        <v>Tmem109</v>
      </c>
      <c r="B7570" s="4"/>
      <c r="C7570" s="3">
        <v>10270</v>
      </c>
      <c r="D7570" s="3">
        <v>7417</v>
      </c>
      <c r="E7570" s="3">
        <v>6263</v>
      </c>
      <c r="F7570" s="3">
        <v>2218</v>
      </c>
      <c r="G7570" s="3">
        <v>0</v>
      </c>
      <c r="H7570" s="2">
        <f t="shared" si="236"/>
        <v>26168</v>
      </c>
      <c r="I7570" t="str">
        <f t="shared" si="237"/>
        <v>Tmem109_26168</v>
      </c>
      <c r="J7570" s="3">
        <v>10270</v>
      </c>
      <c r="K7570" s="3">
        <v>7417</v>
      </c>
      <c r="L7570" s="3">
        <v>6263</v>
      </c>
      <c r="M7570" s="3">
        <v>2218</v>
      </c>
      <c r="N7570" s="3">
        <v>0</v>
      </c>
    </row>
    <row r="7571" spans="1:14" x14ac:dyDescent="0.2">
      <c r="A7571" s="5" t="str">
        <f>HYPERLINK("http://www.ncbi.nlm.nih.gov/protein/27734998","Tmem11")</f>
        <v>Tmem11</v>
      </c>
      <c r="B7571" s="4"/>
      <c r="C7571" s="3">
        <v>0</v>
      </c>
      <c r="D7571" s="3">
        <v>1269</v>
      </c>
      <c r="E7571" s="3">
        <v>0</v>
      </c>
      <c r="F7571" s="3">
        <v>0</v>
      </c>
      <c r="G7571" s="3">
        <v>0</v>
      </c>
      <c r="H7571" s="2">
        <f t="shared" si="236"/>
        <v>1269</v>
      </c>
      <c r="I7571" t="str">
        <f t="shared" si="237"/>
        <v>Tmem11_1269</v>
      </c>
      <c r="J7571" s="3">
        <v>0</v>
      </c>
      <c r="K7571" s="3">
        <v>1269</v>
      </c>
      <c r="L7571" s="3">
        <v>0</v>
      </c>
      <c r="M7571" s="3">
        <v>0</v>
      </c>
      <c r="N7571" s="3">
        <v>0</v>
      </c>
    </row>
    <row r="7572" spans="1:14" x14ac:dyDescent="0.2">
      <c r="A7572" s="5" t="str">
        <f>HYPERLINK("http://www.ncbi.nlm.nih.gov/protein/281182922","Tmem11")</f>
        <v>Tmem11</v>
      </c>
      <c r="B7572" s="4"/>
      <c r="C7572" s="3">
        <v>0</v>
      </c>
      <c r="D7572" s="3">
        <v>1269</v>
      </c>
      <c r="E7572" s="3">
        <v>0</v>
      </c>
      <c r="F7572" s="3">
        <v>0</v>
      </c>
      <c r="G7572" s="3">
        <v>0</v>
      </c>
      <c r="H7572" s="2">
        <f t="shared" si="236"/>
        <v>1269</v>
      </c>
      <c r="I7572" t="str">
        <f t="shared" si="237"/>
        <v>Tmem11_1269</v>
      </c>
      <c r="J7572" s="3">
        <v>0</v>
      </c>
      <c r="K7572" s="3">
        <v>1269</v>
      </c>
      <c r="L7572" s="3">
        <v>0</v>
      </c>
      <c r="M7572" s="3">
        <v>0</v>
      </c>
      <c r="N7572" s="3">
        <v>0</v>
      </c>
    </row>
    <row r="7573" spans="1:14" x14ac:dyDescent="0.2">
      <c r="A7573" s="5" t="str">
        <f>HYPERLINK("http://www.ncbi.nlm.nih.gov/protein/9790165","Tmem115")</f>
        <v>Tmem115</v>
      </c>
      <c r="B7573" s="4"/>
      <c r="C7573" s="3">
        <v>0</v>
      </c>
      <c r="D7573" s="3">
        <v>1808</v>
      </c>
      <c r="E7573" s="3">
        <v>0</v>
      </c>
      <c r="F7573" s="3">
        <v>0</v>
      </c>
      <c r="G7573" s="3">
        <v>0</v>
      </c>
      <c r="H7573" s="2">
        <f t="shared" si="236"/>
        <v>1808</v>
      </c>
      <c r="I7573" t="str">
        <f t="shared" si="237"/>
        <v>Tmem115_1808</v>
      </c>
      <c r="J7573" s="3">
        <v>0</v>
      </c>
      <c r="K7573" s="3">
        <v>1808</v>
      </c>
      <c r="L7573" s="3">
        <v>0</v>
      </c>
      <c r="M7573" s="3">
        <v>0</v>
      </c>
      <c r="N7573" s="3">
        <v>0</v>
      </c>
    </row>
    <row r="7574" spans="1:14" x14ac:dyDescent="0.2">
      <c r="A7574" s="5" t="str">
        <f>HYPERLINK("http://www.ncbi.nlm.nih.gov/protein/29789387","Tmem120a")</f>
        <v>Tmem120a</v>
      </c>
      <c r="B7574" s="4"/>
      <c r="C7574" s="3">
        <v>0</v>
      </c>
      <c r="D7574" s="3">
        <v>73</v>
      </c>
      <c r="E7574" s="3">
        <v>47</v>
      </c>
      <c r="F7574" s="3">
        <v>0</v>
      </c>
      <c r="G7574" s="3">
        <v>0</v>
      </c>
      <c r="H7574" s="2">
        <f t="shared" si="236"/>
        <v>120</v>
      </c>
      <c r="I7574" t="str">
        <f t="shared" si="237"/>
        <v>Tmem120a_120</v>
      </c>
      <c r="J7574" s="3">
        <v>0</v>
      </c>
      <c r="K7574" s="3">
        <v>73</v>
      </c>
      <c r="L7574" s="3">
        <v>47</v>
      </c>
      <c r="M7574" s="3">
        <v>0</v>
      </c>
      <c r="N7574" s="3">
        <v>0</v>
      </c>
    </row>
    <row r="7575" spans="1:14" x14ac:dyDescent="0.2">
      <c r="A7575" s="5" t="str">
        <f>HYPERLINK("http://www.ncbi.nlm.nih.gov/protein/58037123","Tmem126b")</f>
        <v>Tmem126b</v>
      </c>
      <c r="B7575" s="4"/>
      <c r="C7575" s="3">
        <v>0</v>
      </c>
      <c r="D7575" s="3">
        <v>236</v>
      </c>
      <c r="E7575" s="3">
        <v>0</v>
      </c>
      <c r="F7575" s="3">
        <v>0</v>
      </c>
      <c r="G7575" s="3">
        <v>0</v>
      </c>
      <c r="H7575" s="2">
        <f t="shared" si="236"/>
        <v>236</v>
      </c>
      <c r="I7575" t="str">
        <f t="shared" si="237"/>
        <v>Tmem126b_236</v>
      </c>
      <c r="J7575" s="3">
        <v>0</v>
      </c>
      <c r="K7575" s="3">
        <v>236</v>
      </c>
      <c r="L7575" s="3">
        <v>0</v>
      </c>
      <c r="M7575" s="3">
        <v>0</v>
      </c>
      <c r="N7575" s="3">
        <v>0</v>
      </c>
    </row>
    <row r="7576" spans="1:14" x14ac:dyDescent="0.2">
      <c r="A7576" s="5" t="str">
        <f>HYPERLINK("http://www.ncbi.nlm.nih.gov/protein/21624623","Tmem138")</f>
        <v>Tmem138</v>
      </c>
      <c r="B7576" s="4"/>
      <c r="C7576" s="3">
        <v>0</v>
      </c>
      <c r="D7576" s="3">
        <v>121</v>
      </c>
      <c r="E7576" s="3">
        <v>0</v>
      </c>
      <c r="F7576" s="3">
        <v>0</v>
      </c>
      <c r="G7576" s="3">
        <v>0</v>
      </c>
      <c r="H7576" s="2">
        <f t="shared" si="236"/>
        <v>121</v>
      </c>
      <c r="I7576" t="str">
        <f t="shared" si="237"/>
        <v>Tmem138_121</v>
      </c>
      <c r="J7576" s="3">
        <v>0</v>
      </c>
      <c r="K7576" s="3">
        <v>121</v>
      </c>
      <c r="L7576" s="3">
        <v>0</v>
      </c>
      <c r="M7576" s="3">
        <v>0</v>
      </c>
      <c r="N7576" s="3">
        <v>0</v>
      </c>
    </row>
    <row r="7577" spans="1:14" x14ac:dyDescent="0.2">
      <c r="A7577" s="5" t="str">
        <f>HYPERLINK("http://www.ncbi.nlm.nih.gov/protein/120952692","Tmem147")</f>
        <v>Tmem147</v>
      </c>
      <c r="B7577" s="4"/>
      <c r="C7577" s="3">
        <v>0</v>
      </c>
      <c r="D7577" s="3">
        <v>261</v>
      </c>
      <c r="E7577" s="3">
        <v>0</v>
      </c>
      <c r="F7577" s="3">
        <v>0</v>
      </c>
      <c r="G7577" s="3">
        <v>0</v>
      </c>
      <c r="H7577" s="2">
        <f t="shared" si="236"/>
        <v>261</v>
      </c>
      <c r="I7577" t="str">
        <f t="shared" si="237"/>
        <v>Tmem147_261</v>
      </c>
      <c r="J7577" s="3">
        <v>0</v>
      </c>
      <c r="K7577" s="3">
        <v>261</v>
      </c>
      <c r="L7577" s="3">
        <v>0</v>
      </c>
      <c r="M7577" s="3">
        <v>0</v>
      </c>
      <c r="N7577" s="3">
        <v>0</v>
      </c>
    </row>
    <row r="7578" spans="1:14" x14ac:dyDescent="0.2">
      <c r="A7578" s="5" t="str">
        <f>HYPERLINK("http://www.ncbi.nlm.nih.gov/protein/13384766","Tmem14c")</f>
        <v>Tmem14c</v>
      </c>
      <c r="B7578" s="4"/>
      <c r="C7578" s="3">
        <v>0</v>
      </c>
      <c r="D7578" s="3">
        <v>4</v>
      </c>
      <c r="E7578" s="3">
        <v>173</v>
      </c>
      <c r="F7578" s="3">
        <v>0</v>
      </c>
      <c r="G7578" s="3">
        <v>0</v>
      </c>
      <c r="H7578" s="2">
        <f t="shared" si="236"/>
        <v>177</v>
      </c>
      <c r="I7578" t="str">
        <f t="shared" si="237"/>
        <v>Tmem14c_177</v>
      </c>
      <c r="J7578" s="3">
        <v>0</v>
      </c>
      <c r="K7578" s="3">
        <v>4</v>
      </c>
      <c r="L7578" s="3">
        <v>173</v>
      </c>
      <c r="M7578" s="3">
        <v>0</v>
      </c>
      <c r="N7578" s="3">
        <v>0</v>
      </c>
    </row>
    <row r="7579" spans="1:14" x14ac:dyDescent="0.2">
      <c r="A7579" s="5" t="str">
        <f>HYPERLINK("http://www.ncbi.nlm.nih.gov/protein/58037143","Tmem160")</f>
        <v>Tmem160</v>
      </c>
      <c r="B7579" s="4"/>
      <c r="C7579" s="3">
        <v>0</v>
      </c>
      <c r="D7579" s="3">
        <v>182</v>
      </c>
      <c r="E7579" s="3">
        <v>0</v>
      </c>
      <c r="F7579" s="3">
        <v>0</v>
      </c>
      <c r="G7579" s="3">
        <v>0</v>
      </c>
      <c r="H7579" s="2">
        <f t="shared" si="236"/>
        <v>182</v>
      </c>
      <c r="I7579" t="str">
        <f t="shared" si="237"/>
        <v>Tmem160_182</v>
      </c>
      <c r="J7579" s="3">
        <v>0</v>
      </c>
      <c r="K7579" s="3">
        <v>182</v>
      </c>
      <c r="L7579" s="3">
        <v>0</v>
      </c>
      <c r="M7579" s="3">
        <v>0</v>
      </c>
      <c r="N7579" s="3">
        <v>0</v>
      </c>
    </row>
    <row r="7580" spans="1:14" x14ac:dyDescent="0.2">
      <c r="A7580" s="5" t="str">
        <f>HYPERLINK("http://www.ncbi.nlm.nih.gov/protein/111154067","Tmem165")</f>
        <v>Tmem165</v>
      </c>
      <c r="B7580" s="4"/>
      <c r="C7580" s="3">
        <v>0</v>
      </c>
      <c r="D7580" s="3">
        <v>5367</v>
      </c>
      <c r="E7580" s="3">
        <v>1029</v>
      </c>
      <c r="F7580" s="3">
        <v>0</v>
      </c>
      <c r="G7580" s="3">
        <v>0</v>
      </c>
      <c r="H7580" s="2">
        <f t="shared" si="236"/>
        <v>6396</v>
      </c>
      <c r="I7580" t="str">
        <f t="shared" si="237"/>
        <v>Tmem165_6396</v>
      </c>
      <c r="J7580" s="3">
        <v>0</v>
      </c>
      <c r="K7580" s="3">
        <v>5367</v>
      </c>
      <c r="L7580" s="3">
        <v>1029</v>
      </c>
      <c r="M7580" s="3">
        <v>0</v>
      </c>
      <c r="N7580" s="3">
        <v>0</v>
      </c>
    </row>
    <row r="7581" spans="1:14" x14ac:dyDescent="0.2">
      <c r="A7581" s="5" t="str">
        <f>HYPERLINK("http://www.ncbi.nlm.nih.gov/protein/225007607","Tmem167")</f>
        <v>Tmem167</v>
      </c>
      <c r="B7581" s="4"/>
      <c r="C7581" s="3">
        <v>1062</v>
      </c>
      <c r="D7581" s="3">
        <v>56</v>
      </c>
      <c r="E7581" s="3">
        <v>95</v>
      </c>
      <c r="F7581" s="3">
        <v>0</v>
      </c>
      <c r="G7581" s="3">
        <v>0</v>
      </c>
      <c r="H7581" s="2">
        <f t="shared" si="236"/>
        <v>1213</v>
      </c>
      <c r="I7581" t="str">
        <f t="shared" si="237"/>
        <v>Tmem167_1213</v>
      </c>
      <c r="J7581" s="3">
        <v>1062</v>
      </c>
      <c r="K7581" s="3">
        <v>56</v>
      </c>
      <c r="L7581" s="3">
        <v>95</v>
      </c>
      <c r="M7581" s="3">
        <v>0</v>
      </c>
      <c r="N7581" s="3">
        <v>0</v>
      </c>
    </row>
    <row r="7582" spans="1:14" x14ac:dyDescent="0.2">
      <c r="A7582" s="5" t="str">
        <f>HYPERLINK("http://www.ncbi.nlm.nih.gov/protein/27532967","Tmem168")</f>
        <v>Tmem168</v>
      </c>
      <c r="B7582" s="4"/>
      <c r="C7582" s="3">
        <v>0</v>
      </c>
      <c r="D7582" s="3">
        <v>56</v>
      </c>
      <c r="E7582" s="3">
        <v>0</v>
      </c>
      <c r="F7582" s="3">
        <v>0</v>
      </c>
      <c r="G7582" s="3">
        <v>0</v>
      </c>
      <c r="H7582" s="2">
        <f t="shared" si="236"/>
        <v>56</v>
      </c>
      <c r="I7582" t="str">
        <f t="shared" si="237"/>
        <v>Tmem168_56</v>
      </c>
      <c r="J7582" s="3">
        <v>0</v>
      </c>
      <c r="K7582" s="3">
        <v>56</v>
      </c>
      <c r="L7582" s="3">
        <v>0</v>
      </c>
      <c r="M7582" s="3">
        <v>0</v>
      </c>
      <c r="N7582" s="3">
        <v>0</v>
      </c>
    </row>
    <row r="7583" spans="1:14" x14ac:dyDescent="0.2">
      <c r="A7583" s="5" t="str">
        <f>HYPERLINK("http://www.ncbi.nlm.nih.gov/protein/254692993","Tmem173")</f>
        <v>Tmem173</v>
      </c>
      <c r="B7583" s="4"/>
      <c r="C7583" s="3">
        <v>0</v>
      </c>
      <c r="D7583" s="3">
        <v>0</v>
      </c>
      <c r="E7583" s="3">
        <v>136</v>
      </c>
      <c r="F7583" s="3">
        <v>0</v>
      </c>
      <c r="G7583" s="3">
        <v>0</v>
      </c>
      <c r="H7583" s="2">
        <f t="shared" si="236"/>
        <v>136</v>
      </c>
      <c r="I7583" t="str">
        <f t="shared" si="237"/>
        <v>Tmem173_136</v>
      </c>
      <c r="J7583" s="3">
        <v>0</v>
      </c>
      <c r="K7583" s="3">
        <v>0</v>
      </c>
      <c r="L7583" s="3">
        <v>136</v>
      </c>
      <c r="M7583" s="3">
        <v>0</v>
      </c>
      <c r="N7583" s="3">
        <v>0</v>
      </c>
    </row>
    <row r="7584" spans="1:14" x14ac:dyDescent="0.2">
      <c r="A7584" s="5" t="str">
        <f>HYPERLINK("http://www.ncbi.nlm.nih.gov/protein/254587930","Tmem175")</f>
        <v>Tmem175</v>
      </c>
      <c r="B7584" s="4"/>
      <c r="C7584" s="3">
        <v>0</v>
      </c>
      <c r="D7584" s="3">
        <v>482</v>
      </c>
      <c r="E7584" s="3">
        <v>0</v>
      </c>
      <c r="F7584" s="3">
        <v>0</v>
      </c>
      <c r="G7584" s="3">
        <v>0</v>
      </c>
      <c r="H7584" s="2">
        <f t="shared" si="236"/>
        <v>482</v>
      </c>
      <c r="I7584" t="str">
        <f t="shared" si="237"/>
        <v>Tmem175_482</v>
      </c>
      <c r="J7584" s="3">
        <v>0</v>
      </c>
      <c r="K7584" s="3">
        <v>482</v>
      </c>
      <c r="L7584" s="3">
        <v>0</v>
      </c>
      <c r="M7584" s="3">
        <v>0</v>
      </c>
      <c r="N7584" s="3">
        <v>0</v>
      </c>
    </row>
    <row r="7585" spans="1:14" x14ac:dyDescent="0.2">
      <c r="A7585" s="5" t="str">
        <f>HYPERLINK("http://www.ncbi.nlm.nih.gov/protein/254587932","Tmem175")</f>
        <v>Tmem175</v>
      </c>
      <c r="B7585" s="4"/>
      <c r="C7585" s="3">
        <v>0</v>
      </c>
      <c r="D7585" s="3">
        <v>482</v>
      </c>
      <c r="E7585" s="3">
        <v>0</v>
      </c>
      <c r="F7585" s="3">
        <v>0</v>
      </c>
      <c r="G7585" s="3">
        <v>0</v>
      </c>
      <c r="H7585" s="2">
        <f t="shared" si="236"/>
        <v>482</v>
      </c>
      <c r="I7585" t="str">
        <f t="shared" si="237"/>
        <v>Tmem175_482</v>
      </c>
      <c r="J7585" s="3">
        <v>0</v>
      </c>
      <c r="K7585" s="3">
        <v>482</v>
      </c>
      <c r="L7585" s="3">
        <v>0</v>
      </c>
      <c r="M7585" s="3">
        <v>0</v>
      </c>
      <c r="N7585" s="3">
        <v>0</v>
      </c>
    </row>
    <row r="7586" spans="1:14" x14ac:dyDescent="0.2">
      <c r="A7586" s="5" t="str">
        <f>HYPERLINK("http://www.ncbi.nlm.nih.gov/protein/12746434","Tmem176b")</f>
        <v>Tmem176b</v>
      </c>
      <c r="B7586" s="4"/>
      <c r="C7586" s="3">
        <v>0</v>
      </c>
      <c r="D7586" s="3">
        <v>17</v>
      </c>
      <c r="E7586" s="3">
        <v>0</v>
      </c>
      <c r="F7586" s="3">
        <v>0</v>
      </c>
      <c r="G7586" s="3">
        <v>0</v>
      </c>
      <c r="H7586" s="2">
        <f t="shared" si="236"/>
        <v>17</v>
      </c>
      <c r="I7586" t="str">
        <f t="shared" si="237"/>
        <v>Tmem176b_17</v>
      </c>
      <c r="J7586" s="3">
        <v>0</v>
      </c>
      <c r="K7586" s="3">
        <v>17</v>
      </c>
      <c r="L7586" s="3">
        <v>0</v>
      </c>
      <c r="M7586" s="3">
        <v>0</v>
      </c>
      <c r="N7586" s="3">
        <v>0</v>
      </c>
    </row>
    <row r="7587" spans="1:14" x14ac:dyDescent="0.2">
      <c r="A7587" s="5" t="str">
        <f>HYPERLINK("http://www.ncbi.nlm.nih.gov/protein/27228988","Tmem186")</f>
        <v>Tmem186</v>
      </c>
      <c r="B7587" s="4"/>
      <c r="C7587" s="3">
        <v>0</v>
      </c>
      <c r="D7587" s="3">
        <v>65</v>
      </c>
      <c r="E7587" s="3">
        <v>9</v>
      </c>
      <c r="F7587" s="3">
        <v>0</v>
      </c>
      <c r="G7587" s="3">
        <v>0</v>
      </c>
      <c r="H7587" s="2">
        <f t="shared" si="236"/>
        <v>74</v>
      </c>
      <c r="I7587" t="str">
        <f t="shared" si="237"/>
        <v>Tmem186_74</v>
      </c>
      <c r="J7587" s="3">
        <v>0</v>
      </c>
      <c r="K7587" s="3">
        <v>65</v>
      </c>
      <c r="L7587" s="3">
        <v>9</v>
      </c>
      <c r="M7587" s="3">
        <v>0</v>
      </c>
      <c r="N7587" s="3">
        <v>0</v>
      </c>
    </row>
    <row r="7588" spans="1:14" x14ac:dyDescent="0.2">
      <c r="A7588" s="5" t="str">
        <f>HYPERLINK("http://www.ncbi.nlm.nih.gov/protein/21704060","Tmem189")</f>
        <v>Tmem189</v>
      </c>
      <c r="B7588" s="4"/>
      <c r="C7588" s="3">
        <v>805</v>
      </c>
      <c r="D7588" s="3">
        <v>0</v>
      </c>
      <c r="E7588" s="3">
        <v>0</v>
      </c>
      <c r="F7588" s="3">
        <v>0</v>
      </c>
      <c r="G7588" s="3">
        <v>0</v>
      </c>
      <c r="H7588" s="2">
        <f t="shared" si="236"/>
        <v>805</v>
      </c>
      <c r="I7588" t="str">
        <f t="shared" si="237"/>
        <v>Tmem189_805</v>
      </c>
      <c r="J7588" s="3">
        <v>805</v>
      </c>
      <c r="K7588" s="3">
        <v>0</v>
      </c>
      <c r="L7588" s="3">
        <v>0</v>
      </c>
      <c r="M7588" s="3">
        <v>0</v>
      </c>
      <c r="N7588" s="3">
        <v>0</v>
      </c>
    </row>
    <row r="7589" spans="1:14" x14ac:dyDescent="0.2">
      <c r="A7589" s="5" t="str">
        <f>HYPERLINK("http://www.ncbi.nlm.nih.gov/protein/19526846","Tmem19")</f>
        <v>Tmem19</v>
      </c>
      <c r="B7589" s="4"/>
      <c r="C7589" s="3">
        <v>0</v>
      </c>
      <c r="D7589" s="3">
        <v>518</v>
      </c>
      <c r="E7589" s="3">
        <v>0</v>
      </c>
      <c r="F7589" s="3">
        <v>0</v>
      </c>
      <c r="G7589" s="3">
        <v>0</v>
      </c>
      <c r="H7589" s="2">
        <f t="shared" si="236"/>
        <v>518</v>
      </c>
      <c r="I7589" t="str">
        <f t="shared" si="237"/>
        <v>Tmem19_518</v>
      </c>
      <c r="J7589" s="3">
        <v>0</v>
      </c>
      <c r="K7589" s="3">
        <v>518</v>
      </c>
      <c r="L7589" s="3">
        <v>0</v>
      </c>
      <c r="M7589" s="3">
        <v>0</v>
      </c>
      <c r="N7589" s="3">
        <v>0</v>
      </c>
    </row>
    <row r="7590" spans="1:14" x14ac:dyDescent="0.2">
      <c r="A7590" s="5" t="str">
        <f>HYPERLINK("http://www.ncbi.nlm.nih.gov/protein/254939603","Tmem192")</f>
        <v>Tmem192</v>
      </c>
      <c r="B7590" s="4"/>
      <c r="C7590" s="3">
        <v>0</v>
      </c>
      <c r="D7590" s="3">
        <v>547</v>
      </c>
      <c r="E7590" s="3">
        <v>23</v>
      </c>
      <c r="F7590" s="3">
        <v>0</v>
      </c>
      <c r="G7590" s="3">
        <v>0</v>
      </c>
      <c r="H7590" s="2">
        <f t="shared" si="236"/>
        <v>570</v>
      </c>
      <c r="I7590" t="str">
        <f t="shared" si="237"/>
        <v>Tmem192_570</v>
      </c>
      <c r="J7590" s="3">
        <v>0</v>
      </c>
      <c r="K7590" s="3">
        <v>547</v>
      </c>
      <c r="L7590" s="3">
        <v>23</v>
      </c>
      <c r="M7590" s="3">
        <v>0</v>
      </c>
      <c r="N7590" s="3">
        <v>0</v>
      </c>
    </row>
    <row r="7591" spans="1:14" x14ac:dyDescent="0.2">
      <c r="A7591" s="5" t="str">
        <f>HYPERLINK("http://www.ncbi.nlm.nih.gov/protein/58037311","Tmem192")</f>
        <v>Tmem192</v>
      </c>
      <c r="B7591" s="4"/>
      <c r="C7591" s="3">
        <v>0</v>
      </c>
      <c r="D7591" s="3">
        <v>547</v>
      </c>
      <c r="E7591" s="3">
        <v>23</v>
      </c>
      <c r="F7591" s="3">
        <v>0</v>
      </c>
      <c r="G7591" s="3">
        <v>0</v>
      </c>
      <c r="H7591" s="2">
        <f t="shared" si="236"/>
        <v>570</v>
      </c>
      <c r="I7591" t="str">
        <f t="shared" si="237"/>
        <v>Tmem192_570</v>
      </c>
      <c r="J7591" s="3">
        <v>0</v>
      </c>
      <c r="K7591" s="3">
        <v>547</v>
      </c>
      <c r="L7591" s="3">
        <v>23</v>
      </c>
      <c r="M7591" s="3">
        <v>0</v>
      </c>
      <c r="N7591" s="3">
        <v>0</v>
      </c>
    </row>
    <row r="7592" spans="1:14" x14ac:dyDescent="0.2">
      <c r="A7592" s="5" t="str">
        <f>HYPERLINK("http://www.ncbi.nlm.nih.gov/protein/76253926","Tmem2")</f>
        <v>Tmem2</v>
      </c>
      <c r="B7592" s="4"/>
      <c r="C7592" s="3">
        <v>0</v>
      </c>
      <c r="D7592" s="3">
        <v>31</v>
      </c>
      <c r="E7592" s="3">
        <v>2050</v>
      </c>
      <c r="F7592" s="3">
        <v>0</v>
      </c>
      <c r="G7592" s="3">
        <v>0</v>
      </c>
      <c r="H7592" s="2">
        <f t="shared" si="236"/>
        <v>2081</v>
      </c>
      <c r="I7592" t="str">
        <f t="shared" si="237"/>
        <v>Tmem2_2081</v>
      </c>
      <c r="J7592" s="3">
        <v>0</v>
      </c>
      <c r="K7592" s="3">
        <v>31</v>
      </c>
      <c r="L7592" s="3">
        <v>2050</v>
      </c>
      <c r="M7592" s="3">
        <v>0</v>
      </c>
      <c r="N7592" s="3">
        <v>0</v>
      </c>
    </row>
    <row r="7593" spans="1:14" x14ac:dyDescent="0.2">
      <c r="A7593" s="5" t="str">
        <f>HYPERLINK("http://www.ncbi.nlm.nih.gov/protein/331284197","Tmem200c")</f>
        <v>Tmem200c</v>
      </c>
      <c r="B7593" s="4"/>
      <c r="C7593" s="3">
        <v>0</v>
      </c>
      <c r="D7593" s="3">
        <v>215</v>
      </c>
      <c r="E7593" s="3">
        <v>0</v>
      </c>
      <c r="F7593" s="3">
        <v>3070</v>
      </c>
      <c r="G7593" s="3">
        <v>0</v>
      </c>
      <c r="H7593" s="2">
        <f t="shared" si="236"/>
        <v>3285</v>
      </c>
      <c r="I7593" t="str">
        <f t="shared" si="237"/>
        <v>Tmem200c_3285</v>
      </c>
      <c r="J7593" s="3">
        <v>0</v>
      </c>
      <c r="K7593" s="3">
        <v>215</v>
      </c>
      <c r="L7593" s="3">
        <v>0</v>
      </c>
      <c r="M7593" s="3">
        <v>3070</v>
      </c>
      <c r="N7593" s="3">
        <v>0</v>
      </c>
    </row>
    <row r="7594" spans="1:14" x14ac:dyDescent="0.2">
      <c r="A7594" s="5" t="str">
        <f>HYPERLINK("http://www.ncbi.nlm.nih.gov/protein/31982159","Tmem205")</f>
        <v>Tmem205</v>
      </c>
      <c r="B7594" s="4"/>
      <c r="C7594" s="3">
        <v>1208</v>
      </c>
      <c r="D7594" s="3">
        <v>29</v>
      </c>
      <c r="E7594" s="3">
        <v>0</v>
      </c>
      <c r="F7594" s="3">
        <v>0</v>
      </c>
      <c r="G7594" s="3">
        <v>0</v>
      </c>
      <c r="H7594" s="2">
        <f t="shared" si="236"/>
        <v>1237</v>
      </c>
      <c r="I7594" t="str">
        <f t="shared" si="237"/>
        <v>Tmem205_1237</v>
      </c>
      <c r="J7594" s="3">
        <v>1208</v>
      </c>
      <c r="K7594" s="3">
        <v>29</v>
      </c>
      <c r="L7594" s="3">
        <v>0</v>
      </c>
      <c r="M7594" s="3">
        <v>0</v>
      </c>
      <c r="N7594" s="3">
        <v>0</v>
      </c>
    </row>
    <row r="7595" spans="1:14" x14ac:dyDescent="0.2">
      <c r="A7595" s="5" t="str">
        <f>HYPERLINK("http://www.ncbi.nlm.nih.gov/protein/359718989","Tmem205")</f>
        <v>Tmem205</v>
      </c>
      <c r="B7595" s="4"/>
      <c r="C7595" s="3">
        <v>1208</v>
      </c>
      <c r="D7595" s="3">
        <v>29</v>
      </c>
      <c r="E7595" s="3">
        <v>0</v>
      </c>
      <c r="F7595" s="3">
        <v>0</v>
      </c>
      <c r="G7595" s="3">
        <v>0</v>
      </c>
      <c r="H7595" s="2">
        <f t="shared" si="236"/>
        <v>1237</v>
      </c>
      <c r="I7595" t="str">
        <f t="shared" si="237"/>
        <v>Tmem205_1237</v>
      </c>
      <c r="J7595" s="3">
        <v>1208</v>
      </c>
      <c r="K7595" s="3">
        <v>29</v>
      </c>
      <c r="L7595" s="3">
        <v>0</v>
      </c>
      <c r="M7595" s="3">
        <v>0</v>
      </c>
      <c r="N7595" s="3">
        <v>0</v>
      </c>
    </row>
    <row r="7596" spans="1:14" x14ac:dyDescent="0.2">
      <c r="A7596" s="5" t="str">
        <f>HYPERLINK("http://www.ncbi.nlm.nih.gov/protein/13384906","Tmem208")</f>
        <v>Tmem208</v>
      </c>
      <c r="B7596" s="4"/>
      <c r="C7596" s="3">
        <v>0</v>
      </c>
      <c r="D7596" s="3">
        <v>42</v>
      </c>
      <c r="E7596" s="3">
        <v>0</v>
      </c>
      <c r="F7596" s="3">
        <v>0</v>
      </c>
      <c r="G7596" s="3">
        <v>0</v>
      </c>
      <c r="H7596" s="2">
        <f t="shared" si="236"/>
        <v>42</v>
      </c>
      <c r="I7596" t="str">
        <f t="shared" si="237"/>
        <v>Tmem208_42</v>
      </c>
      <c r="J7596" s="3">
        <v>0</v>
      </c>
      <c r="K7596" s="3">
        <v>42</v>
      </c>
      <c r="L7596" s="3">
        <v>0</v>
      </c>
      <c r="M7596" s="3">
        <v>0</v>
      </c>
      <c r="N7596" s="3">
        <v>0</v>
      </c>
    </row>
    <row r="7597" spans="1:14" x14ac:dyDescent="0.2">
      <c r="A7597" s="5" t="str">
        <f>HYPERLINK("http://www.ncbi.nlm.nih.gov/protein/31559970","Tmem214")</f>
        <v>Tmem214</v>
      </c>
      <c r="B7597" s="4"/>
      <c r="C7597" s="3">
        <v>0</v>
      </c>
      <c r="D7597" s="3">
        <v>3780</v>
      </c>
      <c r="E7597" s="3">
        <v>296</v>
      </c>
      <c r="F7597" s="3">
        <v>0</v>
      </c>
      <c r="G7597" s="3">
        <v>0</v>
      </c>
      <c r="H7597" s="2">
        <f t="shared" si="236"/>
        <v>4076</v>
      </c>
      <c r="I7597" t="str">
        <f t="shared" si="237"/>
        <v>Tmem214_4076</v>
      </c>
      <c r="J7597" s="3">
        <v>0</v>
      </c>
      <c r="K7597" s="3">
        <v>3780</v>
      </c>
      <c r="L7597" s="3">
        <v>296</v>
      </c>
      <c r="M7597" s="3">
        <v>0</v>
      </c>
      <c r="N7597" s="3">
        <v>0</v>
      </c>
    </row>
    <row r="7598" spans="1:14" x14ac:dyDescent="0.2">
      <c r="A7598" s="5" t="str">
        <f>HYPERLINK("http://www.ncbi.nlm.nih.gov/protein/213972600","Tmem230")</f>
        <v>Tmem230</v>
      </c>
      <c r="B7598" s="4"/>
      <c r="C7598" s="3">
        <v>0</v>
      </c>
      <c r="D7598" s="3">
        <v>495</v>
      </c>
      <c r="E7598" s="3">
        <v>0</v>
      </c>
      <c r="F7598" s="3">
        <v>0</v>
      </c>
      <c r="G7598" s="3">
        <v>0</v>
      </c>
      <c r="H7598" s="2">
        <f t="shared" si="236"/>
        <v>495</v>
      </c>
      <c r="I7598" t="str">
        <f t="shared" si="237"/>
        <v>Tmem230_495</v>
      </c>
      <c r="J7598" s="3">
        <v>0</v>
      </c>
      <c r="K7598" s="3">
        <v>495</v>
      </c>
      <c r="L7598" s="3">
        <v>0</v>
      </c>
      <c r="M7598" s="3">
        <v>0</v>
      </c>
      <c r="N7598" s="3">
        <v>0</v>
      </c>
    </row>
    <row r="7599" spans="1:14" x14ac:dyDescent="0.2">
      <c r="A7599" s="5" t="str">
        <f>HYPERLINK("http://www.ncbi.nlm.nih.gov/protein/75677480","Tmem231")</f>
        <v>Tmem231</v>
      </c>
      <c r="B7599" s="4"/>
      <c r="C7599" s="3">
        <v>0</v>
      </c>
      <c r="D7599" s="3">
        <v>13</v>
      </c>
      <c r="E7599" s="3">
        <v>72</v>
      </c>
      <c r="F7599" s="3">
        <v>0</v>
      </c>
      <c r="G7599" s="3">
        <v>0</v>
      </c>
      <c r="H7599" s="2">
        <f t="shared" si="236"/>
        <v>85</v>
      </c>
      <c r="I7599" t="str">
        <f t="shared" si="237"/>
        <v>Tmem231_85</v>
      </c>
      <c r="J7599" s="3">
        <v>0</v>
      </c>
      <c r="K7599" s="3">
        <v>13</v>
      </c>
      <c r="L7599" s="3">
        <v>72</v>
      </c>
      <c r="M7599" s="3">
        <v>0</v>
      </c>
      <c r="N7599" s="3">
        <v>0</v>
      </c>
    </row>
    <row r="7600" spans="1:14" x14ac:dyDescent="0.2">
      <c r="A7600" s="5" t="str">
        <f>HYPERLINK("http://www.ncbi.nlm.nih.gov/protein/395132459;395132466","Tmem254b")</f>
        <v>Tmem254b</v>
      </c>
      <c r="B7600" s="4"/>
      <c r="C7600" s="3">
        <v>2892</v>
      </c>
      <c r="D7600" s="3">
        <v>0</v>
      </c>
      <c r="E7600" s="3">
        <v>0</v>
      </c>
      <c r="F7600" s="3">
        <v>0</v>
      </c>
      <c r="G7600" s="3">
        <v>0</v>
      </c>
      <c r="H7600" s="2">
        <f t="shared" si="236"/>
        <v>2892</v>
      </c>
      <c r="I7600" t="str">
        <f t="shared" si="237"/>
        <v>Tmem254b_2892</v>
      </c>
      <c r="J7600" s="3">
        <v>2892</v>
      </c>
      <c r="K7600" s="3">
        <v>0</v>
      </c>
      <c r="L7600" s="3">
        <v>0</v>
      </c>
      <c r="M7600" s="3">
        <v>0</v>
      </c>
      <c r="N7600" s="3">
        <v>0</v>
      </c>
    </row>
    <row r="7601" spans="1:14" x14ac:dyDescent="0.2">
      <c r="A7601" s="5" t="str">
        <f>HYPERLINK("http://www.ncbi.nlm.nih.gov/protein/395132457","Tmem254b")</f>
        <v>Tmem254b</v>
      </c>
      <c r="B7601" s="4"/>
      <c r="C7601" s="3">
        <v>5382</v>
      </c>
      <c r="D7601" s="3">
        <v>255</v>
      </c>
      <c r="E7601" s="3">
        <v>2255</v>
      </c>
      <c r="F7601" s="3">
        <v>1220</v>
      </c>
      <c r="G7601" s="3">
        <v>0</v>
      </c>
      <c r="H7601" s="2">
        <f t="shared" si="236"/>
        <v>9112</v>
      </c>
      <c r="I7601" t="str">
        <f t="shared" si="237"/>
        <v>Tmem254b_9112</v>
      </c>
      <c r="J7601" s="3">
        <v>5382</v>
      </c>
      <c r="K7601" s="3">
        <v>255</v>
      </c>
      <c r="L7601" s="3">
        <v>2255</v>
      </c>
      <c r="M7601" s="3">
        <v>1220</v>
      </c>
      <c r="N7601" s="3">
        <v>0</v>
      </c>
    </row>
    <row r="7602" spans="1:14" x14ac:dyDescent="0.2">
      <c r="A7602" s="5" t="str">
        <f>HYPERLINK("http://www.ncbi.nlm.nih.gov/protein/395132466","Tmem254c")</f>
        <v>Tmem254c</v>
      </c>
      <c r="B7602" s="4"/>
      <c r="C7602" s="3">
        <v>0</v>
      </c>
      <c r="D7602" s="3">
        <v>219</v>
      </c>
      <c r="E7602" s="3">
        <v>0</v>
      </c>
      <c r="F7602" s="3">
        <v>0</v>
      </c>
      <c r="G7602" s="3">
        <v>0</v>
      </c>
      <c r="H7602" s="2">
        <f t="shared" si="236"/>
        <v>219</v>
      </c>
      <c r="I7602" t="str">
        <f t="shared" si="237"/>
        <v>Tmem254c_219</v>
      </c>
      <c r="J7602" s="3">
        <v>0</v>
      </c>
      <c r="K7602" s="3">
        <v>219</v>
      </c>
      <c r="L7602" s="3">
        <v>0</v>
      </c>
      <c r="M7602" s="3">
        <v>0</v>
      </c>
      <c r="N7602" s="3">
        <v>0</v>
      </c>
    </row>
    <row r="7603" spans="1:14" x14ac:dyDescent="0.2">
      <c r="A7603" s="5" t="str">
        <f>HYPERLINK("http://www.ncbi.nlm.nih.gov/protein/110625730","Tmem256")</f>
        <v>Tmem256</v>
      </c>
      <c r="B7603" s="4"/>
      <c r="C7603" s="3">
        <v>73</v>
      </c>
      <c r="D7603" s="3">
        <v>0</v>
      </c>
      <c r="E7603" s="3">
        <v>320</v>
      </c>
      <c r="F7603" s="3">
        <v>0</v>
      </c>
      <c r="G7603" s="3">
        <v>0</v>
      </c>
      <c r="H7603" s="2">
        <f t="shared" si="236"/>
        <v>393</v>
      </c>
      <c r="I7603" t="str">
        <f t="shared" si="237"/>
        <v>Tmem256_393</v>
      </c>
      <c r="J7603" s="3">
        <v>73</v>
      </c>
      <c r="K7603" s="3">
        <v>0</v>
      </c>
      <c r="L7603" s="3">
        <v>320</v>
      </c>
      <c r="M7603" s="3">
        <v>0</v>
      </c>
      <c r="N7603" s="3">
        <v>0</v>
      </c>
    </row>
    <row r="7604" spans="1:14" x14ac:dyDescent="0.2">
      <c r="A7604" s="5" t="str">
        <f>HYPERLINK("http://www.ncbi.nlm.nih.gov/protein/19526900","Tmem30a")</f>
        <v>Tmem30a</v>
      </c>
      <c r="B7604" s="4"/>
      <c r="C7604" s="3">
        <v>0</v>
      </c>
      <c r="D7604" s="3">
        <v>0</v>
      </c>
      <c r="E7604" s="3">
        <v>326</v>
      </c>
      <c r="F7604" s="3">
        <v>0</v>
      </c>
      <c r="G7604" s="3">
        <v>0</v>
      </c>
      <c r="H7604" s="2">
        <f t="shared" si="236"/>
        <v>326</v>
      </c>
      <c r="I7604" t="str">
        <f t="shared" si="237"/>
        <v>Tmem30a_326</v>
      </c>
      <c r="J7604" s="3">
        <v>0</v>
      </c>
      <c r="K7604" s="3">
        <v>0</v>
      </c>
      <c r="L7604" s="3">
        <v>326</v>
      </c>
      <c r="M7604" s="3">
        <v>0</v>
      </c>
      <c r="N7604" s="3">
        <v>0</v>
      </c>
    </row>
    <row r="7605" spans="1:14" x14ac:dyDescent="0.2">
      <c r="A7605" s="5" t="str">
        <f>HYPERLINK("http://www.ncbi.nlm.nih.gov/protein/22267448","Tmem33")</f>
        <v>Tmem33</v>
      </c>
      <c r="B7605" s="4"/>
      <c r="C7605" s="3">
        <v>30937</v>
      </c>
      <c r="D7605" s="3">
        <v>2968</v>
      </c>
      <c r="E7605" s="3">
        <v>3275</v>
      </c>
      <c r="F7605" s="3">
        <v>1146</v>
      </c>
      <c r="G7605" s="3">
        <v>0</v>
      </c>
      <c r="H7605" s="2">
        <f t="shared" si="236"/>
        <v>38326</v>
      </c>
      <c r="I7605" t="str">
        <f t="shared" si="237"/>
        <v>Tmem33_38326</v>
      </c>
      <c r="J7605" s="3">
        <v>30937</v>
      </c>
      <c r="K7605" s="3">
        <v>2968</v>
      </c>
      <c r="L7605" s="3">
        <v>3275</v>
      </c>
      <c r="M7605" s="3">
        <v>1146</v>
      </c>
      <c r="N7605" s="3">
        <v>0</v>
      </c>
    </row>
    <row r="7606" spans="1:14" x14ac:dyDescent="0.2">
      <c r="A7606" s="5" t="str">
        <f>HYPERLINK("http://www.ncbi.nlm.nih.gov/protein/68533251","Tmem33")</f>
        <v>Tmem33</v>
      </c>
      <c r="B7606" s="4"/>
      <c r="C7606" s="3">
        <v>30937</v>
      </c>
      <c r="D7606" s="3">
        <v>2968</v>
      </c>
      <c r="E7606" s="3">
        <v>3275</v>
      </c>
      <c r="F7606" s="3">
        <v>1146</v>
      </c>
      <c r="G7606" s="3">
        <v>0</v>
      </c>
      <c r="H7606" s="2">
        <f t="shared" si="236"/>
        <v>38326</v>
      </c>
      <c r="I7606" t="str">
        <f t="shared" si="237"/>
        <v>Tmem33_38326</v>
      </c>
      <c r="J7606" s="3">
        <v>30937</v>
      </c>
      <c r="K7606" s="3">
        <v>2968</v>
      </c>
      <c r="L7606" s="3">
        <v>3275</v>
      </c>
      <c r="M7606" s="3">
        <v>1146</v>
      </c>
      <c r="N7606" s="3">
        <v>0</v>
      </c>
    </row>
    <row r="7607" spans="1:14" x14ac:dyDescent="0.2">
      <c r="A7607" s="5" t="str">
        <f>HYPERLINK("http://www.ncbi.nlm.nih.gov/protein/85662379","Tmem41b")</f>
        <v>Tmem41b</v>
      </c>
      <c r="B7607" s="4"/>
      <c r="C7607" s="3">
        <v>0</v>
      </c>
      <c r="D7607" s="3">
        <v>67</v>
      </c>
      <c r="E7607" s="3">
        <v>0</v>
      </c>
      <c r="F7607" s="3">
        <v>0</v>
      </c>
      <c r="G7607" s="3">
        <v>0</v>
      </c>
      <c r="H7607" s="2">
        <f t="shared" si="236"/>
        <v>67</v>
      </c>
      <c r="I7607" t="str">
        <f t="shared" si="237"/>
        <v>Tmem41b_67</v>
      </c>
      <c r="J7607" s="3">
        <v>0</v>
      </c>
      <c r="K7607" s="3">
        <v>67</v>
      </c>
      <c r="L7607" s="3">
        <v>0</v>
      </c>
      <c r="M7607" s="3">
        <v>0</v>
      </c>
      <c r="N7607" s="3">
        <v>0</v>
      </c>
    </row>
    <row r="7608" spans="1:14" x14ac:dyDescent="0.2">
      <c r="A7608" s="5" t="str">
        <f>HYPERLINK("http://www.ncbi.nlm.nih.gov/protein/21311891","Tmem43")</f>
        <v>Tmem43</v>
      </c>
      <c r="B7608" s="4"/>
      <c r="C7608" s="3">
        <v>1940</v>
      </c>
      <c r="D7608" s="3">
        <v>443</v>
      </c>
      <c r="E7608" s="3">
        <v>1119</v>
      </c>
      <c r="F7608" s="3">
        <v>0</v>
      </c>
      <c r="G7608" s="3">
        <v>0</v>
      </c>
      <c r="H7608" s="2">
        <f t="shared" si="236"/>
        <v>3502</v>
      </c>
      <c r="I7608" t="str">
        <f t="shared" si="237"/>
        <v>Tmem43_3502</v>
      </c>
      <c r="J7608" s="3">
        <v>1940</v>
      </c>
      <c r="K7608" s="3">
        <v>443</v>
      </c>
      <c r="L7608" s="3">
        <v>1119</v>
      </c>
      <c r="M7608" s="3">
        <v>0</v>
      </c>
      <c r="N7608" s="3">
        <v>0</v>
      </c>
    </row>
    <row r="7609" spans="1:14" x14ac:dyDescent="0.2">
      <c r="A7609" s="5" t="str">
        <f>HYPERLINK("http://www.ncbi.nlm.nih.gov/protein/21450349","Tmem45b")</f>
        <v>Tmem45b</v>
      </c>
      <c r="B7609" s="4"/>
      <c r="C7609" s="3">
        <v>0</v>
      </c>
      <c r="D7609" s="3">
        <v>0</v>
      </c>
      <c r="E7609" s="3">
        <v>765</v>
      </c>
      <c r="F7609" s="3">
        <v>0</v>
      </c>
      <c r="G7609" s="3">
        <v>0</v>
      </c>
      <c r="H7609" s="2">
        <f t="shared" si="236"/>
        <v>765</v>
      </c>
      <c r="I7609" t="str">
        <f t="shared" si="237"/>
        <v>Tmem45b_765</v>
      </c>
      <c r="J7609" s="3">
        <v>0</v>
      </c>
      <c r="K7609" s="3">
        <v>0</v>
      </c>
      <c r="L7609" s="3">
        <v>765</v>
      </c>
      <c r="M7609" s="3">
        <v>0</v>
      </c>
      <c r="N7609" s="3">
        <v>0</v>
      </c>
    </row>
    <row r="7610" spans="1:14" x14ac:dyDescent="0.2">
      <c r="A7610" s="5" t="str">
        <f>HYPERLINK("http://www.ncbi.nlm.nih.gov/protein/34610239","Tmem50a")</f>
        <v>Tmem50a</v>
      </c>
      <c r="B7610" s="4"/>
      <c r="C7610" s="3">
        <v>0</v>
      </c>
      <c r="D7610" s="3">
        <v>90</v>
      </c>
      <c r="E7610" s="3">
        <v>0</v>
      </c>
      <c r="F7610" s="3">
        <v>0</v>
      </c>
      <c r="G7610" s="3">
        <v>0</v>
      </c>
      <c r="H7610" s="2">
        <f t="shared" si="236"/>
        <v>90</v>
      </c>
      <c r="I7610" t="str">
        <f t="shared" si="237"/>
        <v>Tmem50a_90</v>
      </c>
      <c r="J7610" s="3">
        <v>0</v>
      </c>
      <c r="K7610" s="3">
        <v>90</v>
      </c>
      <c r="L7610" s="3">
        <v>0</v>
      </c>
      <c r="M7610" s="3">
        <v>0</v>
      </c>
      <c r="N7610" s="3">
        <v>0</v>
      </c>
    </row>
    <row r="7611" spans="1:14" x14ac:dyDescent="0.2">
      <c r="A7611" s="5" t="str">
        <f>HYPERLINK("http://www.ncbi.nlm.nih.gov/protein/21313410","Tmem50b")</f>
        <v>Tmem50b</v>
      </c>
      <c r="B7611" s="4"/>
      <c r="C7611" s="3">
        <v>330</v>
      </c>
      <c r="D7611" s="3">
        <v>273</v>
      </c>
      <c r="E7611" s="3">
        <v>1349</v>
      </c>
      <c r="F7611" s="3">
        <v>1334</v>
      </c>
      <c r="G7611" s="3">
        <v>0</v>
      </c>
      <c r="H7611" s="2">
        <f t="shared" si="236"/>
        <v>3286</v>
      </c>
      <c r="I7611" t="str">
        <f t="shared" si="237"/>
        <v>Tmem50b_3286</v>
      </c>
      <c r="J7611" s="3">
        <v>330</v>
      </c>
      <c r="K7611" s="3">
        <v>273</v>
      </c>
      <c r="L7611" s="3">
        <v>1349</v>
      </c>
      <c r="M7611" s="3">
        <v>1334</v>
      </c>
      <c r="N7611" s="3">
        <v>0</v>
      </c>
    </row>
    <row r="7612" spans="1:14" x14ac:dyDescent="0.2">
      <c r="A7612" s="5" t="str">
        <f>HYPERLINK("http://www.ncbi.nlm.nih.gov/protein/21312268","Tmem55a")</f>
        <v>Tmem55a</v>
      </c>
      <c r="B7612" s="4"/>
      <c r="C7612" s="3">
        <v>0</v>
      </c>
      <c r="D7612" s="3">
        <v>2346</v>
      </c>
      <c r="E7612" s="3">
        <v>1516</v>
      </c>
      <c r="F7612" s="3">
        <v>0</v>
      </c>
      <c r="G7612" s="3">
        <v>0</v>
      </c>
      <c r="H7612" s="2">
        <f t="shared" si="236"/>
        <v>3862</v>
      </c>
      <c r="I7612" t="str">
        <f t="shared" si="237"/>
        <v>Tmem55a_3862</v>
      </c>
      <c r="J7612" s="3">
        <v>0</v>
      </c>
      <c r="K7612" s="3">
        <v>2346</v>
      </c>
      <c r="L7612" s="3">
        <v>1516</v>
      </c>
      <c r="M7612" s="3">
        <v>0</v>
      </c>
      <c r="N7612" s="3">
        <v>0</v>
      </c>
    </row>
    <row r="7613" spans="1:14" x14ac:dyDescent="0.2">
      <c r="A7613" s="5" t="str">
        <f>HYPERLINK("http://www.ncbi.nlm.nih.gov/protein/84095197","Tmem55b")</f>
        <v>Tmem55b</v>
      </c>
      <c r="B7613" s="4"/>
      <c r="C7613" s="3">
        <v>0</v>
      </c>
      <c r="D7613" s="3">
        <v>831</v>
      </c>
      <c r="E7613" s="3">
        <v>392</v>
      </c>
      <c r="F7613" s="3">
        <v>508</v>
      </c>
      <c r="G7613" s="3">
        <v>0</v>
      </c>
      <c r="H7613" s="2">
        <f t="shared" si="236"/>
        <v>1731</v>
      </c>
      <c r="I7613" t="str">
        <f t="shared" si="237"/>
        <v>Tmem55b_1731</v>
      </c>
      <c r="J7613" s="3">
        <v>0</v>
      </c>
      <c r="K7613" s="3">
        <v>831</v>
      </c>
      <c r="L7613" s="3">
        <v>392</v>
      </c>
      <c r="M7613" s="3">
        <v>508</v>
      </c>
      <c r="N7613" s="3">
        <v>0</v>
      </c>
    </row>
    <row r="7614" spans="1:14" x14ac:dyDescent="0.2">
      <c r="A7614" s="5" t="str">
        <f>HYPERLINK("http://www.ncbi.nlm.nih.gov/protein/227330571","Tmem59")</f>
        <v>Tmem59</v>
      </c>
      <c r="B7614" s="4"/>
      <c r="C7614" s="3">
        <v>0</v>
      </c>
      <c r="D7614" s="3">
        <v>79</v>
      </c>
      <c r="E7614" s="3">
        <v>0</v>
      </c>
      <c r="F7614" s="3">
        <v>0</v>
      </c>
      <c r="G7614" s="3">
        <v>0</v>
      </c>
      <c r="H7614" s="2">
        <f t="shared" si="236"/>
        <v>79</v>
      </c>
      <c r="I7614" t="str">
        <f t="shared" si="237"/>
        <v>Tmem59_79</v>
      </c>
      <c r="J7614" s="3">
        <v>0</v>
      </c>
      <c r="K7614" s="3">
        <v>79</v>
      </c>
      <c r="L7614" s="3">
        <v>0</v>
      </c>
      <c r="M7614" s="3">
        <v>0</v>
      </c>
      <c r="N7614" s="3">
        <v>0</v>
      </c>
    </row>
    <row r="7615" spans="1:14" x14ac:dyDescent="0.2">
      <c r="A7615" s="5" t="str">
        <f>HYPERLINK("http://www.ncbi.nlm.nih.gov/protein/21450147","Tmem63a")</f>
        <v>Tmem63a</v>
      </c>
      <c r="B7615" s="4"/>
      <c r="C7615" s="3">
        <v>494</v>
      </c>
      <c r="D7615" s="3">
        <v>15</v>
      </c>
      <c r="E7615" s="3">
        <v>1414</v>
      </c>
      <c r="F7615" s="3">
        <v>0</v>
      </c>
      <c r="G7615" s="3">
        <v>0</v>
      </c>
      <c r="H7615" s="2">
        <f t="shared" si="236"/>
        <v>1923</v>
      </c>
      <c r="I7615" t="str">
        <f t="shared" si="237"/>
        <v>Tmem63a_1923</v>
      </c>
      <c r="J7615" s="3">
        <v>494</v>
      </c>
      <c r="K7615" s="3">
        <v>15</v>
      </c>
      <c r="L7615" s="3">
        <v>1414</v>
      </c>
      <c r="M7615" s="3">
        <v>0</v>
      </c>
      <c r="N7615" s="3">
        <v>0</v>
      </c>
    </row>
    <row r="7616" spans="1:14" x14ac:dyDescent="0.2">
      <c r="A7616" s="5" t="str">
        <f>HYPERLINK("http://www.ncbi.nlm.nih.gov/protein/226342964","Tmem63b")</f>
        <v>Tmem63b</v>
      </c>
      <c r="B7616" s="4"/>
      <c r="C7616" s="3">
        <v>0</v>
      </c>
      <c r="D7616" s="3">
        <v>0</v>
      </c>
      <c r="E7616" s="3">
        <v>4</v>
      </c>
      <c r="F7616" s="3">
        <v>0</v>
      </c>
      <c r="G7616" s="3">
        <v>0</v>
      </c>
      <c r="H7616" s="2">
        <f t="shared" si="236"/>
        <v>4</v>
      </c>
      <c r="I7616" t="str">
        <f t="shared" si="237"/>
        <v>Tmem63b_4</v>
      </c>
      <c r="J7616" s="3">
        <v>0</v>
      </c>
      <c r="K7616" s="3">
        <v>0</v>
      </c>
      <c r="L7616" s="3">
        <v>4</v>
      </c>
      <c r="M7616" s="3">
        <v>0</v>
      </c>
      <c r="N7616" s="3">
        <v>0</v>
      </c>
    </row>
    <row r="7617" spans="1:14" x14ac:dyDescent="0.2">
      <c r="A7617" s="5" t="str">
        <f>HYPERLINK("http://www.ncbi.nlm.nih.gov/protein/70778812","Tmem65")</f>
        <v>Tmem65</v>
      </c>
      <c r="B7617" s="4"/>
      <c r="C7617" s="3">
        <v>0</v>
      </c>
      <c r="D7617" s="3">
        <v>56</v>
      </c>
      <c r="E7617" s="3">
        <v>0</v>
      </c>
      <c r="F7617" s="3">
        <v>0</v>
      </c>
      <c r="G7617" s="3">
        <v>0</v>
      </c>
      <c r="H7617" s="2">
        <f t="shared" si="236"/>
        <v>56</v>
      </c>
      <c r="I7617" t="str">
        <f t="shared" si="237"/>
        <v>Tmem65_56</v>
      </c>
      <c r="J7617" s="3">
        <v>0</v>
      </c>
      <c r="K7617" s="3">
        <v>56</v>
      </c>
      <c r="L7617" s="3">
        <v>0</v>
      </c>
      <c r="M7617" s="3">
        <v>0</v>
      </c>
      <c r="N7617" s="3">
        <v>0</v>
      </c>
    </row>
    <row r="7618" spans="1:14" x14ac:dyDescent="0.2">
      <c r="A7618" s="5" t="str">
        <f>HYPERLINK("http://www.ncbi.nlm.nih.gov/protein/158631230","Tmem66")</f>
        <v>Tmem66</v>
      </c>
      <c r="B7618" s="4"/>
      <c r="C7618" s="3">
        <v>0</v>
      </c>
      <c r="D7618" s="3">
        <v>184</v>
      </c>
      <c r="E7618" s="3">
        <v>0</v>
      </c>
      <c r="F7618" s="3">
        <v>0</v>
      </c>
      <c r="G7618" s="3">
        <v>0</v>
      </c>
      <c r="H7618" s="2">
        <f t="shared" ref="H7618:H7681" si="238">SUM(C7618:G7618)</f>
        <v>184</v>
      </c>
      <c r="I7618" t="str">
        <f t="shared" ref="I7618:I7681" si="239">A7618&amp;"_"&amp;H7618</f>
        <v>Tmem66_184</v>
      </c>
      <c r="J7618" s="3">
        <v>0</v>
      </c>
      <c r="K7618" s="3">
        <v>184</v>
      </c>
      <c r="L7618" s="3">
        <v>0</v>
      </c>
      <c r="M7618" s="3">
        <v>0</v>
      </c>
      <c r="N7618" s="3">
        <v>0</v>
      </c>
    </row>
    <row r="7619" spans="1:14" x14ac:dyDescent="0.2">
      <c r="A7619" s="5" t="str">
        <f>HYPERLINK("http://www.ncbi.nlm.nih.gov/protein/117647263","Tmem70")</f>
        <v>Tmem70</v>
      </c>
      <c r="B7619" s="4"/>
      <c r="C7619" s="3">
        <v>0</v>
      </c>
      <c r="D7619" s="3">
        <v>17</v>
      </c>
      <c r="E7619" s="3">
        <v>0</v>
      </c>
      <c r="F7619" s="3">
        <v>0</v>
      </c>
      <c r="G7619" s="3">
        <v>0</v>
      </c>
      <c r="H7619" s="2">
        <f t="shared" si="238"/>
        <v>17</v>
      </c>
      <c r="I7619" t="str">
        <f t="shared" si="239"/>
        <v>Tmem70_17</v>
      </c>
      <c r="J7619" s="3">
        <v>0</v>
      </c>
      <c r="K7619" s="3">
        <v>17</v>
      </c>
      <c r="L7619" s="3">
        <v>0</v>
      </c>
      <c r="M7619" s="3">
        <v>0</v>
      </c>
      <c r="N7619" s="3">
        <v>0</v>
      </c>
    </row>
    <row r="7620" spans="1:14" x14ac:dyDescent="0.2">
      <c r="A7620" s="5" t="str">
        <f>HYPERLINK("http://www.ncbi.nlm.nih.gov/protein/117647265","Tmem70")</f>
        <v>Tmem70</v>
      </c>
      <c r="B7620" s="4"/>
      <c r="C7620" s="3">
        <v>0</v>
      </c>
      <c r="D7620" s="3">
        <v>17</v>
      </c>
      <c r="E7620" s="3">
        <v>0</v>
      </c>
      <c r="F7620" s="3">
        <v>0</v>
      </c>
      <c r="G7620" s="3">
        <v>0</v>
      </c>
      <c r="H7620" s="2">
        <f t="shared" si="238"/>
        <v>17</v>
      </c>
      <c r="I7620" t="str">
        <f t="shared" si="239"/>
        <v>Tmem70_17</v>
      </c>
      <c r="J7620" s="3">
        <v>0</v>
      </c>
      <c r="K7620" s="3">
        <v>17</v>
      </c>
      <c r="L7620" s="3">
        <v>0</v>
      </c>
      <c r="M7620" s="3">
        <v>0</v>
      </c>
      <c r="N7620" s="3">
        <v>0</v>
      </c>
    </row>
    <row r="7621" spans="1:14" x14ac:dyDescent="0.2">
      <c r="A7621" s="5" t="str">
        <f>HYPERLINK("http://www.ncbi.nlm.nih.gov/protein/160333201","Tmem87a")</f>
        <v>Tmem87a</v>
      </c>
      <c r="B7621" s="4"/>
      <c r="C7621" s="3">
        <v>0</v>
      </c>
      <c r="D7621" s="3">
        <v>303</v>
      </c>
      <c r="E7621" s="3">
        <v>53</v>
      </c>
      <c r="F7621" s="3">
        <v>0</v>
      </c>
      <c r="G7621" s="3">
        <v>0</v>
      </c>
      <c r="H7621" s="2">
        <f t="shared" si="238"/>
        <v>356</v>
      </c>
      <c r="I7621" t="str">
        <f t="shared" si="239"/>
        <v>Tmem87a_356</v>
      </c>
      <c r="J7621" s="3">
        <v>0</v>
      </c>
      <c r="K7621" s="3">
        <v>303</v>
      </c>
      <c r="L7621" s="3">
        <v>53</v>
      </c>
      <c r="M7621" s="3">
        <v>0</v>
      </c>
      <c r="N7621" s="3">
        <v>0</v>
      </c>
    </row>
    <row r="7622" spans="1:14" x14ac:dyDescent="0.2">
      <c r="A7622" s="5" t="str">
        <f>HYPERLINK("http://www.ncbi.nlm.nih.gov/protein/160333204","Tmem87a")</f>
        <v>Tmem87a</v>
      </c>
      <c r="B7622" s="4"/>
      <c r="C7622" s="3">
        <v>0</v>
      </c>
      <c r="D7622" s="3">
        <v>303</v>
      </c>
      <c r="E7622" s="3">
        <v>53</v>
      </c>
      <c r="F7622" s="3">
        <v>0</v>
      </c>
      <c r="G7622" s="3">
        <v>0</v>
      </c>
      <c r="H7622" s="2">
        <f t="shared" si="238"/>
        <v>356</v>
      </c>
      <c r="I7622" t="str">
        <f t="shared" si="239"/>
        <v>Tmem87a_356</v>
      </c>
      <c r="J7622" s="3">
        <v>0</v>
      </c>
      <c r="K7622" s="3">
        <v>303</v>
      </c>
      <c r="L7622" s="3">
        <v>53</v>
      </c>
      <c r="M7622" s="3">
        <v>0</v>
      </c>
      <c r="N7622" s="3">
        <v>0</v>
      </c>
    </row>
    <row r="7623" spans="1:14" x14ac:dyDescent="0.2">
      <c r="A7623" s="5" t="str">
        <f>HYPERLINK("http://www.ncbi.nlm.nih.gov/protein/160333208","Tmem87a")</f>
        <v>Tmem87a</v>
      </c>
      <c r="B7623" s="4"/>
      <c r="C7623" s="3">
        <v>0</v>
      </c>
      <c r="D7623" s="3">
        <v>303</v>
      </c>
      <c r="E7623" s="3">
        <v>53</v>
      </c>
      <c r="F7623" s="3">
        <v>0</v>
      </c>
      <c r="G7623" s="3">
        <v>0</v>
      </c>
      <c r="H7623" s="2">
        <f t="shared" si="238"/>
        <v>356</v>
      </c>
      <c r="I7623" t="str">
        <f t="shared" si="239"/>
        <v>Tmem87a_356</v>
      </c>
      <c r="J7623" s="3">
        <v>0</v>
      </c>
      <c r="K7623" s="3">
        <v>303</v>
      </c>
      <c r="L7623" s="3">
        <v>53</v>
      </c>
      <c r="M7623" s="3">
        <v>0</v>
      </c>
      <c r="N7623" s="3">
        <v>0</v>
      </c>
    </row>
    <row r="7624" spans="1:14" x14ac:dyDescent="0.2">
      <c r="A7624" s="5" t="str">
        <f>HYPERLINK("http://www.ncbi.nlm.nih.gov/protein/254553287","Tmem89")</f>
        <v>Tmem89</v>
      </c>
      <c r="B7624" s="4"/>
      <c r="C7624" s="3">
        <v>604</v>
      </c>
      <c r="D7624" s="3">
        <v>0</v>
      </c>
      <c r="E7624" s="3">
        <v>0</v>
      </c>
      <c r="F7624" s="3">
        <v>0</v>
      </c>
      <c r="G7624" s="3">
        <v>0</v>
      </c>
      <c r="H7624" s="2">
        <f t="shared" si="238"/>
        <v>604</v>
      </c>
      <c r="I7624" t="str">
        <f t="shared" si="239"/>
        <v>Tmem89_604</v>
      </c>
      <c r="J7624" s="3">
        <v>604</v>
      </c>
      <c r="K7624" s="3">
        <v>0</v>
      </c>
      <c r="L7624" s="3">
        <v>0</v>
      </c>
      <c r="M7624" s="3">
        <v>0</v>
      </c>
      <c r="N7624" s="3">
        <v>0</v>
      </c>
    </row>
    <row r="7625" spans="1:14" x14ac:dyDescent="0.2">
      <c r="A7625" s="5" t="str">
        <f>HYPERLINK("http://www.ncbi.nlm.nih.gov/protein/236466816","Tmem9")</f>
        <v>Tmem9</v>
      </c>
      <c r="B7625" s="4"/>
      <c r="C7625" s="3">
        <v>0</v>
      </c>
      <c r="D7625" s="3">
        <v>0</v>
      </c>
      <c r="E7625" s="3">
        <v>23</v>
      </c>
      <c r="F7625" s="3">
        <v>0</v>
      </c>
      <c r="G7625" s="3">
        <v>0</v>
      </c>
      <c r="H7625" s="2">
        <f t="shared" si="238"/>
        <v>23</v>
      </c>
      <c r="I7625" t="str">
        <f t="shared" si="239"/>
        <v>Tmem9_23</v>
      </c>
      <c r="J7625" s="3">
        <v>0</v>
      </c>
      <c r="K7625" s="3">
        <v>0</v>
      </c>
      <c r="L7625" s="3">
        <v>23</v>
      </c>
      <c r="M7625" s="3">
        <v>0</v>
      </c>
      <c r="N7625" s="3">
        <v>0</v>
      </c>
    </row>
    <row r="7626" spans="1:14" x14ac:dyDescent="0.2">
      <c r="A7626" s="5" t="str">
        <f>HYPERLINK("http://www.ncbi.nlm.nih.gov/protein/19526880","Tmem97")</f>
        <v>Tmem97</v>
      </c>
      <c r="B7626" s="4"/>
      <c r="C7626" s="3">
        <v>0</v>
      </c>
      <c r="D7626" s="3">
        <v>50</v>
      </c>
      <c r="E7626" s="3">
        <v>0</v>
      </c>
      <c r="F7626" s="3">
        <v>0</v>
      </c>
      <c r="G7626" s="3">
        <v>0</v>
      </c>
      <c r="H7626" s="2">
        <f t="shared" si="238"/>
        <v>50</v>
      </c>
      <c r="I7626" t="str">
        <f t="shared" si="239"/>
        <v>Tmem97_50</v>
      </c>
      <c r="J7626" s="3">
        <v>0</v>
      </c>
      <c r="K7626" s="3">
        <v>50</v>
      </c>
      <c r="L7626" s="3">
        <v>0</v>
      </c>
      <c r="M7626" s="3">
        <v>0</v>
      </c>
      <c r="N7626" s="3">
        <v>0</v>
      </c>
    </row>
    <row r="7627" spans="1:14" x14ac:dyDescent="0.2">
      <c r="A7627" s="5" t="str">
        <f>HYPERLINK("http://www.ncbi.nlm.nih.gov/protein/10092671","Tmem9b")</f>
        <v>Tmem9b</v>
      </c>
      <c r="B7627" s="4"/>
      <c r="C7627" s="3">
        <v>0</v>
      </c>
      <c r="D7627" s="3">
        <v>219</v>
      </c>
      <c r="E7627" s="3">
        <v>408</v>
      </c>
      <c r="F7627" s="3">
        <v>0</v>
      </c>
      <c r="G7627" s="3">
        <v>0</v>
      </c>
      <c r="H7627" s="2">
        <f t="shared" si="238"/>
        <v>627</v>
      </c>
      <c r="I7627" t="str">
        <f t="shared" si="239"/>
        <v>Tmem9b_627</v>
      </c>
      <c r="J7627" s="3">
        <v>0</v>
      </c>
      <c r="K7627" s="3">
        <v>219</v>
      </c>
      <c r="L7627" s="3">
        <v>408</v>
      </c>
      <c r="M7627" s="3">
        <v>0</v>
      </c>
      <c r="N7627" s="3">
        <v>0</v>
      </c>
    </row>
    <row r="7628" spans="1:14" x14ac:dyDescent="0.2">
      <c r="A7628" s="5" t="str">
        <f>HYPERLINK("http://www.ncbi.nlm.nih.gov/protein/8394460","Tmod3")</f>
        <v>Tmod3</v>
      </c>
      <c r="B7628" s="4"/>
      <c r="C7628" s="3">
        <v>1611</v>
      </c>
      <c r="D7628" s="3">
        <v>56</v>
      </c>
      <c r="E7628" s="3">
        <v>4819</v>
      </c>
      <c r="F7628" s="3">
        <v>3643</v>
      </c>
      <c r="G7628" s="3">
        <v>44177</v>
      </c>
      <c r="H7628" s="2">
        <f t="shared" si="238"/>
        <v>54306</v>
      </c>
      <c r="I7628" t="str">
        <f t="shared" si="239"/>
        <v>Tmod3_54306</v>
      </c>
      <c r="J7628" s="3">
        <v>1611</v>
      </c>
      <c r="K7628" s="3">
        <v>56</v>
      </c>
      <c r="L7628" s="3">
        <v>4819</v>
      </c>
      <c r="M7628" s="3">
        <v>3643</v>
      </c>
      <c r="N7628" s="3">
        <v>44177</v>
      </c>
    </row>
    <row r="7629" spans="1:14" x14ac:dyDescent="0.2">
      <c r="A7629" s="5" t="str">
        <f>HYPERLINK("http://www.ncbi.nlm.nih.gov/protein/121949760","Tmpo")</f>
        <v>Tmpo</v>
      </c>
      <c r="B7629" s="4"/>
      <c r="C7629" s="3">
        <v>604227</v>
      </c>
      <c r="D7629" s="3">
        <v>3290</v>
      </c>
      <c r="E7629" s="3">
        <v>35133</v>
      </c>
      <c r="F7629" s="3">
        <v>5885</v>
      </c>
      <c r="G7629" s="3">
        <v>10367</v>
      </c>
      <c r="H7629" s="2">
        <f t="shared" si="238"/>
        <v>658902</v>
      </c>
      <c r="I7629" t="str">
        <f t="shared" si="239"/>
        <v>Tmpo_658902</v>
      </c>
      <c r="J7629" s="3">
        <v>604227</v>
      </c>
      <c r="K7629" s="3">
        <v>3290</v>
      </c>
      <c r="L7629" s="3">
        <v>35133</v>
      </c>
      <c r="M7629" s="3">
        <v>5885</v>
      </c>
      <c r="N7629" s="3">
        <v>10367</v>
      </c>
    </row>
    <row r="7630" spans="1:14" x14ac:dyDescent="0.2">
      <c r="A7630" s="5" t="str">
        <f>HYPERLINK("http://www.ncbi.nlm.nih.gov/protein/121949763","Tmpo")</f>
        <v>Tmpo</v>
      </c>
      <c r="B7630" s="4"/>
      <c r="C7630" s="3">
        <v>686842</v>
      </c>
      <c r="D7630" s="3">
        <v>2816</v>
      </c>
      <c r="E7630" s="3">
        <v>11456</v>
      </c>
      <c r="F7630" s="3">
        <v>1138</v>
      </c>
      <c r="G7630" s="3">
        <v>10367</v>
      </c>
      <c r="H7630" s="2">
        <f t="shared" si="238"/>
        <v>712619</v>
      </c>
      <c r="I7630" t="str">
        <f t="shared" si="239"/>
        <v>Tmpo_712619</v>
      </c>
      <c r="J7630" s="3">
        <v>686842</v>
      </c>
      <c r="K7630" s="3">
        <v>2816</v>
      </c>
      <c r="L7630" s="3">
        <v>11456</v>
      </c>
      <c r="M7630" s="3">
        <v>1138</v>
      </c>
      <c r="N7630" s="3">
        <v>10367</v>
      </c>
    </row>
    <row r="7631" spans="1:14" x14ac:dyDescent="0.2">
      <c r="A7631" s="5" t="str">
        <f>HYPERLINK("http://www.ncbi.nlm.nih.gov/protein/121949765","Tmpo")</f>
        <v>Tmpo</v>
      </c>
      <c r="B7631" s="4"/>
      <c r="C7631" s="3">
        <v>909772</v>
      </c>
      <c r="D7631" s="3">
        <v>5142</v>
      </c>
      <c r="E7631" s="3">
        <v>12459</v>
      </c>
      <c r="F7631" s="3">
        <v>1138</v>
      </c>
      <c r="G7631" s="3">
        <v>10367</v>
      </c>
      <c r="H7631" s="2">
        <f t="shared" si="238"/>
        <v>938878</v>
      </c>
      <c r="I7631" t="str">
        <f t="shared" si="239"/>
        <v>Tmpo_938878</v>
      </c>
      <c r="J7631" s="3">
        <v>909772</v>
      </c>
      <c r="K7631" s="3">
        <v>5142</v>
      </c>
      <c r="L7631" s="3">
        <v>12459</v>
      </c>
      <c r="M7631" s="3">
        <v>1138</v>
      </c>
      <c r="N7631" s="3">
        <v>10367</v>
      </c>
    </row>
    <row r="7632" spans="1:14" x14ac:dyDescent="0.2">
      <c r="A7632" s="5" t="str">
        <f>HYPERLINK("http://www.ncbi.nlm.nih.gov/protein/121949767","Tmpo")</f>
        <v>Tmpo</v>
      </c>
      <c r="B7632" s="4"/>
      <c r="C7632" s="3">
        <v>909772</v>
      </c>
      <c r="D7632" s="3">
        <v>5142</v>
      </c>
      <c r="E7632" s="3">
        <v>12459</v>
      </c>
      <c r="F7632" s="3">
        <v>1138</v>
      </c>
      <c r="G7632" s="3">
        <v>10367</v>
      </c>
      <c r="H7632" s="2">
        <f t="shared" si="238"/>
        <v>938878</v>
      </c>
      <c r="I7632" t="str">
        <f t="shared" si="239"/>
        <v>Tmpo_938878</v>
      </c>
      <c r="J7632" s="3">
        <v>909772</v>
      </c>
      <c r="K7632" s="3">
        <v>5142</v>
      </c>
      <c r="L7632" s="3">
        <v>12459</v>
      </c>
      <c r="M7632" s="3">
        <v>1138</v>
      </c>
      <c r="N7632" s="3">
        <v>10367</v>
      </c>
    </row>
    <row r="7633" spans="1:14" x14ac:dyDescent="0.2">
      <c r="A7633" s="5" t="str">
        <f>HYPERLINK("http://www.ncbi.nlm.nih.gov/protein/121949769","Tmpo")</f>
        <v>Tmpo</v>
      </c>
      <c r="B7633" s="4"/>
      <c r="C7633" s="3">
        <v>566974</v>
      </c>
      <c r="D7633" s="3">
        <v>2764</v>
      </c>
      <c r="E7633" s="3">
        <v>11456</v>
      </c>
      <c r="F7633" s="3">
        <v>1138</v>
      </c>
      <c r="G7633" s="3">
        <v>10367</v>
      </c>
      <c r="H7633" s="2">
        <f t="shared" si="238"/>
        <v>592699</v>
      </c>
      <c r="I7633" t="str">
        <f t="shared" si="239"/>
        <v>Tmpo_592699</v>
      </c>
      <c r="J7633" s="3">
        <v>566974</v>
      </c>
      <c r="K7633" s="3">
        <v>2764</v>
      </c>
      <c r="L7633" s="3">
        <v>11456</v>
      </c>
      <c r="M7633" s="3">
        <v>1138</v>
      </c>
      <c r="N7633" s="3">
        <v>10367</v>
      </c>
    </row>
    <row r="7634" spans="1:14" x14ac:dyDescent="0.2">
      <c r="A7634" s="5" t="str">
        <f>HYPERLINK("http://www.ncbi.nlm.nih.gov/protein/121949779","Tmpo")</f>
        <v>Tmpo</v>
      </c>
      <c r="B7634" s="4"/>
      <c r="C7634" s="3">
        <v>415675</v>
      </c>
      <c r="D7634" s="3">
        <v>2764</v>
      </c>
      <c r="E7634" s="3">
        <v>11456</v>
      </c>
      <c r="F7634" s="3">
        <v>1138</v>
      </c>
      <c r="G7634" s="3">
        <v>10367</v>
      </c>
      <c r="H7634" s="2">
        <f t="shared" si="238"/>
        <v>441400</v>
      </c>
      <c r="I7634" t="str">
        <f t="shared" si="239"/>
        <v>Tmpo_441400</v>
      </c>
      <c r="J7634" s="3">
        <v>415675</v>
      </c>
      <c r="K7634" s="3">
        <v>2764</v>
      </c>
      <c r="L7634" s="3">
        <v>11456</v>
      </c>
      <c r="M7634" s="3">
        <v>1138</v>
      </c>
      <c r="N7634" s="3">
        <v>10367</v>
      </c>
    </row>
    <row r="7635" spans="1:14" x14ac:dyDescent="0.2">
      <c r="A7635" s="5" t="str">
        <f>HYPERLINK("http://www.ncbi.nlm.nih.gov/protein/317008614","Tmppe")</f>
        <v>Tmppe</v>
      </c>
      <c r="B7635" s="4"/>
      <c r="C7635" s="3">
        <v>0</v>
      </c>
      <c r="D7635" s="3">
        <v>0</v>
      </c>
      <c r="E7635" s="3">
        <v>69</v>
      </c>
      <c r="F7635" s="3">
        <v>0</v>
      </c>
      <c r="G7635" s="3">
        <v>0</v>
      </c>
      <c r="H7635" s="2">
        <f t="shared" si="238"/>
        <v>69</v>
      </c>
      <c r="I7635" t="str">
        <f t="shared" si="239"/>
        <v>Tmppe_69</v>
      </c>
      <c r="J7635" s="3">
        <v>0</v>
      </c>
      <c r="K7635" s="3">
        <v>0</v>
      </c>
      <c r="L7635" s="3">
        <v>69</v>
      </c>
      <c r="M7635" s="3">
        <v>0</v>
      </c>
      <c r="N7635" s="3">
        <v>0</v>
      </c>
    </row>
    <row r="7636" spans="1:14" x14ac:dyDescent="0.2">
      <c r="A7636" s="5" t="str">
        <f>HYPERLINK("http://www.ncbi.nlm.nih.gov/protein/148747219","Tmprss11bnl")</f>
        <v>Tmprss11bnl</v>
      </c>
      <c r="B7636" s="4"/>
      <c r="C7636" s="3">
        <v>0</v>
      </c>
      <c r="D7636" s="3">
        <v>0</v>
      </c>
      <c r="E7636" s="3">
        <v>0</v>
      </c>
      <c r="F7636" s="3">
        <v>0</v>
      </c>
      <c r="G7636" s="3">
        <v>37890</v>
      </c>
      <c r="H7636" s="2">
        <f t="shared" si="238"/>
        <v>37890</v>
      </c>
      <c r="I7636" t="str">
        <f t="shared" si="239"/>
        <v>Tmprss11bnl_37890</v>
      </c>
      <c r="J7636" s="3">
        <v>0</v>
      </c>
      <c r="K7636" s="3">
        <v>0</v>
      </c>
      <c r="L7636" s="3">
        <v>0</v>
      </c>
      <c r="M7636" s="3">
        <v>0</v>
      </c>
      <c r="N7636" s="3">
        <v>37890</v>
      </c>
    </row>
    <row r="7637" spans="1:14" x14ac:dyDescent="0.2">
      <c r="A7637" s="5" t="str">
        <f>HYPERLINK("http://www.ncbi.nlm.nih.gov/protein/188536038","Tmprss11g")</f>
        <v>Tmprss11g</v>
      </c>
      <c r="B7637" s="4"/>
      <c r="C7637" s="3">
        <v>494</v>
      </c>
      <c r="D7637" s="3">
        <v>0</v>
      </c>
      <c r="E7637" s="3">
        <v>354</v>
      </c>
      <c r="F7637" s="3">
        <v>0</v>
      </c>
      <c r="G7637" s="3">
        <v>0</v>
      </c>
      <c r="H7637" s="2">
        <f t="shared" si="238"/>
        <v>848</v>
      </c>
      <c r="I7637" t="str">
        <f t="shared" si="239"/>
        <v>Tmprss11g_848</v>
      </c>
      <c r="J7637" s="3">
        <v>494</v>
      </c>
      <c r="K7637" s="3">
        <v>0</v>
      </c>
      <c r="L7637" s="3">
        <v>354</v>
      </c>
      <c r="M7637" s="3">
        <v>0</v>
      </c>
      <c r="N7637" s="3">
        <v>0</v>
      </c>
    </row>
    <row r="7638" spans="1:14" x14ac:dyDescent="0.2">
      <c r="A7638" s="5" t="str">
        <f>HYPERLINK("http://www.ncbi.nlm.nih.gov/protein/34328226","Tmprss2")</f>
        <v>Tmprss2</v>
      </c>
      <c r="B7638" s="4"/>
      <c r="C7638" s="3">
        <v>0</v>
      </c>
      <c r="D7638" s="3">
        <v>157</v>
      </c>
      <c r="E7638" s="3">
        <v>514</v>
      </c>
      <c r="F7638" s="3">
        <v>0</v>
      </c>
      <c r="G7638" s="3">
        <v>86</v>
      </c>
      <c r="H7638" s="2">
        <f t="shared" si="238"/>
        <v>757</v>
      </c>
      <c r="I7638" t="str">
        <f t="shared" si="239"/>
        <v>Tmprss2_757</v>
      </c>
      <c r="J7638" s="3">
        <v>0</v>
      </c>
      <c r="K7638" s="3">
        <v>157</v>
      </c>
      <c r="L7638" s="3">
        <v>514</v>
      </c>
      <c r="M7638" s="3">
        <v>0</v>
      </c>
      <c r="N7638" s="3">
        <v>86</v>
      </c>
    </row>
    <row r="7639" spans="1:14" x14ac:dyDescent="0.2">
      <c r="A7639" s="5" t="str">
        <f>HYPERLINK("http://www.ncbi.nlm.nih.gov/protein/21703806","Tmprss4")</f>
        <v>Tmprss4</v>
      </c>
      <c r="B7639" s="4"/>
      <c r="C7639" s="3">
        <v>0</v>
      </c>
      <c r="D7639" s="3">
        <v>0</v>
      </c>
      <c r="E7639" s="3">
        <v>158</v>
      </c>
      <c r="F7639" s="3">
        <v>0</v>
      </c>
      <c r="G7639" s="3">
        <v>0</v>
      </c>
      <c r="H7639" s="2">
        <f t="shared" si="238"/>
        <v>158</v>
      </c>
      <c r="I7639" t="str">
        <f t="shared" si="239"/>
        <v>Tmprss4_158</v>
      </c>
      <c r="J7639" s="3">
        <v>0</v>
      </c>
      <c r="K7639" s="3">
        <v>0</v>
      </c>
      <c r="L7639" s="3">
        <v>158</v>
      </c>
      <c r="M7639" s="3">
        <v>0</v>
      </c>
      <c r="N7639" s="3">
        <v>0</v>
      </c>
    </row>
    <row r="7640" spans="1:14" x14ac:dyDescent="0.2">
      <c r="A7640" s="5" t="str">
        <f>HYPERLINK("http://www.ncbi.nlm.nih.gov/protein/126517491","Tmsb15b1")</f>
        <v>Tmsb15b1</v>
      </c>
      <c r="B7640" s="4"/>
      <c r="C7640" s="3">
        <v>0</v>
      </c>
      <c r="D7640" s="3">
        <v>0</v>
      </c>
      <c r="E7640" s="3">
        <v>0</v>
      </c>
      <c r="F7640" s="3">
        <v>0</v>
      </c>
      <c r="G7640" s="3">
        <v>2260</v>
      </c>
      <c r="H7640" s="2">
        <f t="shared" si="238"/>
        <v>2260</v>
      </c>
      <c r="I7640" t="str">
        <f t="shared" si="239"/>
        <v>Tmsb15b1_2260</v>
      </c>
      <c r="J7640" s="3">
        <v>0</v>
      </c>
      <c r="K7640" s="3">
        <v>0</v>
      </c>
      <c r="L7640" s="3">
        <v>0</v>
      </c>
      <c r="M7640" s="3">
        <v>0</v>
      </c>
      <c r="N7640" s="3">
        <v>2260</v>
      </c>
    </row>
    <row r="7641" spans="1:14" x14ac:dyDescent="0.2">
      <c r="A7641" s="5" t="str">
        <f>HYPERLINK("http://www.ncbi.nlm.nih.gov/protein/124378056","Tmsb15b2")</f>
        <v>Tmsb15b2</v>
      </c>
      <c r="B7641" s="4"/>
      <c r="C7641" s="3">
        <v>0</v>
      </c>
      <c r="D7641" s="3">
        <v>0</v>
      </c>
      <c r="E7641" s="3">
        <v>0</v>
      </c>
      <c r="F7641" s="3">
        <v>0</v>
      </c>
      <c r="G7641" s="3">
        <v>1521</v>
      </c>
      <c r="H7641" s="2">
        <f t="shared" si="238"/>
        <v>1521</v>
      </c>
      <c r="I7641" t="str">
        <f t="shared" si="239"/>
        <v>Tmsb15b2_1521</v>
      </c>
      <c r="J7641" s="3">
        <v>0</v>
      </c>
      <c r="K7641" s="3">
        <v>0</v>
      </c>
      <c r="L7641" s="3">
        <v>0</v>
      </c>
      <c r="M7641" s="3">
        <v>0</v>
      </c>
      <c r="N7641" s="3">
        <v>1521</v>
      </c>
    </row>
    <row r="7642" spans="1:14" x14ac:dyDescent="0.2">
      <c r="A7642" s="5" t="str">
        <f>HYPERLINK("http://www.ncbi.nlm.nih.gov/protein/46402291","Tmsb15l")</f>
        <v>Tmsb15l</v>
      </c>
      <c r="B7642" s="4"/>
      <c r="C7642" s="3">
        <v>0</v>
      </c>
      <c r="D7642" s="3">
        <v>0</v>
      </c>
      <c r="E7642" s="3">
        <v>0</v>
      </c>
      <c r="F7642" s="3">
        <v>0</v>
      </c>
      <c r="G7642" s="3">
        <v>1521</v>
      </c>
      <c r="H7642" s="2">
        <f t="shared" si="238"/>
        <v>1521</v>
      </c>
      <c r="I7642" t="str">
        <f t="shared" si="239"/>
        <v>Tmsb15l_1521</v>
      </c>
      <c r="J7642" s="3">
        <v>0</v>
      </c>
      <c r="K7642" s="3">
        <v>0</v>
      </c>
      <c r="L7642" s="3">
        <v>0</v>
      </c>
      <c r="M7642" s="3">
        <v>0</v>
      </c>
      <c r="N7642" s="3">
        <v>1521</v>
      </c>
    </row>
    <row r="7643" spans="1:14" x14ac:dyDescent="0.2">
      <c r="A7643" s="5" t="str">
        <f>HYPERLINK("http://www.ncbi.nlm.nih.gov/protein/10946578","Tmsb4x")</f>
        <v>Tmsb4x</v>
      </c>
      <c r="B7643" s="4"/>
      <c r="C7643" s="3">
        <v>0</v>
      </c>
      <c r="D7643" s="3">
        <v>6</v>
      </c>
      <c r="E7643" s="3">
        <v>342</v>
      </c>
      <c r="F7643" s="3">
        <v>0</v>
      </c>
      <c r="G7643" s="3">
        <v>739</v>
      </c>
      <c r="H7643" s="2">
        <f t="shared" si="238"/>
        <v>1087</v>
      </c>
      <c r="I7643" t="str">
        <f t="shared" si="239"/>
        <v>Tmsb4x_1087</v>
      </c>
      <c r="J7643" s="3">
        <v>0</v>
      </c>
      <c r="K7643" s="3">
        <v>6</v>
      </c>
      <c r="L7643" s="3">
        <v>342</v>
      </c>
      <c r="M7643" s="3">
        <v>0</v>
      </c>
      <c r="N7643" s="3">
        <v>739</v>
      </c>
    </row>
    <row r="7644" spans="1:14" x14ac:dyDescent="0.2">
      <c r="A7644" s="5" t="str">
        <f>HYPERLINK("http://www.ncbi.nlm.nih.gov/protein/75677476","Tmtc3")</f>
        <v>Tmtc3</v>
      </c>
      <c r="B7644" s="4"/>
      <c r="C7644" s="3">
        <v>0</v>
      </c>
      <c r="D7644" s="3">
        <v>547</v>
      </c>
      <c r="E7644" s="3">
        <v>1222</v>
      </c>
      <c r="F7644" s="3">
        <v>0</v>
      </c>
      <c r="G7644" s="3">
        <v>0</v>
      </c>
      <c r="H7644" s="2">
        <f t="shared" si="238"/>
        <v>1769</v>
      </c>
      <c r="I7644" t="str">
        <f t="shared" si="239"/>
        <v>Tmtc3_1769</v>
      </c>
      <c r="J7644" s="3">
        <v>0</v>
      </c>
      <c r="K7644" s="3">
        <v>547</v>
      </c>
      <c r="L7644" s="3">
        <v>1222</v>
      </c>
      <c r="M7644" s="3">
        <v>0</v>
      </c>
      <c r="N7644" s="3">
        <v>0</v>
      </c>
    </row>
    <row r="7645" spans="1:14" x14ac:dyDescent="0.2">
      <c r="A7645" s="5" t="str">
        <f>HYPERLINK("http://www.ncbi.nlm.nih.gov/protein/158517929","Tmtc3")</f>
        <v>Tmtc3</v>
      </c>
      <c r="B7645" s="4"/>
      <c r="C7645" s="3">
        <v>2453</v>
      </c>
      <c r="D7645" s="3">
        <v>666</v>
      </c>
      <c r="E7645" s="3">
        <v>2005</v>
      </c>
      <c r="F7645" s="3">
        <v>0</v>
      </c>
      <c r="G7645" s="3">
        <v>0</v>
      </c>
      <c r="H7645" s="2">
        <f t="shared" si="238"/>
        <v>5124</v>
      </c>
      <c r="I7645" t="str">
        <f t="shared" si="239"/>
        <v>Tmtc3_5124</v>
      </c>
      <c r="J7645" s="3">
        <v>2453</v>
      </c>
      <c r="K7645" s="3">
        <v>666</v>
      </c>
      <c r="L7645" s="3">
        <v>2005</v>
      </c>
      <c r="M7645" s="3">
        <v>0</v>
      </c>
      <c r="N7645" s="3">
        <v>0</v>
      </c>
    </row>
    <row r="7646" spans="1:14" x14ac:dyDescent="0.2">
      <c r="A7646" s="5" t="str">
        <f>HYPERLINK("http://www.ncbi.nlm.nih.gov/protein/11967945","Tmub1")</f>
        <v>Tmub1</v>
      </c>
      <c r="B7646" s="4"/>
      <c r="C7646" s="3">
        <v>0</v>
      </c>
      <c r="D7646" s="3">
        <v>46</v>
      </c>
      <c r="E7646" s="3">
        <v>0</v>
      </c>
      <c r="F7646" s="3">
        <v>0</v>
      </c>
      <c r="G7646" s="3">
        <v>0</v>
      </c>
      <c r="H7646" s="2">
        <f t="shared" si="238"/>
        <v>46</v>
      </c>
      <c r="I7646" t="str">
        <f t="shared" si="239"/>
        <v>Tmub1_46</v>
      </c>
      <c r="J7646" s="3">
        <v>0</v>
      </c>
      <c r="K7646" s="3">
        <v>46</v>
      </c>
      <c r="L7646" s="3">
        <v>0</v>
      </c>
      <c r="M7646" s="3">
        <v>0</v>
      </c>
      <c r="N7646" s="3">
        <v>0</v>
      </c>
    </row>
    <row r="7647" spans="1:14" x14ac:dyDescent="0.2">
      <c r="A7647" s="5" t="str">
        <f>HYPERLINK("http://www.ncbi.nlm.nih.gov/protein/33859722","Tmx1")</f>
        <v>Tmx1</v>
      </c>
      <c r="B7647" s="4"/>
      <c r="C7647" s="3">
        <v>103887</v>
      </c>
      <c r="D7647" s="3">
        <v>5071</v>
      </c>
      <c r="E7647" s="3">
        <v>8042</v>
      </c>
      <c r="F7647" s="3">
        <v>1588</v>
      </c>
      <c r="G7647" s="3">
        <v>0</v>
      </c>
      <c r="H7647" s="2">
        <f t="shared" si="238"/>
        <v>118588</v>
      </c>
      <c r="I7647" t="str">
        <f t="shared" si="239"/>
        <v>Tmx1_118588</v>
      </c>
      <c r="J7647" s="3">
        <v>103887</v>
      </c>
      <c r="K7647" s="3">
        <v>5071</v>
      </c>
      <c r="L7647" s="3">
        <v>8042</v>
      </c>
      <c r="M7647" s="3">
        <v>1588</v>
      </c>
      <c r="N7647" s="3">
        <v>0</v>
      </c>
    </row>
    <row r="7648" spans="1:14" x14ac:dyDescent="0.2">
      <c r="A7648" s="5" t="str">
        <f>HYPERLINK("http://www.ncbi.nlm.nih.gov/protein/21313210","Tmx2")</f>
        <v>Tmx2</v>
      </c>
      <c r="B7648" s="4"/>
      <c r="C7648" s="3">
        <v>146</v>
      </c>
      <c r="D7648" s="3">
        <v>2108</v>
      </c>
      <c r="E7648" s="3">
        <v>757</v>
      </c>
      <c r="F7648" s="3">
        <v>0</v>
      </c>
      <c r="G7648" s="3">
        <v>0</v>
      </c>
      <c r="H7648" s="2">
        <f t="shared" si="238"/>
        <v>3011</v>
      </c>
      <c r="I7648" t="str">
        <f t="shared" si="239"/>
        <v>Tmx2_3011</v>
      </c>
      <c r="J7648" s="3">
        <v>146</v>
      </c>
      <c r="K7648" s="3">
        <v>2108</v>
      </c>
      <c r="L7648" s="3">
        <v>757</v>
      </c>
      <c r="M7648" s="3">
        <v>0</v>
      </c>
      <c r="N7648" s="3">
        <v>0</v>
      </c>
    </row>
    <row r="7649" spans="1:14" x14ac:dyDescent="0.2">
      <c r="A7649" s="5" t="str">
        <f>HYPERLINK("http://www.ncbi.nlm.nih.gov/protein/117606385","Tmx3")</f>
        <v>Tmx3</v>
      </c>
      <c r="B7649" s="4"/>
      <c r="C7649" s="3">
        <v>0</v>
      </c>
      <c r="D7649" s="3">
        <v>1010</v>
      </c>
      <c r="E7649" s="3">
        <v>661</v>
      </c>
      <c r="F7649" s="3">
        <v>0</v>
      </c>
      <c r="G7649" s="3">
        <v>0</v>
      </c>
      <c r="H7649" s="2">
        <f t="shared" si="238"/>
        <v>1671</v>
      </c>
      <c r="I7649" t="str">
        <f t="shared" si="239"/>
        <v>Tmx3_1671</v>
      </c>
      <c r="J7649" s="3">
        <v>0</v>
      </c>
      <c r="K7649" s="3">
        <v>1010</v>
      </c>
      <c r="L7649" s="3">
        <v>661</v>
      </c>
      <c r="M7649" s="3">
        <v>0</v>
      </c>
      <c r="N7649" s="3">
        <v>0</v>
      </c>
    </row>
    <row r="7650" spans="1:14" x14ac:dyDescent="0.2">
      <c r="A7650" s="5" t="str">
        <f>HYPERLINK("http://www.ncbi.nlm.nih.gov/protein/112817607","Tmx4")</f>
        <v>Tmx4</v>
      </c>
      <c r="B7650" s="4"/>
      <c r="C7650" s="3">
        <v>1593</v>
      </c>
      <c r="D7650" s="3">
        <v>526</v>
      </c>
      <c r="E7650" s="3">
        <v>42</v>
      </c>
      <c r="F7650" s="3">
        <v>0</v>
      </c>
      <c r="G7650" s="3">
        <v>0</v>
      </c>
      <c r="H7650" s="2">
        <f t="shared" si="238"/>
        <v>2161</v>
      </c>
      <c r="I7650" t="str">
        <f t="shared" si="239"/>
        <v>Tmx4_2161</v>
      </c>
      <c r="J7650" s="3">
        <v>1593</v>
      </c>
      <c r="K7650" s="3">
        <v>526</v>
      </c>
      <c r="L7650" s="3">
        <v>42</v>
      </c>
      <c r="M7650" s="3">
        <v>0</v>
      </c>
      <c r="N7650" s="3">
        <v>0</v>
      </c>
    </row>
    <row r="7651" spans="1:14" x14ac:dyDescent="0.2">
      <c r="A7651" s="5" t="str">
        <f>HYPERLINK("http://www.ncbi.nlm.nih.gov/protein/194394239","Tnfaip2")</f>
        <v>Tnfaip2</v>
      </c>
      <c r="B7651" s="4"/>
      <c r="C7651" s="3">
        <v>0</v>
      </c>
      <c r="D7651" s="3">
        <v>0</v>
      </c>
      <c r="E7651" s="3">
        <v>13</v>
      </c>
      <c r="F7651" s="3">
        <v>0</v>
      </c>
      <c r="G7651" s="3">
        <v>0</v>
      </c>
      <c r="H7651" s="2">
        <f t="shared" si="238"/>
        <v>13</v>
      </c>
      <c r="I7651" t="str">
        <f t="shared" si="239"/>
        <v>Tnfaip2_13</v>
      </c>
      <c r="J7651" s="3">
        <v>0</v>
      </c>
      <c r="K7651" s="3">
        <v>0</v>
      </c>
      <c r="L7651" s="3">
        <v>13</v>
      </c>
      <c r="M7651" s="3">
        <v>0</v>
      </c>
      <c r="N7651" s="3">
        <v>0</v>
      </c>
    </row>
    <row r="7652" spans="1:14" x14ac:dyDescent="0.2">
      <c r="A7652" s="5" t="str">
        <f>HYPERLINK("http://www.ncbi.nlm.nih.gov/protein/295444879","Tnfaip8")</f>
        <v>Tnfaip8</v>
      </c>
      <c r="B7652" s="4"/>
      <c r="C7652" s="3">
        <v>0</v>
      </c>
      <c r="D7652" s="3">
        <v>1822</v>
      </c>
      <c r="E7652" s="3">
        <v>1697</v>
      </c>
      <c r="F7652" s="3">
        <v>1007</v>
      </c>
      <c r="G7652" s="3">
        <v>25896</v>
      </c>
      <c r="H7652" s="2">
        <f t="shared" si="238"/>
        <v>30422</v>
      </c>
      <c r="I7652" t="str">
        <f t="shared" si="239"/>
        <v>Tnfaip8_30422</v>
      </c>
      <c r="J7652" s="3">
        <v>0</v>
      </c>
      <c r="K7652" s="3">
        <v>1822</v>
      </c>
      <c r="L7652" s="3">
        <v>1697</v>
      </c>
      <c r="M7652" s="3">
        <v>1007</v>
      </c>
      <c r="N7652" s="3">
        <v>25896</v>
      </c>
    </row>
    <row r="7653" spans="1:14" x14ac:dyDescent="0.2">
      <c r="A7653" s="5" t="str">
        <f>HYPERLINK("http://www.ncbi.nlm.nih.gov/protein/295444881","Tnfaip8")</f>
        <v>Tnfaip8</v>
      </c>
      <c r="B7653" s="4"/>
      <c r="C7653" s="3">
        <v>0</v>
      </c>
      <c r="D7653" s="3">
        <v>1822</v>
      </c>
      <c r="E7653" s="3">
        <v>1122</v>
      </c>
      <c r="F7653" s="3">
        <v>1007</v>
      </c>
      <c r="G7653" s="3">
        <v>16096</v>
      </c>
      <c r="H7653" s="2">
        <f t="shared" si="238"/>
        <v>20047</v>
      </c>
      <c r="I7653" t="str">
        <f t="shared" si="239"/>
        <v>Tnfaip8_20047</v>
      </c>
      <c r="J7653" s="3">
        <v>0</v>
      </c>
      <c r="K7653" s="3">
        <v>1822</v>
      </c>
      <c r="L7653" s="3">
        <v>1122</v>
      </c>
      <c r="M7653" s="3">
        <v>1007</v>
      </c>
      <c r="N7653" s="3">
        <v>16096</v>
      </c>
    </row>
    <row r="7654" spans="1:14" x14ac:dyDescent="0.2">
      <c r="A7654" s="5" t="str">
        <f>HYPERLINK("http://www.ncbi.nlm.nih.gov/protein/295444883","Tnfaip8")</f>
        <v>Tnfaip8</v>
      </c>
      <c r="B7654" s="4"/>
      <c r="C7654" s="3">
        <v>0</v>
      </c>
      <c r="D7654" s="3">
        <v>1035</v>
      </c>
      <c r="E7654" s="3">
        <v>841</v>
      </c>
      <c r="F7654" s="3">
        <v>1007</v>
      </c>
      <c r="G7654" s="3">
        <v>13098</v>
      </c>
      <c r="H7654" s="2">
        <f t="shared" si="238"/>
        <v>15981</v>
      </c>
      <c r="I7654" t="str">
        <f t="shared" si="239"/>
        <v>Tnfaip8_15981</v>
      </c>
      <c r="J7654" s="3">
        <v>0</v>
      </c>
      <c r="K7654" s="3">
        <v>1035</v>
      </c>
      <c r="L7654" s="3">
        <v>841</v>
      </c>
      <c r="M7654" s="3">
        <v>1007</v>
      </c>
      <c r="N7654" s="3">
        <v>13098</v>
      </c>
    </row>
    <row r="7655" spans="1:14" x14ac:dyDescent="0.2">
      <c r="A7655" s="5" t="str">
        <f>HYPERLINK("http://www.ncbi.nlm.nih.gov/protein/31560244","Tnfaip8l1")</f>
        <v>Tnfaip8l1</v>
      </c>
      <c r="B7655" s="4"/>
      <c r="C7655" s="3">
        <v>0</v>
      </c>
      <c r="D7655" s="3">
        <v>0</v>
      </c>
      <c r="E7655" s="3">
        <v>0</v>
      </c>
      <c r="F7655" s="3">
        <v>221</v>
      </c>
      <c r="G7655" s="3">
        <v>0</v>
      </c>
      <c r="H7655" s="2">
        <f t="shared" si="238"/>
        <v>221</v>
      </c>
      <c r="I7655" t="str">
        <f t="shared" si="239"/>
        <v>Tnfaip8l1_221</v>
      </c>
      <c r="J7655" s="3">
        <v>0</v>
      </c>
      <c r="K7655" s="3">
        <v>0</v>
      </c>
      <c r="L7655" s="3">
        <v>0</v>
      </c>
      <c r="M7655" s="3">
        <v>221</v>
      </c>
      <c r="N7655" s="3">
        <v>0</v>
      </c>
    </row>
    <row r="7656" spans="1:14" x14ac:dyDescent="0.2">
      <c r="A7656" s="5" t="str">
        <f>HYPERLINK("http://www.ncbi.nlm.nih.gov/protein/244792359","Tnik")</f>
        <v>Tnik</v>
      </c>
      <c r="B7656" s="4"/>
      <c r="C7656" s="3">
        <v>0</v>
      </c>
      <c r="D7656" s="3">
        <v>0</v>
      </c>
      <c r="E7656" s="3">
        <v>247</v>
      </c>
      <c r="F7656" s="3">
        <v>0</v>
      </c>
      <c r="G7656" s="3">
        <v>0</v>
      </c>
      <c r="H7656" s="2">
        <f t="shared" si="238"/>
        <v>247</v>
      </c>
      <c r="I7656" t="str">
        <f t="shared" si="239"/>
        <v>Tnik_247</v>
      </c>
      <c r="J7656" s="3">
        <v>0</v>
      </c>
      <c r="K7656" s="3">
        <v>0</v>
      </c>
      <c r="L7656" s="3">
        <v>247</v>
      </c>
      <c r="M7656" s="3">
        <v>0</v>
      </c>
      <c r="N7656" s="3">
        <v>0</v>
      </c>
    </row>
    <row r="7657" spans="1:14" x14ac:dyDescent="0.2">
      <c r="A7657" s="5" t="str">
        <f>HYPERLINK("http://www.ncbi.nlm.nih.gov/protein/244792600","Tnik")</f>
        <v>Tnik</v>
      </c>
      <c r="B7657" s="4"/>
      <c r="C7657" s="3">
        <v>0</v>
      </c>
      <c r="D7657" s="3">
        <v>0</v>
      </c>
      <c r="E7657" s="3">
        <v>247</v>
      </c>
      <c r="F7657" s="3">
        <v>0</v>
      </c>
      <c r="G7657" s="3">
        <v>0</v>
      </c>
      <c r="H7657" s="2">
        <f t="shared" si="238"/>
        <v>247</v>
      </c>
      <c r="I7657" t="str">
        <f t="shared" si="239"/>
        <v>Tnik_247</v>
      </c>
      <c r="J7657" s="3">
        <v>0</v>
      </c>
      <c r="K7657" s="3">
        <v>0</v>
      </c>
      <c r="L7657" s="3">
        <v>247</v>
      </c>
      <c r="M7657" s="3">
        <v>0</v>
      </c>
      <c r="N7657" s="3">
        <v>0</v>
      </c>
    </row>
    <row r="7658" spans="1:14" x14ac:dyDescent="0.2">
      <c r="A7658" s="5" t="str">
        <f>HYPERLINK("http://www.ncbi.nlm.nih.gov/protein/244792613","Tnik")</f>
        <v>Tnik</v>
      </c>
      <c r="B7658" s="4"/>
      <c r="C7658" s="3">
        <v>0</v>
      </c>
      <c r="D7658" s="3">
        <v>0</v>
      </c>
      <c r="E7658" s="3">
        <v>247</v>
      </c>
      <c r="F7658" s="3">
        <v>0</v>
      </c>
      <c r="G7658" s="3">
        <v>0</v>
      </c>
      <c r="H7658" s="2">
        <f t="shared" si="238"/>
        <v>247</v>
      </c>
      <c r="I7658" t="str">
        <f t="shared" si="239"/>
        <v>Tnik_247</v>
      </c>
      <c r="J7658" s="3">
        <v>0</v>
      </c>
      <c r="K7658" s="3">
        <v>0</v>
      </c>
      <c r="L7658" s="3">
        <v>247</v>
      </c>
      <c r="M7658" s="3">
        <v>0</v>
      </c>
      <c r="N7658" s="3">
        <v>0</v>
      </c>
    </row>
    <row r="7659" spans="1:14" x14ac:dyDescent="0.2">
      <c r="A7659" s="5" t="str">
        <f>HYPERLINK("http://www.ncbi.nlm.nih.gov/protein/244792650","Tnik")</f>
        <v>Tnik</v>
      </c>
      <c r="B7659" s="4"/>
      <c r="C7659" s="3">
        <v>0</v>
      </c>
      <c r="D7659" s="3">
        <v>0</v>
      </c>
      <c r="E7659" s="3">
        <v>247</v>
      </c>
      <c r="F7659" s="3">
        <v>0</v>
      </c>
      <c r="G7659" s="3">
        <v>0</v>
      </c>
      <c r="H7659" s="2">
        <f t="shared" si="238"/>
        <v>247</v>
      </c>
      <c r="I7659" t="str">
        <f t="shared" si="239"/>
        <v>Tnik_247</v>
      </c>
      <c r="J7659" s="3">
        <v>0</v>
      </c>
      <c r="K7659" s="3">
        <v>0</v>
      </c>
      <c r="L7659" s="3">
        <v>247</v>
      </c>
      <c r="M7659" s="3">
        <v>0</v>
      </c>
      <c r="N7659" s="3">
        <v>0</v>
      </c>
    </row>
    <row r="7660" spans="1:14" x14ac:dyDescent="0.2">
      <c r="A7660" s="5" t="str">
        <f>HYPERLINK("http://www.ncbi.nlm.nih.gov/protein/254939617","Tnip1")</f>
        <v>Tnip1</v>
      </c>
      <c r="B7660" s="4"/>
      <c r="C7660" s="3">
        <v>0</v>
      </c>
      <c r="D7660" s="3">
        <v>0</v>
      </c>
      <c r="E7660" s="3">
        <v>0</v>
      </c>
      <c r="F7660" s="3">
        <v>0</v>
      </c>
      <c r="G7660" s="3">
        <v>2613</v>
      </c>
      <c r="H7660" s="2">
        <f t="shared" si="238"/>
        <v>2613</v>
      </c>
      <c r="I7660" t="str">
        <f t="shared" si="239"/>
        <v>Tnip1_2613</v>
      </c>
      <c r="J7660" s="3">
        <v>0</v>
      </c>
      <c r="K7660" s="3">
        <v>0</v>
      </c>
      <c r="L7660" s="3">
        <v>0</v>
      </c>
      <c r="M7660" s="3">
        <v>0</v>
      </c>
      <c r="N7660" s="3">
        <v>2613</v>
      </c>
    </row>
    <row r="7661" spans="1:14" x14ac:dyDescent="0.2">
      <c r="A7661" s="5" t="str">
        <f>HYPERLINK("http://www.ncbi.nlm.nih.gov/protein/407027872;313103031","Tnip1")</f>
        <v>Tnip1</v>
      </c>
      <c r="B7661" s="4"/>
      <c r="C7661" s="3">
        <v>0</v>
      </c>
      <c r="D7661" s="3">
        <v>0</v>
      </c>
      <c r="E7661" s="3">
        <v>0</v>
      </c>
      <c r="F7661" s="3">
        <v>0</v>
      </c>
      <c r="G7661" s="3">
        <v>2613</v>
      </c>
      <c r="H7661" s="2">
        <f t="shared" si="238"/>
        <v>2613</v>
      </c>
      <c r="I7661" t="str">
        <f t="shared" si="239"/>
        <v>Tnip1_2613</v>
      </c>
      <c r="J7661" s="3">
        <v>0</v>
      </c>
      <c r="K7661" s="3">
        <v>0</v>
      </c>
      <c r="L7661" s="3">
        <v>0</v>
      </c>
      <c r="M7661" s="3">
        <v>0</v>
      </c>
      <c r="N7661" s="3">
        <v>2613</v>
      </c>
    </row>
    <row r="7662" spans="1:14" x14ac:dyDescent="0.2">
      <c r="A7662" s="5" t="str">
        <f>HYPERLINK("http://www.ncbi.nlm.nih.gov/protein/407027874","Tnip1")</f>
        <v>Tnip1</v>
      </c>
      <c r="B7662" s="4"/>
      <c r="C7662" s="3">
        <v>0</v>
      </c>
      <c r="D7662" s="3">
        <v>0</v>
      </c>
      <c r="E7662" s="3">
        <v>0</v>
      </c>
      <c r="F7662" s="3">
        <v>0</v>
      </c>
      <c r="G7662" s="3">
        <v>2613</v>
      </c>
      <c r="H7662" s="2">
        <f t="shared" si="238"/>
        <v>2613</v>
      </c>
      <c r="I7662" t="str">
        <f t="shared" si="239"/>
        <v>Tnip1_2613</v>
      </c>
      <c r="J7662" s="3">
        <v>0</v>
      </c>
      <c r="K7662" s="3">
        <v>0</v>
      </c>
      <c r="L7662" s="3">
        <v>0</v>
      </c>
      <c r="M7662" s="3">
        <v>0</v>
      </c>
      <c r="N7662" s="3">
        <v>2613</v>
      </c>
    </row>
    <row r="7663" spans="1:14" x14ac:dyDescent="0.2">
      <c r="A7663" s="5" t="str">
        <f>HYPERLINK("http://www.ncbi.nlm.nih.gov/protein/124486923","Tnks1bp1")</f>
        <v>Tnks1bp1</v>
      </c>
      <c r="B7663" s="4"/>
      <c r="C7663" s="3">
        <v>0</v>
      </c>
      <c r="D7663" s="3">
        <v>1561</v>
      </c>
      <c r="E7663" s="3">
        <v>9062</v>
      </c>
      <c r="F7663" s="3">
        <v>0</v>
      </c>
      <c r="G7663" s="3">
        <v>11084</v>
      </c>
      <c r="H7663" s="2">
        <f t="shared" si="238"/>
        <v>21707</v>
      </c>
      <c r="I7663" t="str">
        <f t="shared" si="239"/>
        <v>Tnks1bp1_21707</v>
      </c>
      <c r="J7663" s="3">
        <v>0</v>
      </c>
      <c r="K7663" s="3">
        <v>1561</v>
      </c>
      <c r="L7663" s="3">
        <v>9062</v>
      </c>
      <c r="M7663" s="3">
        <v>0</v>
      </c>
      <c r="N7663" s="3">
        <v>11084</v>
      </c>
    </row>
    <row r="7664" spans="1:14" x14ac:dyDescent="0.2">
      <c r="A7664" s="5" t="str">
        <f>HYPERLINK("http://www.ncbi.nlm.nih.gov/protein/6678391","Tnni2")</f>
        <v>Tnni2</v>
      </c>
      <c r="B7664" s="4"/>
      <c r="C7664" s="3">
        <v>2343</v>
      </c>
      <c r="D7664" s="3">
        <v>0</v>
      </c>
      <c r="E7664" s="3">
        <v>0</v>
      </c>
      <c r="F7664" s="3">
        <v>0</v>
      </c>
      <c r="G7664" s="3">
        <v>0</v>
      </c>
      <c r="H7664" s="2">
        <f t="shared" si="238"/>
        <v>2343</v>
      </c>
      <c r="I7664" t="str">
        <f t="shared" si="239"/>
        <v>Tnni2_2343</v>
      </c>
      <c r="J7664" s="3">
        <v>2343</v>
      </c>
      <c r="K7664" s="3">
        <v>0</v>
      </c>
      <c r="L7664" s="3">
        <v>0</v>
      </c>
      <c r="M7664" s="3">
        <v>0</v>
      </c>
      <c r="N7664" s="3">
        <v>0</v>
      </c>
    </row>
    <row r="7665" spans="1:14" x14ac:dyDescent="0.2">
      <c r="A7665" s="5" t="str">
        <f>HYPERLINK("http://www.ncbi.nlm.nih.gov/protein/115385966","Tnpo1")</f>
        <v>Tnpo1</v>
      </c>
      <c r="B7665" s="4"/>
      <c r="C7665" s="3">
        <v>0</v>
      </c>
      <c r="D7665" s="3">
        <v>5000</v>
      </c>
      <c r="E7665" s="3">
        <v>7077</v>
      </c>
      <c r="F7665" s="3">
        <v>28453</v>
      </c>
      <c r="G7665" s="3">
        <v>20584</v>
      </c>
      <c r="H7665" s="2">
        <f t="shared" si="238"/>
        <v>61114</v>
      </c>
      <c r="I7665" t="str">
        <f t="shared" si="239"/>
        <v>Tnpo1_61114</v>
      </c>
      <c r="J7665" s="3">
        <v>0</v>
      </c>
      <c r="K7665" s="3">
        <v>5000</v>
      </c>
      <c r="L7665" s="3">
        <v>7077</v>
      </c>
      <c r="M7665" s="3">
        <v>28453</v>
      </c>
      <c r="N7665" s="3">
        <v>20584</v>
      </c>
    </row>
    <row r="7666" spans="1:14" x14ac:dyDescent="0.2">
      <c r="A7666" s="5" t="str">
        <f>HYPERLINK("http://www.ncbi.nlm.nih.gov/protein/115385968","Tnpo1")</f>
        <v>Tnpo1</v>
      </c>
      <c r="B7666" s="4"/>
      <c r="C7666" s="3">
        <v>0</v>
      </c>
      <c r="D7666" s="3">
        <v>5000</v>
      </c>
      <c r="E7666" s="3">
        <v>7077</v>
      </c>
      <c r="F7666" s="3">
        <v>28453</v>
      </c>
      <c r="G7666" s="3">
        <v>20584</v>
      </c>
      <c r="H7666" s="2">
        <f t="shared" si="238"/>
        <v>61114</v>
      </c>
      <c r="I7666" t="str">
        <f t="shared" si="239"/>
        <v>Tnpo1_61114</v>
      </c>
      <c r="J7666" s="3">
        <v>0</v>
      </c>
      <c r="K7666" s="3">
        <v>5000</v>
      </c>
      <c r="L7666" s="3">
        <v>7077</v>
      </c>
      <c r="M7666" s="3">
        <v>28453</v>
      </c>
      <c r="N7666" s="3">
        <v>20584</v>
      </c>
    </row>
    <row r="7667" spans="1:14" x14ac:dyDescent="0.2">
      <c r="A7667" s="5" t="str">
        <f>HYPERLINK("http://www.ncbi.nlm.nih.gov/protein/170932528","Tnpo2")</f>
        <v>Tnpo2</v>
      </c>
      <c r="B7667" s="4"/>
      <c r="C7667" s="3">
        <v>0</v>
      </c>
      <c r="D7667" s="3">
        <v>2724</v>
      </c>
      <c r="E7667" s="3">
        <v>3486</v>
      </c>
      <c r="F7667" s="3">
        <v>12458</v>
      </c>
      <c r="G7667" s="3">
        <v>17317</v>
      </c>
      <c r="H7667" s="2">
        <f t="shared" si="238"/>
        <v>35985</v>
      </c>
      <c r="I7667" t="str">
        <f t="shared" si="239"/>
        <v>Tnpo2_35985</v>
      </c>
      <c r="J7667" s="3">
        <v>0</v>
      </c>
      <c r="K7667" s="3">
        <v>2724</v>
      </c>
      <c r="L7667" s="3">
        <v>3486</v>
      </c>
      <c r="M7667" s="3">
        <v>12458</v>
      </c>
      <c r="N7667" s="3">
        <v>17317</v>
      </c>
    </row>
    <row r="7668" spans="1:14" x14ac:dyDescent="0.2">
      <c r="A7668" s="5" t="str">
        <f>HYPERLINK("http://www.ncbi.nlm.nih.gov/protein/54312056","Tnpo3")</f>
        <v>Tnpo3</v>
      </c>
      <c r="B7668" s="4"/>
      <c r="C7668" s="3">
        <v>476</v>
      </c>
      <c r="D7668" s="3">
        <v>589</v>
      </c>
      <c r="E7668" s="3">
        <v>2211</v>
      </c>
      <c r="F7668" s="3">
        <v>4469</v>
      </c>
      <c r="G7668" s="3">
        <v>11106</v>
      </c>
      <c r="H7668" s="2">
        <f t="shared" si="238"/>
        <v>18851</v>
      </c>
      <c r="I7668" t="str">
        <f t="shared" si="239"/>
        <v>Tnpo3_18851</v>
      </c>
      <c r="J7668" s="3">
        <v>476</v>
      </c>
      <c r="K7668" s="3">
        <v>589</v>
      </c>
      <c r="L7668" s="3">
        <v>2211</v>
      </c>
      <c r="M7668" s="3">
        <v>4469</v>
      </c>
      <c r="N7668" s="3">
        <v>11106</v>
      </c>
    </row>
    <row r="7669" spans="1:14" x14ac:dyDescent="0.2">
      <c r="A7669" s="5" t="str">
        <f>HYPERLINK("http://www.ncbi.nlm.nih.gov/protein/159110982","Tnrc6b")</f>
        <v>Tnrc6b</v>
      </c>
      <c r="B7669" s="4"/>
      <c r="C7669" s="3">
        <v>0</v>
      </c>
      <c r="D7669" s="3">
        <v>0</v>
      </c>
      <c r="E7669" s="3">
        <v>85</v>
      </c>
      <c r="F7669" s="3">
        <v>0</v>
      </c>
      <c r="G7669" s="3">
        <v>0</v>
      </c>
      <c r="H7669" s="2">
        <f t="shared" si="238"/>
        <v>85</v>
      </c>
      <c r="I7669" t="str">
        <f t="shared" si="239"/>
        <v>Tnrc6b_85</v>
      </c>
      <c r="J7669" s="3">
        <v>0</v>
      </c>
      <c r="K7669" s="3">
        <v>0</v>
      </c>
      <c r="L7669" s="3">
        <v>85</v>
      </c>
      <c r="M7669" s="3">
        <v>0</v>
      </c>
      <c r="N7669" s="3">
        <v>0</v>
      </c>
    </row>
    <row r="7670" spans="1:14" x14ac:dyDescent="0.2">
      <c r="A7670" s="5" t="str">
        <f>HYPERLINK("http://www.ncbi.nlm.nih.gov/protein/67782332","Tnrc6b")</f>
        <v>Tnrc6b</v>
      </c>
      <c r="B7670" s="4"/>
      <c r="C7670" s="3">
        <v>0</v>
      </c>
      <c r="D7670" s="3">
        <v>0</v>
      </c>
      <c r="E7670" s="3">
        <v>85</v>
      </c>
      <c r="F7670" s="3">
        <v>0</v>
      </c>
      <c r="G7670" s="3">
        <v>0</v>
      </c>
      <c r="H7670" s="2">
        <f t="shared" si="238"/>
        <v>85</v>
      </c>
      <c r="I7670" t="str">
        <f t="shared" si="239"/>
        <v>Tnrc6b_85</v>
      </c>
      <c r="J7670" s="3">
        <v>0</v>
      </c>
      <c r="K7670" s="3">
        <v>0</v>
      </c>
      <c r="L7670" s="3">
        <v>85</v>
      </c>
      <c r="M7670" s="3">
        <v>0</v>
      </c>
      <c r="N7670" s="3">
        <v>0</v>
      </c>
    </row>
    <row r="7671" spans="1:14" x14ac:dyDescent="0.2">
      <c r="A7671" s="5" t="str">
        <f>HYPERLINK("http://www.ncbi.nlm.nih.gov/protein/124378035","Tnrc6c")</f>
        <v>Tnrc6c</v>
      </c>
      <c r="B7671" s="4"/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2">
        <f t="shared" si="238"/>
        <v>0</v>
      </c>
      <c r="I7671" t="str">
        <f t="shared" si="239"/>
        <v>Tnrc6c_0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</row>
    <row r="7672" spans="1:14" x14ac:dyDescent="0.2">
      <c r="A7672" s="5" t="str">
        <f>HYPERLINK("http://www.ncbi.nlm.nih.gov/protein/226437589","Tns1")</f>
        <v>Tns1</v>
      </c>
      <c r="B7672" s="4"/>
      <c r="C7672" s="3">
        <v>0</v>
      </c>
      <c r="D7672" s="3">
        <v>240</v>
      </c>
      <c r="E7672" s="3">
        <v>363</v>
      </c>
      <c r="F7672" s="3">
        <v>0</v>
      </c>
      <c r="G7672" s="3">
        <v>7015</v>
      </c>
      <c r="H7672" s="2">
        <f t="shared" si="238"/>
        <v>7618</v>
      </c>
      <c r="I7672" t="str">
        <f t="shared" si="239"/>
        <v>Tns1_7618</v>
      </c>
      <c r="J7672" s="3">
        <v>0</v>
      </c>
      <c r="K7672" s="3">
        <v>240</v>
      </c>
      <c r="L7672" s="3">
        <v>363</v>
      </c>
      <c r="M7672" s="3">
        <v>0</v>
      </c>
      <c r="N7672" s="3">
        <v>7015</v>
      </c>
    </row>
    <row r="7673" spans="1:14" x14ac:dyDescent="0.2">
      <c r="A7673" s="5" t="str">
        <f>HYPERLINK("http://www.ncbi.nlm.nih.gov/protein/134152676","Tns3")</f>
        <v>Tns3</v>
      </c>
      <c r="B7673" s="4"/>
      <c r="C7673" s="3">
        <v>0</v>
      </c>
      <c r="D7673" s="3">
        <v>240</v>
      </c>
      <c r="E7673" s="3">
        <v>357</v>
      </c>
      <c r="F7673" s="3">
        <v>0</v>
      </c>
      <c r="G7673" s="3">
        <v>8118</v>
      </c>
      <c r="H7673" s="2">
        <f t="shared" si="238"/>
        <v>8715</v>
      </c>
      <c r="I7673" t="str">
        <f t="shared" si="239"/>
        <v>Tns3_8715</v>
      </c>
      <c r="J7673" s="3">
        <v>0</v>
      </c>
      <c r="K7673" s="3">
        <v>240</v>
      </c>
      <c r="L7673" s="3">
        <v>357</v>
      </c>
      <c r="M7673" s="3">
        <v>0</v>
      </c>
      <c r="N7673" s="3">
        <v>8118</v>
      </c>
    </row>
    <row r="7674" spans="1:14" x14ac:dyDescent="0.2">
      <c r="A7674" s="5" t="str">
        <f>HYPERLINK("http://www.ncbi.nlm.nih.gov/protein/21311839","Toe1")</f>
        <v>Toe1</v>
      </c>
      <c r="B7674" s="4"/>
      <c r="C7674" s="3">
        <v>0</v>
      </c>
      <c r="D7674" s="3">
        <v>86</v>
      </c>
      <c r="E7674" s="3">
        <v>1632</v>
      </c>
      <c r="F7674" s="3">
        <v>15315</v>
      </c>
      <c r="G7674" s="3">
        <v>771</v>
      </c>
      <c r="H7674" s="2">
        <f t="shared" si="238"/>
        <v>17804</v>
      </c>
      <c r="I7674" t="str">
        <f t="shared" si="239"/>
        <v>Toe1_17804</v>
      </c>
      <c r="J7674" s="3">
        <v>0</v>
      </c>
      <c r="K7674" s="3">
        <v>86</v>
      </c>
      <c r="L7674" s="3">
        <v>1632</v>
      </c>
      <c r="M7674" s="3">
        <v>15315</v>
      </c>
      <c r="N7674" s="3">
        <v>771</v>
      </c>
    </row>
    <row r="7675" spans="1:14" x14ac:dyDescent="0.2">
      <c r="A7675" s="5" t="str">
        <f>HYPERLINK("http://www.ncbi.nlm.nih.gov/protein/13591860","Tollip")</f>
        <v>Tollip</v>
      </c>
      <c r="B7675" s="4"/>
      <c r="C7675" s="3">
        <v>0</v>
      </c>
      <c r="D7675" s="3">
        <v>420</v>
      </c>
      <c r="E7675" s="3">
        <v>669</v>
      </c>
      <c r="F7675" s="3">
        <v>0</v>
      </c>
      <c r="G7675" s="3">
        <v>1735</v>
      </c>
      <c r="H7675" s="2">
        <f t="shared" si="238"/>
        <v>2824</v>
      </c>
      <c r="I7675" t="str">
        <f t="shared" si="239"/>
        <v>Tollip_2824</v>
      </c>
      <c r="J7675" s="3">
        <v>0</v>
      </c>
      <c r="K7675" s="3">
        <v>420</v>
      </c>
      <c r="L7675" s="3">
        <v>669</v>
      </c>
      <c r="M7675" s="3">
        <v>0</v>
      </c>
      <c r="N7675" s="3">
        <v>1735</v>
      </c>
    </row>
    <row r="7676" spans="1:14" x14ac:dyDescent="0.2">
      <c r="A7676" s="5" t="str">
        <f>HYPERLINK("http://www.ncbi.nlm.nih.gov/protein/210147426","Tom1")</f>
        <v>Tom1</v>
      </c>
      <c r="B7676" s="4"/>
      <c r="C7676" s="3">
        <v>0</v>
      </c>
      <c r="D7676" s="3">
        <v>109</v>
      </c>
      <c r="E7676" s="3">
        <v>944</v>
      </c>
      <c r="F7676" s="3">
        <v>0</v>
      </c>
      <c r="G7676" s="3">
        <v>5226</v>
      </c>
      <c r="H7676" s="2">
        <f t="shared" si="238"/>
        <v>6279</v>
      </c>
      <c r="I7676" t="str">
        <f t="shared" si="239"/>
        <v>Tom1_6279</v>
      </c>
      <c r="J7676" s="3">
        <v>0</v>
      </c>
      <c r="K7676" s="3">
        <v>109</v>
      </c>
      <c r="L7676" s="3">
        <v>944</v>
      </c>
      <c r="M7676" s="3">
        <v>0</v>
      </c>
      <c r="N7676" s="3">
        <v>5226</v>
      </c>
    </row>
    <row r="7677" spans="1:14" x14ac:dyDescent="0.2">
      <c r="A7677" s="5" t="str">
        <f>HYPERLINK("http://www.ncbi.nlm.nih.gov/protein/6755847","Tom1")</f>
        <v>Tom1</v>
      </c>
      <c r="B7677" s="4"/>
      <c r="C7677" s="3">
        <v>0</v>
      </c>
      <c r="D7677" s="3">
        <v>109</v>
      </c>
      <c r="E7677" s="3">
        <v>944</v>
      </c>
      <c r="F7677" s="3">
        <v>0</v>
      </c>
      <c r="G7677" s="3">
        <v>5226</v>
      </c>
      <c r="H7677" s="2">
        <f t="shared" si="238"/>
        <v>6279</v>
      </c>
      <c r="I7677" t="str">
        <f t="shared" si="239"/>
        <v>Tom1_6279</v>
      </c>
      <c r="J7677" s="3">
        <v>0</v>
      </c>
      <c r="K7677" s="3">
        <v>109</v>
      </c>
      <c r="L7677" s="3">
        <v>944</v>
      </c>
      <c r="M7677" s="3">
        <v>0</v>
      </c>
      <c r="N7677" s="3">
        <v>5226</v>
      </c>
    </row>
    <row r="7678" spans="1:14" x14ac:dyDescent="0.2">
      <c r="A7678" s="5" t="str">
        <f>HYPERLINK("http://www.ncbi.nlm.nih.gov/protein/110625896","Tom1l1")</f>
        <v>Tom1l1</v>
      </c>
      <c r="B7678" s="4"/>
      <c r="C7678" s="3">
        <v>97718</v>
      </c>
      <c r="D7678" s="3">
        <v>12483</v>
      </c>
      <c r="E7678" s="3">
        <v>17059</v>
      </c>
      <c r="F7678" s="3">
        <v>3634</v>
      </c>
      <c r="G7678" s="3">
        <v>34988</v>
      </c>
      <c r="H7678" s="2">
        <f t="shared" si="238"/>
        <v>165882</v>
      </c>
      <c r="I7678" t="str">
        <f t="shared" si="239"/>
        <v>Tom1l1_165882</v>
      </c>
      <c r="J7678" s="3">
        <v>97718</v>
      </c>
      <c r="K7678" s="3">
        <v>12483</v>
      </c>
      <c r="L7678" s="3">
        <v>17059</v>
      </c>
      <c r="M7678" s="3">
        <v>3634</v>
      </c>
      <c r="N7678" s="3">
        <v>34988</v>
      </c>
    </row>
    <row r="7679" spans="1:14" x14ac:dyDescent="0.2">
      <c r="A7679" s="5" t="str">
        <f>HYPERLINK("http://www.ncbi.nlm.nih.gov/protein/31982091","Tomm22")</f>
        <v>Tomm22</v>
      </c>
      <c r="B7679" s="4"/>
      <c r="C7679" s="3">
        <v>12283</v>
      </c>
      <c r="D7679" s="3">
        <v>253</v>
      </c>
      <c r="E7679" s="3">
        <v>1330</v>
      </c>
      <c r="F7679" s="3">
        <v>909</v>
      </c>
      <c r="G7679" s="3">
        <v>0</v>
      </c>
      <c r="H7679" s="2">
        <f t="shared" si="238"/>
        <v>14775</v>
      </c>
      <c r="I7679" t="str">
        <f t="shared" si="239"/>
        <v>Tomm22_14775</v>
      </c>
      <c r="J7679" s="3">
        <v>12283</v>
      </c>
      <c r="K7679" s="3">
        <v>253</v>
      </c>
      <c r="L7679" s="3">
        <v>1330</v>
      </c>
      <c r="M7679" s="3">
        <v>909</v>
      </c>
      <c r="N7679" s="3">
        <v>0</v>
      </c>
    </row>
    <row r="7680" spans="1:14" x14ac:dyDescent="0.2">
      <c r="A7680" s="5" t="str">
        <f>HYPERLINK("http://www.ncbi.nlm.nih.gov/protein/13385500","Tomm34")</f>
        <v>Tomm34</v>
      </c>
      <c r="B7680" s="4"/>
      <c r="C7680" s="3">
        <v>0</v>
      </c>
      <c r="D7680" s="3">
        <v>6173</v>
      </c>
      <c r="E7680" s="3">
        <v>4191</v>
      </c>
      <c r="F7680" s="3">
        <v>9814</v>
      </c>
      <c r="G7680" s="3">
        <v>34913</v>
      </c>
      <c r="H7680" s="2">
        <f t="shared" si="238"/>
        <v>55091</v>
      </c>
      <c r="I7680" t="str">
        <f t="shared" si="239"/>
        <v>Tomm34_55091</v>
      </c>
      <c r="J7680" s="3">
        <v>0</v>
      </c>
      <c r="K7680" s="3">
        <v>6173</v>
      </c>
      <c r="L7680" s="3">
        <v>4191</v>
      </c>
      <c r="M7680" s="3">
        <v>9814</v>
      </c>
      <c r="N7680" s="3">
        <v>34913</v>
      </c>
    </row>
    <row r="7681" spans="1:14" x14ac:dyDescent="0.2">
      <c r="A7681" s="5" t="str">
        <f>HYPERLINK("http://www.ncbi.nlm.nih.gov/protein/157909797","Tomm40")</f>
        <v>Tomm40</v>
      </c>
      <c r="B7681" s="4"/>
      <c r="C7681" s="3">
        <v>13876</v>
      </c>
      <c r="D7681" s="3">
        <v>7496</v>
      </c>
      <c r="E7681" s="3">
        <v>1686</v>
      </c>
      <c r="F7681" s="3">
        <v>0</v>
      </c>
      <c r="G7681" s="3">
        <v>0</v>
      </c>
      <c r="H7681" s="2">
        <f t="shared" si="238"/>
        <v>23058</v>
      </c>
      <c r="I7681" t="str">
        <f t="shared" si="239"/>
        <v>Tomm40_23058</v>
      </c>
      <c r="J7681" s="3">
        <v>13876</v>
      </c>
      <c r="K7681" s="3">
        <v>7496</v>
      </c>
      <c r="L7681" s="3">
        <v>1686</v>
      </c>
      <c r="M7681" s="3">
        <v>0</v>
      </c>
      <c r="N7681" s="3">
        <v>0</v>
      </c>
    </row>
    <row r="7682" spans="1:14" x14ac:dyDescent="0.2">
      <c r="A7682" s="5" t="str">
        <f>HYPERLINK("http://www.ncbi.nlm.nih.gov/protein/153791486","Tomm5")</f>
        <v>Tomm5</v>
      </c>
      <c r="B7682" s="4"/>
      <c r="C7682" s="3">
        <v>2984</v>
      </c>
      <c r="D7682" s="3">
        <v>1052</v>
      </c>
      <c r="E7682" s="3">
        <v>0</v>
      </c>
      <c r="F7682" s="3">
        <v>0</v>
      </c>
      <c r="G7682" s="3">
        <v>0</v>
      </c>
      <c r="H7682" s="2">
        <f t="shared" ref="H7682:H7745" si="240">SUM(C7682:G7682)</f>
        <v>4036</v>
      </c>
      <c r="I7682" t="str">
        <f t="shared" ref="I7682:I7745" si="241">A7682&amp;"_"&amp;H7682</f>
        <v>Tomm5_4036</v>
      </c>
      <c r="J7682" s="3">
        <v>2984</v>
      </c>
      <c r="K7682" s="3">
        <v>1052</v>
      </c>
      <c r="L7682" s="3">
        <v>0</v>
      </c>
      <c r="M7682" s="3">
        <v>0</v>
      </c>
      <c r="N7682" s="3">
        <v>0</v>
      </c>
    </row>
    <row r="7683" spans="1:14" x14ac:dyDescent="0.2">
      <c r="A7683" s="5" t="str">
        <f>HYPERLINK("http://www.ncbi.nlm.nih.gov/protein/197382455","Tomm5")</f>
        <v>Tomm5</v>
      </c>
      <c r="B7683" s="4"/>
      <c r="C7683" s="3">
        <v>2984</v>
      </c>
      <c r="D7683" s="3">
        <v>1052</v>
      </c>
      <c r="E7683" s="3">
        <v>0</v>
      </c>
      <c r="F7683" s="3">
        <v>0</v>
      </c>
      <c r="G7683" s="3">
        <v>0</v>
      </c>
      <c r="H7683" s="2">
        <f t="shared" si="240"/>
        <v>4036</v>
      </c>
      <c r="I7683" t="str">
        <f t="shared" si="241"/>
        <v>Tomm5_4036</v>
      </c>
      <c r="J7683" s="3">
        <v>2984</v>
      </c>
      <c r="K7683" s="3">
        <v>1052</v>
      </c>
      <c r="L7683" s="3">
        <v>0</v>
      </c>
      <c r="M7683" s="3">
        <v>0</v>
      </c>
      <c r="N7683" s="3">
        <v>0</v>
      </c>
    </row>
    <row r="7684" spans="1:14" x14ac:dyDescent="0.2">
      <c r="A7684" s="5" t="str">
        <f>HYPERLINK("http://www.ncbi.nlm.nih.gov/protein/21313592","Tomm7")</f>
        <v>Tomm7</v>
      </c>
      <c r="B7684" s="4"/>
      <c r="C7684" s="3">
        <v>3057</v>
      </c>
      <c r="D7684" s="3">
        <v>797</v>
      </c>
      <c r="E7684" s="3">
        <v>331</v>
      </c>
      <c r="F7684" s="3">
        <v>0</v>
      </c>
      <c r="G7684" s="3">
        <v>0</v>
      </c>
      <c r="H7684" s="2">
        <f t="shared" si="240"/>
        <v>4185</v>
      </c>
      <c r="I7684" t="str">
        <f t="shared" si="241"/>
        <v>Tomm7_4185</v>
      </c>
      <c r="J7684" s="3">
        <v>3057</v>
      </c>
      <c r="K7684" s="3">
        <v>797</v>
      </c>
      <c r="L7684" s="3">
        <v>331</v>
      </c>
      <c r="M7684" s="3">
        <v>0</v>
      </c>
      <c r="N7684" s="3">
        <v>0</v>
      </c>
    </row>
    <row r="7685" spans="1:14" x14ac:dyDescent="0.2">
      <c r="A7685" s="5" t="str">
        <f>HYPERLINK("http://www.ncbi.nlm.nih.gov/protein/27552760","Tomm70a")</f>
        <v>Tomm70a</v>
      </c>
      <c r="B7685" s="4"/>
      <c r="C7685" s="3">
        <v>2343</v>
      </c>
      <c r="D7685" s="3">
        <v>32786</v>
      </c>
      <c r="E7685" s="3">
        <v>4014</v>
      </c>
      <c r="F7685" s="3">
        <v>0</v>
      </c>
      <c r="G7685" s="3">
        <v>0</v>
      </c>
      <c r="H7685" s="2">
        <f t="shared" si="240"/>
        <v>39143</v>
      </c>
      <c r="I7685" t="str">
        <f t="shared" si="241"/>
        <v>Tomm70a_39143</v>
      </c>
      <c r="J7685" s="3">
        <v>2343</v>
      </c>
      <c r="K7685" s="3">
        <v>32786</v>
      </c>
      <c r="L7685" s="3">
        <v>4014</v>
      </c>
      <c r="M7685" s="3">
        <v>0</v>
      </c>
      <c r="N7685" s="3">
        <v>0</v>
      </c>
    </row>
    <row r="7686" spans="1:14" x14ac:dyDescent="0.2">
      <c r="A7686" s="5" t="str">
        <f>HYPERLINK("http://www.ncbi.nlm.nih.gov/protein/187608797","Tonsl")</f>
        <v>Tonsl</v>
      </c>
      <c r="B7686" s="4"/>
      <c r="C7686" s="3">
        <v>0</v>
      </c>
      <c r="D7686" s="3">
        <v>0</v>
      </c>
      <c r="E7686" s="3">
        <v>0</v>
      </c>
      <c r="F7686" s="3">
        <v>0</v>
      </c>
      <c r="G7686" s="3">
        <v>9928</v>
      </c>
      <c r="H7686" s="2">
        <f t="shared" si="240"/>
        <v>9928</v>
      </c>
      <c r="I7686" t="str">
        <f t="shared" si="241"/>
        <v>Tonsl_9928</v>
      </c>
      <c r="J7686" s="3">
        <v>0</v>
      </c>
      <c r="K7686" s="3">
        <v>0</v>
      </c>
      <c r="L7686" s="3">
        <v>0</v>
      </c>
      <c r="M7686" s="3">
        <v>0</v>
      </c>
      <c r="N7686" s="3">
        <v>9928</v>
      </c>
    </row>
    <row r="7687" spans="1:14" x14ac:dyDescent="0.2">
      <c r="A7687" s="5" t="str">
        <f>HYPERLINK("http://www.ncbi.nlm.nih.gov/protein/112734855","Top1")</f>
        <v>Top1</v>
      </c>
      <c r="B7687" s="4"/>
      <c r="C7687" s="3">
        <v>79228</v>
      </c>
      <c r="D7687" s="3">
        <v>4311</v>
      </c>
      <c r="E7687" s="3">
        <v>10654</v>
      </c>
      <c r="F7687" s="3">
        <v>0</v>
      </c>
      <c r="G7687" s="3">
        <v>0</v>
      </c>
      <c r="H7687" s="2">
        <f t="shared" si="240"/>
        <v>94193</v>
      </c>
      <c r="I7687" t="str">
        <f t="shared" si="241"/>
        <v>Top1_94193</v>
      </c>
      <c r="J7687" s="3">
        <v>79228</v>
      </c>
      <c r="K7687" s="3">
        <v>4311</v>
      </c>
      <c r="L7687" s="3">
        <v>10654</v>
      </c>
      <c r="M7687" s="3">
        <v>0</v>
      </c>
      <c r="N7687" s="3">
        <v>0</v>
      </c>
    </row>
    <row r="7688" spans="1:14" x14ac:dyDescent="0.2">
      <c r="A7688" s="5" t="str">
        <f>HYPERLINK("http://www.ncbi.nlm.nih.gov/protein/50657345","Top1mt")</f>
        <v>Top1mt</v>
      </c>
      <c r="B7688" s="4"/>
      <c r="C7688" s="3">
        <v>0</v>
      </c>
      <c r="D7688" s="3">
        <v>1098</v>
      </c>
      <c r="E7688" s="3">
        <v>1564</v>
      </c>
      <c r="F7688" s="3">
        <v>0</v>
      </c>
      <c r="G7688" s="3">
        <v>0</v>
      </c>
      <c r="H7688" s="2">
        <f t="shared" si="240"/>
        <v>2662</v>
      </c>
      <c r="I7688" t="str">
        <f t="shared" si="241"/>
        <v>Top1mt_2662</v>
      </c>
      <c r="J7688" s="3">
        <v>0</v>
      </c>
      <c r="K7688" s="3">
        <v>1098</v>
      </c>
      <c r="L7688" s="3">
        <v>1564</v>
      </c>
      <c r="M7688" s="3">
        <v>0</v>
      </c>
      <c r="N7688" s="3">
        <v>0</v>
      </c>
    </row>
    <row r="7689" spans="1:14" x14ac:dyDescent="0.2">
      <c r="A7689" s="5" t="str">
        <f>HYPERLINK("http://www.ncbi.nlm.nih.gov/protein/153945749","Top2a")</f>
        <v>Top2a</v>
      </c>
      <c r="B7689" s="4"/>
      <c r="C7689" s="3">
        <v>348</v>
      </c>
      <c r="D7689" s="3">
        <v>0</v>
      </c>
      <c r="E7689" s="3">
        <v>20</v>
      </c>
      <c r="F7689" s="3">
        <v>0</v>
      </c>
      <c r="G7689" s="3">
        <v>0</v>
      </c>
      <c r="H7689" s="2">
        <f t="shared" si="240"/>
        <v>368</v>
      </c>
      <c r="I7689" t="str">
        <f t="shared" si="241"/>
        <v>Top2a_368</v>
      </c>
      <c r="J7689" s="3">
        <v>348</v>
      </c>
      <c r="K7689" s="3">
        <v>0</v>
      </c>
      <c r="L7689" s="3">
        <v>20</v>
      </c>
      <c r="M7689" s="3">
        <v>0</v>
      </c>
      <c r="N7689" s="3">
        <v>0</v>
      </c>
    </row>
    <row r="7690" spans="1:14" x14ac:dyDescent="0.2">
      <c r="A7690" s="5" t="str">
        <f>HYPERLINK("http://www.ncbi.nlm.nih.gov/protein/34328148","Top2b")</f>
        <v>Top2b</v>
      </c>
      <c r="B7690" s="4"/>
      <c r="C7690" s="3">
        <v>10471</v>
      </c>
      <c r="D7690" s="3">
        <v>0</v>
      </c>
      <c r="E7690" s="3">
        <v>12</v>
      </c>
      <c r="F7690" s="3">
        <v>0</v>
      </c>
      <c r="G7690" s="3">
        <v>0</v>
      </c>
      <c r="H7690" s="2">
        <f t="shared" si="240"/>
        <v>10483</v>
      </c>
      <c r="I7690" t="str">
        <f t="shared" si="241"/>
        <v>Top2b_10483</v>
      </c>
      <c r="J7690" s="3">
        <v>10471</v>
      </c>
      <c r="K7690" s="3">
        <v>0</v>
      </c>
      <c r="L7690" s="3">
        <v>12</v>
      </c>
      <c r="M7690" s="3">
        <v>0</v>
      </c>
      <c r="N7690" s="3">
        <v>0</v>
      </c>
    </row>
    <row r="7691" spans="1:14" x14ac:dyDescent="0.2">
      <c r="A7691" s="5" t="str">
        <f>HYPERLINK("http://www.ncbi.nlm.nih.gov/protein/6678403","Top3a")</f>
        <v>Top3a</v>
      </c>
      <c r="B7691" s="4"/>
      <c r="C7691" s="3">
        <v>0</v>
      </c>
      <c r="D7691" s="3">
        <v>0</v>
      </c>
      <c r="E7691" s="3">
        <v>1528</v>
      </c>
      <c r="F7691" s="3">
        <v>0</v>
      </c>
      <c r="G7691" s="3">
        <v>0</v>
      </c>
      <c r="H7691" s="2">
        <f t="shared" si="240"/>
        <v>1528</v>
      </c>
      <c r="I7691" t="str">
        <f t="shared" si="241"/>
        <v>Top3a_1528</v>
      </c>
      <c r="J7691" s="3">
        <v>0</v>
      </c>
      <c r="K7691" s="3">
        <v>0</v>
      </c>
      <c r="L7691" s="3">
        <v>1528</v>
      </c>
      <c r="M7691" s="3">
        <v>0</v>
      </c>
      <c r="N7691" s="3">
        <v>0</v>
      </c>
    </row>
    <row r="7692" spans="1:14" x14ac:dyDescent="0.2">
      <c r="A7692" s="5" t="str">
        <f>HYPERLINK("http://www.ncbi.nlm.nih.gov/protein/6755851","Top3b")</f>
        <v>Top3b</v>
      </c>
      <c r="B7692" s="4"/>
      <c r="C7692" s="3">
        <v>0</v>
      </c>
      <c r="D7692" s="3">
        <v>248</v>
      </c>
      <c r="E7692" s="3">
        <v>16789</v>
      </c>
      <c r="F7692" s="3">
        <v>606</v>
      </c>
      <c r="G7692" s="3">
        <v>0</v>
      </c>
      <c r="H7692" s="2">
        <f t="shared" si="240"/>
        <v>17643</v>
      </c>
      <c r="I7692" t="str">
        <f t="shared" si="241"/>
        <v>Top3b_17643</v>
      </c>
      <c r="J7692" s="3">
        <v>0</v>
      </c>
      <c r="K7692" s="3">
        <v>248</v>
      </c>
      <c r="L7692" s="3">
        <v>16789</v>
      </c>
      <c r="M7692" s="3">
        <v>606</v>
      </c>
      <c r="N7692" s="3">
        <v>0</v>
      </c>
    </row>
    <row r="7693" spans="1:14" x14ac:dyDescent="0.2">
      <c r="A7693" s="5" t="str">
        <f>HYPERLINK("http://www.ncbi.nlm.nih.gov/protein/21450255","Tor1a")</f>
        <v>Tor1a</v>
      </c>
      <c r="B7693" s="4"/>
      <c r="C7693" s="3">
        <v>0</v>
      </c>
      <c r="D7693" s="3">
        <v>1822</v>
      </c>
      <c r="E7693" s="3">
        <v>16</v>
      </c>
      <c r="F7693" s="3">
        <v>0</v>
      </c>
      <c r="G7693" s="3">
        <v>0</v>
      </c>
      <c r="H7693" s="2">
        <f t="shared" si="240"/>
        <v>1838</v>
      </c>
      <c r="I7693" t="str">
        <f t="shared" si="241"/>
        <v>Tor1a_1838</v>
      </c>
      <c r="J7693" s="3">
        <v>0</v>
      </c>
      <c r="K7693" s="3">
        <v>1822</v>
      </c>
      <c r="L7693" s="3">
        <v>16</v>
      </c>
      <c r="M7693" s="3">
        <v>0</v>
      </c>
      <c r="N7693" s="3">
        <v>0</v>
      </c>
    </row>
    <row r="7694" spans="1:14" x14ac:dyDescent="0.2">
      <c r="A7694" s="5" t="str">
        <f>HYPERLINK("http://www.ncbi.nlm.nih.gov/protein/229608948","Tor1aip1")</f>
        <v>Tor1aip1</v>
      </c>
      <c r="B7694" s="4"/>
      <c r="C7694" s="3">
        <v>0</v>
      </c>
      <c r="D7694" s="3">
        <v>119</v>
      </c>
      <c r="E7694" s="3">
        <v>32</v>
      </c>
      <c r="F7694" s="3">
        <v>0</v>
      </c>
      <c r="G7694" s="3">
        <v>0</v>
      </c>
      <c r="H7694" s="2">
        <f t="shared" si="240"/>
        <v>151</v>
      </c>
      <c r="I7694" t="str">
        <f t="shared" si="241"/>
        <v>Tor1aip1_151</v>
      </c>
      <c r="J7694" s="3">
        <v>0</v>
      </c>
      <c r="K7694" s="3">
        <v>119</v>
      </c>
      <c r="L7694" s="3">
        <v>32</v>
      </c>
      <c r="M7694" s="3">
        <v>0</v>
      </c>
      <c r="N7694" s="3">
        <v>0</v>
      </c>
    </row>
    <row r="7695" spans="1:14" x14ac:dyDescent="0.2">
      <c r="A7695" s="5" t="str">
        <f>HYPERLINK("http://www.ncbi.nlm.nih.gov/protein/229608944","Tor1aip1")</f>
        <v>Tor1aip1</v>
      </c>
      <c r="B7695" s="4"/>
      <c r="C7695" s="3">
        <v>1867</v>
      </c>
      <c r="D7695" s="3">
        <v>119</v>
      </c>
      <c r="E7695" s="3">
        <v>32</v>
      </c>
      <c r="F7695" s="3">
        <v>0</v>
      </c>
      <c r="G7695" s="3">
        <v>0</v>
      </c>
      <c r="H7695" s="2">
        <f t="shared" si="240"/>
        <v>2018</v>
      </c>
      <c r="I7695" t="str">
        <f t="shared" si="241"/>
        <v>Tor1aip1_2018</v>
      </c>
      <c r="J7695" s="3">
        <v>1867</v>
      </c>
      <c r="K7695" s="3">
        <v>119</v>
      </c>
      <c r="L7695" s="3">
        <v>32</v>
      </c>
      <c r="M7695" s="3">
        <v>0</v>
      </c>
      <c r="N7695" s="3">
        <v>0</v>
      </c>
    </row>
    <row r="7696" spans="1:14" x14ac:dyDescent="0.2">
      <c r="A7696" s="5" t="str">
        <f>HYPERLINK("http://www.ncbi.nlm.nih.gov/protein/229608946","Tor1aip1")</f>
        <v>Tor1aip1</v>
      </c>
      <c r="B7696" s="4"/>
      <c r="C7696" s="3">
        <v>1867</v>
      </c>
      <c r="D7696" s="3">
        <v>119</v>
      </c>
      <c r="E7696" s="3">
        <v>32</v>
      </c>
      <c r="F7696" s="3">
        <v>0</v>
      </c>
      <c r="G7696" s="3">
        <v>0</v>
      </c>
      <c r="H7696" s="2">
        <f t="shared" si="240"/>
        <v>2018</v>
      </c>
      <c r="I7696" t="str">
        <f t="shared" si="241"/>
        <v>Tor1aip1_2018</v>
      </c>
      <c r="J7696" s="3">
        <v>1867</v>
      </c>
      <c r="K7696" s="3">
        <v>119</v>
      </c>
      <c r="L7696" s="3">
        <v>32</v>
      </c>
      <c r="M7696" s="3">
        <v>0</v>
      </c>
      <c r="N7696" s="3">
        <v>0</v>
      </c>
    </row>
    <row r="7697" spans="1:14" x14ac:dyDescent="0.2">
      <c r="A7697" s="5" t="str">
        <f>HYPERLINK("http://www.ncbi.nlm.nih.gov/protein/229892347","Tor1aip2")</f>
        <v>Tor1aip2</v>
      </c>
      <c r="B7697" s="4"/>
      <c r="C7697" s="3">
        <v>0</v>
      </c>
      <c r="D7697" s="3">
        <v>1361</v>
      </c>
      <c r="E7697" s="3">
        <v>209</v>
      </c>
      <c r="F7697" s="3">
        <v>0</v>
      </c>
      <c r="G7697" s="3">
        <v>0</v>
      </c>
      <c r="H7697" s="2">
        <f t="shared" si="240"/>
        <v>1570</v>
      </c>
      <c r="I7697" t="str">
        <f t="shared" si="241"/>
        <v>Tor1aip2_1570</v>
      </c>
      <c r="J7697" s="3">
        <v>0</v>
      </c>
      <c r="K7697" s="3">
        <v>1361</v>
      </c>
      <c r="L7697" s="3">
        <v>209</v>
      </c>
      <c r="M7697" s="3">
        <v>0</v>
      </c>
      <c r="N7697" s="3">
        <v>0</v>
      </c>
    </row>
    <row r="7698" spans="1:14" x14ac:dyDescent="0.2">
      <c r="A7698" s="5" t="str">
        <f>HYPERLINK("http://www.ncbi.nlm.nih.gov/protein/11612513","Tor1aip2")</f>
        <v>Tor1aip2</v>
      </c>
      <c r="B7698" s="4"/>
      <c r="C7698" s="3">
        <v>0</v>
      </c>
      <c r="D7698" s="3">
        <v>0</v>
      </c>
      <c r="E7698" s="3">
        <v>0</v>
      </c>
      <c r="F7698" s="3">
        <v>655</v>
      </c>
      <c r="G7698" s="3">
        <v>685</v>
      </c>
      <c r="H7698" s="2">
        <f t="shared" si="240"/>
        <v>1340</v>
      </c>
      <c r="I7698" t="str">
        <f t="shared" si="241"/>
        <v>Tor1aip2_1340</v>
      </c>
      <c r="J7698" s="3">
        <v>0</v>
      </c>
      <c r="K7698" s="3">
        <v>0</v>
      </c>
      <c r="L7698" s="3">
        <v>0</v>
      </c>
      <c r="M7698" s="3">
        <v>655</v>
      </c>
      <c r="N7698" s="3">
        <v>685</v>
      </c>
    </row>
    <row r="7699" spans="1:14" x14ac:dyDescent="0.2">
      <c r="A7699" s="5" t="str">
        <f>HYPERLINK("http://www.ncbi.nlm.nih.gov/protein/31559990","Tor1b")</f>
        <v>Tor1b</v>
      </c>
      <c r="B7699" s="4"/>
      <c r="C7699" s="3">
        <v>4229</v>
      </c>
      <c r="D7699" s="3">
        <v>816</v>
      </c>
      <c r="E7699" s="3">
        <v>161</v>
      </c>
      <c r="F7699" s="3">
        <v>0</v>
      </c>
      <c r="G7699" s="3">
        <v>0</v>
      </c>
      <c r="H7699" s="2">
        <f t="shared" si="240"/>
        <v>5206</v>
      </c>
      <c r="I7699" t="str">
        <f t="shared" si="241"/>
        <v>Tor1b_5206</v>
      </c>
      <c r="J7699" s="3">
        <v>4229</v>
      </c>
      <c r="K7699" s="3">
        <v>816</v>
      </c>
      <c r="L7699" s="3">
        <v>161</v>
      </c>
      <c r="M7699" s="3">
        <v>0</v>
      </c>
      <c r="N7699" s="3">
        <v>0</v>
      </c>
    </row>
    <row r="7700" spans="1:14" x14ac:dyDescent="0.2">
      <c r="A7700" s="5" t="str">
        <f>HYPERLINK("http://www.ncbi.nlm.nih.gov/protein/22779883","Tor2a")</f>
        <v>Tor2a</v>
      </c>
      <c r="B7700" s="4"/>
      <c r="C7700" s="3">
        <v>0</v>
      </c>
      <c r="D7700" s="3">
        <v>159</v>
      </c>
      <c r="E7700" s="3">
        <v>0</v>
      </c>
      <c r="F7700" s="3">
        <v>0</v>
      </c>
      <c r="G7700" s="3">
        <v>0</v>
      </c>
      <c r="H7700" s="2">
        <f t="shared" si="240"/>
        <v>159</v>
      </c>
      <c r="I7700" t="str">
        <f t="shared" si="241"/>
        <v>Tor2a_159</v>
      </c>
      <c r="J7700" s="3">
        <v>0</v>
      </c>
      <c r="K7700" s="3">
        <v>159</v>
      </c>
      <c r="L7700" s="3">
        <v>0</v>
      </c>
      <c r="M7700" s="3">
        <v>0</v>
      </c>
      <c r="N7700" s="3">
        <v>0</v>
      </c>
    </row>
    <row r="7701" spans="1:14" x14ac:dyDescent="0.2">
      <c r="A7701" s="5" t="str">
        <f>HYPERLINK("http://www.ncbi.nlm.nih.gov/protein/224809275","Tor3a")</f>
        <v>Tor3a</v>
      </c>
      <c r="B7701" s="4"/>
      <c r="C7701" s="3">
        <v>0</v>
      </c>
      <c r="D7701" s="3">
        <v>324</v>
      </c>
      <c r="E7701" s="3">
        <v>509</v>
      </c>
      <c r="F7701" s="3">
        <v>0</v>
      </c>
      <c r="G7701" s="3">
        <v>0</v>
      </c>
      <c r="H7701" s="2">
        <f t="shared" si="240"/>
        <v>833</v>
      </c>
      <c r="I7701" t="str">
        <f t="shared" si="241"/>
        <v>Tor3a_833</v>
      </c>
      <c r="J7701" s="3">
        <v>0</v>
      </c>
      <c r="K7701" s="3">
        <v>324</v>
      </c>
      <c r="L7701" s="3">
        <v>509</v>
      </c>
      <c r="M7701" s="3">
        <v>0</v>
      </c>
      <c r="N7701" s="3">
        <v>0</v>
      </c>
    </row>
    <row r="7702" spans="1:14" x14ac:dyDescent="0.2">
      <c r="A7702" s="5" t="str">
        <f>HYPERLINK("http://www.ncbi.nlm.nih.gov/protein/258645109","Tpbg")</f>
        <v>Tpbg</v>
      </c>
      <c r="B7702" s="4"/>
      <c r="C7702" s="3">
        <v>0</v>
      </c>
      <c r="D7702" s="3">
        <v>0</v>
      </c>
      <c r="E7702" s="3">
        <v>19</v>
      </c>
      <c r="F7702" s="3">
        <v>0</v>
      </c>
      <c r="G7702" s="3">
        <v>0</v>
      </c>
      <c r="H7702" s="2">
        <f t="shared" si="240"/>
        <v>19</v>
      </c>
      <c r="I7702" t="str">
        <f t="shared" si="241"/>
        <v>Tpbg_19</v>
      </c>
      <c r="J7702" s="3">
        <v>0</v>
      </c>
      <c r="K7702" s="3">
        <v>0</v>
      </c>
      <c r="L7702" s="3">
        <v>19</v>
      </c>
      <c r="M7702" s="3">
        <v>0</v>
      </c>
      <c r="N7702" s="3">
        <v>0</v>
      </c>
    </row>
    <row r="7703" spans="1:14" x14ac:dyDescent="0.2">
      <c r="A7703" s="5" t="str">
        <f>HYPERLINK("http://www.ncbi.nlm.nih.gov/protein/6678407","Tpd52")</f>
        <v>Tpd52</v>
      </c>
      <c r="B7703" s="4"/>
      <c r="C7703" s="3">
        <v>7689</v>
      </c>
      <c r="D7703" s="3">
        <v>14915</v>
      </c>
      <c r="E7703" s="3">
        <v>31881</v>
      </c>
      <c r="F7703" s="3">
        <v>40658</v>
      </c>
      <c r="G7703" s="3">
        <v>64246</v>
      </c>
      <c r="H7703" s="2">
        <f t="shared" si="240"/>
        <v>159389</v>
      </c>
      <c r="I7703" t="str">
        <f t="shared" si="241"/>
        <v>Tpd52_159389</v>
      </c>
      <c r="J7703" s="3">
        <v>7689</v>
      </c>
      <c r="K7703" s="3">
        <v>14915</v>
      </c>
      <c r="L7703" s="3">
        <v>31881</v>
      </c>
      <c r="M7703" s="3">
        <v>40658</v>
      </c>
      <c r="N7703" s="3">
        <v>64246</v>
      </c>
    </row>
    <row r="7704" spans="1:14" x14ac:dyDescent="0.2">
      <c r="A7704" s="5" t="str">
        <f>HYPERLINK("http://www.ncbi.nlm.nih.gov/protein/70608194","Tpd52")</f>
        <v>Tpd52</v>
      </c>
      <c r="B7704" s="4"/>
      <c r="C7704" s="3">
        <v>7689</v>
      </c>
      <c r="D7704" s="3">
        <v>14915</v>
      </c>
      <c r="E7704" s="3">
        <v>31881</v>
      </c>
      <c r="F7704" s="3">
        <v>40658</v>
      </c>
      <c r="G7704" s="3">
        <v>64246</v>
      </c>
      <c r="H7704" s="2">
        <f t="shared" si="240"/>
        <v>159389</v>
      </c>
      <c r="I7704" t="str">
        <f t="shared" si="241"/>
        <v>Tpd52_159389</v>
      </c>
      <c r="J7704" s="3">
        <v>7689</v>
      </c>
      <c r="K7704" s="3">
        <v>14915</v>
      </c>
      <c r="L7704" s="3">
        <v>31881</v>
      </c>
      <c r="M7704" s="3">
        <v>40658</v>
      </c>
      <c r="N7704" s="3">
        <v>64246</v>
      </c>
    </row>
    <row r="7705" spans="1:14" x14ac:dyDescent="0.2">
      <c r="A7705" s="5" t="str">
        <f>HYPERLINK("http://www.ncbi.nlm.nih.gov/protein/70608198","Tpd52")</f>
        <v>Tpd52</v>
      </c>
      <c r="B7705" s="4"/>
      <c r="C7705" s="3">
        <v>7689</v>
      </c>
      <c r="D7705" s="3">
        <v>14915</v>
      </c>
      <c r="E7705" s="3">
        <v>31881</v>
      </c>
      <c r="F7705" s="3">
        <v>40658</v>
      </c>
      <c r="G7705" s="3">
        <v>64246</v>
      </c>
      <c r="H7705" s="2">
        <f t="shared" si="240"/>
        <v>159389</v>
      </c>
      <c r="I7705" t="str">
        <f t="shared" si="241"/>
        <v>Tpd52_159389</v>
      </c>
      <c r="J7705" s="3">
        <v>7689</v>
      </c>
      <c r="K7705" s="3">
        <v>14915</v>
      </c>
      <c r="L7705" s="3">
        <v>31881</v>
      </c>
      <c r="M7705" s="3">
        <v>40658</v>
      </c>
      <c r="N7705" s="3">
        <v>64246</v>
      </c>
    </row>
    <row r="7706" spans="1:14" x14ac:dyDescent="0.2">
      <c r="A7706" s="5" t="str">
        <f>HYPERLINK("http://www.ncbi.nlm.nih.gov/protein/70608205","Tpd52")</f>
        <v>Tpd52</v>
      </c>
      <c r="B7706" s="4"/>
      <c r="C7706" s="3">
        <v>7689</v>
      </c>
      <c r="D7706" s="3">
        <v>14915</v>
      </c>
      <c r="E7706" s="3">
        <v>31881</v>
      </c>
      <c r="F7706" s="3">
        <v>42221</v>
      </c>
      <c r="G7706" s="3">
        <v>64246</v>
      </c>
      <c r="H7706" s="2">
        <f t="shared" si="240"/>
        <v>160952</v>
      </c>
      <c r="I7706" t="str">
        <f t="shared" si="241"/>
        <v>Tpd52_160952</v>
      </c>
      <c r="J7706" s="3">
        <v>7689</v>
      </c>
      <c r="K7706" s="3">
        <v>14915</v>
      </c>
      <c r="L7706" s="3">
        <v>31881</v>
      </c>
      <c r="M7706" s="3">
        <v>42221</v>
      </c>
      <c r="N7706" s="3">
        <v>64246</v>
      </c>
    </row>
    <row r="7707" spans="1:14" x14ac:dyDescent="0.2">
      <c r="A7707" s="5" t="str">
        <f>HYPERLINK("http://www.ncbi.nlm.nih.gov/protein/70608214","Tpd52")</f>
        <v>Tpd52</v>
      </c>
      <c r="B7707" s="4"/>
      <c r="C7707" s="3">
        <v>7689</v>
      </c>
      <c r="D7707" s="3">
        <v>14915</v>
      </c>
      <c r="E7707" s="3">
        <v>31881</v>
      </c>
      <c r="F7707" s="3">
        <v>42246</v>
      </c>
      <c r="G7707" s="3">
        <v>64246</v>
      </c>
      <c r="H7707" s="2">
        <f t="shared" si="240"/>
        <v>160977</v>
      </c>
      <c r="I7707" t="str">
        <f t="shared" si="241"/>
        <v>Tpd52_160977</v>
      </c>
      <c r="J7707" s="3">
        <v>7689</v>
      </c>
      <c r="K7707" s="3">
        <v>14915</v>
      </c>
      <c r="L7707" s="3">
        <v>31881</v>
      </c>
      <c r="M7707" s="3">
        <v>42246</v>
      </c>
      <c r="N7707" s="3">
        <v>64246</v>
      </c>
    </row>
    <row r="7708" spans="1:14" x14ac:dyDescent="0.2">
      <c r="A7708" s="5" t="str">
        <f>HYPERLINK("http://www.ncbi.nlm.nih.gov/protein/6678409","Tpd52l1")</f>
        <v>Tpd52l1</v>
      </c>
      <c r="B7708" s="4"/>
      <c r="C7708" s="3">
        <v>0</v>
      </c>
      <c r="D7708" s="3">
        <v>6770</v>
      </c>
      <c r="E7708" s="3">
        <v>6924</v>
      </c>
      <c r="F7708" s="3">
        <v>7195</v>
      </c>
      <c r="G7708" s="3">
        <v>16032</v>
      </c>
      <c r="H7708" s="2">
        <f t="shared" si="240"/>
        <v>36921</v>
      </c>
      <c r="I7708" t="str">
        <f t="shared" si="241"/>
        <v>Tpd52l1_36921</v>
      </c>
      <c r="J7708" s="3">
        <v>0</v>
      </c>
      <c r="K7708" s="3">
        <v>6770</v>
      </c>
      <c r="L7708" s="3">
        <v>6924</v>
      </c>
      <c r="M7708" s="3">
        <v>7195</v>
      </c>
      <c r="N7708" s="3">
        <v>16032</v>
      </c>
    </row>
    <row r="7709" spans="1:14" x14ac:dyDescent="0.2">
      <c r="A7709" s="5" t="str">
        <f>HYPERLINK("http://www.ncbi.nlm.nih.gov/protein/31560247","Tpd52l2")</f>
        <v>Tpd52l2</v>
      </c>
      <c r="B7709" s="4"/>
      <c r="C7709" s="3">
        <v>0</v>
      </c>
      <c r="D7709" s="3">
        <v>3096</v>
      </c>
      <c r="E7709" s="3">
        <v>2693</v>
      </c>
      <c r="F7709" s="3">
        <v>20587</v>
      </c>
      <c r="G7709" s="3">
        <v>16835</v>
      </c>
      <c r="H7709" s="2">
        <f t="shared" si="240"/>
        <v>43211</v>
      </c>
      <c r="I7709" t="str">
        <f t="shared" si="241"/>
        <v>Tpd52l2_43211</v>
      </c>
      <c r="J7709" s="3">
        <v>0</v>
      </c>
      <c r="K7709" s="3">
        <v>3096</v>
      </c>
      <c r="L7709" s="3">
        <v>2693</v>
      </c>
      <c r="M7709" s="3">
        <v>20587</v>
      </c>
      <c r="N7709" s="3">
        <v>16835</v>
      </c>
    </row>
    <row r="7710" spans="1:14" x14ac:dyDescent="0.2">
      <c r="A7710" s="5" t="str">
        <f>HYPERLINK("http://www.ncbi.nlm.nih.gov/protein/226958349","Tpi1")</f>
        <v>Tpi1</v>
      </c>
      <c r="B7710" s="4"/>
      <c r="C7710" s="3">
        <v>797044</v>
      </c>
      <c r="D7710" s="3">
        <v>84974</v>
      </c>
      <c r="E7710" s="3">
        <v>230414</v>
      </c>
      <c r="F7710" s="3">
        <v>62898</v>
      </c>
      <c r="G7710" s="3">
        <v>1403534</v>
      </c>
      <c r="H7710" s="2">
        <f t="shared" si="240"/>
        <v>2578864</v>
      </c>
      <c r="I7710" t="str">
        <f t="shared" si="241"/>
        <v>Tpi1_2578864</v>
      </c>
      <c r="J7710" s="3">
        <v>797044</v>
      </c>
      <c r="K7710" s="3">
        <v>84974</v>
      </c>
      <c r="L7710" s="3">
        <v>230414</v>
      </c>
      <c r="M7710" s="3">
        <v>62898</v>
      </c>
      <c r="N7710" s="3">
        <v>1403534</v>
      </c>
    </row>
    <row r="7711" spans="1:14" x14ac:dyDescent="0.2">
      <c r="A7711" s="5" t="str">
        <f>HYPERLINK("http://www.ncbi.nlm.nih.gov/protein/7305589","Tpk1")</f>
        <v>Tpk1</v>
      </c>
      <c r="B7711" s="4"/>
      <c r="C7711" s="3">
        <v>0</v>
      </c>
      <c r="D7711" s="3">
        <v>165</v>
      </c>
      <c r="E7711" s="3">
        <v>435</v>
      </c>
      <c r="F7711" s="3">
        <v>41</v>
      </c>
      <c r="G7711" s="3">
        <v>20134</v>
      </c>
      <c r="H7711" s="2">
        <f t="shared" si="240"/>
        <v>20775</v>
      </c>
      <c r="I7711" t="str">
        <f t="shared" si="241"/>
        <v>Tpk1_20775</v>
      </c>
      <c r="J7711" s="3">
        <v>0</v>
      </c>
      <c r="K7711" s="3">
        <v>165</v>
      </c>
      <c r="L7711" s="3">
        <v>435</v>
      </c>
      <c r="M7711" s="3">
        <v>41</v>
      </c>
      <c r="N7711" s="3">
        <v>20134</v>
      </c>
    </row>
    <row r="7712" spans="1:14" x14ac:dyDescent="0.2">
      <c r="A7712" s="5" t="str">
        <f>HYPERLINK("http://www.ncbi.nlm.nih.gov/protein/256000780","Tpm1")</f>
        <v>Tpm1</v>
      </c>
      <c r="B7712" s="4"/>
      <c r="C7712" s="3">
        <v>170575</v>
      </c>
      <c r="D7712" s="3">
        <v>28774</v>
      </c>
      <c r="E7712" s="3">
        <v>23397</v>
      </c>
      <c r="F7712" s="3">
        <v>132238</v>
      </c>
      <c r="G7712" s="3">
        <v>351111</v>
      </c>
      <c r="H7712" s="2">
        <f t="shared" si="240"/>
        <v>706095</v>
      </c>
      <c r="I7712" t="str">
        <f t="shared" si="241"/>
        <v>Tpm1_706095</v>
      </c>
      <c r="J7712" s="3">
        <v>170575</v>
      </c>
      <c r="K7712" s="3">
        <v>28774</v>
      </c>
      <c r="L7712" s="3">
        <v>23397</v>
      </c>
      <c r="M7712" s="3">
        <v>132238</v>
      </c>
      <c r="N7712" s="3">
        <v>351111</v>
      </c>
    </row>
    <row r="7713" spans="1:14" x14ac:dyDescent="0.2">
      <c r="A7713" s="5" t="str">
        <f>HYPERLINK("http://www.ncbi.nlm.nih.gov/protein/256000782","Tpm1")</f>
        <v>Tpm1</v>
      </c>
      <c r="B7713" s="4"/>
      <c r="C7713" s="3">
        <v>121149</v>
      </c>
      <c r="D7713" s="3">
        <v>21806</v>
      </c>
      <c r="E7713" s="3">
        <v>21233</v>
      </c>
      <c r="F7713" s="3">
        <v>105004</v>
      </c>
      <c r="G7713" s="3">
        <v>307716</v>
      </c>
      <c r="H7713" s="2">
        <f t="shared" si="240"/>
        <v>576908</v>
      </c>
      <c r="I7713" t="str">
        <f t="shared" si="241"/>
        <v>Tpm1_576908</v>
      </c>
      <c r="J7713" s="3">
        <v>121149</v>
      </c>
      <c r="K7713" s="3">
        <v>21806</v>
      </c>
      <c r="L7713" s="3">
        <v>21233</v>
      </c>
      <c r="M7713" s="3">
        <v>105004</v>
      </c>
      <c r="N7713" s="3">
        <v>307716</v>
      </c>
    </row>
    <row r="7714" spans="1:14" x14ac:dyDescent="0.2">
      <c r="A7714" s="5" t="str">
        <f>HYPERLINK("http://www.ncbi.nlm.nih.gov/protein/256000784","Tpm1")</f>
        <v>Tpm1</v>
      </c>
      <c r="B7714" s="4"/>
      <c r="C7714" s="3">
        <v>198382</v>
      </c>
      <c r="D7714" s="3">
        <v>28774</v>
      </c>
      <c r="E7714" s="3">
        <v>26483</v>
      </c>
      <c r="F7714" s="3">
        <v>131665</v>
      </c>
      <c r="G7714" s="3">
        <v>391871</v>
      </c>
      <c r="H7714" s="2">
        <f t="shared" si="240"/>
        <v>777175</v>
      </c>
      <c r="I7714" t="str">
        <f t="shared" si="241"/>
        <v>Tpm1_777175</v>
      </c>
      <c r="J7714" s="3">
        <v>198382</v>
      </c>
      <c r="K7714" s="3">
        <v>28774</v>
      </c>
      <c r="L7714" s="3">
        <v>26483</v>
      </c>
      <c r="M7714" s="3">
        <v>131665</v>
      </c>
      <c r="N7714" s="3">
        <v>391871</v>
      </c>
    </row>
    <row r="7715" spans="1:14" x14ac:dyDescent="0.2">
      <c r="A7715" s="5" t="str">
        <f>HYPERLINK("http://www.ncbi.nlm.nih.gov/protein/256000786","Tpm1")</f>
        <v>Tpm1</v>
      </c>
      <c r="B7715" s="4"/>
      <c r="C7715" s="3">
        <v>198382</v>
      </c>
      <c r="D7715" s="3">
        <v>28774</v>
      </c>
      <c r="E7715" s="3">
        <v>24988</v>
      </c>
      <c r="F7715" s="3">
        <v>131665</v>
      </c>
      <c r="G7715" s="3">
        <v>346485</v>
      </c>
      <c r="H7715" s="2">
        <f t="shared" si="240"/>
        <v>730294</v>
      </c>
      <c r="I7715" t="str">
        <f t="shared" si="241"/>
        <v>Tpm1_730294</v>
      </c>
      <c r="J7715" s="3">
        <v>198382</v>
      </c>
      <c r="K7715" s="3">
        <v>28774</v>
      </c>
      <c r="L7715" s="3">
        <v>24988</v>
      </c>
      <c r="M7715" s="3">
        <v>131665</v>
      </c>
      <c r="N7715" s="3">
        <v>346485</v>
      </c>
    </row>
    <row r="7716" spans="1:14" x14ac:dyDescent="0.2">
      <c r="A7716" s="5" t="str">
        <f>HYPERLINK("http://www.ncbi.nlm.nih.gov/protein/256000788","Tpm1")</f>
        <v>Tpm1</v>
      </c>
      <c r="B7716" s="4"/>
      <c r="C7716" s="3">
        <v>118257</v>
      </c>
      <c r="D7716" s="3">
        <v>23088</v>
      </c>
      <c r="E7716" s="3">
        <v>21530</v>
      </c>
      <c r="F7716" s="3">
        <v>112183</v>
      </c>
      <c r="G7716" s="3">
        <v>331888</v>
      </c>
      <c r="H7716" s="2">
        <f t="shared" si="240"/>
        <v>606946</v>
      </c>
      <c r="I7716" t="str">
        <f t="shared" si="241"/>
        <v>Tpm1_606946</v>
      </c>
      <c r="J7716" s="3">
        <v>118257</v>
      </c>
      <c r="K7716" s="3">
        <v>23088</v>
      </c>
      <c r="L7716" s="3">
        <v>21530</v>
      </c>
      <c r="M7716" s="3">
        <v>112183</v>
      </c>
      <c r="N7716" s="3">
        <v>331888</v>
      </c>
    </row>
    <row r="7717" spans="1:14" x14ac:dyDescent="0.2">
      <c r="A7717" s="5" t="str">
        <f>HYPERLINK("http://www.ncbi.nlm.nih.gov/protein/256000790","Tpm1")</f>
        <v>Tpm1</v>
      </c>
      <c r="B7717" s="4"/>
      <c r="C7717" s="3">
        <v>146064</v>
      </c>
      <c r="D7717" s="3">
        <v>23088</v>
      </c>
      <c r="E7717" s="3">
        <v>23120</v>
      </c>
      <c r="F7717" s="3">
        <v>111610</v>
      </c>
      <c r="G7717" s="3">
        <v>328332</v>
      </c>
      <c r="H7717" s="2">
        <f t="shared" si="240"/>
        <v>632214</v>
      </c>
      <c r="I7717" t="str">
        <f t="shared" si="241"/>
        <v>Tpm1_632214</v>
      </c>
      <c r="J7717" s="3">
        <v>146064</v>
      </c>
      <c r="K7717" s="3">
        <v>23088</v>
      </c>
      <c r="L7717" s="3">
        <v>23120</v>
      </c>
      <c r="M7717" s="3">
        <v>111610</v>
      </c>
      <c r="N7717" s="3">
        <v>328332</v>
      </c>
    </row>
    <row r="7718" spans="1:14" x14ac:dyDescent="0.2">
      <c r="A7718" s="5" t="str">
        <f>HYPERLINK("http://www.ncbi.nlm.nih.gov/protein/256000792","Tpm1")</f>
        <v>Tpm1</v>
      </c>
      <c r="B7718" s="4"/>
      <c r="C7718" s="3">
        <v>118257</v>
      </c>
      <c r="D7718" s="3">
        <v>23088</v>
      </c>
      <c r="E7718" s="3">
        <v>20036</v>
      </c>
      <c r="F7718" s="3">
        <v>112183</v>
      </c>
      <c r="G7718" s="3">
        <v>288439</v>
      </c>
      <c r="H7718" s="2">
        <f t="shared" si="240"/>
        <v>562003</v>
      </c>
      <c r="I7718" t="str">
        <f t="shared" si="241"/>
        <v>Tpm1_562003</v>
      </c>
      <c r="J7718" s="3">
        <v>118257</v>
      </c>
      <c r="K7718" s="3">
        <v>23088</v>
      </c>
      <c r="L7718" s="3">
        <v>20036</v>
      </c>
      <c r="M7718" s="3">
        <v>112183</v>
      </c>
      <c r="N7718" s="3">
        <v>288439</v>
      </c>
    </row>
    <row r="7719" spans="1:14" x14ac:dyDescent="0.2">
      <c r="A7719" s="5" t="str">
        <f>HYPERLINK("http://www.ncbi.nlm.nih.gov/protein/256000794","Tpm1")</f>
        <v>Tpm1</v>
      </c>
      <c r="B7719" s="4"/>
      <c r="C7719" s="3">
        <v>170575</v>
      </c>
      <c r="D7719" s="3">
        <v>28774</v>
      </c>
      <c r="E7719" s="3">
        <v>23397</v>
      </c>
      <c r="F7719" s="3">
        <v>132238</v>
      </c>
      <c r="G7719" s="3">
        <v>350672</v>
      </c>
      <c r="H7719" s="2">
        <f t="shared" si="240"/>
        <v>705656</v>
      </c>
      <c r="I7719" t="str">
        <f t="shared" si="241"/>
        <v>Tpm1_705656</v>
      </c>
      <c r="J7719" s="3">
        <v>170575</v>
      </c>
      <c r="K7719" s="3">
        <v>28774</v>
      </c>
      <c r="L7719" s="3">
        <v>23397</v>
      </c>
      <c r="M7719" s="3">
        <v>132238</v>
      </c>
      <c r="N7719" s="3">
        <v>350672</v>
      </c>
    </row>
    <row r="7720" spans="1:14" x14ac:dyDescent="0.2">
      <c r="A7720" s="5" t="str">
        <f>HYPERLINK("http://www.ncbi.nlm.nih.gov/protein/256000796","Tpm1")</f>
        <v>Tpm1</v>
      </c>
      <c r="B7720" s="4"/>
      <c r="C7720" s="3">
        <v>118257</v>
      </c>
      <c r="D7720" s="3">
        <v>23088</v>
      </c>
      <c r="E7720" s="3">
        <v>20036</v>
      </c>
      <c r="F7720" s="3">
        <v>114590</v>
      </c>
      <c r="G7720" s="3">
        <v>288000</v>
      </c>
      <c r="H7720" s="2">
        <f t="shared" si="240"/>
        <v>563971</v>
      </c>
      <c r="I7720" t="str">
        <f t="shared" si="241"/>
        <v>Tpm1_563971</v>
      </c>
      <c r="J7720" s="3">
        <v>118257</v>
      </c>
      <c r="K7720" s="3">
        <v>23088</v>
      </c>
      <c r="L7720" s="3">
        <v>20036</v>
      </c>
      <c r="M7720" s="3">
        <v>114590</v>
      </c>
      <c r="N7720" s="3">
        <v>288000</v>
      </c>
    </row>
    <row r="7721" spans="1:14" x14ac:dyDescent="0.2">
      <c r="A7721" s="5" t="str">
        <f>HYPERLINK("http://www.ncbi.nlm.nih.gov/protein/31560030","Tpm1")</f>
        <v>Tpm1</v>
      </c>
      <c r="B7721" s="4"/>
      <c r="C7721" s="3">
        <v>170575</v>
      </c>
      <c r="D7721" s="3">
        <v>28774</v>
      </c>
      <c r="E7721" s="3">
        <v>24893</v>
      </c>
      <c r="F7721" s="3">
        <v>132238</v>
      </c>
      <c r="G7721" s="3">
        <v>451855</v>
      </c>
      <c r="H7721" s="2">
        <f t="shared" si="240"/>
        <v>808335</v>
      </c>
      <c r="I7721" t="str">
        <f t="shared" si="241"/>
        <v>Tpm1_808335</v>
      </c>
      <c r="J7721" s="3">
        <v>170575</v>
      </c>
      <c r="K7721" s="3">
        <v>28774</v>
      </c>
      <c r="L7721" s="3">
        <v>24893</v>
      </c>
      <c r="M7721" s="3">
        <v>132238</v>
      </c>
      <c r="N7721" s="3">
        <v>451855</v>
      </c>
    </row>
    <row r="7722" spans="1:14" x14ac:dyDescent="0.2">
      <c r="A7722" s="5" t="str">
        <f>HYPERLINK("http://www.ncbi.nlm.nih.gov/protein/482677662","Tpm2")</f>
        <v>Tpm2</v>
      </c>
      <c r="B7722" s="4"/>
      <c r="C7722" s="3">
        <v>101800</v>
      </c>
      <c r="D7722" s="3">
        <v>0</v>
      </c>
      <c r="E7722" s="3">
        <v>2352</v>
      </c>
      <c r="F7722" s="3">
        <v>0</v>
      </c>
      <c r="G7722" s="3">
        <v>0</v>
      </c>
      <c r="H7722" s="2">
        <f t="shared" si="240"/>
        <v>104152</v>
      </c>
      <c r="I7722" t="str">
        <f t="shared" si="241"/>
        <v>Tpm2_104152</v>
      </c>
      <c r="J7722" s="3">
        <v>101800</v>
      </c>
      <c r="K7722" s="3">
        <v>0</v>
      </c>
      <c r="L7722" s="3">
        <v>2352</v>
      </c>
      <c r="M7722" s="3">
        <v>0</v>
      </c>
      <c r="N7722" s="3">
        <v>0</v>
      </c>
    </row>
    <row r="7723" spans="1:14" x14ac:dyDescent="0.2">
      <c r="A7723" s="5" t="str">
        <f>HYPERLINK("http://www.ncbi.nlm.nih.gov/protein/482677666","Tpm2")</f>
        <v>Tpm2</v>
      </c>
      <c r="B7723" s="4"/>
      <c r="C7723" s="3">
        <v>101800</v>
      </c>
      <c r="D7723" s="3">
        <v>0</v>
      </c>
      <c r="E7723" s="3">
        <v>2352</v>
      </c>
      <c r="F7723" s="3">
        <v>0</v>
      </c>
      <c r="G7723" s="3">
        <v>0</v>
      </c>
      <c r="H7723" s="2">
        <f t="shared" si="240"/>
        <v>104152</v>
      </c>
      <c r="I7723" t="str">
        <f t="shared" si="241"/>
        <v>Tpm2_104152</v>
      </c>
      <c r="J7723" s="3">
        <v>101800</v>
      </c>
      <c r="K7723" s="3">
        <v>0</v>
      </c>
      <c r="L7723" s="3">
        <v>2352</v>
      </c>
      <c r="M7723" s="3">
        <v>0</v>
      </c>
      <c r="N7723" s="3">
        <v>0</v>
      </c>
    </row>
    <row r="7724" spans="1:14" x14ac:dyDescent="0.2">
      <c r="A7724" s="5" t="str">
        <f>HYPERLINK("http://www.ncbi.nlm.nih.gov/protein/11875203","Tpm2")</f>
        <v>Tpm2</v>
      </c>
      <c r="B7724" s="4"/>
      <c r="C7724" s="3">
        <v>110934</v>
      </c>
      <c r="D7724" s="3">
        <v>12546</v>
      </c>
      <c r="E7724" s="3">
        <v>13805</v>
      </c>
      <c r="F7724" s="3">
        <v>53656</v>
      </c>
      <c r="G7724" s="3">
        <v>176910</v>
      </c>
      <c r="H7724" s="2">
        <f t="shared" si="240"/>
        <v>367851</v>
      </c>
      <c r="I7724" t="str">
        <f t="shared" si="241"/>
        <v>Tpm2_367851</v>
      </c>
      <c r="J7724" s="3">
        <v>110934</v>
      </c>
      <c r="K7724" s="3">
        <v>12546</v>
      </c>
      <c r="L7724" s="3">
        <v>13805</v>
      </c>
      <c r="M7724" s="3">
        <v>53656</v>
      </c>
      <c r="N7724" s="3">
        <v>176910</v>
      </c>
    </row>
    <row r="7725" spans="1:14" x14ac:dyDescent="0.2">
      <c r="A7725" s="5" t="str">
        <f>HYPERLINK("http://www.ncbi.nlm.nih.gov/protein/359279904","Tpm3")</f>
        <v>Tpm3</v>
      </c>
      <c r="B7725" s="4"/>
      <c r="C7725" s="3">
        <v>243012</v>
      </c>
      <c r="D7725" s="3">
        <v>37498</v>
      </c>
      <c r="E7725" s="3">
        <v>41296</v>
      </c>
      <c r="F7725" s="3">
        <v>149468</v>
      </c>
      <c r="G7725" s="3">
        <v>365558</v>
      </c>
      <c r="H7725" s="2">
        <f t="shared" si="240"/>
        <v>836832</v>
      </c>
      <c r="I7725" t="str">
        <f t="shared" si="241"/>
        <v>Tpm3_836832</v>
      </c>
      <c r="J7725" s="3">
        <v>243012</v>
      </c>
      <c r="K7725" s="3">
        <v>37498</v>
      </c>
      <c r="L7725" s="3">
        <v>41296</v>
      </c>
      <c r="M7725" s="3">
        <v>149468</v>
      </c>
      <c r="N7725" s="3">
        <v>365558</v>
      </c>
    </row>
    <row r="7726" spans="1:14" x14ac:dyDescent="0.2">
      <c r="A7726" s="5" t="str">
        <f>HYPERLINK("http://www.ncbi.nlm.nih.gov/protein/359279908","Tpm3")</f>
        <v>Tpm3</v>
      </c>
      <c r="B7726" s="4"/>
      <c r="C7726" s="3">
        <v>243012</v>
      </c>
      <c r="D7726" s="3">
        <v>37498</v>
      </c>
      <c r="E7726" s="3">
        <v>41285</v>
      </c>
      <c r="F7726" s="3">
        <v>148936</v>
      </c>
      <c r="G7726" s="3">
        <v>314656</v>
      </c>
      <c r="H7726" s="2">
        <f t="shared" si="240"/>
        <v>785387</v>
      </c>
      <c r="I7726" t="str">
        <f t="shared" si="241"/>
        <v>Tpm3_785387</v>
      </c>
      <c r="J7726" s="3">
        <v>243012</v>
      </c>
      <c r="K7726" s="3">
        <v>37498</v>
      </c>
      <c r="L7726" s="3">
        <v>41285</v>
      </c>
      <c r="M7726" s="3">
        <v>148936</v>
      </c>
      <c r="N7726" s="3">
        <v>314656</v>
      </c>
    </row>
    <row r="7727" spans="1:14" x14ac:dyDescent="0.2">
      <c r="A7727" s="5" t="str">
        <f>HYPERLINK("http://www.ncbi.nlm.nih.gov/protein/40254525","Tpm3")</f>
        <v>Tpm3</v>
      </c>
      <c r="B7727" s="4"/>
      <c r="C7727" s="3">
        <v>121442</v>
      </c>
      <c r="D7727" s="3">
        <v>26173</v>
      </c>
      <c r="E7727" s="3">
        <v>25415</v>
      </c>
      <c r="F7727" s="3">
        <v>130715</v>
      </c>
      <c r="G7727" s="3">
        <v>278940</v>
      </c>
      <c r="H7727" s="2">
        <f t="shared" si="240"/>
        <v>582685</v>
      </c>
      <c r="I7727" t="str">
        <f t="shared" si="241"/>
        <v>Tpm3_582685</v>
      </c>
      <c r="J7727" s="3">
        <v>121442</v>
      </c>
      <c r="K7727" s="3">
        <v>26173</v>
      </c>
      <c r="L7727" s="3">
        <v>25415</v>
      </c>
      <c r="M7727" s="3">
        <v>130715</v>
      </c>
      <c r="N7727" s="3">
        <v>278940</v>
      </c>
    </row>
    <row r="7728" spans="1:14" x14ac:dyDescent="0.2">
      <c r="A7728" s="5" t="str">
        <f>HYPERLINK("http://www.ncbi.nlm.nih.gov/protein/418203916","Tpm3")</f>
        <v>Tpm3</v>
      </c>
      <c r="B7728" s="4"/>
      <c r="C7728" s="3">
        <v>243012</v>
      </c>
      <c r="D7728" s="3">
        <v>35356</v>
      </c>
      <c r="E7728" s="3">
        <v>38162</v>
      </c>
      <c r="F7728" s="3">
        <v>138639</v>
      </c>
      <c r="G7728" s="3">
        <v>309730</v>
      </c>
      <c r="H7728" s="2">
        <f t="shared" si="240"/>
        <v>764899</v>
      </c>
      <c r="I7728" t="str">
        <f t="shared" si="241"/>
        <v>Tpm3_764899</v>
      </c>
      <c r="J7728" s="3">
        <v>243012</v>
      </c>
      <c r="K7728" s="3">
        <v>35356</v>
      </c>
      <c r="L7728" s="3">
        <v>38162</v>
      </c>
      <c r="M7728" s="3">
        <v>138639</v>
      </c>
      <c r="N7728" s="3">
        <v>309730</v>
      </c>
    </row>
    <row r="7729" spans="1:14" x14ac:dyDescent="0.2">
      <c r="A7729" s="5" t="str">
        <f>HYPERLINK("http://www.ncbi.nlm.nih.gov/protein/47894398","Tpm4")</f>
        <v>Tpm4</v>
      </c>
      <c r="B7729" s="4"/>
      <c r="C7729" s="3">
        <v>19789</v>
      </c>
      <c r="D7729" s="3">
        <v>5079</v>
      </c>
      <c r="E7729" s="3">
        <v>9311</v>
      </c>
      <c r="F7729" s="3">
        <v>50399</v>
      </c>
      <c r="G7729" s="3">
        <v>154495</v>
      </c>
      <c r="H7729" s="2">
        <f t="shared" si="240"/>
        <v>239073</v>
      </c>
      <c r="I7729" t="str">
        <f t="shared" si="241"/>
        <v>Tpm4_239073</v>
      </c>
      <c r="J7729" s="3">
        <v>19789</v>
      </c>
      <c r="K7729" s="3">
        <v>5079</v>
      </c>
      <c r="L7729" s="3">
        <v>9311</v>
      </c>
      <c r="M7729" s="3">
        <v>50399</v>
      </c>
      <c r="N7729" s="3">
        <v>154495</v>
      </c>
    </row>
    <row r="7730" spans="1:14" x14ac:dyDescent="0.2">
      <c r="A7730" s="5" t="str">
        <f>HYPERLINK("http://www.ncbi.nlm.nih.gov/protein/253795504","Tpmt")</f>
        <v>Tpmt</v>
      </c>
      <c r="B7730" s="4"/>
      <c r="C7730" s="3">
        <v>0</v>
      </c>
      <c r="D7730" s="3">
        <v>0</v>
      </c>
      <c r="E7730" s="3">
        <v>0</v>
      </c>
      <c r="F7730" s="3">
        <v>0</v>
      </c>
      <c r="G7730" s="3">
        <v>568</v>
      </c>
      <c r="H7730" s="2">
        <f t="shared" si="240"/>
        <v>568</v>
      </c>
      <c r="I7730" t="str">
        <f t="shared" si="241"/>
        <v>Tpmt_568</v>
      </c>
      <c r="J7730" s="3">
        <v>0</v>
      </c>
      <c r="K7730" s="3">
        <v>0</v>
      </c>
      <c r="L7730" s="3">
        <v>0</v>
      </c>
      <c r="M7730" s="3">
        <v>0</v>
      </c>
      <c r="N7730" s="3">
        <v>568</v>
      </c>
    </row>
    <row r="7731" spans="1:14" x14ac:dyDescent="0.2">
      <c r="A7731" s="5" t="str">
        <f>HYPERLINK("http://www.ncbi.nlm.nih.gov/protein/6753448","Tpp1")</f>
        <v>Tpp1</v>
      </c>
      <c r="B7731" s="4"/>
      <c r="C7731" s="3">
        <v>69837</v>
      </c>
      <c r="D7731" s="3">
        <v>10886</v>
      </c>
      <c r="E7731" s="3">
        <v>11992</v>
      </c>
      <c r="F7731" s="3">
        <v>18606</v>
      </c>
      <c r="G7731" s="3">
        <v>16643</v>
      </c>
      <c r="H7731" s="2">
        <f t="shared" si="240"/>
        <v>127964</v>
      </c>
      <c r="I7731" t="str">
        <f t="shared" si="241"/>
        <v>Tpp1_127964</v>
      </c>
      <c r="J7731" s="3">
        <v>69837</v>
      </c>
      <c r="K7731" s="3">
        <v>10886</v>
      </c>
      <c r="L7731" s="3">
        <v>11992</v>
      </c>
      <c r="M7731" s="3">
        <v>18606</v>
      </c>
      <c r="N7731" s="3">
        <v>16643</v>
      </c>
    </row>
    <row r="7732" spans="1:14" x14ac:dyDescent="0.2">
      <c r="A7732" s="5" t="str">
        <f>HYPERLINK("http://www.ncbi.nlm.nih.gov/protein/6678419","Tpp2")</f>
        <v>Tpp2</v>
      </c>
      <c r="B7732" s="4"/>
      <c r="C7732" s="3">
        <v>0</v>
      </c>
      <c r="D7732" s="3">
        <v>3540</v>
      </c>
      <c r="E7732" s="3">
        <v>6333</v>
      </c>
      <c r="F7732" s="3">
        <v>76928</v>
      </c>
      <c r="G7732" s="3">
        <v>30158</v>
      </c>
      <c r="H7732" s="2">
        <f t="shared" si="240"/>
        <v>116959</v>
      </c>
      <c r="I7732" t="str">
        <f t="shared" si="241"/>
        <v>Tpp2_116959</v>
      </c>
      <c r="J7732" s="3">
        <v>0</v>
      </c>
      <c r="K7732" s="3">
        <v>3540</v>
      </c>
      <c r="L7732" s="3">
        <v>6333</v>
      </c>
      <c r="M7732" s="3">
        <v>76928</v>
      </c>
      <c r="N7732" s="3">
        <v>30158</v>
      </c>
    </row>
    <row r="7733" spans="1:14" x14ac:dyDescent="0.2">
      <c r="A7733" s="5" t="str">
        <f>HYPERLINK("http://www.ncbi.nlm.nih.gov/protein/270309140","Tpr")</f>
        <v>Tpr</v>
      </c>
      <c r="B7733" s="4"/>
      <c r="C7733" s="3">
        <v>36630</v>
      </c>
      <c r="D7733" s="3">
        <v>378</v>
      </c>
      <c r="E7733" s="3">
        <v>50</v>
      </c>
      <c r="F7733" s="3">
        <v>0</v>
      </c>
      <c r="G7733" s="3">
        <v>82892</v>
      </c>
      <c r="H7733" s="2">
        <f t="shared" si="240"/>
        <v>119950</v>
      </c>
      <c r="I7733" t="str">
        <f t="shared" si="241"/>
        <v>Tpr_119950</v>
      </c>
      <c r="J7733" s="3">
        <v>36630</v>
      </c>
      <c r="K7733" s="3">
        <v>378</v>
      </c>
      <c r="L7733" s="3">
        <v>50</v>
      </c>
      <c r="M7733" s="3">
        <v>0</v>
      </c>
      <c r="N7733" s="3">
        <v>82892</v>
      </c>
    </row>
    <row r="7734" spans="1:14" x14ac:dyDescent="0.2">
      <c r="A7734" s="5" t="str">
        <f>HYPERLINK("http://www.ncbi.nlm.nih.gov/protein/21312776","Tprgl")</f>
        <v>Tprgl</v>
      </c>
      <c r="B7734" s="4"/>
      <c r="C7734" s="3">
        <v>0</v>
      </c>
      <c r="D7734" s="3">
        <v>1518</v>
      </c>
      <c r="E7734" s="3">
        <v>1419</v>
      </c>
      <c r="F7734" s="3">
        <v>467</v>
      </c>
      <c r="G7734" s="3">
        <v>0</v>
      </c>
      <c r="H7734" s="2">
        <f t="shared" si="240"/>
        <v>3404</v>
      </c>
      <c r="I7734" t="str">
        <f t="shared" si="241"/>
        <v>Tprgl_3404</v>
      </c>
      <c r="J7734" s="3">
        <v>0</v>
      </c>
      <c r="K7734" s="3">
        <v>1518</v>
      </c>
      <c r="L7734" s="3">
        <v>1419</v>
      </c>
      <c r="M7734" s="3">
        <v>467</v>
      </c>
      <c r="N7734" s="3">
        <v>0</v>
      </c>
    </row>
    <row r="7735" spans="1:14" x14ac:dyDescent="0.2">
      <c r="A7735" s="5" t="str">
        <f>HYPERLINK("http://www.ncbi.nlm.nih.gov/protein/28849893","Tprkb")</f>
        <v>Tprkb</v>
      </c>
      <c r="B7735" s="4"/>
      <c r="C7735" s="3">
        <v>275</v>
      </c>
      <c r="D7735" s="3">
        <v>0</v>
      </c>
      <c r="E7735" s="3">
        <v>0</v>
      </c>
      <c r="F7735" s="3">
        <v>0</v>
      </c>
      <c r="G7735" s="3">
        <v>0</v>
      </c>
      <c r="H7735" s="2">
        <f t="shared" si="240"/>
        <v>275</v>
      </c>
      <c r="I7735" t="str">
        <f t="shared" si="241"/>
        <v>Tprkb_275</v>
      </c>
      <c r="J7735" s="3">
        <v>275</v>
      </c>
      <c r="K7735" s="3">
        <v>0</v>
      </c>
      <c r="L7735" s="3">
        <v>0</v>
      </c>
      <c r="M7735" s="3">
        <v>0</v>
      </c>
      <c r="N7735" s="3">
        <v>0</v>
      </c>
    </row>
    <row r="7736" spans="1:14" x14ac:dyDescent="0.2">
      <c r="A7736" s="5" t="str">
        <f>HYPERLINK("http://www.ncbi.nlm.nih.gov/protein/28849893;281427253","Tprkb")</f>
        <v>Tprkb</v>
      </c>
      <c r="B7736" s="4"/>
      <c r="C7736" s="3">
        <v>0</v>
      </c>
      <c r="D7736" s="3">
        <v>0</v>
      </c>
      <c r="E7736" s="3">
        <v>354</v>
      </c>
      <c r="F7736" s="3">
        <v>0</v>
      </c>
      <c r="G7736" s="3">
        <v>0</v>
      </c>
      <c r="H7736" s="2">
        <f t="shared" si="240"/>
        <v>354</v>
      </c>
      <c r="I7736" t="str">
        <f t="shared" si="241"/>
        <v>Tprkb_354</v>
      </c>
      <c r="J7736" s="3">
        <v>0</v>
      </c>
      <c r="K7736" s="3">
        <v>0</v>
      </c>
      <c r="L7736" s="3">
        <v>354</v>
      </c>
      <c r="M7736" s="3">
        <v>0</v>
      </c>
      <c r="N7736" s="3">
        <v>0</v>
      </c>
    </row>
    <row r="7737" spans="1:14" x14ac:dyDescent="0.2">
      <c r="A7737" s="5" t="str">
        <f>HYPERLINK("http://www.ncbi.nlm.nih.gov/protein/281427253;28849893","Tprkb")</f>
        <v>Tprkb</v>
      </c>
      <c r="B7737" s="4"/>
      <c r="C7737" s="3">
        <v>0</v>
      </c>
      <c r="D7737" s="3">
        <v>0</v>
      </c>
      <c r="E7737" s="3">
        <v>0</v>
      </c>
      <c r="F7737" s="3">
        <v>4535</v>
      </c>
      <c r="G7737" s="3">
        <v>8696</v>
      </c>
      <c r="H7737" s="2">
        <f t="shared" si="240"/>
        <v>13231</v>
      </c>
      <c r="I7737" t="str">
        <f t="shared" si="241"/>
        <v>Tprkb_13231</v>
      </c>
      <c r="J7737" s="3">
        <v>0</v>
      </c>
      <c r="K7737" s="3">
        <v>0</v>
      </c>
      <c r="L7737" s="3">
        <v>0</v>
      </c>
      <c r="M7737" s="3">
        <v>4535</v>
      </c>
      <c r="N7737" s="3">
        <v>8696</v>
      </c>
    </row>
    <row r="7738" spans="1:14" x14ac:dyDescent="0.2">
      <c r="A7738" s="5" t="str">
        <f>HYPERLINK("http://www.ncbi.nlm.nih.gov/protein/190014629","Tprn")</f>
        <v>Tprn</v>
      </c>
      <c r="B7738" s="4"/>
      <c r="C7738" s="3">
        <v>0</v>
      </c>
      <c r="D7738" s="3">
        <v>1994</v>
      </c>
      <c r="E7738" s="3">
        <v>15621</v>
      </c>
      <c r="F7738" s="3">
        <v>0</v>
      </c>
      <c r="G7738" s="3">
        <v>0</v>
      </c>
      <c r="H7738" s="2">
        <f t="shared" si="240"/>
        <v>17615</v>
      </c>
      <c r="I7738" t="str">
        <f t="shared" si="241"/>
        <v>Tprn_17615</v>
      </c>
      <c r="J7738" s="3">
        <v>0</v>
      </c>
      <c r="K7738" s="3">
        <v>1994</v>
      </c>
      <c r="L7738" s="3">
        <v>15621</v>
      </c>
      <c r="M7738" s="3">
        <v>0</v>
      </c>
      <c r="N7738" s="3">
        <v>0</v>
      </c>
    </row>
    <row r="7739" spans="1:14" x14ac:dyDescent="0.2">
      <c r="A7739" s="5" t="str">
        <f>HYPERLINK("http://www.ncbi.nlm.nih.gov/protein/255683445","Tpsg1")</f>
        <v>Tpsg1</v>
      </c>
      <c r="B7739" s="4"/>
      <c r="C7739" s="3">
        <v>0</v>
      </c>
      <c r="D7739" s="3">
        <v>180</v>
      </c>
      <c r="E7739" s="3">
        <v>0</v>
      </c>
      <c r="F7739" s="3">
        <v>0</v>
      </c>
      <c r="G7739" s="3">
        <v>0</v>
      </c>
      <c r="H7739" s="2">
        <f t="shared" si="240"/>
        <v>180</v>
      </c>
      <c r="I7739" t="str">
        <f t="shared" si="241"/>
        <v>Tpsg1_180</v>
      </c>
      <c r="J7739" s="3">
        <v>0</v>
      </c>
      <c r="K7739" s="3">
        <v>180</v>
      </c>
      <c r="L7739" s="3">
        <v>0</v>
      </c>
      <c r="M7739" s="3">
        <v>0</v>
      </c>
      <c r="N7739" s="3">
        <v>0</v>
      </c>
    </row>
    <row r="7740" spans="1:14" x14ac:dyDescent="0.2">
      <c r="A7740" s="5" t="str">
        <f>HYPERLINK("http://www.ncbi.nlm.nih.gov/protein/6678437","Tpt1")</f>
        <v>Tpt1</v>
      </c>
      <c r="B7740" s="4"/>
      <c r="C7740" s="3">
        <v>18654</v>
      </c>
      <c r="D7740" s="3">
        <v>4883</v>
      </c>
      <c r="E7740" s="3">
        <v>40727</v>
      </c>
      <c r="F7740" s="3">
        <v>7146</v>
      </c>
      <c r="G7740" s="3">
        <v>270297</v>
      </c>
      <c r="H7740" s="2">
        <f t="shared" si="240"/>
        <v>341707</v>
      </c>
      <c r="I7740" t="str">
        <f t="shared" si="241"/>
        <v>Tpt1_341707</v>
      </c>
      <c r="J7740" s="3">
        <v>18654</v>
      </c>
      <c r="K7740" s="3">
        <v>4883</v>
      </c>
      <c r="L7740" s="3">
        <v>40727</v>
      </c>
      <c r="M7740" s="3">
        <v>7146</v>
      </c>
      <c r="N7740" s="3">
        <v>270297</v>
      </c>
    </row>
    <row r="7741" spans="1:14" x14ac:dyDescent="0.2">
      <c r="A7741" s="5" t="str">
        <f>HYPERLINK("http://www.ncbi.nlm.nih.gov/protein/269784764","Tpte")</f>
        <v>Tpte</v>
      </c>
      <c r="B7741" s="4"/>
      <c r="C7741" s="3">
        <v>2087</v>
      </c>
      <c r="D7741" s="3">
        <v>0</v>
      </c>
      <c r="E7741" s="3">
        <v>559</v>
      </c>
      <c r="F7741" s="3">
        <v>3070</v>
      </c>
      <c r="G7741" s="3">
        <v>0</v>
      </c>
      <c r="H7741" s="2">
        <f t="shared" si="240"/>
        <v>5716</v>
      </c>
      <c r="I7741" t="str">
        <f t="shared" si="241"/>
        <v>Tpte_5716</v>
      </c>
      <c r="J7741" s="3">
        <v>2087</v>
      </c>
      <c r="K7741" s="3">
        <v>0</v>
      </c>
      <c r="L7741" s="3">
        <v>559</v>
      </c>
      <c r="M7741" s="3">
        <v>3070</v>
      </c>
      <c r="N7741" s="3">
        <v>0</v>
      </c>
    </row>
    <row r="7742" spans="1:14" x14ac:dyDescent="0.2">
      <c r="A7742" s="5" t="str">
        <f>HYPERLINK("http://www.ncbi.nlm.nih.gov/protein/111160869","Tra2a")</f>
        <v>Tra2a</v>
      </c>
      <c r="B7742" s="4"/>
      <c r="C7742" s="3">
        <v>0</v>
      </c>
      <c r="D7742" s="3">
        <v>1246</v>
      </c>
      <c r="E7742" s="3">
        <v>132</v>
      </c>
      <c r="F7742" s="3">
        <v>933</v>
      </c>
      <c r="G7742" s="3">
        <v>0</v>
      </c>
      <c r="H7742" s="2">
        <f t="shared" si="240"/>
        <v>2311</v>
      </c>
      <c r="I7742" t="str">
        <f t="shared" si="241"/>
        <v>Tra2a_2311</v>
      </c>
      <c r="J7742" s="3">
        <v>0</v>
      </c>
      <c r="K7742" s="3">
        <v>1246</v>
      </c>
      <c r="L7742" s="3">
        <v>132</v>
      </c>
      <c r="M7742" s="3">
        <v>933</v>
      </c>
      <c r="N7742" s="3">
        <v>0</v>
      </c>
    </row>
    <row r="7743" spans="1:14" x14ac:dyDescent="0.2">
      <c r="A7743" s="5" t="str">
        <f>HYPERLINK("http://www.ncbi.nlm.nih.gov/protein/6677975","Tra2b")</f>
        <v>Tra2b</v>
      </c>
      <c r="B7743" s="4"/>
      <c r="C7743" s="3">
        <v>14132</v>
      </c>
      <c r="D7743" s="3">
        <v>0</v>
      </c>
      <c r="E7743" s="3">
        <v>67</v>
      </c>
      <c r="F7743" s="3">
        <v>3954</v>
      </c>
      <c r="G7743" s="3">
        <v>0</v>
      </c>
      <c r="H7743" s="2">
        <f t="shared" si="240"/>
        <v>18153</v>
      </c>
      <c r="I7743" t="str">
        <f t="shared" si="241"/>
        <v>Tra2b_18153</v>
      </c>
      <c r="J7743" s="3">
        <v>14132</v>
      </c>
      <c r="K7743" s="3">
        <v>0</v>
      </c>
      <c r="L7743" s="3">
        <v>67</v>
      </c>
      <c r="M7743" s="3">
        <v>3954</v>
      </c>
      <c r="N7743" s="3">
        <v>0</v>
      </c>
    </row>
    <row r="7744" spans="1:14" x14ac:dyDescent="0.2">
      <c r="A7744" s="5" t="str">
        <f>HYPERLINK("http://www.ncbi.nlm.nih.gov/protein/117606383","Trabd")</f>
        <v>Trabd</v>
      </c>
      <c r="B7744" s="4"/>
      <c r="C7744" s="3">
        <v>0</v>
      </c>
      <c r="D7744" s="3">
        <v>63</v>
      </c>
      <c r="E7744" s="3">
        <v>258</v>
      </c>
      <c r="F7744" s="3">
        <v>0</v>
      </c>
      <c r="G7744" s="3">
        <v>75</v>
      </c>
      <c r="H7744" s="2">
        <f t="shared" si="240"/>
        <v>396</v>
      </c>
      <c r="I7744" t="str">
        <f t="shared" si="241"/>
        <v>Trabd_396</v>
      </c>
      <c r="J7744" s="3">
        <v>0</v>
      </c>
      <c r="K7744" s="3">
        <v>63</v>
      </c>
      <c r="L7744" s="3">
        <v>258</v>
      </c>
      <c r="M7744" s="3">
        <v>0</v>
      </c>
      <c r="N7744" s="3">
        <v>75</v>
      </c>
    </row>
    <row r="7745" spans="1:14" x14ac:dyDescent="0.2">
      <c r="A7745" s="5" t="str">
        <f>HYPERLINK("http://www.ncbi.nlm.nih.gov/protein/75677522","Tradd")</f>
        <v>Tradd</v>
      </c>
      <c r="B7745" s="4"/>
      <c r="C7745" s="3">
        <v>0</v>
      </c>
      <c r="D7745" s="3">
        <v>486</v>
      </c>
      <c r="E7745" s="3">
        <v>347</v>
      </c>
      <c r="F7745" s="3">
        <v>4314</v>
      </c>
      <c r="G7745" s="3">
        <v>5997</v>
      </c>
      <c r="H7745" s="2">
        <f t="shared" si="240"/>
        <v>11144</v>
      </c>
      <c r="I7745" t="str">
        <f t="shared" si="241"/>
        <v>Tradd_11144</v>
      </c>
      <c r="J7745" s="3">
        <v>0</v>
      </c>
      <c r="K7745" s="3">
        <v>486</v>
      </c>
      <c r="L7745" s="3">
        <v>347</v>
      </c>
      <c r="M7745" s="3">
        <v>4314</v>
      </c>
      <c r="N7745" s="3">
        <v>5997</v>
      </c>
    </row>
    <row r="7746" spans="1:14" x14ac:dyDescent="0.2">
      <c r="A7746" s="5" t="str">
        <f>HYPERLINK("http://www.ncbi.nlm.nih.gov/protein/83921633","Traf2")</f>
        <v>Traf2</v>
      </c>
      <c r="B7746" s="4"/>
      <c r="C7746" s="3">
        <v>0</v>
      </c>
      <c r="D7746" s="3">
        <v>154</v>
      </c>
      <c r="E7746" s="3">
        <v>76</v>
      </c>
      <c r="F7746" s="3">
        <v>25</v>
      </c>
      <c r="G7746" s="3">
        <v>3320</v>
      </c>
      <c r="H7746" s="2">
        <f t="shared" ref="H7746:H7809" si="242">SUM(C7746:G7746)</f>
        <v>3575</v>
      </c>
      <c r="I7746" t="str">
        <f t="shared" ref="I7746:I7809" si="243">A7746&amp;"_"&amp;H7746</f>
        <v>Traf2_3575</v>
      </c>
      <c r="J7746" s="3">
        <v>0</v>
      </c>
      <c r="K7746" s="3">
        <v>154</v>
      </c>
      <c r="L7746" s="3">
        <v>76</v>
      </c>
      <c r="M7746" s="3">
        <v>25</v>
      </c>
      <c r="N7746" s="3">
        <v>3320</v>
      </c>
    </row>
    <row r="7747" spans="1:14" x14ac:dyDescent="0.2">
      <c r="A7747" s="5" t="str">
        <f>HYPERLINK("http://www.ncbi.nlm.nih.gov/protein/6755867","Traf5")</f>
        <v>Traf5</v>
      </c>
      <c r="B7747" s="4"/>
      <c r="C7747" s="3">
        <v>0</v>
      </c>
      <c r="D7747" s="3">
        <v>0</v>
      </c>
      <c r="E7747" s="3">
        <v>154</v>
      </c>
      <c r="F7747" s="3">
        <v>0</v>
      </c>
      <c r="G7747" s="3">
        <v>0</v>
      </c>
      <c r="H7747" s="2">
        <f t="shared" si="242"/>
        <v>154</v>
      </c>
      <c r="I7747" t="str">
        <f t="shared" si="243"/>
        <v>Traf5_154</v>
      </c>
      <c r="J7747" s="3">
        <v>0</v>
      </c>
      <c r="K7747" s="3">
        <v>0</v>
      </c>
      <c r="L7747" s="3">
        <v>154</v>
      </c>
      <c r="M7747" s="3">
        <v>0</v>
      </c>
      <c r="N7747" s="3">
        <v>0</v>
      </c>
    </row>
    <row r="7748" spans="1:14" x14ac:dyDescent="0.2">
      <c r="A7748" s="5" t="str">
        <f>HYPERLINK("http://www.ncbi.nlm.nih.gov/protein/30794386","Tram1")</f>
        <v>Tram1</v>
      </c>
      <c r="B7748" s="4"/>
      <c r="C7748" s="3">
        <v>0</v>
      </c>
      <c r="D7748" s="3">
        <v>1129</v>
      </c>
      <c r="E7748" s="3">
        <v>369</v>
      </c>
      <c r="F7748" s="3">
        <v>0</v>
      </c>
      <c r="G7748" s="3">
        <v>0</v>
      </c>
      <c r="H7748" s="2">
        <f t="shared" si="242"/>
        <v>1498</v>
      </c>
      <c r="I7748" t="str">
        <f t="shared" si="243"/>
        <v>Tram1_1498</v>
      </c>
      <c r="J7748" s="3">
        <v>0</v>
      </c>
      <c r="K7748" s="3">
        <v>1129</v>
      </c>
      <c r="L7748" s="3">
        <v>369</v>
      </c>
      <c r="M7748" s="3">
        <v>0</v>
      </c>
      <c r="N7748" s="3">
        <v>0</v>
      </c>
    </row>
    <row r="7749" spans="1:14" x14ac:dyDescent="0.2">
      <c r="A7749" s="5" t="str">
        <f>HYPERLINK("http://www.ncbi.nlm.nih.gov/protein/13385998","Trap1")</f>
        <v>Trap1</v>
      </c>
      <c r="B7749" s="4"/>
      <c r="C7749" s="3">
        <v>523808</v>
      </c>
      <c r="D7749" s="3">
        <v>80858</v>
      </c>
      <c r="E7749" s="3">
        <v>29585</v>
      </c>
      <c r="F7749" s="3">
        <v>86890</v>
      </c>
      <c r="G7749" s="3">
        <v>34934</v>
      </c>
      <c r="H7749" s="2">
        <f t="shared" si="242"/>
        <v>756075</v>
      </c>
      <c r="I7749" t="str">
        <f t="shared" si="243"/>
        <v>Trap1_756075</v>
      </c>
      <c r="J7749" s="3">
        <v>523808</v>
      </c>
      <c r="K7749" s="3">
        <v>80858</v>
      </c>
      <c r="L7749" s="3">
        <v>29585</v>
      </c>
      <c r="M7749" s="3">
        <v>86890</v>
      </c>
      <c r="N7749" s="3">
        <v>34934</v>
      </c>
    </row>
    <row r="7750" spans="1:14" x14ac:dyDescent="0.2">
      <c r="A7750" s="5" t="str">
        <f>HYPERLINK("http://www.ncbi.nlm.nih.gov/protein/66730565","Trappc1")</f>
        <v>Trappc1</v>
      </c>
      <c r="B7750" s="4"/>
      <c r="C7750" s="3">
        <v>0</v>
      </c>
      <c r="D7750" s="3">
        <v>495</v>
      </c>
      <c r="E7750" s="3">
        <v>259</v>
      </c>
      <c r="F7750" s="3">
        <v>8357</v>
      </c>
      <c r="G7750" s="3">
        <v>32</v>
      </c>
      <c r="H7750" s="2">
        <f t="shared" si="242"/>
        <v>9143</v>
      </c>
      <c r="I7750" t="str">
        <f t="shared" si="243"/>
        <v>Trappc1_9143</v>
      </c>
      <c r="J7750" s="3">
        <v>0</v>
      </c>
      <c r="K7750" s="3">
        <v>495</v>
      </c>
      <c r="L7750" s="3">
        <v>259</v>
      </c>
      <c r="M7750" s="3">
        <v>8357</v>
      </c>
      <c r="N7750" s="3">
        <v>32</v>
      </c>
    </row>
    <row r="7751" spans="1:14" x14ac:dyDescent="0.2">
      <c r="A7751" s="5" t="str">
        <f>HYPERLINK("http://www.ncbi.nlm.nih.gov/protein/124486684","Trappc10")</f>
        <v>Trappc10</v>
      </c>
      <c r="B7751" s="4"/>
      <c r="C7751" s="3">
        <v>0</v>
      </c>
      <c r="D7751" s="3">
        <v>530</v>
      </c>
      <c r="E7751" s="3">
        <v>1103</v>
      </c>
      <c r="F7751" s="3">
        <v>0</v>
      </c>
      <c r="G7751" s="3">
        <v>3556</v>
      </c>
      <c r="H7751" s="2">
        <f t="shared" si="242"/>
        <v>5189</v>
      </c>
      <c r="I7751" t="str">
        <f t="shared" si="243"/>
        <v>Trappc10_5189</v>
      </c>
      <c r="J7751" s="3">
        <v>0</v>
      </c>
      <c r="K7751" s="3">
        <v>530</v>
      </c>
      <c r="L7751" s="3">
        <v>1103</v>
      </c>
      <c r="M7751" s="3">
        <v>0</v>
      </c>
      <c r="N7751" s="3">
        <v>3556</v>
      </c>
    </row>
    <row r="7752" spans="1:14" x14ac:dyDescent="0.2">
      <c r="A7752" s="5" t="str">
        <f>HYPERLINK("http://www.ncbi.nlm.nih.gov/protein/62241019","Trappc11")</f>
        <v>Trappc11</v>
      </c>
      <c r="B7752" s="4"/>
      <c r="C7752" s="3">
        <v>0</v>
      </c>
      <c r="D7752" s="3">
        <v>0</v>
      </c>
      <c r="E7752" s="3">
        <v>1465</v>
      </c>
      <c r="F7752" s="3">
        <v>0</v>
      </c>
      <c r="G7752" s="3">
        <v>0</v>
      </c>
      <c r="H7752" s="2">
        <f t="shared" si="242"/>
        <v>1465</v>
      </c>
      <c r="I7752" t="str">
        <f t="shared" si="243"/>
        <v>Trappc11_1465</v>
      </c>
      <c r="J7752" s="3">
        <v>0</v>
      </c>
      <c r="K7752" s="3">
        <v>0</v>
      </c>
      <c r="L7752" s="3">
        <v>1465</v>
      </c>
      <c r="M7752" s="3">
        <v>0</v>
      </c>
      <c r="N7752" s="3">
        <v>0</v>
      </c>
    </row>
    <row r="7753" spans="1:14" x14ac:dyDescent="0.2">
      <c r="A7753" s="5" t="str">
        <f>HYPERLINK("http://www.ncbi.nlm.nih.gov/protein/238637273;238637271","Trappc12")</f>
        <v>Trappc12</v>
      </c>
      <c r="B7753" s="4"/>
      <c r="C7753" s="3">
        <v>0</v>
      </c>
      <c r="D7753" s="3">
        <v>0</v>
      </c>
      <c r="E7753" s="3">
        <v>369</v>
      </c>
      <c r="F7753" s="3">
        <v>0</v>
      </c>
      <c r="G7753" s="3">
        <v>0</v>
      </c>
      <c r="H7753" s="2">
        <f t="shared" si="242"/>
        <v>369</v>
      </c>
      <c r="I7753" t="str">
        <f t="shared" si="243"/>
        <v>Trappc12_369</v>
      </c>
      <c r="J7753" s="3">
        <v>0</v>
      </c>
      <c r="K7753" s="3">
        <v>0</v>
      </c>
      <c r="L7753" s="3">
        <v>369</v>
      </c>
      <c r="M7753" s="3">
        <v>0</v>
      </c>
      <c r="N7753" s="3">
        <v>0</v>
      </c>
    </row>
    <row r="7754" spans="1:14" x14ac:dyDescent="0.2">
      <c r="A7754" s="5" t="str">
        <f>HYPERLINK("http://www.ncbi.nlm.nih.gov/protein/238637273","Trappc12")</f>
        <v>Trappc12</v>
      </c>
      <c r="B7754" s="4"/>
      <c r="C7754" s="3">
        <v>0</v>
      </c>
      <c r="D7754" s="3">
        <v>0</v>
      </c>
      <c r="E7754" s="3">
        <v>0</v>
      </c>
      <c r="F7754" s="3">
        <v>0</v>
      </c>
      <c r="G7754" s="3">
        <v>332</v>
      </c>
      <c r="H7754" s="2">
        <f t="shared" si="242"/>
        <v>332</v>
      </c>
      <c r="I7754" t="str">
        <f t="shared" si="243"/>
        <v>Trappc12_332</v>
      </c>
      <c r="J7754" s="3">
        <v>0</v>
      </c>
      <c r="K7754" s="3">
        <v>0</v>
      </c>
      <c r="L7754" s="3">
        <v>0</v>
      </c>
      <c r="M7754" s="3">
        <v>0</v>
      </c>
      <c r="N7754" s="3">
        <v>332</v>
      </c>
    </row>
    <row r="7755" spans="1:14" x14ac:dyDescent="0.2">
      <c r="A7755" s="5" t="str">
        <f>HYPERLINK("http://www.ncbi.nlm.nih.gov/protein/238637275","Trappc12")</f>
        <v>Trappc12</v>
      </c>
      <c r="B7755" s="4"/>
      <c r="C7755" s="3">
        <v>0</v>
      </c>
      <c r="D7755" s="3">
        <v>0</v>
      </c>
      <c r="E7755" s="3">
        <v>1</v>
      </c>
      <c r="F7755" s="3">
        <v>0</v>
      </c>
      <c r="G7755" s="3">
        <v>332</v>
      </c>
      <c r="H7755" s="2">
        <f t="shared" si="242"/>
        <v>333</v>
      </c>
      <c r="I7755" t="str">
        <f t="shared" si="243"/>
        <v>Trappc12_333</v>
      </c>
      <c r="J7755" s="3">
        <v>0</v>
      </c>
      <c r="K7755" s="3">
        <v>0</v>
      </c>
      <c r="L7755" s="3">
        <v>1</v>
      </c>
      <c r="M7755" s="3">
        <v>0</v>
      </c>
      <c r="N7755" s="3">
        <v>332</v>
      </c>
    </row>
    <row r="7756" spans="1:14" x14ac:dyDescent="0.2">
      <c r="A7756" s="5" t="str">
        <f>HYPERLINK("http://www.ncbi.nlm.nih.gov/protein/153791919","Trappc2")</f>
        <v>Trappc2</v>
      </c>
      <c r="B7756" s="4"/>
      <c r="C7756" s="3">
        <v>0</v>
      </c>
      <c r="D7756" s="3">
        <v>75</v>
      </c>
      <c r="E7756" s="3">
        <v>309</v>
      </c>
      <c r="F7756" s="3">
        <v>5714</v>
      </c>
      <c r="G7756" s="3">
        <v>54</v>
      </c>
      <c r="H7756" s="2">
        <f t="shared" si="242"/>
        <v>6152</v>
      </c>
      <c r="I7756" t="str">
        <f t="shared" si="243"/>
        <v>Trappc2_6152</v>
      </c>
      <c r="J7756" s="3">
        <v>0</v>
      </c>
      <c r="K7756" s="3">
        <v>75</v>
      </c>
      <c r="L7756" s="3">
        <v>309</v>
      </c>
      <c r="M7756" s="3">
        <v>5714</v>
      </c>
      <c r="N7756" s="3">
        <v>54</v>
      </c>
    </row>
    <row r="7757" spans="1:14" x14ac:dyDescent="0.2">
      <c r="A7757" s="5" t="str">
        <f>HYPERLINK("http://www.ncbi.nlm.nih.gov/protein/10946914","Trappc2l")</f>
        <v>Trappc2l</v>
      </c>
      <c r="B7757" s="4"/>
      <c r="C7757" s="3">
        <v>0</v>
      </c>
      <c r="D7757" s="3">
        <v>426</v>
      </c>
      <c r="E7757" s="3">
        <v>667</v>
      </c>
      <c r="F7757" s="3">
        <v>3151</v>
      </c>
      <c r="G7757" s="3">
        <v>3556</v>
      </c>
      <c r="H7757" s="2">
        <f t="shared" si="242"/>
        <v>7800</v>
      </c>
      <c r="I7757" t="str">
        <f t="shared" si="243"/>
        <v>Trappc2l_7800</v>
      </c>
      <c r="J7757" s="3">
        <v>0</v>
      </c>
      <c r="K7757" s="3">
        <v>426</v>
      </c>
      <c r="L7757" s="3">
        <v>667</v>
      </c>
      <c r="M7757" s="3">
        <v>3151</v>
      </c>
      <c r="N7757" s="3">
        <v>3556</v>
      </c>
    </row>
    <row r="7758" spans="1:14" x14ac:dyDescent="0.2">
      <c r="A7758" s="5" t="str">
        <f>HYPERLINK("http://www.ncbi.nlm.nih.gov/protein/7304929","Trappc3")</f>
        <v>Trappc3</v>
      </c>
      <c r="B7758" s="4"/>
      <c r="C7758" s="3">
        <v>275</v>
      </c>
      <c r="D7758" s="3">
        <v>1349</v>
      </c>
      <c r="E7758" s="3">
        <v>3796</v>
      </c>
      <c r="F7758" s="3">
        <v>32177</v>
      </c>
      <c r="G7758" s="3">
        <v>16985</v>
      </c>
      <c r="H7758" s="2">
        <f t="shared" si="242"/>
        <v>54582</v>
      </c>
      <c r="I7758" t="str">
        <f t="shared" si="243"/>
        <v>Trappc3_54582</v>
      </c>
      <c r="J7758" s="3">
        <v>275</v>
      </c>
      <c r="K7758" s="3">
        <v>1349</v>
      </c>
      <c r="L7758" s="3">
        <v>3796</v>
      </c>
      <c r="M7758" s="3">
        <v>32177</v>
      </c>
      <c r="N7758" s="3">
        <v>16985</v>
      </c>
    </row>
    <row r="7759" spans="1:14" x14ac:dyDescent="0.2">
      <c r="A7759" s="5" t="str">
        <f>HYPERLINK("http://www.ncbi.nlm.nih.gov/protein/11140825","Trappc4")</f>
        <v>Trappc4</v>
      </c>
      <c r="B7759" s="4"/>
      <c r="C7759" s="3">
        <v>0</v>
      </c>
      <c r="D7759" s="3">
        <v>501</v>
      </c>
      <c r="E7759" s="3">
        <v>419</v>
      </c>
      <c r="F7759" s="3">
        <v>8382</v>
      </c>
      <c r="G7759" s="3">
        <v>2624</v>
      </c>
      <c r="H7759" s="2">
        <f t="shared" si="242"/>
        <v>11926</v>
      </c>
      <c r="I7759" t="str">
        <f t="shared" si="243"/>
        <v>Trappc4_11926</v>
      </c>
      <c r="J7759" s="3">
        <v>0</v>
      </c>
      <c r="K7759" s="3">
        <v>501</v>
      </c>
      <c r="L7759" s="3">
        <v>419</v>
      </c>
      <c r="M7759" s="3">
        <v>8382</v>
      </c>
      <c r="N7759" s="3">
        <v>2624</v>
      </c>
    </row>
    <row r="7760" spans="1:14" x14ac:dyDescent="0.2">
      <c r="A7760" s="5" t="str">
        <f>HYPERLINK("http://www.ncbi.nlm.nih.gov/protein/157266281","Trappc5")</f>
        <v>Trappc5</v>
      </c>
      <c r="B7760" s="4"/>
      <c r="C7760" s="3">
        <v>0</v>
      </c>
      <c r="D7760" s="3">
        <v>4281</v>
      </c>
      <c r="E7760" s="3">
        <v>4326</v>
      </c>
      <c r="F7760" s="3">
        <v>25023</v>
      </c>
      <c r="G7760" s="3">
        <v>7861</v>
      </c>
      <c r="H7760" s="2">
        <f t="shared" si="242"/>
        <v>41491</v>
      </c>
      <c r="I7760" t="str">
        <f t="shared" si="243"/>
        <v>Trappc5_41491</v>
      </c>
      <c r="J7760" s="3">
        <v>0</v>
      </c>
      <c r="K7760" s="3">
        <v>4281</v>
      </c>
      <c r="L7760" s="3">
        <v>4326</v>
      </c>
      <c r="M7760" s="3">
        <v>25023</v>
      </c>
      <c r="N7760" s="3">
        <v>7861</v>
      </c>
    </row>
    <row r="7761" spans="1:14" x14ac:dyDescent="0.2">
      <c r="A7761" s="5" t="str">
        <f>HYPERLINK("http://www.ncbi.nlm.nih.gov/protein/31981104","Trappc6a")</f>
        <v>Trappc6a</v>
      </c>
      <c r="B7761" s="4"/>
      <c r="C7761" s="3">
        <v>0</v>
      </c>
      <c r="D7761" s="3">
        <v>0</v>
      </c>
      <c r="E7761" s="3">
        <v>0</v>
      </c>
      <c r="F7761" s="3">
        <v>74</v>
      </c>
      <c r="G7761" s="3">
        <v>0</v>
      </c>
      <c r="H7761" s="2">
        <f t="shared" si="242"/>
        <v>74</v>
      </c>
      <c r="I7761" t="str">
        <f t="shared" si="243"/>
        <v>Trappc6a_74</v>
      </c>
      <c r="J7761" s="3">
        <v>0</v>
      </c>
      <c r="K7761" s="3">
        <v>0</v>
      </c>
      <c r="L7761" s="3">
        <v>0</v>
      </c>
      <c r="M7761" s="3">
        <v>74</v>
      </c>
      <c r="N7761" s="3">
        <v>0</v>
      </c>
    </row>
    <row r="7762" spans="1:14" x14ac:dyDescent="0.2">
      <c r="A7762" s="5" t="str">
        <f>HYPERLINK("http://www.ncbi.nlm.nih.gov/protein/58037519","Trappc6b")</f>
        <v>Trappc6b</v>
      </c>
      <c r="B7762" s="4"/>
      <c r="C7762" s="3">
        <v>238</v>
      </c>
      <c r="D7762" s="3">
        <v>883</v>
      </c>
      <c r="E7762" s="3">
        <v>1816</v>
      </c>
      <c r="F7762" s="3">
        <v>22920</v>
      </c>
      <c r="G7762" s="3">
        <v>5333</v>
      </c>
      <c r="H7762" s="2">
        <f t="shared" si="242"/>
        <v>31190</v>
      </c>
      <c r="I7762" t="str">
        <f t="shared" si="243"/>
        <v>Trappc6b_31190</v>
      </c>
      <c r="J7762" s="3">
        <v>238</v>
      </c>
      <c r="K7762" s="3">
        <v>883</v>
      </c>
      <c r="L7762" s="3">
        <v>1816</v>
      </c>
      <c r="M7762" s="3">
        <v>22920</v>
      </c>
      <c r="N7762" s="3">
        <v>5333</v>
      </c>
    </row>
    <row r="7763" spans="1:14" x14ac:dyDescent="0.2">
      <c r="A7763" s="5" t="str">
        <f>HYPERLINK("http://www.ncbi.nlm.nih.gov/protein/291621688","Trappc8")</f>
        <v>Trappc8</v>
      </c>
      <c r="B7763" s="4"/>
      <c r="C7763" s="3">
        <v>0</v>
      </c>
      <c r="D7763" s="3">
        <v>0</v>
      </c>
      <c r="E7763" s="3">
        <v>0</v>
      </c>
      <c r="F7763" s="3">
        <v>246</v>
      </c>
      <c r="G7763" s="3">
        <v>0</v>
      </c>
      <c r="H7763" s="2">
        <f t="shared" si="242"/>
        <v>246</v>
      </c>
      <c r="I7763" t="str">
        <f t="shared" si="243"/>
        <v>Trappc8_246</v>
      </c>
      <c r="J7763" s="3">
        <v>0</v>
      </c>
      <c r="K7763" s="3">
        <v>0</v>
      </c>
      <c r="L7763" s="3">
        <v>0</v>
      </c>
      <c r="M7763" s="3">
        <v>246</v>
      </c>
      <c r="N7763" s="3">
        <v>0</v>
      </c>
    </row>
    <row r="7764" spans="1:14" x14ac:dyDescent="0.2">
      <c r="A7764" s="5" t="str">
        <f>HYPERLINK("http://www.ncbi.nlm.nih.gov/protein/257467575","Trappc9")</f>
        <v>Trappc9</v>
      </c>
      <c r="B7764" s="4"/>
      <c r="C7764" s="3">
        <v>0</v>
      </c>
      <c r="D7764" s="3">
        <v>1023</v>
      </c>
      <c r="E7764" s="3">
        <v>1715</v>
      </c>
      <c r="F7764" s="3">
        <v>2063</v>
      </c>
      <c r="G7764" s="3">
        <v>6019</v>
      </c>
      <c r="H7764" s="2">
        <f t="shared" si="242"/>
        <v>10820</v>
      </c>
      <c r="I7764" t="str">
        <f t="shared" si="243"/>
        <v>Trappc9_10820</v>
      </c>
      <c r="J7764" s="3">
        <v>0</v>
      </c>
      <c r="K7764" s="3">
        <v>1023</v>
      </c>
      <c r="L7764" s="3">
        <v>1715</v>
      </c>
      <c r="M7764" s="3">
        <v>2063</v>
      </c>
      <c r="N7764" s="3">
        <v>6019</v>
      </c>
    </row>
    <row r="7765" spans="1:14" x14ac:dyDescent="0.2">
      <c r="A7765" s="5" t="str">
        <f>HYPERLINK("http://www.ncbi.nlm.nih.gov/protein/257467578","Trappc9")</f>
        <v>Trappc9</v>
      </c>
      <c r="B7765" s="4"/>
      <c r="C7765" s="3">
        <v>0</v>
      </c>
      <c r="D7765" s="3">
        <v>1023</v>
      </c>
      <c r="E7765" s="3">
        <v>1636</v>
      </c>
      <c r="F7765" s="3">
        <v>2063</v>
      </c>
      <c r="G7765" s="3">
        <v>5258</v>
      </c>
      <c r="H7765" s="2">
        <f t="shared" si="242"/>
        <v>9980</v>
      </c>
      <c r="I7765" t="str">
        <f t="shared" si="243"/>
        <v>Trappc9_9980</v>
      </c>
      <c r="J7765" s="3">
        <v>0</v>
      </c>
      <c r="K7765" s="3">
        <v>1023</v>
      </c>
      <c r="L7765" s="3">
        <v>1636</v>
      </c>
      <c r="M7765" s="3">
        <v>2063</v>
      </c>
      <c r="N7765" s="3">
        <v>5258</v>
      </c>
    </row>
    <row r="7766" spans="1:14" x14ac:dyDescent="0.2">
      <c r="A7766" s="5" t="str">
        <f>HYPERLINK("http://www.ncbi.nlm.nih.gov/protein/257467580","Trappc9")</f>
        <v>Trappc9</v>
      </c>
      <c r="B7766" s="4"/>
      <c r="C7766" s="3">
        <v>0</v>
      </c>
      <c r="D7766" s="3">
        <v>1023</v>
      </c>
      <c r="E7766" s="3">
        <v>1636</v>
      </c>
      <c r="F7766" s="3">
        <v>2063</v>
      </c>
      <c r="G7766" s="3">
        <v>5258</v>
      </c>
      <c r="H7766" s="2">
        <f t="shared" si="242"/>
        <v>9980</v>
      </c>
      <c r="I7766" t="str">
        <f t="shared" si="243"/>
        <v>Trappc9_9980</v>
      </c>
      <c r="J7766" s="3">
        <v>0</v>
      </c>
      <c r="K7766" s="3">
        <v>1023</v>
      </c>
      <c r="L7766" s="3">
        <v>1636</v>
      </c>
      <c r="M7766" s="3">
        <v>2063</v>
      </c>
      <c r="N7766" s="3">
        <v>5258</v>
      </c>
    </row>
    <row r="7767" spans="1:14" x14ac:dyDescent="0.2">
      <c r="A7767" s="5" t="str">
        <f>HYPERLINK("http://www.ncbi.nlm.nih.gov/protein/257467582","Trappc9")</f>
        <v>Trappc9</v>
      </c>
      <c r="B7767" s="4"/>
      <c r="C7767" s="3">
        <v>0</v>
      </c>
      <c r="D7767" s="3">
        <v>303</v>
      </c>
      <c r="E7767" s="3">
        <v>711</v>
      </c>
      <c r="F7767" s="3">
        <v>2063</v>
      </c>
      <c r="G7767" s="3">
        <v>2035</v>
      </c>
      <c r="H7767" s="2">
        <f t="shared" si="242"/>
        <v>5112</v>
      </c>
      <c r="I7767" t="str">
        <f t="shared" si="243"/>
        <v>Trappc9_5112</v>
      </c>
      <c r="J7767" s="3">
        <v>0</v>
      </c>
      <c r="K7767" s="3">
        <v>303</v>
      </c>
      <c r="L7767" s="3">
        <v>711</v>
      </c>
      <c r="M7767" s="3">
        <v>2063</v>
      </c>
      <c r="N7767" s="3">
        <v>2035</v>
      </c>
    </row>
    <row r="7768" spans="1:14" x14ac:dyDescent="0.2">
      <c r="A7768" s="5" t="str">
        <f>HYPERLINK("http://www.ncbi.nlm.nih.gov/protein/30840992","Trappc9")</f>
        <v>Trappc9</v>
      </c>
      <c r="B7768" s="4"/>
      <c r="C7768" s="3">
        <v>0</v>
      </c>
      <c r="D7768" s="3">
        <v>898</v>
      </c>
      <c r="E7768" s="3">
        <v>1033</v>
      </c>
      <c r="F7768" s="3">
        <v>1342</v>
      </c>
      <c r="G7768" s="3">
        <v>5580</v>
      </c>
      <c r="H7768" s="2">
        <f t="shared" si="242"/>
        <v>8853</v>
      </c>
      <c r="I7768" t="str">
        <f t="shared" si="243"/>
        <v>Trappc9_8853</v>
      </c>
      <c r="J7768" s="3">
        <v>0</v>
      </c>
      <c r="K7768" s="3">
        <v>898</v>
      </c>
      <c r="L7768" s="3">
        <v>1033</v>
      </c>
      <c r="M7768" s="3">
        <v>1342</v>
      </c>
      <c r="N7768" s="3">
        <v>5580</v>
      </c>
    </row>
    <row r="7769" spans="1:14" x14ac:dyDescent="0.2">
      <c r="A7769" s="5" t="str">
        <f>HYPERLINK("http://www.ncbi.nlm.nih.gov/protein/21312202","Triap1")</f>
        <v>Triap1</v>
      </c>
      <c r="B7769" s="4"/>
      <c r="C7769" s="3">
        <v>0</v>
      </c>
      <c r="D7769" s="3">
        <v>115</v>
      </c>
      <c r="E7769" s="3">
        <v>0</v>
      </c>
      <c r="F7769" s="3">
        <v>0</v>
      </c>
      <c r="G7769" s="3">
        <v>54</v>
      </c>
      <c r="H7769" s="2">
        <f t="shared" si="242"/>
        <v>169</v>
      </c>
      <c r="I7769" t="str">
        <f t="shared" si="243"/>
        <v>Triap1_169</v>
      </c>
      <c r="J7769" s="3">
        <v>0</v>
      </c>
      <c r="K7769" s="3">
        <v>115</v>
      </c>
      <c r="L7769" s="3">
        <v>0</v>
      </c>
      <c r="M7769" s="3">
        <v>0</v>
      </c>
      <c r="N7769" s="3">
        <v>54</v>
      </c>
    </row>
    <row r="7770" spans="1:14" x14ac:dyDescent="0.2">
      <c r="A7770" s="5" t="str">
        <f>HYPERLINK("http://www.ncbi.nlm.nih.gov/protein/70778828","Trim16")</f>
        <v>Trim16</v>
      </c>
      <c r="B7770" s="4"/>
      <c r="C7770" s="3">
        <v>0</v>
      </c>
      <c r="D7770" s="3">
        <v>0</v>
      </c>
      <c r="E7770" s="3">
        <v>0</v>
      </c>
      <c r="F7770" s="3">
        <v>0</v>
      </c>
      <c r="G7770" s="3">
        <v>3277</v>
      </c>
      <c r="H7770" s="2">
        <f t="shared" si="242"/>
        <v>3277</v>
      </c>
      <c r="I7770" t="str">
        <f t="shared" si="243"/>
        <v>Trim16_3277</v>
      </c>
      <c r="J7770" s="3">
        <v>0</v>
      </c>
      <c r="K7770" s="3">
        <v>0</v>
      </c>
      <c r="L7770" s="3">
        <v>0</v>
      </c>
      <c r="M7770" s="3">
        <v>0</v>
      </c>
      <c r="N7770" s="3">
        <v>3277</v>
      </c>
    </row>
    <row r="7771" spans="1:14" x14ac:dyDescent="0.2">
      <c r="A7771" s="5" t="str">
        <f>HYPERLINK("http://www.ncbi.nlm.nih.gov/protein/29789263","Trim23")</f>
        <v>Trim23</v>
      </c>
      <c r="B7771" s="4"/>
      <c r="C7771" s="3">
        <v>604</v>
      </c>
      <c r="D7771" s="3">
        <v>104</v>
      </c>
      <c r="E7771" s="3">
        <v>1444</v>
      </c>
      <c r="F7771" s="3">
        <v>990</v>
      </c>
      <c r="G7771" s="3">
        <v>171</v>
      </c>
      <c r="H7771" s="2">
        <f t="shared" si="242"/>
        <v>3313</v>
      </c>
      <c r="I7771" t="str">
        <f t="shared" si="243"/>
        <v>Trim23_3313</v>
      </c>
      <c r="J7771" s="3">
        <v>604</v>
      </c>
      <c r="K7771" s="3">
        <v>104</v>
      </c>
      <c r="L7771" s="3">
        <v>1444</v>
      </c>
      <c r="M7771" s="3">
        <v>990</v>
      </c>
      <c r="N7771" s="3">
        <v>171</v>
      </c>
    </row>
    <row r="7772" spans="1:14" x14ac:dyDescent="0.2">
      <c r="A7772" s="5" t="str">
        <f>HYPERLINK("http://www.ncbi.nlm.nih.gov/protein/440918679","Trim24")</f>
        <v>Trim24</v>
      </c>
      <c r="B7772" s="4"/>
      <c r="C7772" s="3">
        <v>0</v>
      </c>
      <c r="D7772" s="3">
        <v>0</v>
      </c>
      <c r="E7772" s="3">
        <v>13</v>
      </c>
      <c r="F7772" s="3">
        <v>0</v>
      </c>
      <c r="G7772" s="3">
        <v>1649</v>
      </c>
      <c r="H7772" s="2">
        <f t="shared" si="242"/>
        <v>1662</v>
      </c>
      <c r="I7772" t="str">
        <f t="shared" si="243"/>
        <v>Trim24_1662</v>
      </c>
      <c r="J7772" s="3">
        <v>0</v>
      </c>
      <c r="K7772" s="3">
        <v>0</v>
      </c>
      <c r="L7772" s="3">
        <v>13</v>
      </c>
      <c r="M7772" s="3">
        <v>0</v>
      </c>
      <c r="N7772" s="3">
        <v>1649</v>
      </c>
    </row>
    <row r="7773" spans="1:14" x14ac:dyDescent="0.2">
      <c r="A7773" s="5" t="str">
        <f>HYPERLINK("http://www.ncbi.nlm.nih.gov/protein/440918697","Trim24")</f>
        <v>Trim24</v>
      </c>
      <c r="B7773" s="4"/>
      <c r="C7773" s="3">
        <v>0</v>
      </c>
      <c r="D7773" s="3">
        <v>0</v>
      </c>
      <c r="E7773" s="3">
        <v>13</v>
      </c>
      <c r="F7773" s="3">
        <v>0</v>
      </c>
      <c r="G7773" s="3">
        <v>1649</v>
      </c>
      <c r="H7773" s="2">
        <f t="shared" si="242"/>
        <v>1662</v>
      </c>
      <c r="I7773" t="str">
        <f t="shared" si="243"/>
        <v>Trim24_1662</v>
      </c>
      <c r="J7773" s="3">
        <v>0</v>
      </c>
      <c r="K7773" s="3">
        <v>0</v>
      </c>
      <c r="L7773" s="3">
        <v>13</v>
      </c>
      <c r="M7773" s="3">
        <v>0</v>
      </c>
      <c r="N7773" s="3">
        <v>1649</v>
      </c>
    </row>
    <row r="7774" spans="1:14" x14ac:dyDescent="0.2">
      <c r="A7774" s="5" t="str">
        <f>HYPERLINK("http://www.ncbi.nlm.nih.gov/protein/94420998","Trim24")</f>
        <v>Trim24</v>
      </c>
      <c r="B7774" s="4"/>
      <c r="C7774" s="3">
        <v>0</v>
      </c>
      <c r="D7774" s="3">
        <v>0</v>
      </c>
      <c r="E7774" s="3">
        <v>13</v>
      </c>
      <c r="F7774" s="3">
        <v>0</v>
      </c>
      <c r="G7774" s="3">
        <v>1649</v>
      </c>
      <c r="H7774" s="2">
        <f t="shared" si="242"/>
        <v>1662</v>
      </c>
      <c r="I7774" t="str">
        <f t="shared" si="243"/>
        <v>Trim24_1662</v>
      </c>
      <c r="J7774" s="3">
        <v>0</v>
      </c>
      <c r="K7774" s="3">
        <v>0</v>
      </c>
      <c r="L7774" s="3">
        <v>13</v>
      </c>
      <c r="M7774" s="3">
        <v>0</v>
      </c>
      <c r="N7774" s="3">
        <v>1649</v>
      </c>
    </row>
    <row r="7775" spans="1:14" x14ac:dyDescent="0.2">
      <c r="A7775" s="5" t="str">
        <f>HYPERLINK("http://www.ncbi.nlm.nih.gov/protein/145207948","Trim25")</f>
        <v>Trim25</v>
      </c>
      <c r="B7775" s="4"/>
      <c r="C7775" s="3">
        <v>0</v>
      </c>
      <c r="D7775" s="3">
        <v>3008</v>
      </c>
      <c r="E7775" s="3">
        <v>21032</v>
      </c>
      <c r="F7775" s="3">
        <v>23959</v>
      </c>
      <c r="G7775" s="3">
        <v>0</v>
      </c>
      <c r="H7775" s="2">
        <f t="shared" si="242"/>
        <v>47999</v>
      </c>
      <c r="I7775" t="str">
        <f t="shared" si="243"/>
        <v>Trim25_47999</v>
      </c>
      <c r="J7775" s="3">
        <v>0</v>
      </c>
      <c r="K7775" s="3">
        <v>3008</v>
      </c>
      <c r="L7775" s="3">
        <v>21032</v>
      </c>
      <c r="M7775" s="3">
        <v>23959</v>
      </c>
      <c r="N7775" s="3">
        <v>0</v>
      </c>
    </row>
    <row r="7776" spans="1:14" x14ac:dyDescent="0.2">
      <c r="A7776" s="5" t="str">
        <f>HYPERLINK("http://www.ncbi.nlm.nih.gov/protein/125347389","Trim27")</f>
        <v>Trim27</v>
      </c>
      <c r="B7776" s="4"/>
      <c r="C7776" s="3">
        <v>0</v>
      </c>
      <c r="D7776" s="3">
        <v>0</v>
      </c>
      <c r="E7776" s="3">
        <v>0</v>
      </c>
      <c r="F7776" s="3">
        <v>426</v>
      </c>
      <c r="G7776" s="3">
        <v>43</v>
      </c>
      <c r="H7776" s="2">
        <f t="shared" si="242"/>
        <v>469</v>
      </c>
      <c r="I7776" t="str">
        <f t="shared" si="243"/>
        <v>Trim27_469</v>
      </c>
      <c r="J7776" s="3">
        <v>0</v>
      </c>
      <c r="K7776" s="3">
        <v>0</v>
      </c>
      <c r="L7776" s="3">
        <v>0</v>
      </c>
      <c r="M7776" s="3">
        <v>426</v>
      </c>
      <c r="N7776" s="3">
        <v>43</v>
      </c>
    </row>
    <row r="7777" spans="1:14" x14ac:dyDescent="0.2">
      <c r="A7777" s="5" t="str">
        <f>HYPERLINK("http://www.ncbi.nlm.nih.gov/protein/170295840","Trim28")</f>
        <v>Trim28</v>
      </c>
      <c r="B7777" s="4"/>
      <c r="C7777" s="3">
        <v>114614</v>
      </c>
      <c r="D7777" s="3">
        <v>3209</v>
      </c>
      <c r="E7777" s="3">
        <v>8806</v>
      </c>
      <c r="F7777" s="3">
        <v>182137</v>
      </c>
      <c r="G7777" s="3">
        <v>136011</v>
      </c>
      <c r="H7777" s="2">
        <f t="shared" si="242"/>
        <v>444777</v>
      </c>
      <c r="I7777" t="str">
        <f t="shared" si="243"/>
        <v>Trim28_444777</v>
      </c>
      <c r="J7777" s="3">
        <v>114614</v>
      </c>
      <c r="K7777" s="3">
        <v>3209</v>
      </c>
      <c r="L7777" s="3">
        <v>8806</v>
      </c>
      <c r="M7777" s="3">
        <v>182137</v>
      </c>
      <c r="N7777" s="3">
        <v>136011</v>
      </c>
    </row>
    <row r="7778" spans="1:14" x14ac:dyDescent="0.2">
      <c r="A7778" s="5" t="str">
        <f>HYPERLINK("http://www.ncbi.nlm.nih.gov/protein/33468961","Trim3")</f>
        <v>Trim3</v>
      </c>
      <c r="B7778" s="4"/>
      <c r="C7778" s="3">
        <v>0</v>
      </c>
      <c r="D7778" s="3">
        <v>0</v>
      </c>
      <c r="E7778" s="3">
        <v>1853</v>
      </c>
      <c r="F7778" s="3">
        <v>0</v>
      </c>
      <c r="G7778" s="3">
        <v>0</v>
      </c>
      <c r="H7778" s="2">
        <f t="shared" si="242"/>
        <v>1853</v>
      </c>
      <c r="I7778" t="str">
        <f t="shared" si="243"/>
        <v>Trim3_1853</v>
      </c>
      <c r="J7778" s="3">
        <v>0</v>
      </c>
      <c r="K7778" s="3">
        <v>0</v>
      </c>
      <c r="L7778" s="3">
        <v>1853</v>
      </c>
      <c r="M7778" s="3">
        <v>0</v>
      </c>
      <c r="N7778" s="3">
        <v>0</v>
      </c>
    </row>
    <row r="7779" spans="1:14" x14ac:dyDescent="0.2">
      <c r="A7779" s="5" t="str">
        <f>HYPERLINK("http://www.ncbi.nlm.nih.gov/protein/239937489","Trim32")</f>
        <v>Trim32</v>
      </c>
      <c r="B7779" s="4"/>
      <c r="C7779" s="3">
        <v>0</v>
      </c>
      <c r="D7779" s="3">
        <v>0</v>
      </c>
      <c r="E7779" s="3">
        <v>296</v>
      </c>
      <c r="F7779" s="3">
        <v>0</v>
      </c>
      <c r="G7779" s="3">
        <v>0</v>
      </c>
      <c r="H7779" s="2">
        <f t="shared" si="242"/>
        <v>296</v>
      </c>
      <c r="I7779" t="str">
        <f t="shared" si="243"/>
        <v>Trim32_296</v>
      </c>
      <c r="J7779" s="3">
        <v>0</v>
      </c>
      <c r="K7779" s="3">
        <v>0</v>
      </c>
      <c r="L7779" s="3">
        <v>296</v>
      </c>
      <c r="M7779" s="3">
        <v>0</v>
      </c>
      <c r="N7779" s="3">
        <v>0</v>
      </c>
    </row>
    <row r="7780" spans="1:14" x14ac:dyDescent="0.2">
      <c r="A7780" s="5" t="str">
        <f>HYPERLINK("http://www.ncbi.nlm.nih.gov/protein/119637828","Trim33")</f>
        <v>Trim33</v>
      </c>
      <c r="B7780" s="4"/>
      <c r="C7780" s="3">
        <v>0</v>
      </c>
      <c r="D7780" s="3">
        <v>0</v>
      </c>
      <c r="E7780" s="3">
        <v>34</v>
      </c>
      <c r="F7780" s="3">
        <v>10797</v>
      </c>
      <c r="G7780" s="3">
        <v>4123</v>
      </c>
      <c r="H7780" s="2">
        <f t="shared" si="242"/>
        <v>14954</v>
      </c>
      <c r="I7780" t="str">
        <f t="shared" si="243"/>
        <v>Trim33_14954</v>
      </c>
      <c r="J7780" s="3">
        <v>0</v>
      </c>
      <c r="K7780" s="3">
        <v>0</v>
      </c>
      <c r="L7780" s="3">
        <v>34</v>
      </c>
      <c r="M7780" s="3">
        <v>10797</v>
      </c>
      <c r="N7780" s="3">
        <v>4123</v>
      </c>
    </row>
    <row r="7781" spans="1:14" x14ac:dyDescent="0.2">
      <c r="A7781" s="5" t="str">
        <f>HYPERLINK("http://www.ncbi.nlm.nih.gov/protein/119637830","Trim33")</f>
        <v>Trim33</v>
      </c>
      <c r="B7781" s="4"/>
      <c r="C7781" s="3">
        <v>0</v>
      </c>
      <c r="D7781" s="3">
        <v>0</v>
      </c>
      <c r="E7781" s="3">
        <v>34</v>
      </c>
      <c r="F7781" s="3">
        <v>10797</v>
      </c>
      <c r="G7781" s="3">
        <v>4123</v>
      </c>
      <c r="H7781" s="2">
        <f t="shared" si="242"/>
        <v>14954</v>
      </c>
      <c r="I7781" t="str">
        <f t="shared" si="243"/>
        <v>Trim33_14954</v>
      </c>
      <c r="J7781" s="3">
        <v>0</v>
      </c>
      <c r="K7781" s="3">
        <v>0</v>
      </c>
      <c r="L7781" s="3">
        <v>34</v>
      </c>
      <c r="M7781" s="3">
        <v>10797</v>
      </c>
      <c r="N7781" s="3">
        <v>4123</v>
      </c>
    </row>
    <row r="7782" spans="1:14" x14ac:dyDescent="0.2">
      <c r="A7782" s="5" t="str">
        <f>HYPERLINK("http://www.ncbi.nlm.nih.gov/protein/326537318","Trim47")</f>
        <v>Trim47</v>
      </c>
      <c r="B7782" s="4"/>
      <c r="C7782" s="3">
        <v>0</v>
      </c>
      <c r="D7782" s="3">
        <v>0</v>
      </c>
      <c r="E7782" s="3">
        <v>80</v>
      </c>
      <c r="F7782" s="3">
        <v>0</v>
      </c>
      <c r="G7782" s="3">
        <v>13398</v>
      </c>
      <c r="H7782" s="2">
        <f t="shared" si="242"/>
        <v>13478</v>
      </c>
      <c r="I7782" t="str">
        <f t="shared" si="243"/>
        <v>Trim47_13478</v>
      </c>
      <c r="J7782" s="3">
        <v>0</v>
      </c>
      <c r="K7782" s="3">
        <v>0</v>
      </c>
      <c r="L7782" s="3">
        <v>80</v>
      </c>
      <c r="M7782" s="3">
        <v>0</v>
      </c>
      <c r="N7782" s="3">
        <v>13398</v>
      </c>
    </row>
    <row r="7783" spans="1:14" x14ac:dyDescent="0.2">
      <c r="A7783" s="5" t="str">
        <f>HYPERLINK("http://www.ncbi.nlm.nih.gov/protein/326537320","Trim47")</f>
        <v>Trim47</v>
      </c>
      <c r="B7783" s="4"/>
      <c r="C7783" s="3">
        <v>0</v>
      </c>
      <c r="D7783" s="3">
        <v>40</v>
      </c>
      <c r="E7783" s="3">
        <v>80</v>
      </c>
      <c r="F7783" s="3">
        <v>0</v>
      </c>
      <c r="G7783" s="3">
        <v>13398</v>
      </c>
      <c r="H7783" s="2">
        <f t="shared" si="242"/>
        <v>13518</v>
      </c>
      <c r="I7783" t="str">
        <f t="shared" si="243"/>
        <v>Trim47_13518</v>
      </c>
      <c r="J7783" s="3">
        <v>0</v>
      </c>
      <c r="K7783" s="3">
        <v>40</v>
      </c>
      <c r="L7783" s="3">
        <v>80</v>
      </c>
      <c r="M7783" s="3">
        <v>0</v>
      </c>
      <c r="N7783" s="3">
        <v>13398</v>
      </c>
    </row>
    <row r="7784" spans="1:14" x14ac:dyDescent="0.2">
      <c r="A7784" s="5" t="str">
        <f>HYPERLINK("http://www.ncbi.nlm.nih.gov/protein/41235779","Trim56")</f>
        <v>Trim56</v>
      </c>
      <c r="B7784" s="4"/>
      <c r="C7784" s="3">
        <v>0</v>
      </c>
      <c r="D7784" s="3">
        <v>0</v>
      </c>
      <c r="E7784" s="3">
        <v>5130</v>
      </c>
      <c r="F7784" s="3">
        <v>2259</v>
      </c>
      <c r="G7784" s="3">
        <v>0</v>
      </c>
      <c r="H7784" s="2">
        <f t="shared" si="242"/>
        <v>7389</v>
      </c>
      <c r="I7784" t="str">
        <f t="shared" si="243"/>
        <v>Trim56_7389</v>
      </c>
      <c r="J7784" s="3">
        <v>0</v>
      </c>
      <c r="K7784" s="3">
        <v>0</v>
      </c>
      <c r="L7784" s="3">
        <v>5130</v>
      </c>
      <c r="M7784" s="3">
        <v>2259</v>
      </c>
      <c r="N7784" s="3">
        <v>0</v>
      </c>
    </row>
    <row r="7785" spans="1:14" x14ac:dyDescent="0.2">
      <c r="A7785" s="5" t="str">
        <f>HYPERLINK("http://www.ncbi.nlm.nih.gov/protein/170295836","Trim59")</f>
        <v>Trim59</v>
      </c>
      <c r="B7785" s="4"/>
      <c r="C7785" s="3">
        <v>0</v>
      </c>
      <c r="D7785" s="3">
        <v>0</v>
      </c>
      <c r="E7785" s="3">
        <v>155</v>
      </c>
      <c r="F7785" s="3">
        <v>0</v>
      </c>
      <c r="G7785" s="3">
        <v>0</v>
      </c>
      <c r="H7785" s="2">
        <f t="shared" si="242"/>
        <v>155</v>
      </c>
      <c r="I7785" t="str">
        <f t="shared" si="243"/>
        <v>Trim59_155</v>
      </c>
      <c r="J7785" s="3">
        <v>0</v>
      </c>
      <c r="K7785" s="3">
        <v>0</v>
      </c>
      <c r="L7785" s="3">
        <v>155</v>
      </c>
      <c r="M7785" s="3">
        <v>0</v>
      </c>
      <c r="N7785" s="3">
        <v>0</v>
      </c>
    </row>
    <row r="7786" spans="1:14" x14ac:dyDescent="0.2">
      <c r="A7786" s="5" t="str">
        <f>HYPERLINK("http://www.ncbi.nlm.nih.gov/protein/164518923","Trim65")</f>
        <v>Trim65</v>
      </c>
      <c r="B7786" s="4"/>
      <c r="C7786" s="3">
        <v>0</v>
      </c>
      <c r="D7786" s="3">
        <v>0</v>
      </c>
      <c r="E7786" s="3">
        <v>57</v>
      </c>
      <c r="F7786" s="3">
        <v>0</v>
      </c>
      <c r="G7786" s="3">
        <v>1949</v>
      </c>
      <c r="H7786" s="2">
        <f t="shared" si="242"/>
        <v>2006</v>
      </c>
      <c r="I7786" t="str">
        <f t="shared" si="243"/>
        <v>Trim65_2006</v>
      </c>
      <c r="J7786" s="3">
        <v>0</v>
      </c>
      <c r="K7786" s="3">
        <v>0</v>
      </c>
      <c r="L7786" s="3">
        <v>57</v>
      </c>
      <c r="M7786" s="3">
        <v>0</v>
      </c>
      <c r="N7786" s="3">
        <v>1949</v>
      </c>
    </row>
    <row r="7787" spans="1:14" x14ac:dyDescent="0.2">
      <c r="A7787" s="5" t="str">
        <f>HYPERLINK("http://www.ncbi.nlm.nih.gov/protein/85701941","Trim75")</f>
        <v>Trim75</v>
      </c>
      <c r="B7787" s="4"/>
      <c r="C7787" s="3">
        <v>0</v>
      </c>
      <c r="D7787" s="3">
        <v>0</v>
      </c>
      <c r="E7787" s="3">
        <v>45</v>
      </c>
      <c r="F7787" s="3">
        <v>0</v>
      </c>
      <c r="G7787" s="3">
        <v>0</v>
      </c>
      <c r="H7787" s="2">
        <f t="shared" si="242"/>
        <v>45</v>
      </c>
      <c r="I7787" t="str">
        <f t="shared" si="243"/>
        <v>Trim75_45</v>
      </c>
      <c r="J7787" s="3">
        <v>0</v>
      </c>
      <c r="K7787" s="3">
        <v>0</v>
      </c>
      <c r="L7787" s="3">
        <v>45</v>
      </c>
      <c r="M7787" s="3">
        <v>0</v>
      </c>
      <c r="N7787" s="3">
        <v>0</v>
      </c>
    </row>
    <row r="7788" spans="1:14" x14ac:dyDescent="0.2">
      <c r="A7788" s="5" t="str">
        <f>HYPERLINK("http://www.ncbi.nlm.nih.gov/protein/154240708","Trim8")</f>
        <v>Trim8</v>
      </c>
      <c r="B7788" s="4"/>
      <c r="C7788" s="3">
        <v>0</v>
      </c>
      <c r="D7788" s="3">
        <v>0</v>
      </c>
      <c r="E7788" s="3">
        <v>0</v>
      </c>
      <c r="F7788" s="3">
        <v>0</v>
      </c>
      <c r="G7788" s="3">
        <v>139</v>
      </c>
      <c r="H7788" s="2">
        <f t="shared" si="242"/>
        <v>139</v>
      </c>
      <c r="I7788" t="str">
        <f t="shared" si="243"/>
        <v>Trim8_139</v>
      </c>
      <c r="J7788" s="3">
        <v>0</v>
      </c>
      <c r="K7788" s="3">
        <v>0</v>
      </c>
      <c r="L7788" s="3">
        <v>0</v>
      </c>
      <c r="M7788" s="3">
        <v>0</v>
      </c>
      <c r="N7788" s="3">
        <v>139</v>
      </c>
    </row>
    <row r="7789" spans="1:14" x14ac:dyDescent="0.2">
      <c r="A7789" s="5" t="str">
        <f>HYPERLINK("http://www.ncbi.nlm.nih.gov/protein/145587082","Trio")</f>
        <v>Trio</v>
      </c>
      <c r="B7789" s="4"/>
      <c r="C7789" s="3">
        <v>0</v>
      </c>
      <c r="D7789" s="3">
        <v>0</v>
      </c>
      <c r="E7789" s="3">
        <v>10</v>
      </c>
      <c r="F7789" s="3">
        <v>25</v>
      </c>
      <c r="G7789" s="3">
        <v>1146</v>
      </c>
      <c r="H7789" s="2">
        <f t="shared" si="242"/>
        <v>1181</v>
      </c>
      <c r="I7789" t="str">
        <f t="shared" si="243"/>
        <v>Trio_1181</v>
      </c>
      <c r="J7789" s="3">
        <v>0</v>
      </c>
      <c r="K7789" s="3">
        <v>0</v>
      </c>
      <c r="L7789" s="3">
        <v>10</v>
      </c>
      <c r="M7789" s="3">
        <v>25</v>
      </c>
      <c r="N7789" s="3">
        <v>1146</v>
      </c>
    </row>
    <row r="7790" spans="1:14" x14ac:dyDescent="0.2">
      <c r="A7790" s="5" t="str">
        <f>HYPERLINK("http://www.ncbi.nlm.nih.gov/protein/88501743","Triobp")</f>
        <v>Triobp</v>
      </c>
      <c r="B7790" s="4"/>
      <c r="C7790" s="3">
        <v>439</v>
      </c>
      <c r="D7790" s="3">
        <v>612</v>
      </c>
      <c r="E7790" s="3">
        <v>558</v>
      </c>
      <c r="F7790" s="3">
        <v>0</v>
      </c>
      <c r="G7790" s="3">
        <v>750</v>
      </c>
      <c r="H7790" s="2">
        <f t="shared" si="242"/>
        <v>2359</v>
      </c>
      <c r="I7790" t="str">
        <f t="shared" si="243"/>
        <v>Triobp_2359</v>
      </c>
      <c r="J7790" s="3">
        <v>439</v>
      </c>
      <c r="K7790" s="3">
        <v>612</v>
      </c>
      <c r="L7790" s="3">
        <v>558</v>
      </c>
      <c r="M7790" s="3">
        <v>0</v>
      </c>
      <c r="N7790" s="3">
        <v>750</v>
      </c>
    </row>
    <row r="7791" spans="1:14" x14ac:dyDescent="0.2">
      <c r="A7791" s="5" t="str">
        <f>HYPERLINK("http://www.ncbi.nlm.nih.gov/protein/88501745","Triobp")</f>
        <v>Triobp</v>
      </c>
      <c r="B7791" s="4"/>
      <c r="C7791" s="3">
        <v>439</v>
      </c>
      <c r="D7791" s="3">
        <v>612</v>
      </c>
      <c r="E7791" s="3">
        <v>337</v>
      </c>
      <c r="F7791" s="3">
        <v>0</v>
      </c>
      <c r="G7791" s="3">
        <v>750</v>
      </c>
      <c r="H7791" s="2">
        <f t="shared" si="242"/>
        <v>2138</v>
      </c>
      <c r="I7791" t="str">
        <f t="shared" si="243"/>
        <v>Triobp_2138</v>
      </c>
      <c r="J7791" s="3">
        <v>439</v>
      </c>
      <c r="K7791" s="3">
        <v>612</v>
      </c>
      <c r="L7791" s="3">
        <v>337</v>
      </c>
      <c r="M7791" s="3">
        <v>0</v>
      </c>
      <c r="N7791" s="3">
        <v>750</v>
      </c>
    </row>
    <row r="7792" spans="1:14" x14ac:dyDescent="0.2">
      <c r="A7792" s="5" t="str">
        <f>HYPERLINK("http://www.ncbi.nlm.nih.gov/protein/88501749","Triobp")</f>
        <v>Triobp</v>
      </c>
      <c r="B7792" s="4"/>
      <c r="C7792" s="3">
        <v>439</v>
      </c>
      <c r="D7792" s="3">
        <v>612</v>
      </c>
      <c r="E7792" s="3">
        <v>558</v>
      </c>
      <c r="F7792" s="3">
        <v>0</v>
      </c>
      <c r="G7792" s="3">
        <v>750</v>
      </c>
      <c r="H7792" s="2">
        <f t="shared" si="242"/>
        <v>2359</v>
      </c>
      <c r="I7792" t="str">
        <f t="shared" si="243"/>
        <v>Triobp_2359</v>
      </c>
      <c r="J7792" s="3">
        <v>439</v>
      </c>
      <c r="K7792" s="3">
        <v>612</v>
      </c>
      <c r="L7792" s="3">
        <v>558</v>
      </c>
      <c r="M7792" s="3">
        <v>0</v>
      </c>
      <c r="N7792" s="3">
        <v>750</v>
      </c>
    </row>
    <row r="7793" spans="1:14" x14ac:dyDescent="0.2">
      <c r="A7793" s="5" t="str">
        <f>HYPERLINK("http://www.ncbi.nlm.nih.gov/protein/19527354","Trip10")</f>
        <v>Trip10</v>
      </c>
      <c r="B7793" s="4"/>
      <c r="C7793" s="3">
        <v>0</v>
      </c>
      <c r="D7793" s="3">
        <v>1764</v>
      </c>
      <c r="E7793" s="3">
        <v>8805</v>
      </c>
      <c r="F7793" s="3">
        <v>57815</v>
      </c>
      <c r="G7793" s="3">
        <v>10131</v>
      </c>
      <c r="H7793" s="2">
        <f t="shared" si="242"/>
        <v>78515</v>
      </c>
      <c r="I7793" t="str">
        <f t="shared" si="243"/>
        <v>Trip10_78515</v>
      </c>
      <c r="J7793" s="3">
        <v>0</v>
      </c>
      <c r="K7793" s="3">
        <v>1764</v>
      </c>
      <c r="L7793" s="3">
        <v>8805</v>
      </c>
      <c r="M7793" s="3">
        <v>57815</v>
      </c>
      <c r="N7793" s="3">
        <v>10131</v>
      </c>
    </row>
    <row r="7794" spans="1:14" x14ac:dyDescent="0.2">
      <c r="A7794" s="5" t="str">
        <f>HYPERLINK("http://www.ncbi.nlm.nih.gov/protein/334724448","Trip10")</f>
        <v>Trip10</v>
      </c>
      <c r="B7794" s="4"/>
      <c r="C7794" s="3">
        <v>0</v>
      </c>
      <c r="D7794" s="3">
        <v>1764</v>
      </c>
      <c r="E7794" s="3">
        <v>8805</v>
      </c>
      <c r="F7794" s="3">
        <v>56644</v>
      </c>
      <c r="G7794" s="3">
        <v>10131</v>
      </c>
      <c r="H7794" s="2">
        <f t="shared" si="242"/>
        <v>77344</v>
      </c>
      <c r="I7794" t="str">
        <f t="shared" si="243"/>
        <v>Trip10_77344</v>
      </c>
      <c r="J7794" s="3">
        <v>0</v>
      </c>
      <c r="K7794" s="3">
        <v>1764</v>
      </c>
      <c r="L7794" s="3">
        <v>8805</v>
      </c>
      <c r="M7794" s="3">
        <v>56644</v>
      </c>
      <c r="N7794" s="3">
        <v>10131</v>
      </c>
    </row>
    <row r="7795" spans="1:14" x14ac:dyDescent="0.2">
      <c r="A7795" s="5" t="str">
        <f>HYPERLINK("http://www.ncbi.nlm.nih.gov/protein/334724450","Trip10")</f>
        <v>Trip10</v>
      </c>
      <c r="B7795" s="4"/>
      <c r="C7795" s="3">
        <v>0</v>
      </c>
      <c r="D7795" s="3">
        <v>1764</v>
      </c>
      <c r="E7795" s="3">
        <v>8805</v>
      </c>
      <c r="F7795" s="3">
        <v>56644</v>
      </c>
      <c r="G7795" s="3">
        <v>10131</v>
      </c>
      <c r="H7795" s="2">
        <f t="shared" si="242"/>
        <v>77344</v>
      </c>
      <c r="I7795" t="str">
        <f t="shared" si="243"/>
        <v>Trip10_77344</v>
      </c>
      <c r="J7795" s="3">
        <v>0</v>
      </c>
      <c r="K7795" s="3">
        <v>1764</v>
      </c>
      <c r="L7795" s="3">
        <v>8805</v>
      </c>
      <c r="M7795" s="3">
        <v>56644</v>
      </c>
      <c r="N7795" s="3">
        <v>10131</v>
      </c>
    </row>
    <row r="7796" spans="1:14" x14ac:dyDescent="0.2">
      <c r="A7796" s="5" t="str">
        <f>HYPERLINK("http://www.ncbi.nlm.nih.gov/protein/334724453","Trip10")</f>
        <v>Trip10</v>
      </c>
      <c r="B7796" s="4"/>
      <c r="C7796" s="3">
        <v>0</v>
      </c>
      <c r="D7796" s="3">
        <v>1764</v>
      </c>
      <c r="E7796" s="3">
        <v>8805</v>
      </c>
      <c r="F7796" s="3">
        <v>56955</v>
      </c>
      <c r="G7796" s="3">
        <v>10131</v>
      </c>
      <c r="H7796" s="2">
        <f t="shared" si="242"/>
        <v>77655</v>
      </c>
      <c r="I7796" t="str">
        <f t="shared" si="243"/>
        <v>Trip10_77655</v>
      </c>
      <c r="J7796" s="3">
        <v>0</v>
      </c>
      <c r="K7796" s="3">
        <v>1764</v>
      </c>
      <c r="L7796" s="3">
        <v>8805</v>
      </c>
      <c r="M7796" s="3">
        <v>56955</v>
      </c>
      <c r="N7796" s="3">
        <v>10131</v>
      </c>
    </row>
    <row r="7797" spans="1:14" x14ac:dyDescent="0.2">
      <c r="A7797" s="5" t="str">
        <f>HYPERLINK("http://www.ncbi.nlm.nih.gov/protein/226531227","Trip11")</f>
        <v>Trip11</v>
      </c>
      <c r="B7797" s="4"/>
      <c r="C7797" s="3">
        <v>0</v>
      </c>
      <c r="D7797" s="3">
        <v>672</v>
      </c>
      <c r="E7797" s="3">
        <v>812</v>
      </c>
      <c r="F7797" s="3">
        <v>0</v>
      </c>
      <c r="G7797" s="3">
        <v>8535</v>
      </c>
      <c r="H7797" s="2">
        <f t="shared" si="242"/>
        <v>10019</v>
      </c>
      <c r="I7797" t="str">
        <f t="shared" si="243"/>
        <v>Trip11_10019</v>
      </c>
      <c r="J7797" s="3">
        <v>0</v>
      </c>
      <c r="K7797" s="3">
        <v>672</v>
      </c>
      <c r="L7797" s="3">
        <v>812</v>
      </c>
      <c r="M7797" s="3">
        <v>0</v>
      </c>
      <c r="N7797" s="3">
        <v>8535</v>
      </c>
    </row>
    <row r="7798" spans="1:14" x14ac:dyDescent="0.2">
      <c r="A7798" s="5" t="str">
        <f>HYPERLINK("http://www.ncbi.nlm.nih.gov/protein/91932791","Trip12")</f>
        <v>Trip12</v>
      </c>
      <c r="B7798" s="4"/>
      <c r="C7798" s="3">
        <v>6590</v>
      </c>
      <c r="D7798" s="3">
        <v>15</v>
      </c>
      <c r="E7798" s="3">
        <v>11922</v>
      </c>
      <c r="F7798" s="3">
        <v>2153</v>
      </c>
      <c r="G7798" s="3">
        <v>0</v>
      </c>
      <c r="H7798" s="2">
        <f t="shared" si="242"/>
        <v>20680</v>
      </c>
      <c r="I7798" t="str">
        <f t="shared" si="243"/>
        <v>Trip12_20680</v>
      </c>
      <c r="J7798" s="3">
        <v>6590</v>
      </c>
      <c r="K7798" s="3">
        <v>15</v>
      </c>
      <c r="L7798" s="3">
        <v>11922</v>
      </c>
      <c r="M7798" s="3">
        <v>2153</v>
      </c>
      <c r="N7798" s="3">
        <v>0</v>
      </c>
    </row>
    <row r="7799" spans="1:14" x14ac:dyDescent="0.2">
      <c r="A7799" s="5" t="str">
        <f>HYPERLINK("http://www.ncbi.nlm.nih.gov/protein/110625724","Trip13")</f>
        <v>Trip13</v>
      </c>
      <c r="B7799" s="4"/>
      <c r="C7799" s="3">
        <v>0</v>
      </c>
      <c r="D7799" s="3">
        <v>0</v>
      </c>
      <c r="E7799" s="3">
        <v>0</v>
      </c>
      <c r="F7799" s="3">
        <v>0</v>
      </c>
      <c r="G7799" s="3">
        <v>503</v>
      </c>
      <c r="H7799" s="2">
        <f t="shared" si="242"/>
        <v>503</v>
      </c>
      <c r="I7799" t="str">
        <f t="shared" si="243"/>
        <v>Trip13_503</v>
      </c>
      <c r="J7799" s="3">
        <v>0</v>
      </c>
      <c r="K7799" s="3">
        <v>0</v>
      </c>
      <c r="L7799" s="3">
        <v>0</v>
      </c>
      <c r="M7799" s="3">
        <v>0</v>
      </c>
      <c r="N7799" s="3">
        <v>503</v>
      </c>
    </row>
    <row r="7800" spans="1:14" x14ac:dyDescent="0.2">
      <c r="A7800" s="5" t="str">
        <f>HYPERLINK("http://www.ncbi.nlm.nih.gov/protein/283945454","Trip4")</f>
        <v>Trip4</v>
      </c>
      <c r="B7800" s="4"/>
      <c r="C7800" s="3">
        <v>0</v>
      </c>
      <c r="D7800" s="3">
        <v>0</v>
      </c>
      <c r="E7800" s="3">
        <v>445</v>
      </c>
      <c r="F7800" s="3">
        <v>0</v>
      </c>
      <c r="G7800" s="3">
        <v>0</v>
      </c>
      <c r="H7800" s="2">
        <f t="shared" si="242"/>
        <v>445</v>
      </c>
      <c r="I7800" t="str">
        <f t="shared" si="243"/>
        <v>Trip4_445</v>
      </c>
      <c r="J7800" s="3">
        <v>0</v>
      </c>
      <c r="K7800" s="3">
        <v>0</v>
      </c>
      <c r="L7800" s="3">
        <v>445</v>
      </c>
      <c r="M7800" s="3">
        <v>0</v>
      </c>
      <c r="N7800" s="3">
        <v>0</v>
      </c>
    </row>
    <row r="7801" spans="1:14" x14ac:dyDescent="0.2">
      <c r="A7801" s="5" t="str">
        <f>HYPERLINK("http://www.ncbi.nlm.nih.gov/protein/71773829","Trip4")</f>
        <v>Trip4</v>
      </c>
      <c r="B7801" s="4"/>
      <c r="C7801" s="3">
        <v>0</v>
      </c>
      <c r="D7801" s="3">
        <v>0</v>
      </c>
      <c r="E7801" s="3">
        <v>445</v>
      </c>
      <c r="F7801" s="3">
        <v>0</v>
      </c>
      <c r="G7801" s="3">
        <v>0</v>
      </c>
      <c r="H7801" s="2">
        <f t="shared" si="242"/>
        <v>445</v>
      </c>
      <c r="I7801" t="str">
        <f t="shared" si="243"/>
        <v>Trip4_445</v>
      </c>
      <c r="J7801" s="3">
        <v>0</v>
      </c>
      <c r="K7801" s="3">
        <v>0</v>
      </c>
      <c r="L7801" s="3">
        <v>445</v>
      </c>
      <c r="M7801" s="3">
        <v>0</v>
      </c>
      <c r="N7801" s="3">
        <v>0</v>
      </c>
    </row>
    <row r="7802" spans="1:14" x14ac:dyDescent="0.2">
      <c r="A7802" s="5" t="str">
        <f>HYPERLINK("http://www.ncbi.nlm.nih.gov/protein/6755879","Trip6")</f>
        <v>Trip6</v>
      </c>
      <c r="B7802" s="4"/>
      <c r="C7802" s="3">
        <v>0</v>
      </c>
      <c r="D7802" s="3">
        <v>0</v>
      </c>
      <c r="E7802" s="3">
        <v>0</v>
      </c>
      <c r="F7802" s="3">
        <v>0</v>
      </c>
      <c r="G7802" s="3">
        <v>6672</v>
      </c>
      <c r="H7802" s="2">
        <f t="shared" si="242"/>
        <v>6672</v>
      </c>
      <c r="I7802" t="str">
        <f t="shared" si="243"/>
        <v>Trip6_6672</v>
      </c>
      <c r="J7802" s="3">
        <v>0</v>
      </c>
      <c r="K7802" s="3">
        <v>0</v>
      </c>
      <c r="L7802" s="3">
        <v>0</v>
      </c>
      <c r="M7802" s="3">
        <v>0</v>
      </c>
      <c r="N7802" s="3">
        <v>6672</v>
      </c>
    </row>
    <row r="7803" spans="1:14" x14ac:dyDescent="0.2">
      <c r="A7803" s="5" t="str">
        <f>HYPERLINK("http://www.ncbi.nlm.nih.gov/protein/257095998","Trmt1")</f>
        <v>Trmt1</v>
      </c>
      <c r="B7803" s="4"/>
      <c r="C7803" s="3">
        <v>0</v>
      </c>
      <c r="D7803" s="3">
        <v>0</v>
      </c>
      <c r="E7803" s="3">
        <v>0</v>
      </c>
      <c r="F7803" s="3">
        <v>745</v>
      </c>
      <c r="G7803" s="3">
        <v>3695</v>
      </c>
      <c r="H7803" s="2">
        <f t="shared" si="242"/>
        <v>4440</v>
      </c>
      <c r="I7803" t="str">
        <f t="shared" si="243"/>
        <v>Trmt1_4440</v>
      </c>
      <c r="J7803" s="3">
        <v>0</v>
      </c>
      <c r="K7803" s="3">
        <v>0</v>
      </c>
      <c r="L7803" s="3">
        <v>0</v>
      </c>
      <c r="M7803" s="3">
        <v>745</v>
      </c>
      <c r="N7803" s="3">
        <v>3695</v>
      </c>
    </row>
    <row r="7804" spans="1:14" x14ac:dyDescent="0.2">
      <c r="A7804" s="5" t="str">
        <f>HYPERLINK("http://www.ncbi.nlm.nih.gov/protein/257096002","Trmt1")</f>
        <v>Trmt1</v>
      </c>
      <c r="B7804" s="4"/>
      <c r="C7804" s="3">
        <v>0</v>
      </c>
      <c r="D7804" s="3">
        <v>0</v>
      </c>
      <c r="E7804" s="3">
        <v>0</v>
      </c>
      <c r="F7804" s="3">
        <v>745</v>
      </c>
      <c r="G7804" s="3">
        <v>3695</v>
      </c>
      <c r="H7804" s="2">
        <f t="shared" si="242"/>
        <v>4440</v>
      </c>
      <c r="I7804" t="str">
        <f t="shared" si="243"/>
        <v>Trmt1_4440</v>
      </c>
      <c r="J7804" s="3">
        <v>0</v>
      </c>
      <c r="K7804" s="3">
        <v>0</v>
      </c>
      <c r="L7804" s="3">
        <v>0</v>
      </c>
      <c r="M7804" s="3">
        <v>745</v>
      </c>
      <c r="N7804" s="3">
        <v>3695</v>
      </c>
    </row>
    <row r="7805" spans="1:14" x14ac:dyDescent="0.2">
      <c r="A7805" s="5" t="str">
        <f>HYPERLINK("http://www.ncbi.nlm.nih.gov/protein/60593005","Trmt10a")</f>
        <v>Trmt10a</v>
      </c>
      <c r="B7805" s="4"/>
      <c r="C7805" s="3">
        <v>0</v>
      </c>
      <c r="D7805" s="3">
        <v>0</v>
      </c>
      <c r="E7805" s="3">
        <v>50</v>
      </c>
      <c r="F7805" s="3">
        <v>0</v>
      </c>
      <c r="G7805" s="3">
        <v>353</v>
      </c>
      <c r="H7805" s="2">
        <f t="shared" si="242"/>
        <v>403</v>
      </c>
      <c r="I7805" t="str">
        <f t="shared" si="243"/>
        <v>Trmt10a_403</v>
      </c>
      <c r="J7805" s="3">
        <v>0</v>
      </c>
      <c r="K7805" s="3">
        <v>0</v>
      </c>
      <c r="L7805" s="3">
        <v>50</v>
      </c>
      <c r="M7805" s="3">
        <v>0</v>
      </c>
      <c r="N7805" s="3">
        <v>353</v>
      </c>
    </row>
    <row r="7806" spans="1:14" x14ac:dyDescent="0.2">
      <c r="A7806" s="5" t="str">
        <f>HYPERLINK("http://www.ncbi.nlm.nih.gov/protein/21312876","Trmt10c")</f>
        <v>Trmt10c</v>
      </c>
      <c r="B7806" s="4"/>
      <c r="C7806" s="3">
        <v>0</v>
      </c>
      <c r="D7806" s="3">
        <v>1630</v>
      </c>
      <c r="E7806" s="3">
        <v>0</v>
      </c>
      <c r="F7806" s="3">
        <v>0</v>
      </c>
      <c r="G7806" s="3">
        <v>0</v>
      </c>
      <c r="H7806" s="2">
        <f t="shared" si="242"/>
        <v>1630</v>
      </c>
      <c r="I7806" t="str">
        <f t="shared" si="243"/>
        <v>Trmt10c_1630</v>
      </c>
      <c r="J7806" s="3">
        <v>0</v>
      </c>
      <c r="K7806" s="3">
        <v>1630</v>
      </c>
      <c r="L7806" s="3">
        <v>0</v>
      </c>
      <c r="M7806" s="3">
        <v>0</v>
      </c>
      <c r="N7806" s="3">
        <v>0</v>
      </c>
    </row>
    <row r="7807" spans="1:14" x14ac:dyDescent="0.2">
      <c r="A7807" s="5" t="str">
        <f>HYPERLINK("http://www.ncbi.nlm.nih.gov/protein/114051171","Trmt11")</f>
        <v>Trmt11</v>
      </c>
      <c r="B7807" s="4"/>
      <c r="C7807" s="3">
        <v>0</v>
      </c>
      <c r="D7807" s="3">
        <v>8</v>
      </c>
      <c r="E7807" s="3">
        <v>0</v>
      </c>
      <c r="F7807" s="3">
        <v>0</v>
      </c>
      <c r="G7807" s="3">
        <v>182</v>
      </c>
      <c r="H7807" s="2">
        <f t="shared" si="242"/>
        <v>190</v>
      </c>
      <c r="I7807" t="str">
        <f t="shared" si="243"/>
        <v>Trmt11_190</v>
      </c>
      <c r="J7807" s="3">
        <v>0</v>
      </c>
      <c r="K7807" s="3">
        <v>8</v>
      </c>
      <c r="L7807" s="3">
        <v>0</v>
      </c>
      <c r="M7807" s="3">
        <v>0</v>
      </c>
      <c r="N7807" s="3">
        <v>182</v>
      </c>
    </row>
    <row r="7808" spans="1:14" x14ac:dyDescent="0.2">
      <c r="A7808" s="5" t="str">
        <f>HYPERLINK("http://www.ncbi.nlm.nih.gov/protein/261823938;261823936","Trmt112")</f>
        <v>Trmt112</v>
      </c>
      <c r="B7808" s="4"/>
      <c r="C7808" s="3">
        <v>897</v>
      </c>
      <c r="D7808" s="3">
        <v>0</v>
      </c>
      <c r="E7808" s="3">
        <v>1725</v>
      </c>
      <c r="F7808" s="3">
        <v>0</v>
      </c>
      <c r="G7808" s="3">
        <v>0</v>
      </c>
      <c r="H7808" s="2">
        <f t="shared" si="242"/>
        <v>2622</v>
      </c>
      <c r="I7808" t="str">
        <f t="shared" si="243"/>
        <v>Trmt112_2622</v>
      </c>
      <c r="J7808" s="3">
        <v>897</v>
      </c>
      <c r="K7808" s="3">
        <v>0</v>
      </c>
      <c r="L7808" s="3">
        <v>1725</v>
      </c>
      <c r="M7808" s="3">
        <v>0</v>
      </c>
      <c r="N7808" s="3">
        <v>0</v>
      </c>
    </row>
    <row r="7809" spans="1:14" x14ac:dyDescent="0.2">
      <c r="A7809" s="5" t="str">
        <f>HYPERLINK("http://www.ncbi.nlm.nih.gov/protein/261823936","Trmt112")</f>
        <v>Trmt112</v>
      </c>
      <c r="B7809" s="4"/>
      <c r="C7809" s="3">
        <v>0</v>
      </c>
      <c r="D7809" s="3">
        <v>612</v>
      </c>
      <c r="E7809" s="3">
        <v>0</v>
      </c>
      <c r="F7809" s="3">
        <v>2202</v>
      </c>
      <c r="G7809" s="3">
        <v>1521</v>
      </c>
      <c r="H7809" s="2">
        <f t="shared" si="242"/>
        <v>4335</v>
      </c>
      <c r="I7809" t="str">
        <f t="shared" si="243"/>
        <v>Trmt112_4335</v>
      </c>
      <c r="J7809" s="3">
        <v>0</v>
      </c>
      <c r="K7809" s="3">
        <v>612</v>
      </c>
      <c r="L7809" s="3">
        <v>0</v>
      </c>
      <c r="M7809" s="3">
        <v>2202</v>
      </c>
      <c r="N7809" s="3">
        <v>1521</v>
      </c>
    </row>
    <row r="7810" spans="1:14" x14ac:dyDescent="0.2">
      <c r="A7810" s="5" t="str">
        <f>HYPERLINK("http://www.ncbi.nlm.nih.gov/protein/229608908","Trmt1l")</f>
        <v>Trmt1l</v>
      </c>
      <c r="B7810" s="4"/>
      <c r="C7810" s="3">
        <v>0</v>
      </c>
      <c r="D7810" s="3">
        <v>0</v>
      </c>
      <c r="E7810" s="3">
        <v>882</v>
      </c>
      <c r="F7810" s="3">
        <v>3913</v>
      </c>
      <c r="G7810" s="3">
        <v>0</v>
      </c>
      <c r="H7810" s="2">
        <f t="shared" ref="H7810:H7873" si="244">SUM(C7810:G7810)</f>
        <v>4795</v>
      </c>
      <c r="I7810" t="str">
        <f t="shared" ref="I7810:I7873" si="245">A7810&amp;"_"&amp;H7810</f>
        <v>Trmt1l_4795</v>
      </c>
      <c r="J7810" s="3">
        <v>0</v>
      </c>
      <c r="K7810" s="3">
        <v>0</v>
      </c>
      <c r="L7810" s="3">
        <v>882</v>
      </c>
      <c r="M7810" s="3">
        <v>3913</v>
      </c>
      <c r="N7810" s="3">
        <v>0</v>
      </c>
    </row>
    <row r="7811" spans="1:14" x14ac:dyDescent="0.2">
      <c r="A7811" s="5" t="str">
        <f>HYPERLINK("http://www.ncbi.nlm.nih.gov/protein/124487421","Trmt2a")</f>
        <v>Trmt2a</v>
      </c>
      <c r="B7811" s="4"/>
      <c r="C7811" s="3">
        <v>531</v>
      </c>
      <c r="D7811" s="3">
        <v>3545</v>
      </c>
      <c r="E7811" s="3">
        <v>23306</v>
      </c>
      <c r="F7811" s="3">
        <v>50529</v>
      </c>
      <c r="G7811" s="3">
        <v>10688</v>
      </c>
      <c r="H7811" s="2">
        <f t="shared" si="244"/>
        <v>88599</v>
      </c>
      <c r="I7811" t="str">
        <f t="shared" si="245"/>
        <v>Trmt2a_88599</v>
      </c>
      <c r="J7811" s="3">
        <v>531</v>
      </c>
      <c r="K7811" s="3">
        <v>3545</v>
      </c>
      <c r="L7811" s="3">
        <v>23306</v>
      </c>
      <c r="M7811" s="3">
        <v>50529</v>
      </c>
      <c r="N7811" s="3">
        <v>10688</v>
      </c>
    </row>
    <row r="7812" spans="1:14" x14ac:dyDescent="0.2">
      <c r="A7812" s="5" t="str">
        <f>HYPERLINK("http://www.ncbi.nlm.nih.gov/protein/124487423","Trmt2a")</f>
        <v>Trmt2a</v>
      </c>
      <c r="B7812" s="4"/>
      <c r="C7812" s="3">
        <v>531</v>
      </c>
      <c r="D7812" s="3">
        <v>3545</v>
      </c>
      <c r="E7812" s="3">
        <v>23306</v>
      </c>
      <c r="F7812" s="3">
        <v>50529</v>
      </c>
      <c r="G7812" s="3">
        <v>10688</v>
      </c>
      <c r="H7812" s="2">
        <f t="shared" si="244"/>
        <v>88599</v>
      </c>
      <c r="I7812" t="str">
        <f t="shared" si="245"/>
        <v>Trmt2a_88599</v>
      </c>
      <c r="J7812" s="3">
        <v>531</v>
      </c>
      <c r="K7812" s="3">
        <v>3545</v>
      </c>
      <c r="L7812" s="3">
        <v>23306</v>
      </c>
      <c r="M7812" s="3">
        <v>50529</v>
      </c>
      <c r="N7812" s="3">
        <v>10688</v>
      </c>
    </row>
    <row r="7813" spans="1:14" x14ac:dyDescent="0.2">
      <c r="A7813" s="5" t="str">
        <f>HYPERLINK("http://www.ncbi.nlm.nih.gov/protein/304555603","Trmt2a")</f>
        <v>Trmt2a</v>
      </c>
      <c r="B7813" s="4"/>
      <c r="C7813" s="3">
        <v>531</v>
      </c>
      <c r="D7813" s="3">
        <v>2532</v>
      </c>
      <c r="E7813" s="3">
        <v>16977</v>
      </c>
      <c r="F7813" s="3">
        <v>45913</v>
      </c>
      <c r="G7813" s="3">
        <v>7015</v>
      </c>
      <c r="H7813" s="2">
        <f t="shared" si="244"/>
        <v>72968</v>
      </c>
      <c r="I7813" t="str">
        <f t="shared" si="245"/>
        <v>Trmt2a_72968</v>
      </c>
      <c r="J7813" s="3">
        <v>531</v>
      </c>
      <c r="K7813" s="3">
        <v>2532</v>
      </c>
      <c r="L7813" s="3">
        <v>16977</v>
      </c>
      <c r="M7813" s="3">
        <v>45913</v>
      </c>
      <c r="N7813" s="3">
        <v>7015</v>
      </c>
    </row>
    <row r="7814" spans="1:14" x14ac:dyDescent="0.2">
      <c r="A7814" s="5" t="str">
        <f>HYPERLINK("http://www.ncbi.nlm.nih.gov/protein/21313170","Trmt5")</f>
        <v>Trmt5</v>
      </c>
      <c r="B7814" s="4"/>
      <c r="C7814" s="3">
        <v>0</v>
      </c>
      <c r="D7814" s="3">
        <v>232</v>
      </c>
      <c r="E7814" s="3">
        <v>143</v>
      </c>
      <c r="F7814" s="3">
        <v>1146</v>
      </c>
      <c r="G7814" s="3">
        <v>39657</v>
      </c>
      <c r="H7814" s="2">
        <f t="shared" si="244"/>
        <v>41178</v>
      </c>
      <c r="I7814" t="str">
        <f t="shared" si="245"/>
        <v>Trmt5_41178</v>
      </c>
      <c r="J7814" s="3">
        <v>0</v>
      </c>
      <c r="K7814" s="3">
        <v>232</v>
      </c>
      <c r="L7814" s="3">
        <v>143</v>
      </c>
      <c r="M7814" s="3">
        <v>1146</v>
      </c>
      <c r="N7814" s="3">
        <v>39657</v>
      </c>
    </row>
    <row r="7815" spans="1:14" x14ac:dyDescent="0.2">
      <c r="A7815" s="5" t="str">
        <f>HYPERLINK("http://www.ncbi.nlm.nih.gov/protein/148747333","Trmt6")</f>
        <v>Trmt6</v>
      </c>
      <c r="B7815" s="4"/>
      <c r="C7815" s="3">
        <v>0</v>
      </c>
      <c r="D7815" s="3">
        <v>150</v>
      </c>
      <c r="E7815" s="3">
        <v>12</v>
      </c>
      <c r="F7815" s="3">
        <v>12205</v>
      </c>
      <c r="G7815" s="3">
        <v>11202</v>
      </c>
      <c r="H7815" s="2">
        <f t="shared" si="244"/>
        <v>23569</v>
      </c>
      <c r="I7815" t="str">
        <f t="shared" si="245"/>
        <v>Trmt6_23569</v>
      </c>
      <c r="J7815" s="3">
        <v>0</v>
      </c>
      <c r="K7815" s="3">
        <v>150</v>
      </c>
      <c r="L7815" s="3">
        <v>12</v>
      </c>
      <c r="M7815" s="3">
        <v>12205</v>
      </c>
      <c r="N7815" s="3">
        <v>11202</v>
      </c>
    </row>
    <row r="7816" spans="1:14" x14ac:dyDescent="0.2">
      <c r="A7816" s="5" t="str">
        <f>HYPERLINK("http://www.ncbi.nlm.nih.gov/protein/152963551","Trmt61a")</f>
        <v>Trmt61a</v>
      </c>
      <c r="B7816" s="4"/>
      <c r="C7816" s="3">
        <v>0</v>
      </c>
      <c r="D7816" s="3">
        <v>0</v>
      </c>
      <c r="E7816" s="3">
        <v>22</v>
      </c>
      <c r="F7816" s="3">
        <v>3127</v>
      </c>
      <c r="G7816" s="3">
        <v>1906</v>
      </c>
      <c r="H7816" s="2">
        <f t="shared" si="244"/>
        <v>5055</v>
      </c>
      <c r="I7816" t="str">
        <f t="shared" si="245"/>
        <v>Trmt61a_5055</v>
      </c>
      <c r="J7816" s="3">
        <v>0</v>
      </c>
      <c r="K7816" s="3">
        <v>0</v>
      </c>
      <c r="L7816" s="3">
        <v>22</v>
      </c>
      <c r="M7816" s="3">
        <v>3127</v>
      </c>
      <c r="N7816" s="3">
        <v>1906</v>
      </c>
    </row>
    <row r="7817" spans="1:14" x14ac:dyDescent="0.2">
      <c r="A7817" s="5" t="str">
        <f>HYPERLINK("http://www.ncbi.nlm.nih.gov/protein/334358911","Trnt1")</f>
        <v>Trnt1</v>
      </c>
      <c r="B7817" s="4"/>
      <c r="C7817" s="3">
        <v>0</v>
      </c>
      <c r="D7817" s="3">
        <v>856</v>
      </c>
      <c r="E7817" s="3">
        <v>148</v>
      </c>
      <c r="F7817" s="3">
        <v>0</v>
      </c>
      <c r="G7817" s="3">
        <v>22319</v>
      </c>
      <c r="H7817" s="2">
        <f t="shared" si="244"/>
        <v>23323</v>
      </c>
      <c r="I7817" t="str">
        <f t="shared" si="245"/>
        <v>Trnt1_23323</v>
      </c>
      <c r="J7817" s="3">
        <v>0</v>
      </c>
      <c r="K7817" s="3">
        <v>856</v>
      </c>
      <c r="L7817" s="3">
        <v>148</v>
      </c>
      <c r="M7817" s="3">
        <v>0</v>
      </c>
      <c r="N7817" s="3">
        <v>22319</v>
      </c>
    </row>
    <row r="7818" spans="1:14" x14ac:dyDescent="0.2">
      <c r="A7818" s="5" t="str">
        <f>HYPERLINK("http://www.ncbi.nlm.nih.gov/protein/33859692","Trnt1")</f>
        <v>Trnt1</v>
      </c>
      <c r="B7818" s="4"/>
      <c r="C7818" s="3">
        <v>0</v>
      </c>
      <c r="D7818" s="3">
        <v>2973</v>
      </c>
      <c r="E7818" s="3">
        <v>339</v>
      </c>
      <c r="F7818" s="3">
        <v>0</v>
      </c>
      <c r="G7818" s="3">
        <v>42474</v>
      </c>
      <c r="H7818" s="2">
        <f t="shared" si="244"/>
        <v>45786</v>
      </c>
      <c r="I7818" t="str">
        <f t="shared" si="245"/>
        <v>Trnt1_45786</v>
      </c>
      <c r="J7818" s="3">
        <v>0</v>
      </c>
      <c r="K7818" s="3">
        <v>2973</v>
      </c>
      <c r="L7818" s="3">
        <v>339</v>
      </c>
      <c r="M7818" s="3">
        <v>0</v>
      </c>
      <c r="N7818" s="3">
        <v>42474</v>
      </c>
    </row>
    <row r="7819" spans="1:14" x14ac:dyDescent="0.2">
      <c r="A7819" s="5" t="str">
        <f>HYPERLINK("http://www.ncbi.nlm.nih.gov/protein/7305523","Trove2")</f>
        <v>Trove2</v>
      </c>
      <c r="B7819" s="4"/>
      <c r="C7819" s="3">
        <v>0</v>
      </c>
      <c r="D7819" s="3">
        <v>420</v>
      </c>
      <c r="E7819" s="3">
        <v>145</v>
      </c>
      <c r="F7819" s="3">
        <v>14284</v>
      </c>
      <c r="G7819" s="3">
        <v>3459</v>
      </c>
      <c r="H7819" s="2">
        <f t="shared" si="244"/>
        <v>18308</v>
      </c>
      <c r="I7819" t="str">
        <f t="shared" si="245"/>
        <v>Trove2_18308</v>
      </c>
      <c r="J7819" s="3">
        <v>0</v>
      </c>
      <c r="K7819" s="3">
        <v>420</v>
      </c>
      <c r="L7819" s="3">
        <v>145</v>
      </c>
      <c r="M7819" s="3">
        <v>14284</v>
      </c>
      <c r="N7819" s="3">
        <v>3459</v>
      </c>
    </row>
    <row r="7820" spans="1:14" x14ac:dyDescent="0.2">
      <c r="A7820" s="5" t="str">
        <f>HYPERLINK("http://www.ncbi.nlm.nih.gov/protein/148747262","Trp53")</f>
        <v>Trp53</v>
      </c>
      <c r="B7820" s="4"/>
      <c r="C7820" s="3">
        <v>9153</v>
      </c>
      <c r="D7820" s="3">
        <v>2762</v>
      </c>
      <c r="E7820" s="3">
        <v>1807</v>
      </c>
      <c r="F7820" s="3">
        <v>199990</v>
      </c>
      <c r="G7820" s="3">
        <v>975</v>
      </c>
      <c r="H7820" s="2">
        <f t="shared" si="244"/>
        <v>214687</v>
      </c>
      <c r="I7820" t="str">
        <f t="shared" si="245"/>
        <v>Trp53_214687</v>
      </c>
      <c r="J7820" s="3">
        <v>9153</v>
      </c>
      <c r="K7820" s="3">
        <v>2762</v>
      </c>
      <c r="L7820" s="3">
        <v>1807</v>
      </c>
      <c r="M7820" s="3">
        <v>199990</v>
      </c>
      <c r="N7820" s="3">
        <v>975</v>
      </c>
    </row>
    <row r="7821" spans="1:14" x14ac:dyDescent="0.2">
      <c r="A7821" s="5" t="str">
        <f>HYPERLINK("http://www.ncbi.nlm.nih.gov/protein/187960040","Trp53")</f>
        <v>Trp53</v>
      </c>
      <c r="B7821" s="4"/>
      <c r="C7821" s="3">
        <v>9153</v>
      </c>
      <c r="D7821" s="3">
        <v>2762</v>
      </c>
      <c r="E7821" s="3">
        <v>1807</v>
      </c>
      <c r="F7821" s="3">
        <v>199990</v>
      </c>
      <c r="G7821" s="3">
        <v>975</v>
      </c>
      <c r="H7821" s="2">
        <f t="shared" si="244"/>
        <v>214687</v>
      </c>
      <c r="I7821" t="str">
        <f t="shared" si="245"/>
        <v>Trp53_214687</v>
      </c>
      <c r="J7821" s="3">
        <v>9153</v>
      </c>
      <c r="K7821" s="3">
        <v>2762</v>
      </c>
      <c r="L7821" s="3">
        <v>1807</v>
      </c>
      <c r="M7821" s="3">
        <v>199990</v>
      </c>
      <c r="N7821" s="3">
        <v>975</v>
      </c>
    </row>
    <row r="7822" spans="1:14" x14ac:dyDescent="0.2">
      <c r="A7822" s="5" t="str">
        <f>HYPERLINK("http://www.ncbi.nlm.nih.gov/protein/160333077","Trp53bp1")</f>
        <v>Trp53bp1</v>
      </c>
      <c r="B7822" s="4"/>
      <c r="C7822" s="3">
        <v>879</v>
      </c>
      <c r="D7822" s="3">
        <v>0</v>
      </c>
      <c r="E7822" s="3">
        <v>0</v>
      </c>
      <c r="F7822" s="3">
        <v>33</v>
      </c>
      <c r="G7822" s="3">
        <v>2260</v>
      </c>
      <c r="H7822" s="2">
        <f t="shared" si="244"/>
        <v>3172</v>
      </c>
      <c r="I7822" t="str">
        <f t="shared" si="245"/>
        <v>Trp53bp1_3172</v>
      </c>
      <c r="J7822" s="3">
        <v>879</v>
      </c>
      <c r="K7822" s="3">
        <v>0</v>
      </c>
      <c r="L7822" s="3">
        <v>0</v>
      </c>
      <c r="M7822" s="3">
        <v>33</v>
      </c>
      <c r="N7822" s="3">
        <v>2260</v>
      </c>
    </row>
    <row r="7823" spans="1:14" x14ac:dyDescent="0.2">
      <c r="A7823" s="5" t="str">
        <f>HYPERLINK("http://www.ncbi.nlm.nih.gov/protein/31560052","Trp53rk")</f>
        <v>Trp53rk</v>
      </c>
      <c r="B7823" s="4"/>
      <c r="C7823" s="3">
        <v>0</v>
      </c>
      <c r="D7823" s="3">
        <v>157</v>
      </c>
      <c r="E7823" s="3">
        <v>7</v>
      </c>
      <c r="F7823" s="3">
        <v>57</v>
      </c>
      <c r="G7823" s="3">
        <v>2206</v>
      </c>
      <c r="H7823" s="2">
        <f t="shared" si="244"/>
        <v>2427</v>
      </c>
      <c r="I7823" t="str">
        <f t="shared" si="245"/>
        <v>Trp53rk_2427</v>
      </c>
      <c r="J7823" s="3">
        <v>0</v>
      </c>
      <c r="K7823" s="3">
        <v>157</v>
      </c>
      <c r="L7823" s="3">
        <v>7</v>
      </c>
      <c r="M7823" s="3">
        <v>57</v>
      </c>
      <c r="N7823" s="3">
        <v>2206</v>
      </c>
    </row>
    <row r="7824" spans="1:14" x14ac:dyDescent="0.2">
      <c r="A7824" s="5" t="str">
        <f>HYPERLINK("http://www.ncbi.nlm.nih.gov/protein/409168273","Trp53tg5")</f>
        <v>Trp53tg5</v>
      </c>
      <c r="B7824" s="4"/>
      <c r="C7824" s="3">
        <v>0</v>
      </c>
      <c r="D7824" s="3">
        <v>0</v>
      </c>
      <c r="E7824" s="3">
        <v>0</v>
      </c>
      <c r="F7824" s="3">
        <v>15061</v>
      </c>
      <c r="G7824" s="3">
        <v>0</v>
      </c>
      <c r="H7824" s="2">
        <f t="shared" si="244"/>
        <v>15061</v>
      </c>
      <c r="I7824" t="str">
        <f t="shared" si="245"/>
        <v>Trp53tg5_15061</v>
      </c>
      <c r="J7824" s="3">
        <v>0</v>
      </c>
      <c r="K7824" s="3">
        <v>0</v>
      </c>
      <c r="L7824" s="3">
        <v>0</v>
      </c>
      <c r="M7824" s="3">
        <v>15061</v>
      </c>
      <c r="N7824" s="3">
        <v>0</v>
      </c>
    </row>
    <row r="7825" spans="1:14" x14ac:dyDescent="0.2">
      <c r="A7825" s="5" t="str">
        <f>HYPERLINK("http://www.ncbi.nlm.nih.gov/protein/358439497","Trpc4")</f>
        <v>Trpc4</v>
      </c>
      <c r="B7825" s="4"/>
      <c r="C7825" s="3">
        <v>0</v>
      </c>
      <c r="D7825" s="3">
        <v>0</v>
      </c>
      <c r="E7825" s="3">
        <v>0</v>
      </c>
      <c r="F7825" s="3">
        <v>19572</v>
      </c>
      <c r="G7825" s="3">
        <v>0</v>
      </c>
      <c r="H7825" s="2">
        <f t="shared" si="244"/>
        <v>19572</v>
      </c>
      <c r="I7825" t="str">
        <f t="shared" si="245"/>
        <v>Trpc4_19572</v>
      </c>
      <c r="J7825" s="3">
        <v>0</v>
      </c>
      <c r="K7825" s="3">
        <v>0</v>
      </c>
      <c r="L7825" s="3">
        <v>0</v>
      </c>
      <c r="M7825" s="3">
        <v>19572</v>
      </c>
      <c r="N7825" s="3">
        <v>0</v>
      </c>
    </row>
    <row r="7826" spans="1:14" x14ac:dyDescent="0.2">
      <c r="A7826" s="5" t="str">
        <f>HYPERLINK("http://www.ncbi.nlm.nih.gov/protein/8394487","Trpc4")</f>
        <v>Trpc4</v>
      </c>
      <c r="B7826" s="4"/>
      <c r="C7826" s="3">
        <v>0</v>
      </c>
      <c r="D7826" s="3">
        <v>0</v>
      </c>
      <c r="E7826" s="3">
        <v>0</v>
      </c>
      <c r="F7826" s="3">
        <v>19572</v>
      </c>
      <c r="G7826" s="3">
        <v>0</v>
      </c>
      <c r="H7826" s="2">
        <f t="shared" si="244"/>
        <v>19572</v>
      </c>
      <c r="I7826" t="str">
        <f t="shared" si="245"/>
        <v>Trpc4_19572</v>
      </c>
      <c r="J7826" s="3">
        <v>0</v>
      </c>
      <c r="K7826" s="3">
        <v>0</v>
      </c>
      <c r="L7826" s="3">
        <v>0</v>
      </c>
      <c r="M7826" s="3">
        <v>19572</v>
      </c>
      <c r="N7826" s="3">
        <v>0</v>
      </c>
    </row>
    <row r="7827" spans="1:14" x14ac:dyDescent="0.2">
      <c r="A7827" s="5" t="str">
        <f>HYPERLINK("http://www.ncbi.nlm.nih.gov/protein/6678435","Trpc5")</f>
        <v>Trpc5</v>
      </c>
      <c r="B7827" s="4"/>
      <c r="C7827" s="3">
        <v>0</v>
      </c>
      <c r="D7827" s="3">
        <v>0</v>
      </c>
      <c r="E7827" s="3">
        <v>0</v>
      </c>
      <c r="F7827" s="3">
        <v>19572</v>
      </c>
      <c r="G7827" s="3">
        <v>0</v>
      </c>
      <c r="H7827" s="2">
        <f t="shared" si="244"/>
        <v>19572</v>
      </c>
      <c r="I7827" t="str">
        <f t="shared" si="245"/>
        <v>Trpc5_19572</v>
      </c>
      <c r="J7827" s="3">
        <v>0</v>
      </c>
      <c r="K7827" s="3">
        <v>0</v>
      </c>
      <c r="L7827" s="3">
        <v>0</v>
      </c>
      <c r="M7827" s="3">
        <v>19572</v>
      </c>
      <c r="N7827" s="3">
        <v>0</v>
      </c>
    </row>
    <row r="7828" spans="1:14" x14ac:dyDescent="0.2">
      <c r="A7828" s="5" t="str">
        <f>HYPERLINK("http://www.ncbi.nlm.nih.gov/protein/157824093","Trpm4")</f>
        <v>Trpm4</v>
      </c>
      <c r="B7828" s="4"/>
      <c r="C7828" s="3">
        <v>0</v>
      </c>
      <c r="D7828" s="3">
        <v>0</v>
      </c>
      <c r="E7828" s="3">
        <v>152</v>
      </c>
      <c r="F7828" s="3">
        <v>0</v>
      </c>
      <c r="G7828" s="3">
        <v>0</v>
      </c>
      <c r="H7828" s="2">
        <f t="shared" si="244"/>
        <v>152</v>
      </c>
      <c r="I7828" t="str">
        <f t="shared" si="245"/>
        <v>Trpm4_152</v>
      </c>
      <c r="J7828" s="3">
        <v>0</v>
      </c>
      <c r="K7828" s="3">
        <v>0</v>
      </c>
      <c r="L7828" s="3">
        <v>152</v>
      </c>
      <c r="M7828" s="3">
        <v>0</v>
      </c>
      <c r="N7828" s="3">
        <v>0</v>
      </c>
    </row>
    <row r="7829" spans="1:14" x14ac:dyDescent="0.2">
      <c r="A7829" s="5" t="str">
        <f>HYPERLINK("http://www.ncbi.nlm.nih.gov/protein/224994263","Trpt1")</f>
        <v>Trpt1</v>
      </c>
      <c r="B7829" s="4"/>
      <c r="C7829" s="3">
        <v>0</v>
      </c>
      <c r="D7829" s="3">
        <v>0</v>
      </c>
      <c r="E7829" s="3">
        <v>386</v>
      </c>
      <c r="F7829" s="3">
        <v>3544</v>
      </c>
      <c r="G7829" s="3">
        <v>0</v>
      </c>
      <c r="H7829" s="2">
        <f t="shared" si="244"/>
        <v>3930</v>
      </c>
      <c r="I7829" t="str">
        <f t="shared" si="245"/>
        <v>Trpt1_3930</v>
      </c>
      <c r="J7829" s="3">
        <v>0</v>
      </c>
      <c r="K7829" s="3">
        <v>0</v>
      </c>
      <c r="L7829" s="3">
        <v>386</v>
      </c>
      <c r="M7829" s="3">
        <v>3544</v>
      </c>
      <c r="N7829" s="3">
        <v>0</v>
      </c>
    </row>
    <row r="7830" spans="1:14" x14ac:dyDescent="0.2">
      <c r="A7830" s="5" t="str">
        <f>HYPERLINK("http://www.ncbi.nlm.nih.gov/protein/269784723","Trpv4")</f>
        <v>Trpv4</v>
      </c>
      <c r="B7830" s="4"/>
      <c r="C7830" s="3">
        <v>13986</v>
      </c>
      <c r="D7830" s="3">
        <v>7060</v>
      </c>
      <c r="E7830" s="3">
        <v>18649</v>
      </c>
      <c r="F7830" s="3">
        <v>0</v>
      </c>
      <c r="G7830" s="3">
        <v>0</v>
      </c>
      <c r="H7830" s="2">
        <f t="shared" si="244"/>
        <v>39695</v>
      </c>
      <c r="I7830" t="str">
        <f t="shared" si="245"/>
        <v>Trpv4_39695</v>
      </c>
      <c r="J7830" s="3">
        <v>13986</v>
      </c>
      <c r="K7830" s="3">
        <v>7060</v>
      </c>
      <c r="L7830" s="3">
        <v>18649</v>
      </c>
      <c r="M7830" s="3">
        <v>0</v>
      </c>
      <c r="N7830" s="3">
        <v>0</v>
      </c>
    </row>
    <row r="7831" spans="1:14" x14ac:dyDescent="0.2">
      <c r="A7831" s="5" t="str">
        <f>HYPERLINK("http://www.ncbi.nlm.nih.gov/protein/124486949","Trrap")</f>
        <v>Trrap</v>
      </c>
      <c r="B7831" s="4"/>
      <c r="C7831" s="3">
        <v>3661</v>
      </c>
      <c r="D7831" s="3">
        <v>0</v>
      </c>
      <c r="E7831" s="3">
        <v>0</v>
      </c>
      <c r="F7831" s="3">
        <v>0</v>
      </c>
      <c r="G7831" s="3">
        <v>0</v>
      </c>
      <c r="H7831" s="2">
        <f t="shared" si="244"/>
        <v>3661</v>
      </c>
      <c r="I7831" t="str">
        <f t="shared" si="245"/>
        <v>Trrap_3661</v>
      </c>
      <c r="J7831" s="3">
        <v>3661</v>
      </c>
      <c r="K7831" s="3">
        <v>0</v>
      </c>
      <c r="L7831" s="3">
        <v>0</v>
      </c>
      <c r="M7831" s="3">
        <v>0</v>
      </c>
      <c r="N7831" s="3">
        <v>0</v>
      </c>
    </row>
    <row r="7832" spans="1:14" x14ac:dyDescent="0.2">
      <c r="A7832" s="5" t="str">
        <f>HYPERLINK("http://www.ncbi.nlm.nih.gov/protein/21312414","Trub1")</f>
        <v>Trub1</v>
      </c>
      <c r="B7832" s="4"/>
      <c r="C7832" s="3">
        <v>0</v>
      </c>
      <c r="D7832" s="3">
        <v>0</v>
      </c>
      <c r="E7832" s="3">
        <v>129</v>
      </c>
      <c r="F7832" s="3">
        <v>0</v>
      </c>
      <c r="G7832" s="3">
        <v>4262</v>
      </c>
      <c r="H7832" s="2">
        <f t="shared" si="244"/>
        <v>4391</v>
      </c>
      <c r="I7832" t="str">
        <f t="shared" si="245"/>
        <v>Trub1_4391</v>
      </c>
      <c r="J7832" s="3">
        <v>0</v>
      </c>
      <c r="K7832" s="3">
        <v>0</v>
      </c>
      <c r="L7832" s="3">
        <v>129</v>
      </c>
      <c r="M7832" s="3">
        <v>0</v>
      </c>
      <c r="N7832" s="3">
        <v>4262</v>
      </c>
    </row>
    <row r="7833" spans="1:14" x14ac:dyDescent="0.2">
      <c r="A7833" s="5" t="str">
        <f>HYPERLINK("http://www.ncbi.nlm.nih.gov/protein/268607501","Trub1")</f>
        <v>Trub1</v>
      </c>
      <c r="B7833" s="4"/>
      <c r="C7833" s="3">
        <v>0</v>
      </c>
      <c r="D7833" s="3">
        <v>0</v>
      </c>
      <c r="E7833" s="3">
        <v>129</v>
      </c>
      <c r="F7833" s="3">
        <v>0</v>
      </c>
      <c r="G7833" s="3">
        <v>4262</v>
      </c>
      <c r="H7833" s="2">
        <f t="shared" si="244"/>
        <v>4391</v>
      </c>
      <c r="I7833" t="str">
        <f t="shared" si="245"/>
        <v>Trub1_4391</v>
      </c>
      <c r="J7833" s="3">
        <v>0</v>
      </c>
      <c r="K7833" s="3">
        <v>0</v>
      </c>
      <c r="L7833" s="3">
        <v>129</v>
      </c>
      <c r="M7833" s="3">
        <v>0</v>
      </c>
      <c r="N7833" s="3">
        <v>4262</v>
      </c>
    </row>
    <row r="7834" spans="1:14" x14ac:dyDescent="0.2">
      <c r="A7834" s="5" t="str">
        <f>HYPERLINK("http://www.ncbi.nlm.nih.gov/protein/224994213","Trub2")</f>
        <v>Trub2</v>
      </c>
      <c r="B7834" s="4"/>
      <c r="C7834" s="3">
        <v>0</v>
      </c>
      <c r="D7834" s="3">
        <v>88</v>
      </c>
      <c r="E7834" s="3">
        <v>0</v>
      </c>
      <c r="F7834" s="3">
        <v>0</v>
      </c>
      <c r="G7834" s="3">
        <v>0</v>
      </c>
      <c r="H7834" s="2">
        <f t="shared" si="244"/>
        <v>88</v>
      </c>
      <c r="I7834" t="str">
        <f t="shared" si="245"/>
        <v>Trub2_88</v>
      </c>
      <c r="J7834" s="3">
        <v>0</v>
      </c>
      <c r="K7834" s="3">
        <v>88</v>
      </c>
      <c r="L7834" s="3">
        <v>0</v>
      </c>
      <c r="M7834" s="3">
        <v>0</v>
      </c>
      <c r="N7834" s="3">
        <v>0</v>
      </c>
    </row>
    <row r="7835" spans="1:14" x14ac:dyDescent="0.2">
      <c r="A7835" s="5" t="str">
        <f>HYPERLINK("http://www.ncbi.nlm.nih.gov/protein/79750409","Tsc1")</f>
        <v>Tsc1</v>
      </c>
      <c r="B7835" s="4"/>
      <c r="C7835" s="3">
        <v>0</v>
      </c>
      <c r="D7835" s="3">
        <v>0</v>
      </c>
      <c r="E7835" s="3">
        <v>0</v>
      </c>
      <c r="F7835" s="3">
        <v>966</v>
      </c>
      <c r="G7835" s="3">
        <v>225</v>
      </c>
      <c r="H7835" s="2">
        <f t="shared" si="244"/>
        <v>1191</v>
      </c>
      <c r="I7835" t="str">
        <f t="shared" si="245"/>
        <v>Tsc1_1191</v>
      </c>
      <c r="J7835" s="3">
        <v>0</v>
      </c>
      <c r="K7835" s="3">
        <v>0</v>
      </c>
      <c r="L7835" s="3">
        <v>0</v>
      </c>
      <c r="M7835" s="3">
        <v>966</v>
      </c>
      <c r="N7835" s="3">
        <v>225</v>
      </c>
    </row>
    <row r="7836" spans="1:14" x14ac:dyDescent="0.2">
      <c r="A7836" s="5" t="str">
        <f>HYPERLINK("http://www.ncbi.nlm.nih.gov/protein/86439987","Tsc2")</f>
        <v>Tsc2</v>
      </c>
      <c r="B7836" s="4"/>
      <c r="C7836" s="3">
        <v>0</v>
      </c>
      <c r="D7836" s="3">
        <v>0</v>
      </c>
      <c r="E7836" s="3">
        <v>411</v>
      </c>
      <c r="F7836" s="3">
        <v>1056</v>
      </c>
      <c r="G7836" s="3">
        <v>0</v>
      </c>
      <c r="H7836" s="2">
        <f t="shared" si="244"/>
        <v>1467</v>
      </c>
      <c r="I7836" t="str">
        <f t="shared" si="245"/>
        <v>Tsc2_1467</v>
      </c>
      <c r="J7836" s="3">
        <v>0</v>
      </c>
      <c r="K7836" s="3">
        <v>0</v>
      </c>
      <c r="L7836" s="3">
        <v>411</v>
      </c>
      <c r="M7836" s="3">
        <v>1056</v>
      </c>
      <c r="N7836" s="3">
        <v>0</v>
      </c>
    </row>
    <row r="7837" spans="1:14" x14ac:dyDescent="0.2">
      <c r="A7837" s="5" t="str">
        <f>HYPERLINK("http://www.ncbi.nlm.nih.gov/protein/86439992","Tsc2")</f>
        <v>Tsc2</v>
      </c>
      <c r="B7837" s="4"/>
      <c r="C7837" s="3">
        <v>0</v>
      </c>
      <c r="D7837" s="3">
        <v>0</v>
      </c>
      <c r="E7837" s="3">
        <v>411</v>
      </c>
      <c r="F7837" s="3">
        <v>1056</v>
      </c>
      <c r="G7837" s="3">
        <v>0</v>
      </c>
      <c r="H7837" s="2">
        <f t="shared" si="244"/>
        <v>1467</v>
      </c>
      <c r="I7837" t="str">
        <f t="shared" si="245"/>
        <v>Tsc2_1467</v>
      </c>
      <c r="J7837" s="3">
        <v>0</v>
      </c>
      <c r="K7837" s="3">
        <v>0</v>
      </c>
      <c r="L7837" s="3">
        <v>411</v>
      </c>
      <c r="M7837" s="3">
        <v>1056</v>
      </c>
      <c r="N7837" s="3">
        <v>0</v>
      </c>
    </row>
    <row r="7838" spans="1:14" x14ac:dyDescent="0.2">
      <c r="A7838" s="5" t="str">
        <f>HYPERLINK("http://www.ncbi.nlm.nih.gov/protein/295293202","Tsc22d1")</f>
        <v>Tsc22d1</v>
      </c>
      <c r="B7838" s="4"/>
      <c r="C7838" s="3">
        <v>0</v>
      </c>
      <c r="D7838" s="3">
        <v>221</v>
      </c>
      <c r="E7838" s="3">
        <v>872</v>
      </c>
      <c r="F7838" s="3">
        <v>0</v>
      </c>
      <c r="G7838" s="3">
        <v>10003</v>
      </c>
      <c r="H7838" s="2">
        <f t="shared" si="244"/>
        <v>11096</v>
      </c>
      <c r="I7838" t="str">
        <f t="shared" si="245"/>
        <v>Tsc22d1_11096</v>
      </c>
      <c r="J7838" s="3">
        <v>0</v>
      </c>
      <c r="K7838" s="3">
        <v>221</v>
      </c>
      <c r="L7838" s="3">
        <v>872</v>
      </c>
      <c r="M7838" s="3">
        <v>0</v>
      </c>
      <c r="N7838" s="3">
        <v>10003</v>
      </c>
    </row>
    <row r="7839" spans="1:14" x14ac:dyDescent="0.2">
      <c r="A7839" s="5" t="str">
        <f>HYPERLINK("http://www.ncbi.nlm.nih.gov/protein/295293205","Tsc22d1")</f>
        <v>Tsc22d1</v>
      </c>
      <c r="B7839" s="4"/>
      <c r="C7839" s="3">
        <v>0</v>
      </c>
      <c r="D7839" s="3">
        <v>221</v>
      </c>
      <c r="E7839" s="3">
        <v>872</v>
      </c>
      <c r="F7839" s="3">
        <v>0</v>
      </c>
      <c r="G7839" s="3">
        <v>10003</v>
      </c>
      <c r="H7839" s="2">
        <f t="shared" si="244"/>
        <v>11096</v>
      </c>
      <c r="I7839" t="str">
        <f t="shared" si="245"/>
        <v>Tsc22d1_11096</v>
      </c>
      <c r="J7839" s="3">
        <v>0</v>
      </c>
      <c r="K7839" s="3">
        <v>221</v>
      </c>
      <c r="L7839" s="3">
        <v>872</v>
      </c>
      <c r="M7839" s="3">
        <v>0</v>
      </c>
      <c r="N7839" s="3">
        <v>10003</v>
      </c>
    </row>
    <row r="7840" spans="1:14" x14ac:dyDescent="0.2">
      <c r="A7840" s="5" t="str">
        <f>HYPERLINK("http://www.ncbi.nlm.nih.gov/protein/6678315","Tsc22d1")</f>
        <v>Tsc22d1</v>
      </c>
      <c r="B7840" s="4"/>
      <c r="C7840" s="3">
        <v>0</v>
      </c>
      <c r="D7840" s="3">
        <v>271</v>
      </c>
      <c r="E7840" s="3">
        <v>872</v>
      </c>
      <c r="F7840" s="3">
        <v>49</v>
      </c>
      <c r="G7840" s="3">
        <v>14254</v>
      </c>
      <c r="H7840" s="2">
        <f t="shared" si="244"/>
        <v>15446</v>
      </c>
      <c r="I7840" t="str">
        <f t="shared" si="245"/>
        <v>Tsc22d1_15446</v>
      </c>
      <c r="J7840" s="3">
        <v>0</v>
      </c>
      <c r="K7840" s="3">
        <v>271</v>
      </c>
      <c r="L7840" s="3">
        <v>872</v>
      </c>
      <c r="M7840" s="3">
        <v>49</v>
      </c>
      <c r="N7840" s="3">
        <v>14254</v>
      </c>
    </row>
    <row r="7841" spans="1:14" x14ac:dyDescent="0.2">
      <c r="A7841" s="5" t="str">
        <f>HYPERLINK("http://www.ncbi.nlm.nih.gov/protein/124487001","Tsc22d2")</f>
        <v>Tsc22d2</v>
      </c>
      <c r="B7841" s="4"/>
      <c r="C7841" s="3">
        <v>0</v>
      </c>
      <c r="D7841" s="3">
        <v>0</v>
      </c>
      <c r="E7841" s="3">
        <v>0</v>
      </c>
      <c r="F7841" s="3">
        <v>0</v>
      </c>
      <c r="G7841" s="3">
        <v>6222</v>
      </c>
      <c r="H7841" s="2">
        <f t="shared" si="244"/>
        <v>6222</v>
      </c>
      <c r="I7841" t="str">
        <f t="shared" si="245"/>
        <v>Tsc22d2_6222</v>
      </c>
      <c r="J7841" s="3">
        <v>0</v>
      </c>
      <c r="K7841" s="3">
        <v>0</v>
      </c>
      <c r="L7841" s="3">
        <v>0</v>
      </c>
      <c r="M7841" s="3">
        <v>0</v>
      </c>
      <c r="N7841" s="3">
        <v>6222</v>
      </c>
    </row>
    <row r="7842" spans="1:14" x14ac:dyDescent="0.2">
      <c r="A7842" s="5" t="str">
        <f>HYPERLINK("http://www.ncbi.nlm.nih.gov/protein/116517338","Tsc22d3")</f>
        <v>Tsc22d3</v>
      </c>
      <c r="B7842" s="4"/>
      <c r="C7842" s="3">
        <v>0</v>
      </c>
      <c r="D7842" s="3">
        <v>0</v>
      </c>
      <c r="E7842" s="3">
        <v>0</v>
      </c>
      <c r="F7842" s="3">
        <v>0</v>
      </c>
      <c r="G7842" s="3">
        <v>1499</v>
      </c>
      <c r="H7842" s="2">
        <f t="shared" si="244"/>
        <v>1499</v>
      </c>
      <c r="I7842" t="str">
        <f t="shared" si="245"/>
        <v>Tsc22d3_1499</v>
      </c>
      <c r="J7842" s="3">
        <v>0</v>
      </c>
      <c r="K7842" s="3">
        <v>0</v>
      </c>
      <c r="L7842" s="3">
        <v>0</v>
      </c>
      <c r="M7842" s="3">
        <v>0</v>
      </c>
      <c r="N7842" s="3">
        <v>1499</v>
      </c>
    </row>
    <row r="7843" spans="1:14" x14ac:dyDescent="0.2">
      <c r="A7843" s="5" t="str">
        <f>HYPERLINK("http://www.ncbi.nlm.nih.gov/protein/116517342","Tsc22d3")</f>
        <v>Tsc22d3</v>
      </c>
      <c r="B7843" s="4"/>
      <c r="C7843" s="3">
        <v>0</v>
      </c>
      <c r="D7843" s="3">
        <v>0</v>
      </c>
      <c r="E7843" s="3">
        <v>0</v>
      </c>
      <c r="F7843" s="3">
        <v>0</v>
      </c>
      <c r="G7843" s="3">
        <v>760</v>
      </c>
      <c r="H7843" s="2">
        <f t="shared" si="244"/>
        <v>760</v>
      </c>
      <c r="I7843" t="str">
        <f t="shared" si="245"/>
        <v>Tsc22d3_760</v>
      </c>
      <c r="J7843" s="3">
        <v>0</v>
      </c>
      <c r="K7843" s="3">
        <v>0</v>
      </c>
      <c r="L7843" s="3">
        <v>0</v>
      </c>
      <c r="M7843" s="3">
        <v>0</v>
      </c>
      <c r="N7843" s="3">
        <v>760</v>
      </c>
    </row>
    <row r="7844" spans="1:14" x14ac:dyDescent="0.2">
      <c r="A7844" s="5" t="str">
        <f>HYPERLINK("http://www.ncbi.nlm.nih.gov/protein/356995846","Tsc22d4")</f>
        <v>Tsc22d4</v>
      </c>
      <c r="B7844" s="4"/>
      <c r="C7844" s="3">
        <v>0</v>
      </c>
      <c r="D7844" s="3">
        <v>0</v>
      </c>
      <c r="E7844" s="3">
        <v>0</v>
      </c>
      <c r="F7844" s="3">
        <v>0</v>
      </c>
      <c r="G7844" s="3">
        <v>16129</v>
      </c>
      <c r="H7844" s="2">
        <f t="shared" si="244"/>
        <v>16129</v>
      </c>
      <c r="I7844" t="str">
        <f t="shared" si="245"/>
        <v>Tsc22d4_16129</v>
      </c>
      <c r="J7844" s="3">
        <v>0</v>
      </c>
      <c r="K7844" s="3">
        <v>0</v>
      </c>
      <c r="L7844" s="3">
        <v>0</v>
      </c>
      <c r="M7844" s="3">
        <v>0</v>
      </c>
      <c r="N7844" s="3">
        <v>16129</v>
      </c>
    </row>
    <row r="7845" spans="1:14" x14ac:dyDescent="0.2">
      <c r="A7845" s="5" t="str">
        <f>HYPERLINK("http://www.ncbi.nlm.nih.gov/protein/75750501","Tsc22d4")</f>
        <v>Tsc22d4</v>
      </c>
      <c r="B7845" s="4"/>
      <c r="C7845" s="3">
        <v>0</v>
      </c>
      <c r="D7845" s="3">
        <v>0</v>
      </c>
      <c r="E7845" s="3">
        <v>0</v>
      </c>
      <c r="F7845" s="3">
        <v>0</v>
      </c>
      <c r="G7845" s="3">
        <v>16889</v>
      </c>
      <c r="H7845" s="2">
        <f t="shared" si="244"/>
        <v>16889</v>
      </c>
      <c r="I7845" t="str">
        <f t="shared" si="245"/>
        <v>Tsc22d4_16889</v>
      </c>
      <c r="J7845" s="3">
        <v>0</v>
      </c>
      <c r="K7845" s="3">
        <v>0</v>
      </c>
      <c r="L7845" s="3">
        <v>0</v>
      </c>
      <c r="M7845" s="3">
        <v>0</v>
      </c>
      <c r="N7845" s="3">
        <v>16889</v>
      </c>
    </row>
    <row r="7846" spans="1:14" x14ac:dyDescent="0.2">
      <c r="A7846" s="5" t="str">
        <f>HYPERLINK("http://www.ncbi.nlm.nih.gov/protein/228008361","Tsen15")</f>
        <v>Tsen15</v>
      </c>
      <c r="B7846" s="4"/>
      <c r="C7846" s="3">
        <v>0</v>
      </c>
      <c r="D7846" s="3">
        <v>19</v>
      </c>
      <c r="E7846" s="3">
        <v>0</v>
      </c>
      <c r="F7846" s="3">
        <v>1318</v>
      </c>
      <c r="G7846" s="3">
        <v>707</v>
      </c>
      <c r="H7846" s="2">
        <f t="shared" si="244"/>
        <v>2044</v>
      </c>
      <c r="I7846" t="str">
        <f t="shared" si="245"/>
        <v>Tsen15_2044</v>
      </c>
      <c r="J7846" s="3">
        <v>0</v>
      </c>
      <c r="K7846" s="3">
        <v>19</v>
      </c>
      <c r="L7846" s="3">
        <v>0</v>
      </c>
      <c r="M7846" s="3">
        <v>1318</v>
      </c>
      <c r="N7846" s="3">
        <v>707</v>
      </c>
    </row>
    <row r="7847" spans="1:14" x14ac:dyDescent="0.2">
      <c r="A7847" s="5" t="str">
        <f>HYPERLINK("http://www.ncbi.nlm.nih.gov/protein/255958183","Tsen34")</f>
        <v>Tsen34</v>
      </c>
      <c r="B7847" s="4"/>
      <c r="C7847" s="3">
        <v>494</v>
      </c>
      <c r="D7847" s="3">
        <v>0</v>
      </c>
      <c r="E7847" s="3">
        <v>0</v>
      </c>
      <c r="F7847" s="3">
        <v>0</v>
      </c>
      <c r="G7847" s="3">
        <v>0</v>
      </c>
      <c r="H7847" s="2">
        <f t="shared" si="244"/>
        <v>494</v>
      </c>
      <c r="I7847" t="str">
        <f t="shared" si="245"/>
        <v>Tsen34_494</v>
      </c>
      <c r="J7847" s="3">
        <v>494</v>
      </c>
      <c r="K7847" s="3">
        <v>0</v>
      </c>
      <c r="L7847" s="3">
        <v>0</v>
      </c>
      <c r="M7847" s="3">
        <v>0</v>
      </c>
      <c r="N7847" s="3">
        <v>0</v>
      </c>
    </row>
    <row r="7848" spans="1:14" x14ac:dyDescent="0.2">
      <c r="A7848" s="5" t="str">
        <f>HYPERLINK("http://www.ncbi.nlm.nih.gov/protein/255958183;13195596","Tsen34")</f>
        <v>Tsen34</v>
      </c>
      <c r="B7848" s="4"/>
      <c r="C7848" s="3">
        <v>0</v>
      </c>
      <c r="D7848" s="3">
        <v>367</v>
      </c>
      <c r="E7848" s="3">
        <v>176</v>
      </c>
      <c r="F7848" s="3">
        <v>434</v>
      </c>
      <c r="G7848" s="3">
        <v>5569</v>
      </c>
      <c r="H7848" s="2">
        <f t="shared" si="244"/>
        <v>6546</v>
      </c>
      <c r="I7848" t="str">
        <f t="shared" si="245"/>
        <v>Tsen34_6546</v>
      </c>
      <c r="J7848" s="3">
        <v>0</v>
      </c>
      <c r="K7848" s="3">
        <v>367</v>
      </c>
      <c r="L7848" s="3">
        <v>176</v>
      </c>
      <c r="M7848" s="3">
        <v>434</v>
      </c>
      <c r="N7848" s="3">
        <v>5569</v>
      </c>
    </row>
    <row r="7849" spans="1:14" x14ac:dyDescent="0.2">
      <c r="A7849" s="5" t="str">
        <f>HYPERLINK("http://www.ncbi.nlm.nih.gov/protein/255958185","Tsen34")</f>
        <v>Tsen34</v>
      </c>
      <c r="B7849" s="4"/>
      <c r="C7849" s="3">
        <v>494</v>
      </c>
      <c r="D7849" s="3">
        <v>165</v>
      </c>
      <c r="E7849" s="3">
        <v>176</v>
      </c>
      <c r="F7849" s="3">
        <v>156</v>
      </c>
      <c r="G7849" s="3">
        <v>5076</v>
      </c>
      <c r="H7849" s="2">
        <f t="shared" si="244"/>
        <v>6067</v>
      </c>
      <c r="I7849" t="str">
        <f t="shared" si="245"/>
        <v>Tsen34_6067</v>
      </c>
      <c r="J7849" s="3">
        <v>494</v>
      </c>
      <c r="K7849" s="3">
        <v>165</v>
      </c>
      <c r="L7849" s="3">
        <v>176</v>
      </c>
      <c r="M7849" s="3">
        <v>156</v>
      </c>
      <c r="N7849" s="3">
        <v>5076</v>
      </c>
    </row>
    <row r="7850" spans="1:14" x14ac:dyDescent="0.2">
      <c r="A7850" s="5" t="str">
        <f>HYPERLINK("http://www.ncbi.nlm.nih.gov/protein/108389163","Tsen54")</f>
        <v>Tsen54</v>
      </c>
      <c r="B7850" s="4"/>
      <c r="C7850" s="3">
        <v>0</v>
      </c>
      <c r="D7850" s="3">
        <v>0</v>
      </c>
      <c r="E7850" s="3">
        <v>0</v>
      </c>
      <c r="F7850" s="3">
        <v>0</v>
      </c>
      <c r="G7850" s="3">
        <v>268</v>
      </c>
      <c r="H7850" s="2">
        <f t="shared" si="244"/>
        <v>268</v>
      </c>
      <c r="I7850" t="str">
        <f t="shared" si="245"/>
        <v>Tsen54_268</v>
      </c>
      <c r="J7850" s="3">
        <v>0</v>
      </c>
      <c r="K7850" s="3">
        <v>0</v>
      </c>
      <c r="L7850" s="3">
        <v>0</v>
      </c>
      <c r="M7850" s="3">
        <v>0</v>
      </c>
      <c r="N7850" s="3">
        <v>268</v>
      </c>
    </row>
    <row r="7851" spans="1:14" x14ac:dyDescent="0.2">
      <c r="A7851" s="5" t="str">
        <f>HYPERLINK("http://www.ncbi.nlm.nih.gov/protein/21313468","Tsfm")</f>
        <v>Tsfm</v>
      </c>
      <c r="B7851" s="4"/>
      <c r="C7851" s="3">
        <v>12961</v>
      </c>
      <c r="D7851" s="3">
        <v>5085</v>
      </c>
      <c r="E7851" s="3">
        <v>0</v>
      </c>
      <c r="F7851" s="3">
        <v>0</v>
      </c>
      <c r="G7851" s="3">
        <v>0</v>
      </c>
      <c r="H7851" s="2">
        <f t="shared" si="244"/>
        <v>18046</v>
      </c>
      <c r="I7851" t="str">
        <f t="shared" si="245"/>
        <v>Tsfm_18046</v>
      </c>
      <c r="J7851" s="3">
        <v>12961</v>
      </c>
      <c r="K7851" s="3">
        <v>5085</v>
      </c>
      <c r="L7851" s="3">
        <v>0</v>
      </c>
      <c r="M7851" s="3">
        <v>0</v>
      </c>
      <c r="N7851" s="3">
        <v>0</v>
      </c>
    </row>
    <row r="7852" spans="1:14" x14ac:dyDescent="0.2">
      <c r="A7852" s="5" t="str">
        <f>HYPERLINK("http://www.ncbi.nlm.nih.gov/protein/11230780","Tsg101")</f>
        <v>Tsg101</v>
      </c>
      <c r="B7852" s="4"/>
      <c r="C7852" s="3">
        <v>0</v>
      </c>
      <c r="D7852" s="3">
        <v>1718</v>
      </c>
      <c r="E7852" s="3">
        <v>2520</v>
      </c>
      <c r="F7852" s="3">
        <v>5124</v>
      </c>
      <c r="G7852" s="3">
        <v>22212</v>
      </c>
      <c r="H7852" s="2">
        <f t="shared" si="244"/>
        <v>31574</v>
      </c>
      <c r="I7852" t="str">
        <f t="shared" si="245"/>
        <v>Tsg101_31574</v>
      </c>
      <c r="J7852" s="3">
        <v>0</v>
      </c>
      <c r="K7852" s="3">
        <v>1718</v>
      </c>
      <c r="L7852" s="3">
        <v>2520</v>
      </c>
      <c r="M7852" s="3">
        <v>5124</v>
      </c>
      <c r="N7852" s="3">
        <v>22212</v>
      </c>
    </row>
    <row r="7853" spans="1:14" x14ac:dyDescent="0.2">
      <c r="A7853" s="5" t="str">
        <f>HYPERLINK("http://www.ncbi.nlm.nih.gov/protein/6755899","Tsn")</f>
        <v>Tsn</v>
      </c>
      <c r="B7853" s="4"/>
      <c r="C7853" s="3">
        <v>8897</v>
      </c>
      <c r="D7853" s="3">
        <v>5190</v>
      </c>
      <c r="E7853" s="3">
        <v>6136</v>
      </c>
      <c r="F7853" s="3">
        <v>48802</v>
      </c>
      <c r="G7853" s="3">
        <v>61676</v>
      </c>
      <c r="H7853" s="2">
        <f t="shared" si="244"/>
        <v>130701</v>
      </c>
      <c r="I7853" t="str">
        <f t="shared" si="245"/>
        <v>Tsn_130701</v>
      </c>
      <c r="J7853" s="3">
        <v>8897</v>
      </c>
      <c r="K7853" s="3">
        <v>5190</v>
      </c>
      <c r="L7853" s="3">
        <v>6136</v>
      </c>
      <c r="M7853" s="3">
        <v>48802</v>
      </c>
      <c r="N7853" s="3">
        <v>61676</v>
      </c>
    </row>
    <row r="7854" spans="1:14" x14ac:dyDescent="0.2">
      <c r="A7854" s="5" t="str">
        <f>HYPERLINK("http://www.ncbi.nlm.nih.gov/protein/8394490","Tsnax")</f>
        <v>Tsnax</v>
      </c>
      <c r="B7854" s="4"/>
      <c r="C7854" s="3">
        <v>0</v>
      </c>
      <c r="D7854" s="3">
        <v>2088</v>
      </c>
      <c r="E7854" s="3">
        <v>623</v>
      </c>
      <c r="F7854" s="3">
        <v>18581</v>
      </c>
      <c r="G7854" s="3">
        <v>34870</v>
      </c>
      <c r="H7854" s="2">
        <f t="shared" si="244"/>
        <v>56162</v>
      </c>
      <c r="I7854" t="str">
        <f t="shared" si="245"/>
        <v>Tsnax_56162</v>
      </c>
      <c r="J7854" s="3">
        <v>0</v>
      </c>
      <c r="K7854" s="3">
        <v>2088</v>
      </c>
      <c r="L7854" s="3">
        <v>623</v>
      </c>
      <c r="M7854" s="3">
        <v>18581</v>
      </c>
      <c r="N7854" s="3">
        <v>34870</v>
      </c>
    </row>
    <row r="7855" spans="1:14" x14ac:dyDescent="0.2">
      <c r="A7855" s="5" t="str">
        <f>HYPERLINK("http://www.ncbi.nlm.nih.gov/protein/22122345","Tspan14")</f>
        <v>Tspan14</v>
      </c>
      <c r="B7855" s="4"/>
      <c r="C7855" s="3">
        <v>0</v>
      </c>
      <c r="D7855" s="3">
        <v>992</v>
      </c>
      <c r="E7855" s="3">
        <v>2612</v>
      </c>
      <c r="F7855" s="3">
        <v>802</v>
      </c>
      <c r="G7855" s="3">
        <v>0</v>
      </c>
      <c r="H7855" s="2">
        <f t="shared" si="244"/>
        <v>4406</v>
      </c>
      <c r="I7855" t="str">
        <f t="shared" si="245"/>
        <v>Tspan14_4406</v>
      </c>
      <c r="J7855" s="3">
        <v>0</v>
      </c>
      <c r="K7855" s="3">
        <v>992</v>
      </c>
      <c r="L7855" s="3">
        <v>2612</v>
      </c>
      <c r="M7855" s="3">
        <v>802</v>
      </c>
      <c r="N7855" s="3">
        <v>0</v>
      </c>
    </row>
    <row r="7856" spans="1:14" x14ac:dyDescent="0.2">
      <c r="A7856" s="5" t="str">
        <f>HYPERLINK("http://www.ncbi.nlm.nih.gov/protein/110347498","Tspan15")</f>
        <v>Tspan15</v>
      </c>
      <c r="B7856" s="4"/>
      <c r="C7856" s="3">
        <v>0</v>
      </c>
      <c r="D7856" s="3">
        <v>0</v>
      </c>
      <c r="E7856" s="3">
        <v>16</v>
      </c>
      <c r="F7856" s="3">
        <v>0</v>
      </c>
      <c r="G7856" s="3">
        <v>0</v>
      </c>
      <c r="H7856" s="2">
        <f t="shared" si="244"/>
        <v>16</v>
      </c>
      <c r="I7856" t="str">
        <f t="shared" si="245"/>
        <v>Tspan15_16</v>
      </c>
      <c r="J7856" s="3">
        <v>0</v>
      </c>
      <c r="K7856" s="3">
        <v>0</v>
      </c>
      <c r="L7856" s="3">
        <v>16</v>
      </c>
      <c r="M7856" s="3">
        <v>0</v>
      </c>
      <c r="N7856" s="3">
        <v>0</v>
      </c>
    </row>
    <row r="7857" spans="1:14" x14ac:dyDescent="0.2">
      <c r="A7857" s="5" t="str">
        <f>HYPERLINK("http://www.ncbi.nlm.nih.gov/protein/13385482","Tspan31")</f>
        <v>Tspan31</v>
      </c>
      <c r="B7857" s="4"/>
      <c r="C7857" s="3">
        <v>1593</v>
      </c>
      <c r="D7857" s="3">
        <v>660</v>
      </c>
      <c r="E7857" s="3">
        <v>2227</v>
      </c>
      <c r="F7857" s="3">
        <v>0</v>
      </c>
      <c r="G7857" s="3">
        <v>0</v>
      </c>
      <c r="H7857" s="2">
        <f t="shared" si="244"/>
        <v>4480</v>
      </c>
      <c r="I7857" t="str">
        <f t="shared" si="245"/>
        <v>Tspan31_4480</v>
      </c>
      <c r="J7857" s="3">
        <v>1593</v>
      </c>
      <c r="K7857" s="3">
        <v>660</v>
      </c>
      <c r="L7857" s="3">
        <v>2227</v>
      </c>
      <c r="M7857" s="3">
        <v>0</v>
      </c>
      <c r="N7857" s="3">
        <v>0</v>
      </c>
    </row>
    <row r="7858" spans="1:14" x14ac:dyDescent="0.2">
      <c r="A7858" s="5" t="str">
        <f>HYPERLINK("http://www.ncbi.nlm.nih.gov/protein/31560378","Tspan6")</f>
        <v>Tspan6</v>
      </c>
      <c r="B7858" s="4"/>
      <c r="C7858" s="3">
        <v>0</v>
      </c>
      <c r="D7858" s="3">
        <v>0</v>
      </c>
      <c r="E7858" s="3">
        <v>88</v>
      </c>
      <c r="F7858" s="3">
        <v>0</v>
      </c>
      <c r="G7858" s="3">
        <v>0</v>
      </c>
      <c r="H7858" s="2">
        <f t="shared" si="244"/>
        <v>88</v>
      </c>
      <c r="I7858" t="str">
        <f t="shared" si="245"/>
        <v>Tspan6_88</v>
      </c>
      <c r="J7858" s="3">
        <v>0</v>
      </c>
      <c r="K7858" s="3">
        <v>0</v>
      </c>
      <c r="L7858" s="3">
        <v>88</v>
      </c>
      <c r="M7858" s="3">
        <v>0</v>
      </c>
      <c r="N7858" s="3">
        <v>0</v>
      </c>
    </row>
    <row r="7859" spans="1:14" x14ac:dyDescent="0.2">
      <c r="A7859" s="5" t="str">
        <f>HYPERLINK("http://www.ncbi.nlm.nih.gov/protein/22122475","Tspan8")</f>
        <v>Tspan8</v>
      </c>
      <c r="B7859" s="4"/>
      <c r="C7859" s="3">
        <v>144489</v>
      </c>
      <c r="D7859" s="3">
        <v>86680</v>
      </c>
      <c r="E7859" s="3">
        <v>160356</v>
      </c>
      <c r="F7859" s="3">
        <v>57127</v>
      </c>
      <c r="G7859" s="3">
        <v>0</v>
      </c>
      <c r="H7859" s="2">
        <f t="shared" si="244"/>
        <v>448652</v>
      </c>
      <c r="I7859" t="str">
        <f t="shared" si="245"/>
        <v>Tspan8_448652</v>
      </c>
      <c r="J7859" s="3">
        <v>144489</v>
      </c>
      <c r="K7859" s="3">
        <v>86680</v>
      </c>
      <c r="L7859" s="3">
        <v>160356</v>
      </c>
      <c r="M7859" s="3">
        <v>57127</v>
      </c>
      <c r="N7859" s="3">
        <v>0</v>
      </c>
    </row>
    <row r="7860" spans="1:14" x14ac:dyDescent="0.2">
      <c r="A7860" s="5" t="str">
        <f>HYPERLINK("http://www.ncbi.nlm.nih.gov/protein/30425124","Tspan9")</f>
        <v>Tspan9</v>
      </c>
      <c r="B7860" s="4"/>
      <c r="C7860" s="3">
        <v>0</v>
      </c>
      <c r="D7860" s="3">
        <v>144</v>
      </c>
      <c r="E7860" s="3">
        <v>484</v>
      </c>
      <c r="F7860" s="3">
        <v>0</v>
      </c>
      <c r="G7860" s="3">
        <v>0</v>
      </c>
      <c r="H7860" s="2">
        <f t="shared" si="244"/>
        <v>628</v>
      </c>
      <c r="I7860" t="str">
        <f t="shared" si="245"/>
        <v>Tspan9_628</v>
      </c>
      <c r="J7860" s="3">
        <v>0</v>
      </c>
      <c r="K7860" s="3">
        <v>144</v>
      </c>
      <c r="L7860" s="3">
        <v>484</v>
      </c>
      <c r="M7860" s="3">
        <v>0</v>
      </c>
      <c r="N7860" s="3">
        <v>0</v>
      </c>
    </row>
    <row r="7861" spans="1:14" x14ac:dyDescent="0.2">
      <c r="A7861" s="5" t="str">
        <f>HYPERLINK("http://www.ncbi.nlm.nih.gov/protein/6678445","Tspyl1")</f>
        <v>Tspyl1</v>
      </c>
      <c r="B7861" s="4"/>
      <c r="C7861" s="3">
        <v>0</v>
      </c>
      <c r="D7861" s="3">
        <v>0</v>
      </c>
      <c r="E7861" s="3">
        <v>44</v>
      </c>
      <c r="F7861" s="3">
        <v>0</v>
      </c>
      <c r="G7861" s="3">
        <v>0</v>
      </c>
      <c r="H7861" s="2">
        <f t="shared" si="244"/>
        <v>44</v>
      </c>
      <c r="I7861" t="str">
        <f t="shared" si="245"/>
        <v>Tspyl1_44</v>
      </c>
      <c r="J7861" s="3">
        <v>0</v>
      </c>
      <c r="K7861" s="3">
        <v>0</v>
      </c>
      <c r="L7861" s="3">
        <v>44</v>
      </c>
      <c r="M7861" s="3">
        <v>0</v>
      </c>
      <c r="N7861" s="3">
        <v>0</v>
      </c>
    </row>
    <row r="7862" spans="1:14" x14ac:dyDescent="0.2">
      <c r="A7862" s="5" t="str">
        <f>HYPERLINK("http://www.ncbi.nlm.nih.gov/protein/126506294","Tsr1")</f>
        <v>Tsr1</v>
      </c>
      <c r="B7862" s="4"/>
      <c r="C7862" s="3">
        <v>0</v>
      </c>
      <c r="D7862" s="3">
        <v>0</v>
      </c>
      <c r="E7862" s="3">
        <v>716</v>
      </c>
      <c r="F7862" s="3">
        <v>17779</v>
      </c>
      <c r="G7862" s="3">
        <v>3459</v>
      </c>
      <c r="H7862" s="2">
        <f t="shared" si="244"/>
        <v>21954</v>
      </c>
      <c r="I7862" t="str">
        <f t="shared" si="245"/>
        <v>Tsr1_21954</v>
      </c>
      <c r="J7862" s="3">
        <v>0</v>
      </c>
      <c r="K7862" s="3">
        <v>0</v>
      </c>
      <c r="L7862" s="3">
        <v>716</v>
      </c>
      <c r="M7862" s="3">
        <v>17779</v>
      </c>
      <c r="N7862" s="3">
        <v>3459</v>
      </c>
    </row>
    <row r="7863" spans="1:14" x14ac:dyDescent="0.2">
      <c r="A7863" s="5" t="str">
        <f>HYPERLINK("http://www.ncbi.nlm.nih.gov/protein/257153359","Tsr2")</f>
        <v>Tsr2</v>
      </c>
      <c r="B7863" s="4"/>
      <c r="C7863" s="3">
        <v>0</v>
      </c>
      <c r="D7863" s="3">
        <v>0</v>
      </c>
      <c r="E7863" s="3">
        <v>328</v>
      </c>
      <c r="F7863" s="3">
        <v>737</v>
      </c>
      <c r="G7863" s="3">
        <v>0</v>
      </c>
      <c r="H7863" s="2">
        <f t="shared" si="244"/>
        <v>1065</v>
      </c>
      <c r="I7863" t="str">
        <f t="shared" si="245"/>
        <v>Tsr2_1065</v>
      </c>
      <c r="J7863" s="3">
        <v>0</v>
      </c>
      <c r="K7863" s="3">
        <v>0</v>
      </c>
      <c r="L7863" s="3">
        <v>328</v>
      </c>
      <c r="M7863" s="3">
        <v>737</v>
      </c>
      <c r="N7863" s="3">
        <v>0</v>
      </c>
    </row>
    <row r="7864" spans="1:14" x14ac:dyDescent="0.2">
      <c r="A7864" s="5" t="str">
        <f>HYPERLINK("http://www.ncbi.nlm.nih.gov/protein/257196134","Tsr2")</f>
        <v>Tsr2</v>
      </c>
      <c r="B7864" s="4"/>
      <c r="C7864" s="3">
        <v>0</v>
      </c>
      <c r="D7864" s="3">
        <v>0</v>
      </c>
      <c r="E7864" s="3">
        <v>328</v>
      </c>
      <c r="F7864" s="3">
        <v>737</v>
      </c>
      <c r="G7864" s="3">
        <v>0</v>
      </c>
      <c r="H7864" s="2">
        <f t="shared" si="244"/>
        <v>1065</v>
      </c>
      <c r="I7864" t="str">
        <f t="shared" si="245"/>
        <v>Tsr2_1065</v>
      </c>
      <c r="J7864" s="3">
        <v>0</v>
      </c>
      <c r="K7864" s="3">
        <v>0</v>
      </c>
      <c r="L7864" s="3">
        <v>328</v>
      </c>
      <c r="M7864" s="3">
        <v>737</v>
      </c>
      <c r="N7864" s="3">
        <v>0</v>
      </c>
    </row>
    <row r="7865" spans="1:14" x14ac:dyDescent="0.2">
      <c r="A7865" s="5" t="str">
        <f>HYPERLINK("http://www.ncbi.nlm.nih.gov/protein/238550175","Tssc1")</f>
        <v>Tssc1</v>
      </c>
      <c r="B7865" s="4"/>
      <c r="C7865" s="3">
        <v>0</v>
      </c>
      <c r="D7865" s="3">
        <v>1227</v>
      </c>
      <c r="E7865" s="3">
        <v>2166</v>
      </c>
      <c r="F7865" s="3">
        <v>884</v>
      </c>
      <c r="G7865" s="3">
        <v>20787</v>
      </c>
      <c r="H7865" s="2">
        <f t="shared" si="244"/>
        <v>25064</v>
      </c>
      <c r="I7865" t="str">
        <f t="shared" si="245"/>
        <v>Tssc1_25064</v>
      </c>
      <c r="J7865" s="3">
        <v>0</v>
      </c>
      <c r="K7865" s="3">
        <v>1227</v>
      </c>
      <c r="L7865" s="3">
        <v>2166</v>
      </c>
      <c r="M7865" s="3">
        <v>884</v>
      </c>
      <c r="N7865" s="3">
        <v>20787</v>
      </c>
    </row>
    <row r="7866" spans="1:14" x14ac:dyDescent="0.2">
      <c r="A7866" s="5" t="str">
        <f>HYPERLINK("http://www.ncbi.nlm.nih.gov/protein/13654268","Tsta3")</f>
        <v>Tsta3</v>
      </c>
      <c r="B7866" s="4"/>
      <c r="C7866" s="3">
        <v>0</v>
      </c>
      <c r="D7866" s="3">
        <v>79</v>
      </c>
      <c r="E7866" s="3">
        <v>1692</v>
      </c>
      <c r="F7866" s="3">
        <v>10150</v>
      </c>
      <c r="G7866" s="3">
        <v>81842</v>
      </c>
      <c r="H7866" s="2">
        <f t="shared" si="244"/>
        <v>93763</v>
      </c>
      <c r="I7866" t="str">
        <f t="shared" si="245"/>
        <v>Tsta3_93763</v>
      </c>
      <c r="J7866" s="3">
        <v>0</v>
      </c>
      <c r="K7866" s="3">
        <v>79</v>
      </c>
      <c r="L7866" s="3">
        <v>1692</v>
      </c>
      <c r="M7866" s="3">
        <v>10150</v>
      </c>
      <c r="N7866" s="3">
        <v>81842</v>
      </c>
    </row>
    <row r="7867" spans="1:14" x14ac:dyDescent="0.2">
      <c r="A7867" s="5" t="str">
        <f>HYPERLINK("http://www.ncbi.nlm.nih.gov/protein/67906805","Ttbk2")</f>
        <v>Ttbk2</v>
      </c>
      <c r="B7867" s="4"/>
      <c r="C7867" s="3">
        <v>0</v>
      </c>
      <c r="D7867" s="3">
        <v>0</v>
      </c>
      <c r="E7867" s="3">
        <v>3</v>
      </c>
      <c r="F7867" s="3">
        <v>0</v>
      </c>
      <c r="G7867" s="3">
        <v>0</v>
      </c>
      <c r="H7867" s="2">
        <f t="shared" si="244"/>
        <v>3</v>
      </c>
      <c r="I7867" t="str">
        <f t="shared" si="245"/>
        <v>Ttbk2_3</v>
      </c>
      <c r="J7867" s="3">
        <v>0</v>
      </c>
      <c r="K7867" s="3">
        <v>0</v>
      </c>
      <c r="L7867" s="3">
        <v>3</v>
      </c>
      <c r="M7867" s="3">
        <v>0</v>
      </c>
      <c r="N7867" s="3">
        <v>0</v>
      </c>
    </row>
    <row r="7868" spans="1:14" x14ac:dyDescent="0.2">
      <c r="A7868" s="5" t="str">
        <f>HYPERLINK("http://www.ncbi.nlm.nih.gov/protein/67906807","Ttbk2")</f>
        <v>Ttbk2</v>
      </c>
      <c r="B7868" s="4"/>
      <c r="C7868" s="3">
        <v>0</v>
      </c>
      <c r="D7868" s="3">
        <v>0</v>
      </c>
      <c r="E7868" s="3">
        <v>3</v>
      </c>
      <c r="F7868" s="3">
        <v>0</v>
      </c>
      <c r="G7868" s="3">
        <v>0</v>
      </c>
      <c r="H7868" s="2">
        <f t="shared" si="244"/>
        <v>3</v>
      </c>
      <c r="I7868" t="str">
        <f t="shared" si="245"/>
        <v>Ttbk2_3</v>
      </c>
      <c r="J7868" s="3">
        <v>0</v>
      </c>
      <c r="K7868" s="3">
        <v>0</v>
      </c>
      <c r="L7868" s="3">
        <v>3</v>
      </c>
      <c r="M7868" s="3">
        <v>0</v>
      </c>
      <c r="N7868" s="3">
        <v>0</v>
      </c>
    </row>
    <row r="7869" spans="1:14" x14ac:dyDescent="0.2">
      <c r="A7869" s="5" t="str">
        <f>HYPERLINK("http://www.ncbi.nlm.nih.gov/protein/20452462","Ttc1")</f>
        <v>Ttc1</v>
      </c>
      <c r="B7869" s="4"/>
      <c r="C7869" s="3">
        <v>0</v>
      </c>
      <c r="D7869" s="3">
        <v>138</v>
      </c>
      <c r="E7869" s="3">
        <v>91</v>
      </c>
      <c r="F7869" s="3">
        <v>0</v>
      </c>
      <c r="G7869" s="3">
        <v>17510</v>
      </c>
      <c r="H7869" s="2">
        <f t="shared" si="244"/>
        <v>17739</v>
      </c>
      <c r="I7869" t="str">
        <f t="shared" si="245"/>
        <v>Ttc1_17739</v>
      </c>
      <c r="J7869" s="3">
        <v>0</v>
      </c>
      <c r="K7869" s="3">
        <v>138</v>
      </c>
      <c r="L7869" s="3">
        <v>91</v>
      </c>
      <c r="M7869" s="3">
        <v>0</v>
      </c>
      <c r="N7869" s="3">
        <v>17510</v>
      </c>
    </row>
    <row r="7870" spans="1:14" x14ac:dyDescent="0.2">
      <c r="A7870" s="5" t="str">
        <f>HYPERLINK("http://www.ncbi.nlm.nih.gov/protein/27370132","Ttc12")</f>
        <v>Ttc12</v>
      </c>
      <c r="B7870" s="4"/>
      <c r="C7870" s="3">
        <v>0</v>
      </c>
      <c r="D7870" s="3">
        <v>0</v>
      </c>
      <c r="E7870" s="3">
        <v>0</v>
      </c>
      <c r="F7870" s="3">
        <v>884</v>
      </c>
      <c r="G7870" s="3">
        <v>0</v>
      </c>
      <c r="H7870" s="2">
        <f t="shared" si="244"/>
        <v>884</v>
      </c>
      <c r="I7870" t="str">
        <f t="shared" si="245"/>
        <v>Ttc12_884</v>
      </c>
      <c r="J7870" s="3">
        <v>0</v>
      </c>
      <c r="K7870" s="3">
        <v>0</v>
      </c>
      <c r="L7870" s="3">
        <v>0</v>
      </c>
      <c r="M7870" s="3">
        <v>884</v>
      </c>
      <c r="N7870" s="3">
        <v>0</v>
      </c>
    </row>
    <row r="7871" spans="1:14" x14ac:dyDescent="0.2">
      <c r="A7871" s="5" t="str">
        <f>HYPERLINK("http://www.ncbi.nlm.nih.gov/protein/114158711","Ttc21b")</f>
        <v>Ttc21b</v>
      </c>
      <c r="B7871" s="4"/>
      <c r="C7871" s="3">
        <v>0</v>
      </c>
      <c r="D7871" s="3">
        <v>0</v>
      </c>
      <c r="E7871" s="3">
        <v>342</v>
      </c>
      <c r="F7871" s="3">
        <v>0</v>
      </c>
      <c r="G7871" s="3">
        <v>0</v>
      </c>
      <c r="H7871" s="2">
        <f t="shared" si="244"/>
        <v>342</v>
      </c>
      <c r="I7871" t="str">
        <f t="shared" si="245"/>
        <v>Ttc21b_342</v>
      </c>
      <c r="J7871" s="3">
        <v>0</v>
      </c>
      <c r="K7871" s="3">
        <v>0</v>
      </c>
      <c r="L7871" s="3">
        <v>342</v>
      </c>
      <c r="M7871" s="3">
        <v>0</v>
      </c>
      <c r="N7871" s="3">
        <v>0</v>
      </c>
    </row>
    <row r="7872" spans="1:14" x14ac:dyDescent="0.2">
      <c r="A7872" s="5" t="str">
        <f>HYPERLINK("http://www.ncbi.nlm.nih.gov/protein/254281218","Ttc23l")</f>
        <v>Ttc23l</v>
      </c>
      <c r="B7872" s="4"/>
      <c r="C7872" s="3">
        <v>0</v>
      </c>
      <c r="D7872" s="3">
        <v>138</v>
      </c>
      <c r="E7872" s="3">
        <v>75</v>
      </c>
      <c r="F7872" s="3">
        <v>1367</v>
      </c>
      <c r="G7872" s="3">
        <v>653</v>
      </c>
      <c r="H7872" s="2">
        <f t="shared" si="244"/>
        <v>2233</v>
      </c>
      <c r="I7872" t="str">
        <f t="shared" si="245"/>
        <v>Ttc23l_2233</v>
      </c>
      <c r="J7872" s="3">
        <v>0</v>
      </c>
      <c r="K7872" s="3">
        <v>138</v>
      </c>
      <c r="L7872" s="3">
        <v>75</v>
      </c>
      <c r="M7872" s="3">
        <v>1367</v>
      </c>
      <c r="N7872" s="3">
        <v>653</v>
      </c>
    </row>
    <row r="7873" spans="1:14" x14ac:dyDescent="0.2">
      <c r="A7873" s="5" t="str">
        <f>HYPERLINK("http://www.ncbi.nlm.nih.gov/protein/42734471","Ttc26")</f>
        <v>Ttc26</v>
      </c>
      <c r="B7873" s="4"/>
      <c r="C7873" s="3">
        <v>0</v>
      </c>
      <c r="D7873" s="3">
        <v>0</v>
      </c>
      <c r="E7873" s="3">
        <v>0</v>
      </c>
      <c r="F7873" s="3">
        <v>925</v>
      </c>
      <c r="G7873" s="3">
        <v>0</v>
      </c>
      <c r="H7873" s="2">
        <f t="shared" si="244"/>
        <v>925</v>
      </c>
      <c r="I7873" t="str">
        <f t="shared" si="245"/>
        <v>Ttc26_925</v>
      </c>
      <c r="J7873" s="3">
        <v>0</v>
      </c>
      <c r="K7873" s="3">
        <v>0</v>
      </c>
      <c r="L7873" s="3">
        <v>0</v>
      </c>
      <c r="M7873" s="3">
        <v>925</v>
      </c>
      <c r="N7873" s="3">
        <v>0</v>
      </c>
    </row>
    <row r="7874" spans="1:14" x14ac:dyDescent="0.2">
      <c r="A7874" s="5" t="str">
        <f>HYPERLINK("http://www.ncbi.nlm.nih.gov/protein/164519039","Ttc27")</f>
        <v>Ttc27</v>
      </c>
      <c r="B7874" s="4"/>
      <c r="C7874" s="3">
        <v>0</v>
      </c>
      <c r="D7874" s="3">
        <v>104</v>
      </c>
      <c r="E7874" s="3">
        <v>10</v>
      </c>
      <c r="F7874" s="3">
        <v>295</v>
      </c>
      <c r="G7874" s="3">
        <v>1628</v>
      </c>
      <c r="H7874" s="2">
        <f t="shared" ref="H7874:H7937" si="246">SUM(C7874:G7874)</f>
        <v>2037</v>
      </c>
      <c r="I7874" t="str">
        <f t="shared" ref="I7874:I7937" si="247">A7874&amp;"_"&amp;H7874</f>
        <v>Ttc27_2037</v>
      </c>
      <c r="J7874" s="3">
        <v>0</v>
      </c>
      <c r="K7874" s="3">
        <v>104</v>
      </c>
      <c r="L7874" s="3">
        <v>10</v>
      </c>
      <c r="M7874" s="3">
        <v>295</v>
      </c>
      <c r="N7874" s="3">
        <v>1628</v>
      </c>
    </row>
    <row r="7875" spans="1:14" x14ac:dyDescent="0.2">
      <c r="A7875" s="5" t="str">
        <f>HYPERLINK("http://www.ncbi.nlm.nih.gov/protein/154091024","Ttc3")</f>
        <v>Ttc3</v>
      </c>
      <c r="B7875" s="4"/>
      <c r="C7875" s="3">
        <v>0</v>
      </c>
      <c r="D7875" s="3">
        <v>2</v>
      </c>
      <c r="E7875" s="3">
        <v>1403</v>
      </c>
      <c r="F7875" s="3">
        <v>8</v>
      </c>
      <c r="G7875" s="3">
        <v>0</v>
      </c>
      <c r="H7875" s="2">
        <f t="shared" si="246"/>
        <v>1413</v>
      </c>
      <c r="I7875" t="str">
        <f t="shared" si="247"/>
        <v>Ttc3_1413</v>
      </c>
      <c r="J7875" s="3">
        <v>0</v>
      </c>
      <c r="K7875" s="3">
        <v>2</v>
      </c>
      <c r="L7875" s="3">
        <v>1403</v>
      </c>
      <c r="M7875" s="3">
        <v>8</v>
      </c>
      <c r="N7875" s="3">
        <v>0</v>
      </c>
    </row>
    <row r="7876" spans="1:14" x14ac:dyDescent="0.2">
      <c r="A7876" s="5" t="str">
        <f>HYPERLINK("http://www.ncbi.nlm.nih.gov/protein/125988391","Ttc30a1")</f>
        <v>Ttc30a1</v>
      </c>
      <c r="B7876" s="4"/>
      <c r="C7876" s="3">
        <v>0</v>
      </c>
      <c r="D7876" s="3">
        <v>0</v>
      </c>
      <c r="E7876" s="3">
        <v>0</v>
      </c>
      <c r="F7876" s="3">
        <v>3446</v>
      </c>
      <c r="G7876" s="3">
        <v>0</v>
      </c>
      <c r="H7876" s="2">
        <f t="shared" si="246"/>
        <v>3446</v>
      </c>
      <c r="I7876" t="str">
        <f t="shared" si="247"/>
        <v>Ttc30a1_3446</v>
      </c>
      <c r="J7876" s="3">
        <v>0</v>
      </c>
      <c r="K7876" s="3">
        <v>0</v>
      </c>
      <c r="L7876" s="3">
        <v>0</v>
      </c>
      <c r="M7876" s="3">
        <v>3446</v>
      </c>
      <c r="N7876" s="3">
        <v>0</v>
      </c>
    </row>
    <row r="7877" spans="1:14" x14ac:dyDescent="0.2">
      <c r="A7877" s="5" t="str">
        <f>HYPERLINK("http://www.ncbi.nlm.nih.gov/protein/124487007","Ttc30a2")</f>
        <v>Ttc30a2</v>
      </c>
      <c r="B7877" s="4"/>
      <c r="C7877" s="3">
        <v>0</v>
      </c>
      <c r="D7877" s="3">
        <v>0</v>
      </c>
      <c r="E7877" s="3">
        <v>0</v>
      </c>
      <c r="F7877" s="3">
        <v>3446</v>
      </c>
      <c r="G7877" s="3">
        <v>0</v>
      </c>
      <c r="H7877" s="2">
        <f t="shared" si="246"/>
        <v>3446</v>
      </c>
      <c r="I7877" t="str">
        <f t="shared" si="247"/>
        <v>Ttc30a2_3446</v>
      </c>
      <c r="J7877" s="3">
        <v>0</v>
      </c>
      <c r="K7877" s="3">
        <v>0</v>
      </c>
      <c r="L7877" s="3">
        <v>0</v>
      </c>
      <c r="M7877" s="3">
        <v>3446</v>
      </c>
      <c r="N7877" s="3">
        <v>0</v>
      </c>
    </row>
    <row r="7878" spans="1:14" x14ac:dyDescent="0.2">
      <c r="A7878" s="5" t="str">
        <f>HYPERLINK("http://www.ncbi.nlm.nih.gov/protein/125988383","Ttc30b")</f>
        <v>Ttc30b</v>
      </c>
      <c r="B7878" s="4"/>
      <c r="C7878" s="3">
        <v>0</v>
      </c>
      <c r="D7878" s="3">
        <v>0</v>
      </c>
      <c r="E7878" s="3">
        <v>0</v>
      </c>
      <c r="F7878" s="3">
        <v>3446</v>
      </c>
      <c r="G7878" s="3">
        <v>0</v>
      </c>
      <c r="H7878" s="2">
        <f t="shared" si="246"/>
        <v>3446</v>
      </c>
      <c r="I7878" t="str">
        <f t="shared" si="247"/>
        <v>Ttc30b_3446</v>
      </c>
      <c r="J7878" s="3">
        <v>0</v>
      </c>
      <c r="K7878" s="3">
        <v>0</v>
      </c>
      <c r="L7878" s="3">
        <v>0</v>
      </c>
      <c r="M7878" s="3">
        <v>3446</v>
      </c>
      <c r="N7878" s="3">
        <v>0</v>
      </c>
    </row>
    <row r="7879" spans="1:14" x14ac:dyDescent="0.2">
      <c r="A7879" s="5" t="str">
        <f>HYPERLINK("http://www.ncbi.nlm.nih.gov/protein/58037417","Ttc32")</f>
        <v>Ttc32</v>
      </c>
      <c r="B7879" s="4"/>
      <c r="C7879" s="3">
        <v>0</v>
      </c>
      <c r="D7879" s="3">
        <v>0</v>
      </c>
      <c r="E7879" s="3">
        <v>0</v>
      </c>
      <c r="F7879" s="3">
        <v>0</v>
      </c>
      <c r="G7879" s="3">
        <v>1103</v>
      </c>
      <c r="H7879" s="2">
        <f t="shared" si="246"/>
        <v>1103</v>
      </c>
      <c r="I7879" t="str">
        <f t="shared" si="247"/>
        <v>Ttc32_1103</v>
      </c>
      <c r="J7879" s="3">
        <v>0</v>
      </c>
      <c r="K7879" s="3">
        <v>0</v>
      </c>
      <c r="L7879" s="3">
        <v>0</v>
      </c>
      <c r="M7879" s="3">
        <v>0</v>
      </c>
      <c r="N7879" s="3">
        <v>1103</v>
      </c>
    </row>
    <row r="7880" spans="1:14" x14ac:dyDescent="0.2">
      <c r="A7880" s="5" t="str">
        <f>HYPERLINK("http://www.ncbi.nlm.nih.gov/protein/21312920","Ttc33")</f>
        <v>Ttc33</v>
      </c>
      <c r="B7880" s="4"/>
      <c r="C7880" s="3">
        <v>0</v>
      </c>
      <c r="D7880" s="3">
        <v>17</v>
      </c>
      <c r="E7880" s="3">
        <v>25</v>
      </c>
      <c r="F7880" s="3">
        <v>3823</v>
      </c>
      <c r="G7880" s="3">
        <v>2356</v>
      </c>
      <c r="H7880" s="2">
        <f t="shared" si="246"/>
        <v>6221</v>
      </c>
      <c r="I7880" t="str">
        <f t="shared" si="247"/>
        <v>Ttc33_6221</v>
      </c>
      <c r="J7880" s="3">
        <v>0</v>
      </c>
      <c r="K7880" s="3">
        <v>17</v>
      </c>
      <c r="L7880" s="3">
        <v>25</v>
      </c>
      <c r="M7880" s="3">
        <v>3823</v>
      </c>
      <c r="N7880" s="3">
        <v>2356</v>
      </c>
    </row>
    <row r="7881" spans="1:14" x14ac:dyDescent="0.2">
      <c r="A7881" s="5" t="str">
        <f>HYPERLINK("http://www.ncbi.nlm.nih.gov/protein/225543265","Ttc34")</f>
        <v>Ttc34</v>
      </c>
      <c r="B7881" s="4"/>
      <c r="C7881" s="3">
        <v>5382</v>
      </c>
      <c r="D7881" s="3">
        <v>0</v>
      </c>
      <c r="E7881" s="3">
        <v>157</v>
      </c>
      <c r="F7881" s="3">
        <v>859</v>
      </c>
      <c r="G7881" s="3">
        <v>0</v>
      </c>
      <c r="H7881" s="2">
        <f t="shared" si="246"/>
        <v>6398</v>
      </c>
      <c r="I7881" t="str">
        <f t="shared" si="247"/>
        <v>Ttc34_6398</v>
      </c>
      <c r="J7881" s="3">
        <v>5382</v>
      </c>
      <c r="K7881" s="3">
        <v>0</v>
      </c>
      <c r="L7881" s="3">
        <v>157</v>
      </c>
      <c r="M7881" s="3">
        <v>859</v>
      </c>
      <c r="N7881" s="3">
        <v>0</v>
      </c>
    </row>
    <row r="7882" spans="1:14" x14ac:dyDescent="0.2">
      <c r="A7882" s="5" t="str">
        <f>HYPERLINK("http://www.ncbi.nlm.nih.gov/protein/124486883","Ttc37")</f>
        <v>Ttc37</v>
      </c>
      <c r="B7882" s="4"/>
      <c r="C7882" s="3">
        <v>0</v>
      </c>
      <c r="D7882" s="3">
        <v>0</v>
      </c>
      <c r="E7882" s="3">
        <v>2900</v>
      </c>
      <c r="F7882" s="3">
        <v>2865</v>
      </c>
      <c r="G7882" s="3">
        <v>1360</v>
      </c>
      <c r="H7882" s="2">
        <f t="shared" si="246"/>
        <v>7125</v>
      </c>
      <c r="I7882" t="str">
        <f t="shared" si="247"/>
        <v>Ttc37_7125</v>
      </c>
      <c r="J7882" s="3">
        <v>0</v>
      </c>
      <c r="K7882" s="3">
        <v>0</v>
      </c>
      <c r="L7882" s="3">
        <v>2900</v>
      </c>
      <c r="M7882" s="3">
        <v>2865</v>
      </c>
      <c r="N7882" s="3">
        <v>1360</v>
      </c>
    </row>
    <row r="7883" spans="1:14" x14ac:dyDescent="0.2">
      <c r="A7883" s="5" t="str">
        <f>HYPERLINK("http://www.ncbi.nlm.nih.gov/protein/158517895","Ttc38")</f>
        <v>Ttc38</v>
      </c>
      <c r="B7883" s="4"/>
      <c r="C7883" s="3">
        <v>0</v>
      </c>
      <c r="D7883" s="3">
        <v>1092</v>
      </c>
      <c r="E7883" s="3">
        <v>2985</v>
      </c>
      <c r="F7883" s="3">
        <v>360</v>
      </c>
      <c r="G7883" s="3">
        <v>98924</v>
      </c>
      <c r="H7883" s="2">
        <f t="shared" si="246"/>
        <v>103361</v>
      </c>
      <c r="I7883" t="str">
        <f t="shared" si="247"/>
        <v>Ttc38_103361</v>
      </c>
      <c r="J7883" s="3">
        <v>0</v>
      </c>
      <c r="K7883" s="3">
        <v>1092</v>
      </c>
      <c r="L7883" s="3">
        <v>2985</v>
      </c>
      <c r="M7883" s="3">
        <v>360</v>
      </c>
      <c r="N7883" s="3">
        <v>98924</v>
      </c>
    </row>
    <row r="7884" spans="1:14" x14ac:dyDescent="0.2">
      <c r="A7884" s="5" t="str">
        <f>HYPERLINK("http://www.ncbi.nlm.nih.gov/protein/124358948","Ttc5")</f>
        <v>Ttc5</v>
      </c>
      <c r="B7884" s="4"/>
      <c r="C7884" s="3">
        <v>0</v>
      </c>
      <c r="D7884" s="3">
        <v>0</v>
      </c>
      <c r="E7884" s="3">
        <v>2040</v>
      </c>
      <c r="F7884" s="3">
        <v>0</v>
      </c>
      <c r="G7884" s="3">
        <v>3320</v>
      </c>
      <c r="H7884" s="2">
        <f t="shared" si="246"/>
        <v>5360</v>
      </c>
      <c r="I7884" t="str">
        <f t="shared" si="247"/>
        <v>Ttc5_5360</v>
      </c>
      <c r="J7884" s="3">
        <v>0</v>
      </c>
      <c r="K7884" s="3">
        <v>0</v>
      </c>
      <c r="L7884" s="3">
        <v>2040</v>
      </c>
      <c r="M7884" s="3">
        <v>0</v>
      </c>
      <c r="N7884" s="3">
        <v>3320</v>
      </c>
    </row>
    <row r="7885" spans="1:14" x14ac:dyDescent="0.2">
      <c r="A7885" s="5" t="str">
        <f>HYPERLINK("http://www.ncbi.nlm.nih.gov/protein/29244012","Ttc5")</f>
        <v>Ttc5</v>
      </c>
      <c r="B7885" s="4"/>
      <c r="C7885" s="3">
        <v>0</v>
      </c>
      <c r="D7885" s="3">
        <v>0</v>
      </c>
      <c r="E7885" s="3">
        <v>1081</v>
      </c>
      <c r="F7885" s="3">
        <v>0</v>
      </c>
      <c r="G7885" s="3">
        <v>1017</v>
      </c>
      <c r="H7885" s="2">
        <f t="shared" si="246"/>
        <v>2098</v>
      </c>
      <c r="I7885" t="str">
        <f t="shared" si="247"/>
        <v>Ttc5_2098</v>
      </c>
      <c r="J7885" s="3">
        <v>0</v>
      </c>
      <c r="K7885" s="3">
        <v>0</v>
      </c>
      <c r="L7885" s="3">
        <v>1081</v>
      </c>
      <c r="M7885" s="3">
        <v>0</v>
      </c>
      <c r="N7885" s="3">
        <v>1017</v>
      </c>
    </row>
    <row r="7886" spans="1:14" x14ac:dyDescent="0.2">
      <c r="A7886" s="5" t="str">
        <f>HYPERLINK("http://www.ncbi.nlm.nih.gov/protein/85701652","Ttc9")</f>
        <v>Ttc9</v>
      </c>
      <c r="B7886" s="4"/>
      <c r="C7886" s="3">
        <v>0</v>
      </c>
      <c r="D7886" s="3">
        <v>0</v>
      </c>
      <c r="E7886" s="3">
        <v>0</v>
      </c>
      <c r="F7886" s="3">
        <v>0</v>
      </c>
      <c r="G7886" s="3">
        <v>5398</v>
      </c>
      <c r="H7886" s="2">
        <f t="shared" si="246"/>
        <v>5398</v>
      </c>
      <c r="I7886" t="str">
        <f t="shared" si="247"/>
        <v>Ttc9_5398</v>
      </c>
      <c r="J7886" s="3">
        <v>0</v>
      </c>
      <c r="K7886" s="3">
        <v>0</v>
      </c>
      <c r="L7886" s="3">
        <v>0</v>
      </c>
      <c r="M7886" s="3">
        <v>0</v>
      </c>
      <c r="N7886" s="3">
        <v>5398</v>
      </c>
    </row>
    <row r="7887" spans="1:14" x14ac:dyDescent="0.2">
      <c r="A7887" s="5" t="str">
        <f>HYPERLINK("http://www.ncbi.nlm.nih.gov/protein/110625776","Ttc9c")</f>
        <v>Ttc9c</v>
      </c>
      <c r="B7887" s="4"/>
      <c r="C7887" s="3">
        <v>0</v>
      </c>
      <c r="D7887" s="3">
        <v>0</v>
      </c>
      <c r="E7887" s="3">
        <v>29</v>
      </c>
      <c r="F7887" s="3">
        <v>5288</v>
      </c>
      <c r="G7887" s="3">
        <v>3159</v>
      </c>
      <c r="H7887" s="2">
        <f t="shared" si="246"/>
        <v>8476</v>
      </c>
      <c r="I7887" t="str">
        <f t="shared" si="247"/>
        <v>Ttc9c_8476</v>
      </c>
      <c r="J7887" s="3">
        <v>0</v>
      </c>
      <c r="K7887" s="3">
        <v>0</v>
      </c>
      <c r="L7887" s="3">
        <v>29</v>
      </c>
      <c r="M7887" s="3">
        <v>5288</v>
      </c>
      <c r="N7887" s="3">
        <v>3159</v>
      </c>
    </row>
    <row r="7888" spans="1:14" x14ac:dyDescent="0.2">
      <c r="A7888" s="5" t="str">
        <f>HYPERLINK("http://www.ncbi.nlm.nih.gov/protein/111154070","Ttf1")</f>
        <v>Ttf1</v>
      </c>
      <c r="B7888" s="4"/>
      <c r="C7888" s="3">
        <v>0</v>
      </c>
      <c r="D7888" s="3">
        <v>0</v>
      </c>
      <c r="E7888" s="3">
        <v>26</v>
      </c>
      <c r="F7888" s="3">
        <v>25</v>
      </c>
      <c r="G7888" s="3">
        <v>0</v>
      </c>
      <c r="H7888" s="2">
        <f t="shared" si="246"/>
        <v>51</v>
      </c>
      <c r="I7888" t="str">
        <f t="shared" si="247"/>
        <v>Ttf1_51</v>
      </c>
      <c r="J7888" s="3">
        <v>0</v>
      </c>
      <c r="K7888" s="3">
        <v>0</v>
      </c>
      <c r="L7888" s="3">
        <v>26</v>
      </c>
      <c r="M7888" s="3">
        <v>25</v>
      </c>
      <c r="N7888" s="3">
        <v>0</v>
      </c>
    </row>
    <row r="7889" spans="1:14" x14ac:dyDescent="0.2">
      <c r="A7889" s="5" t="str">
        <f>HYPERLINK("http://www.ncbi.nlm.nih.gov/protein/254692909","Ttf2")</f>
        <v>Ttf2</v>
      </c>
      <c r="B7889" s="4"/>
      <c r="C7889" s="3">
        <v>0</v>
      </c>
      <c r="D7889" s="3">
        <v>0</v>
      </c>
      <c r="E7889" s="3">
        <v>881</v>
      </c>
      <c r="F7889" s="3">
        <v>712</v>
      </c>
      <c r="G7889" s="3">
        <v>0</v>
      </c>
      <c r="H7889" s="2">
        <f t="shared" si="246"/>
        <v>1593</v>
      </c>
      <c r="I7889" t="str">
        <f t="shared" si="247"/>
        <v>Ttf2_1593</v>
      </c>
      <c r="J7889" s="3">
        <v>0</v>
      </c>
      <c r="K7889" s="3">
        <v>0</v>
      </c>
      <c r="L7889" s="3">
        <v>881</v>
      </c>
      <c r="M7889" s="3">
        <v>712</v>
      </c>
      <c r="N7889" s="3">
        <v>0</v>
      </c>
    </row>
    <row r="7890" spans="1:14" x14ac:dyDescent="0.2">
      <c r="A7890" s="5" t="str">
        <f>HYPERLINK("http://www.ncbi.nlm.nih.gov/protein/33859732","Tti1")</f>
        <v>Tti1</v>
      </c>
      <c r="B7890" s="4"/>
      <c r="C7890" s="3">
        <v>0</v>
      </c>
      <c r="D7890" s="3">
        <v>0</v>
      </c>
      <c r="E7890" s="3">
        <v>281</v>
      </c>
      <c r="F7890" s="3">
        <v>3495</v>
      </c>
      <c r="G7890" s="3">
        <v>0</v>
      </c>
      <c r="H7890" s="2">
        <f t="shared" si="246"/>
        <v>3776</v>
      </c>
      <c r="I7890" t="str">
        <f t="shared" si="247"/>
        <v>Tti1_3776</v>
      </c>
      <c r="J7890" s="3">
        <v>0</v>
      </c>
      <c r="K7890" s="3">
        <v>0</v>
      </c>
      <c r="L7890" s="3">
        <v>281</v>
      </c>
      <c r="M7890" s="3">
        <v>3495</v>
      </c>
      <c r="N7890" s="3">
        <v>0</v>
      </c>
    </row>
    <row r="7891" spans="1:14" x14ac:dyDescent="0.2">
      <c r="A7891" s="5" t="str">
        <f>HYPERLINK("http://www.ncbi.nlm.nih.gov/protein/31542190","Tti2")</f>
        <v>Tti2</v>
      </c>
      <c r="B7891" s="4"/>
      <c r="C7891" s="3">
        <v>0</v>
      </c>
      <c r="D7891" s="3">
        <v>0</v>
      </c>
      <c r="E7891" s="3">
        <v>176</v>
      </c>
      <c r="F7891" s="3">
        <v>941</v>
      </c>
      <c r="G7891" s="3">
        <v>878</v>
      </c>
      <c r="H7891" s="2">
        <f t="shared" si="246"/>
        <v>1995</v>
      </c>
      <c r="I7891" t="str">
        <f t="shared" si="247"/>
        <v>Tti2_1995</v>
      </c>
      <c r="J7891" s="3">
        <v>0</v>
      </c>
      <c r="K7891" s="3">
        <v>0</v>
      </c>
      <c r="L7891" s="3">
        <v>176</v>
      </c>
      <c r="M7891" s="3">
        <v>941</v>
      </c>
      <c r="N7891" s="3">
        <v>878</v>
      </c>
    </row>
    <row r="7892" spans="1:14" x14ac:dyDescent="0.2">
      <c r="A7892" s="5" t="str">
        <f>HYPERLINK("http://www.ncbi.nlm.nih.gov/protein/316983174","Tti2")</f>
        <v>Tti2</v>
      </c>
      <c r="B7892" s="4"/>
      <c r="C7892" s="3">
        <v>0</v>
      </c>
      <c r="D7892" s="3">
        <v>0</v>
      </c>
      <c r="E7892" s="3">
        <v>176</v>
      </c>
      <c r="F7892" s="3">
        <v>941</v>
      </c>
      <c r="G7892" s="3">
        <v>878</v>
      </c>
      <c r="H7892" s="2">
        <f t="shared" si="246"/>
        <v>1995</v>
      </c>
      <c r="I7892" t="str">
        <f t="shared" si="247"/>
        <v>Tti2_1995</v>
      </c>
      <c r="J7892" s="3">
        <v>0</v>
      </c>
      <c r="K7892" s="3">
        <v>0</v>
      </c>
      <c r="L7892" s="3">
        <v>176</v>
      </c>
      <c r="M7892" s="3">
        <v>941</v>
      </c>
      <c r="N7892" s="3">
        <v>878</v>
      </c>
    </row>
    <row r="7893" spans="1:14" x14ac:dyDescent="0.2">
      <c r="A7893" s="5" t="str">
        <f>HYPERLINK("http://www.ncbi.nlm.nih.gov/protein/269954711","Ttll12")</f>
        <v>Ttll12</v>
      </c>
      <c r="B7893" s="4"/>
      <c r="C7893" s="3">
        <v>0</v>
      </c>
      <c r="D7893" s="3">
        <v>1253</v>
      </c>
      <c r="E7893" s="3">
        <v>3939</v>
      </c>
      <c r="F7893" s="3">
        <v>810</v>
      </c>
      <c r="G7893" s="3">
        <v>18281</v>
      </c>
      <c r="H7893" s="2">
        <f t="shared" si="246"/>
        <v>24283</v>
      </c>
      <c r="I7893" t="str">
        <f t="shared" si="247"/>
        <v>Ttll12_24283</v>
      </c>
      <c r="J7893" s="3">
        <v>0</v>
      </c>
      <c r="K7893" s="3">
        <v>1253</v>
      </c>
      <c r="L7893" s="3">
        <v>3939</v>
      </c>
      <c r="M7893" s="3">
        <v>810</v>
      </c>
      <c r="N7893" s="3">
        <v>18281</v>
      </c>
    </row>
    <row r="7894" spans="1:14" x14ac:dyDescent="0.2">
      <c r="A7894" s="5" t="str">
        <f>HYPERLINK("http://www.ncbi.nlm.nih.gov/protein/77812697","Ttn")</f>
        <v>Ttn</v>
      </c>
      <c r="B7894" s="4"/>
      <c r="C7894" s="3">
        <v>7927</v>
      </c>
      <c r="D7894" s="3">
        <v>0</v>
      </c>
      <c r="E7894" s="3">
        <v>900</v>
      </c>
      <c r="F7894" s="3">
        <v>5648</v>
      </c>
      <c r="G7894" s="3">
        <v>0</v>
      </c>
      <c r="H7894" s="2">
        <f t="shared" si="246"/>
        <v>14475</v>
      </c>
      <c r="I7894" t="str">
        <f t="shared" si="247"/>
        <v>Ttn_14475</v>
      </c>
      <c r="J7894" s="3">
        <v>7927</v>
      </c>
      <c r="K7894" s="3">
        <v>0</v>
      </c>
      <c r="L7894" s="3">
        <v>900</v>
      </c>
      <c r="M7894" s="3">
        <v>5648</v>
      </c>
      <c r="N7894" s="3">
        <v>0</v>
      </c>
    </row>
    <row r="7895" spans="1:14" x14ac:dyDescent="0.2">
      <c r="A7895" s="5" t="str">
        <f>HYPERLINK("http://www.ncbi.nlm.nih.gov/protein/77812699","Ttn")</f>
        <v>Ttn</v>
      </c>
      <c r="B7895" s="4"/>
      <c r="C7895" s="3">
        <v>7927</v>
      </c>
      <c r="D7895" s="3">
        <v>0</v>
      </c>
      <c r="E7895" s="3">
        <v>900</v>
      </c>
      <c r="F7895" s="3">
        <v>5648</v>
      </c>
      <c r="G7895" s="3">
        <v>0</v>
      </c>
      <c r="H7895" s="2">
        <f t="shared" si="246"/>
        <v>14475</v>
      </c>
      <c r="I7895" t="str">
        <f t="shared" si="247"/>
        <v>Ttn_14475</v>
      </c>
      <c r="J7895" s="3">
        <v>7927</v>
      </c>
      <c r="K7895" s="3">
        <v>0</v>
      </c>
      <c r="L7895" s="3">
        <v>900</v>
      </c>
      <c r="M7895" s="3">
        <v>5648</v>
      </c>
      <c r="N7895" s="3">
        <v>0</v>
      </c>
    </row>
    <row r="7896" spans="1:14" x14ac:dyDescent="0.2">
      <c r="A7896" s="5" t="str">
        <f>HYPERLINK("http://www.ncbi.nlm.nih.gov/protein/254588052","Ttyh3")</f>
        <v>Ttyh3</v>
      </c>
      <c r="B7896" s="4"/>
      <c r="C7896" s="3">
        <v>0</v>
      </c>
      <c r="D7896" s="3">
        <v>2</v>
      </c>
      <c r="E7896" s="3">
        <v>48</v>
      </c>
      <c r="F7896" s="3">
        <v>0</v>
      </c>
      <c r="G7896" s="3">
        <v>0</v>
      </c>
      <c r="H7896" s="2">
        <f t="shared" si="246"/>
        <v>50</v>
      </c>
      <c r="I7896" t="str">
        <f t="shared" si="247"/>
        <v>Ttyh3_50</v>
      </c>
      <c r="J7896" s="3">
        <v>0</v>
      </c>
      <c r="K7896" s="3">
        <v>2</v>
      </c>
      <c r="L7896" s="3">
        <v>48</v>
      </c>
      <c r="M7896" s="3">
        <v>0</v>
      </c>
      <c r="N7896" s="3">
        <v>0</v>
      </c>
    </row>
    <row r="7897" spans="1:14" x14ac:dyDescent="0.2">
      <c r="A7897" s="5" t="str">
        <f>HYPERLINK("http://www.ncbi.nlm.nih.gov/protein/6755901","Tuba1a")</f>
        <v>Tuba1a</v>
      </c>
      <c r="B7897" s="4"/>
      <c r="C7897" s="3">
        <v>558791</v>
      </c>
      <c r="D7897" s="3">
        <v>134131</v>
      </c>
      <c r="E7897" s="3">
        <v>209531</v>
      </c>
      <c r="F7897" s="3">
        <v>1160754</v>
      </c>
      <c r="G7897" s="3">
        <v>1258656</v>
      </c>
      <c r="H7897" s="2">
        <f t="shared" si="246"/>
        <v>3321863</v>
      </c>
      <c r="I7897" t="str">
        <f t="shared" si="247"/>
        <v>Tuba1a_3321863</v>
      </c>
      <c r="J7897" s="3">
        <v>558791</v>
      </c>
      <c r="K7897" s="3">
        <v>134131</v>
      </c>
      <c r="L7897" s="3">
        <v>209531</v>
      </c>
      <c r="M7897" s="3">
        <v>1160754</v>
      </c>
      <c r="N7897" s="3">
        <v>1258656</v>
      </c>
    </row>
    <row r="7898" spans="1:14" x14ac:dyDescent="0.2">
      <c r="A7898" s="5" t="str">
        <f>HYPERLINK("http://www.ncbi.nlm.nih.gov/protein/34740335","Tuba1b")</f>
        <v>Tuba1b</v>
      </c>
      <c r="B7898" s="4"/>
      <c r="C7898" s="3">
        <v>730483</v>
      </c>
      <c r="D7898" s="3">
        <v>138335</v>
      </c>
      <c r="E7898" s="3">
        <v>207215</v>
      </c>
      <c r="F7898" s="3">
        <v>1126137</v>
      </c>
      <c r="G7898" s="3">
        <v>1272128</v>
      </c>
      <c r="H7898" s="2">
        <f t="shared" si="246"/>
        <v>3474298</v>
      </c>
      <c r="I7898" t="str">
        <f t="shared" si="247"/>
        <v>Tuba1b_3474298</v>
      </c>
      <c r="J7898" s="3">
        <v>730483</v>
      </c>
      <c r="K7898" s="3">
        <v>138335</v>
      </c>
      <c r="L7898" s="3">
        <v>207215</v>
      </c>
      <c r="M7898" s="3">
        <v>1126137</v>
      </c>
      <c r="N7898" s="3">
        <v>1272128</v>
      </c>
    </row>
    <row r="7899" spans="1:14" x14ac:dyDescent="0.2">
      <c r="A7899" s="5" t="str">
        <f>HYPERLINK("http://www.ncbi.nlm.nih.gov/protein/6678469","Tuba1c")</f>
        <v>Tuba1c</v>
      </c>
      <c r="B7899" s="4"/>
      <c r="C7899" s="3">
        <v>581509</v>
      </c>
      <c r="D7899" s="3">
        <v>128478</v>
      </c>
      <c r="E7899" s="3">
        <v>209600</v>
      </c>
      <c r="F7899" s="3">
        <v>1169316</v>
      </c>
      <c r="G7899" s="3">
        <v>1461601</v>
      </c>
      <c r="H7899" s="2">
        <f t="shared" si="246"/>
        <v>3550504</v>
      </c>
      <c r="I7899" t="str">
        <f t="shared" si="247"/>
        <v>Tuba1c_3550504</v>
      </c>
      <c r="J7899" s="3">
        <v>581509</v>
      </c>
      <c r="K7899" s="3">
        <v>128478</v>
      </c>
      <c r="L7899" s="3">
        <v>209600</v>
      </c>
      <c r="M7899" s="3">
        <v>1169316</v>
      </c>
      <c r="N7899" s="3">
        <v>1461601</v>
      </c>
    </row>
    <row r="7900" spans="1:14" x14ac:dyDescent="0.2">
      <c r="A7900" s="5" t="str">
        <f>HYPERLINK("http://www.ncbi.nlm.nih.gov/protein/6678465","Tuba3a")</f>
        <v>Tuba3a</v>
      </c>
      <c r="B7900" s="4"/>
      <c r="C7900" s="3">
        <v>456644</v>
      </c>
      <c r="D7900" s="3">
        <v>125476</v>
      </c>
      <c r="E7900" s="3">
        <v>141415</v>
      </c>
      <c r="F7900" s="3">
        <v>796684</v>
      </c>
      <c r="G7900" s="3">
        <v>997879</v>
      </c>
      <c r="H7900" s="2">
        <f t="shared" si="246"/>
        <v>2518098</v>
      </c>
      <c r="I7900" t="str">
        <f t="shared" si="247"/>
        <v>Tuba3a_2518098</v>
      </c>
      <c r="J7900" s="3">
        <v>456644</v>
      </c>
      <c r="K7900" s="3">
        <v>125476</v>
      </c>
      <c r="L7900" s="3">
        <v>141415</v>
      </c>
      <c r="M7900" s="3">
        <v>796684</v>
      </c>
      <c r="N7900" s="3">
        <v>997879</v>
      </c>
    </row>
    <row r="7901" spans="1:14" x14ac:dyDescent="0.2">
      <c r="A7901" s="5" t="str">
        <f>HYPERLINK("http://www.ncbi.nlm.nih.gov/protein/6678467","Tuba4a")</f>
        <v>Tuba4a</v>
      </c>
      <c r="B7901" s="4"/>
      <c r="C7901" s="3">
        <v>549931</v>
      </c>
      <c r="D7901" s="3">
        <v>108513</v>
      </c>
      <c r="E7901" s="3">
        <v>130009</v>
      </c>
      <c r="F7901" s="3">
        <v>644343</v>
      </c>
      <c r="G7901" s="3">
        <v>1078554</v>
      </c>
      <c r="H7901" s="2">
        <f t="shared" si="246"/>
        <v>2511350</v>
      </c>
      <c r="I7901" t="str">
        <f t="shared" si="247"/>
        <v>Tuba4a_2511350</v>
      </c>
      <c r="J7901" s="3">
        <v>549931</v>
      </c>
      <c r="K7901" s="3">
        <v>108513</v>
      </c>
      <c r="L7901" s="3">
        <v>130009</v>
      </c>
      <c r="M7901" s="3">
        <v>644343</v>
      </c>
      <c r="N7901" s="3">
        <v>1078554</v>
      </c>
    </row>
    <row r="7902" spans="1:14" x14ac:dyDescent="0.2">
      <c r="A7902" s="5" t="str">
        <f>HYPERLINK("http://www.ncbi.nlm.nih.gov/protein/8394493","Tuba8")</f>
        <v>Tuba8</v>
      </c>
      <c r="B7902" s="4"/>
      <c r="C7902" s="3">
        <v>354697</v>
      </c>
      <c r="D7902" s="3">
        <v>70596</v>
      </c>
      <c r="E7902" s="3">
        <v>64793</v>
      </c>
      <c r="F7902" s="3">
        <v>532291</v>
      </c>
      <c r="G7902" s="3">
        <v>853783</v>
      </c>
      <c r="H7902" s="2">
        <f t="shared" si="246"/>
        <v>1876160</v>
      </c>
      <c r="I7902" t="str">
        <f t="shared" si="247"/>
        <v>Tuba8_1876160</v>
      </c>
      <c r="J7902" s="3">
        <v>354697</v>
      </c>
      <c r="K7902" s="3">
        <v>70596</v>
      </c>
      <c r="L7902" s="3">
        <v>64793</v>
      </c>
      <c r="M7902" s="3">
        <v>532291</v>
      </c>
      <c r="N7902" s="3">
        <v>853783</v>
      </c>
    </row>
    <row r="7903" spans="1:14" x14ac:dyDescent="0.2">
      <c r="A7903" s="5" t="str">
        <f>HYPERLINK("http://www.ncbi.nlm.nih.gov/protein/224809300","Tubal3")</f>
        <v>Tubal3</v>
      </c>
      <c r="B7903" s="4"/>
      <c r="C7903" s="3">
        <v>3295</v>
      </c>
      <c r="D7903" s="3">
        <v>13043</v>
      </c>
      <c r="E7903" s="3">
        <v>70254</v>
      </c>
      <c r="F7903" s="3">
        <v>82748</v>
      </c>
      <c r="G7903" s="3">
        <v>220241</v>
      </c>
      <c r="H7903" s="2">
        <f t="shared" si="246"/>
        <v>389581</v>
      </c>
      <c r="I7903" t="str">
        <f t="shared" si="247"/>
        <v>Tubal3_389581</v>
      </c>
      <c r="J7903" s="3">
        <v>3295</v>
      </c>
      <c r="K7903" s="3">
        <v>13043</v>
      </c>
      <c r="L7903" s="3">
        <v>70254</v>
      </c>
      <c r="M7903" s="3">
        <v>82748</v>
      </c>
      <c r="N7903" s="3">
        <v>220241</v>
      </c>
    </row>
    <row r="7904" spans="1:14" x14ac:dyDescent="0.2">
      <c r="A7904" s="5" t="str">
        <f>HYPERLINK("http://www.ncbi.nlm.nih.gov/protein/124430500","Tubb1")</f>
        <v>Tubb1</v>
      </c>
      <c r="B7904" s="4"/>
      <c r="C7904" s="3">
        <v>132828</v>
      </c>
      <c r="D7904" s="3">
        <v>35813</v>
      </c>
      <c r="E7904" s="3">
        <v>51323</v>
      </c>
      <c r="F7904" s="3">
        <v>176759</v>
      </c>
      <c r="G7904" s="3">
        <v>191272</v>
      </c>
      <c r="H7904" s="2">
        <f t="shared" si="246"/>
        <v>587995</v>
      </c>
      <c r="I7904" t="str">
        <f t="shared" si="247"/>
        <v>Tubb1_587995</v>
      </c>
      <c r="J7904" s="3">
        <v>132828</v>
      </c>
      <c r="K7904" s="3">
        <v>35813</v>
      </c>
      <c r="L7904" s="3">
        <v>51323</v>
      </c>
      <c r="M7904" s="3">
        <v>176759</v>
      </c>
      <c r="N7904" s="3">
        <v>191272</v>
      </c>
    </row>
    <row r="7905" spans="1:14" x14ac:dyDescent="0.2">
      <c r="A7905" s="5" t="str">
        <f>HYPERLINK("http://www.ncbi.nlm.nih.gov/protein/33859488","Tubb2a")</f>
        <v>Tubb2a</v>
      </c>
      <c r="B7905" s="4"/>
      <c r="C7905" s="3">
        <v>480972</v>
      </c>
      <c r="D7905" s="3">
        <v>107870</v>
      </c>
      <c r="E7905" s="3">
        <v>240887</v>
      </c>
      <c r="F7905" s="3">
        <v>1076402</v>
      </c>
      <c r="G7905" s="3">
        <v>636948</v>
      </c>
      <c r="H7905" s="2">
        <f t="shared" si="246"/>
        <v>2543079</v>
      </c>
      <c r="I7905" t="str">
        <f t="shared" si="247"/>
        <v>Tubb2a_2543079</v>
      </c>
      <c r="J7905" s="3">
        <v>480972</v>
      </c>
      <c r="K7905" s="3">
        <v>107870</v>
      </c>
      <c r="L7905" s="3">
        <v>240887</v>
      </c>
      <c r="M7905" s="3">
        <v>1076402</v>
      </c>
      <c r="N7905" s="3">
        <v>636948</v>
      </c>
    </row>
    <row r="7906" spans="1:14" x14ac:dyDescent="0.2">
      <c r="A7906" s="5" t="str">
        <f>HYPERLINK("http://www.ncbi.nlm.nih.gov/protein/21746161","Tubb2b")</f>
        <v>Tubb2b</v>
      </c>
      <c r="B7906" s="4"/>
      <c r="C7906" s="3">
        <v>480972</v>
      </c>
      <c r="D7906" s="3">
        <v>105248</v>
      </c>
      <c r="E7906" s="3">
        <v>235856</v>
      </c>
      <c r="F7906" s="3">
        <v>1076156</v>
      </c>
      <c r="G7906" s="3">
        <v>623946</v>
      </c>
      <c r="H7906" s="2">
        <f t="shared" si="246"/>
        <v>2522178</v>
      </c>
      <c r="I7906" t="str">
        <f t="shared" si="247"/>
        <v>Tubb2b_2522178</v>
      </c>
      <c r="J7906" s="3">
        <v>480972</v>
      </c>
      <c r="K7906" s="3">
        <v>105248</v>
      </c>
      <c r="L7906" s="3">
        <v>235856</v>
      </c>
      <c r="M7906" s="3">
        <v>1076156</v>
      </c>
      <c r="N7906" s="3">
        <v>623946</v>
      </c>
    </row>
    <row r="7907" spans="1:14" x14ac:dyDescent="0.2">
      <c r="A7907" s="5" t="str">
        <f>HYPERLINK("http://www.ncbi.nlm.nih.gov/protein/12963615","Tubb3")</f>
        <v>Tubb3</v>
      </c>
      <c r="B7907" s="4"/>
      <c r="C7907" s="3">
        <v>399437</v>
      </c>
      <c r="D7907" s="3">
        <v>104737</v>
      </c>
      <c r="E7907" s="3">
        <v>155631</v>
      </c>
      <c r="F7907" s="3">
        <v>632613</v>
      </c>
      <c r="G7907" s="3">
        <v>605901</v>
      </c>
      <c r="H7907" s="2">
        <f t="shared" si="246"/>
        <v>1898319</v>
      </c>
      <c r="I7907" t="str">
        <f t="shared" si="247"/>
        <v>Tubb3_1898319</v>
      </c>
      <c r="J7907" s="3">
        <v>399437</v>
      </c>
      <c r="K7907" s="3">
        <v>104737</v>
      </c>
      <c r="L7907" s="3">
        <v>155631</v>
      </c>
      <c r="M7907" s="3">
        <v>632613</v>
      </c>
      <c r="N7907" s="3">
        <v>605901</v>
      </c>
    </row>
    <row r="7908" spans="1:14" x14ac:dyDescent="0.2">
      <c r="A7908" s="5" t="str">
        <f>HYPERLINK("http://www.ncbi.nlm.nih.gov/protein/31981939","Tubb4a")</f>
        <v>Tubb4a</v>
      </c>
      <c r="B7908" s="4"/>
      <c r="C7908" s="3">
        <v>494244</v>
      </c>
      <c r="D7908" s="3">
        <v>139110</v>
      </c>
      <c r="E7908" s="3">
        <v>184469</v>
      </c>
      <c r="F7908" s="3">
        <v>957965</v>
      </c>
      <c r="G7908" s="3">
        <v>965922</v>
      </c>
      <c r="H7908" s="2">
        <f t="shared" si="246"/>
        <v>2741710</v>
      </c>
      <c r="I7908" t="str">
        <f t="shared" si="247"/>
        <v>Tubb4a_2741710</v>
      </c>
      <c r="J7908" s="3">
        <v>494244</v>
      </c>
      <c r="K7908" s="3">
        <v>139110</v>
      </c>
      <c r="L7908" s="3">
        <v>184469</v>
      </c>
      <c r="M7908" s="3">
        <v>957965</v>
      </c>
      <c r="N7908" s="3">
        <v>965922</v>
      </c>
    </row>
    <row r="7909" spans="1:14" x14ac:dyDescent="0.2">
      <c r="A7909" s="5" t="str">
        <f>HYPERLINK("http://www.ncbi.nlm.nih.gov/protein/22165384","Tubb4b")</f>
        <v>Tubb4b</v>
      </c>
      <c r="B7909" s="4"/>
      <c r="C7909" s="3">
        <v>568438</v>
      </c>
      <c r="D7909" s="3">
        <v>162828</v>
      </c>
      <c r="E7909" s="3">
        <v>282374</v>
      </c>
      <c r="F7909" s="3">
        <v>1245638</v>
      </c>
      <c r="G7909" s="3">
        <v>1077055</v>
      </c>
      <c r="H7909" s="2">
        <f t="shared" si="246"/>
        <v>3336333</v>
      </c>
      <c r="I7909" t="str">
        <f t="shared" si="247"/>
        <v>Tubb4b_3336333</v>
      </c>
      <c r="J7909" s="3">
        <v>568438</v>
      </c>
      <c r="K7909" s="3">
        <v>162828</v>
      </c>
      <c r="L7909" s="3">
        <v>282374</v>
      </c>
      <c r="M7909" s="3">
        <v>1245638</v>
      </c>
      <c r="N7909" s="3">
        <v>1077055</v>
      </c>
    </row>
    <row r="7910" spans="1:14" x14ac:dyDescent="0.2">
      <c r="A7910" s="5" t="str">
        <f>HYPERLINK("http://www.ncbi.nlm.nih.gov/protein/7106439","Tubb5")</f>
        <v>Tubb5</v>
      </c>
      <c r="B7910" s="4"/>
      <c r="C7910" s="3">
        <v>645452</v>
      </c>
      <c r="D7910" s="3">
        <v>157288</v>
      </c>
      <c r="E7910" s="3">
        <v>294588</v>
      </c>
      <c r="F7910" s="3">
        <v>1390146</v>
      </c>
      <c r="G7910" s="3">
        <v>781376</v>
      </c>
      <c r="H7910" s="2">
        <f t="shared" si="246"/>
        <v>3268850</v>
      </c>
      <c r="I7910" t="str">
        <f t="shared" si="247"/>
        <v>Tubb5_3268850</v>
      </c>
      <c r="J7910" s="3">
        <v>645452</v>
      </c>
      <c r="K7910" s="3">
        <v>157288</v>
      </c>
      <c r="L7910" s="3">
        <v>294588</v>
      </c>
      <c r="M7910" s="3">
        <v>1390146</v>
      </c>
      <c r="N7910" s="3">
        <v>781376</v>
      </c>
    </row>
    <row r="7911" spans="1:14" x14ac:dyDescent="0.2">
      <c r="A7911" s="5" t="str">
        <f>HYPERLINK("http://www.ncbi.nlm.nih.gov/protein/27754056","Tubb6")</f>
        <v>Tubb6</v>
      </c>
      <c r="B7911" s="4"/>
      <c r="C7911" s="3">
        <v>290260</v>
      </c>
      <c r="D7911" s="3">
        <v>43412</v>
      </c>
      <c r="E7911" s="3">
        <v>86858</v>
      </c>
      <c r="F7911" s="3">
        <v>464023</v>
      </c>
      <c r="G7911" s="3">
        <v>510169</v>
      </c>
      <c r="H7911" s="2">
        <f t="shared" si="246"/>
        <v>1394722</v>
      </c>
      <c r="I7911" t="str">
        <f t="shared" si="247"/>
        <v>Tubb6_1394722</v>
      </c>
      <c r="J7911" s="3">
        <v>290260</v>
      </c>
      <c r="K7911" s="3">
        <v>43412</v>
      </c>
      <c r="L7911" s="3">
        <v>86858</v>
      </c>
      <c r="M7911" s="3">
        <v>464023</v>
      </c>
      <c r="N7911" s="3">
        <v>510169</v>
      </c>
    </row>
    <row r="7912" spans="1:14" x14ac:dyDescent="0.2">
      <c r="A7912" s="5" t="str">
        <f>HYPERLINK("http://www.ncbi.nlm.nih.gov/protein/19527242","Tubg1")</f>
        <v>Tubg1</v>
      </c>
      <c r="B7912" s="4"/>
      <c r="C7912" s="3">
        <v>0</v>
      </c>
      <c r="D7912" s="3">
        <v>1733</v>
      </c>
      <c r="E7912" s="3">
        <v>3546</v>
      </c>
      <c r="F7912" s="3">
        <v>9790</v>
      </c>
      <c r="G7912" s="3">
        <v>0</v>
      </c>
      <c r="H7912" s="2">
        <f t="shared" si="246"/>
        <v>15069</v>
      </c>
      <c r="I7912" t="str">
        <f t="shared" si="247"/>
        <v>Tubg1_15069</v>
      </c>
      <c r="J7912" s="3">
        <v>0</v>
      </c>
      <c r="K7912" s="3">
        <v>1733</v>
      </c>
      <c r="L7912" s="3">
        <v>3546</v>
      </c>
      <c r="M7912" s="3">
        <v>9790</v>
      </c>
      <c r="N7912" s="3">
        <v>0</v>
      </c>
    </row>
    <row r="7913" spans="1:14" x14ac:dyDescent="0.2">
      <c r="A7913" s="5" t="str">
        <f>HYPERLINK("http://www.ncbi.nlm.nih.gov/protein/19527246","Tubg2")</f>
        <v>Tubg2</v>
      </c>
      <c r="B7913" s="4"/>
      <c r="C7913" s="3">
        <v>0</v>
      </c>
      <c r="D7913" s="3">
        <v>1733</v>
      </c>
      <c r="E7913" s="3">
        <v>3546</v>
      </c>
      <c r="F7913" s="3">
        <v>5001</v>
      </c>
      <c r="G7913" s="3">
        <v>0</v>
      </c>
      <c r="H7913" s="2">
        <f t="shared" si="246"/>
        <v>10280</v>
      </c>
      <c r="I7913" t="str">
        <f t="shared" si="247"/>
        <v>Tubg2_10280</v>
      </c>
      <c r="J7913" s="3">
        <v>0</v>
      </c>
      <c r="K7913" s="3">
        <v>1733</v>
      </c>
      <c r="L7913" s="3">
        <v>3546</v>
      </c>
      <c r="M7913" s="3">
        <v>5001</v>
      </c>
      <c r="N7913" s="3">
        <v>0</v>
      </c>
    </row>
    <row r="7914" spans="1:14" x14ac:dyDescent="0.2">
      <c r="A7914" s="5" t="str">
        <f>HYPERLINK("http://www.ncbi.nlm.nih.gov/protein/228008297","Tubgcp2")</f>
        <v>Tubgcp2</v>
      </c>
      <c r="B7914" s="4"/>
      <c r="C7914" s="3">
        <v>0</v>
      </c>
      <c r="D7914" s="3">
        <v>618</v>
      </c>
      <c r="E7914" s="3">
        <v>8879</v>
      </c>
      <c r="F7914" s="3">
        <v>18499</v>
      </c>
      <c r="G7914" s="3">
        <v>0</v>
      </c>
      <c r="H7914" s="2">
        <f t="shared" si="246"/>
        <v>27996</v>
      </c>
      <c r="I7914" t="str">
        <f t="shared" si="247"/>
        <v>Tubgcp2_27996</v>
      </c>
      <c r="J7914" s="3">
        <v>0</v>
      </c>
      <c r="K7914" s="3">
        <v>618</v>
      </c>
      <c r="L7914" s="3">
        <v>8879</v>
      </c>
      <c r="M7914" s="3">
        <v>18499</v>
      </c>
      <c r="N7914" s="3">
        <v>0</v>
      </c>
    </row>
    <row r="7915" spans="1:14" x14ac:dyDescent="0.2">
      <c r="A7915" s="5" t="str">
        <f>HYPERLINK("http://www.ncbi.nlm.nih.gov/protein/39930567","Tubgcp3")</f>
        <v>Tubgcp3</v>
      </c>
      <c r="B7915" s="4"/>
      <c r="C7915" s="3">
        <v>0</v>
      </c>
      <c r="D7915" s="3">
        <v>635</v>
      </c>
      <c r="E7915" s="3">
        <v>1949</v>
      </c>
      <c r="F7915" s="3">
        <v>13228</v>
      </c>
      <c r="G7915" s="3">
        <v>0</v>
      </c>
      <c r="H7915" s="2">
        <f t="shared" si="246"/>
        <v>15812</v>
      </c>
      <c r="I7915" t="str">
        <f t="shared" si="247"/>
        <v>Tubgcp3_15812</v>
      </c>
      <c r="J7915" s="3">
        <v>0</v>
      </c>
      <c r="K7915" s="3">
        <v>635</v>
      </c>
      <c r="L7915" s="3">
        <v>1949</v>
      </c>
      <c r="M7915" s="3">
        <v>13228</v>
      </c>
      <c r="N7915" s="3">
        <v>0</v>
      </c>
    </row>
    <row r="7916" spans="1:14" x14ac:dyDescent="0.2">
      <c r="A7916" s="5" t="str">
        <f>HYPERLINK("http://www.ncbi.nlm.nih.gov/protein/23943924","Tubgcp4")</f>
        <v>Tubgcp4</v>
      </c>
      <c r="B7916" s="4"/>
      <c r="C7916" s="3">
        <v>0</v>
      </c>
      <c r="D7916" s="3">
        <v>0</v>
      </c>
      <c r="E7916" s="3">
        <v>140</v>
      </c>
      <c r="F7916" s="3">
        <v>958</v>
      </c>
      <c r="G7916" s="3">
        <v>0</v>
      </c>
      <c r="H7916" s="2">
        <f t="shared" si="246"/>
        <v>1098</v>
      </c>
      <c r="I7916" t="str">
        <f t="shared" si="247"/>
        <v>Tubgcp4_1098</v>
      </c>
      <c r="J7916" s="3">
        <v>0</v>
      </c>
      <c r="K7916" s="3">
        <v>0</v>
      </c>
      <c r="L7916" s="3">
        <v>140</v>
      </c>
      <c r="M7916" s="3">
        <v>958</v>
      </c>
      <c r="N7916" s="3">
        <v>0</v>
      </c>
    </row>
    <row r="7917" spans="1:14" x14ac:dyDescent="0.2">
      <c r="A7917" s="5" t="str">
        <f>HYPERLINK("http://www.ncbi.nlm.nih.gov/protein/46560557","Tubgcp5")</f>
        <v>Tubgcp5</v>
      </c>
      <c r="B7917" s="4"/>
      <c r="C7917" s="3">
        <v>0</v>
      </c>
      <c r="D7917" s="3">
        <v>0</v>
      </c>
      <c r="E7917" s="3">
        <v>167</v>
      </c>
      <c r="F7917" s="3">
        <v>25</v>
      </c>
      <c r="G7917" s="3">
        <v>0</v>
      </c>
      <c r="H7917" s="2">
        <f t="shared" si="246"/>
        <v>192</v>
      </c>
      <c r="I7917" t="str">
        <f t="shared" si="247"/>
        <v>Tubgcp5_192</v>
      </c>
      <c r="J7917" s="3">
        <v>0</v>
      </c>
      <c r="K7917" s="3">
        <v>0</v>
      </c>
      <c r="L7917" s="3">
        <v>167</v>
      </c>
      <c r="M7917" s="3">
        <v>25</v>
      </c>
      <c r="N7917" s="3">
        <v>0</v>
      </c>
    </row>
    <row r="7918" spans="1:14" x14ac:dyDescent="0.2">
      <c r="A7918" s="5" t="str">
        <f>HYPERLINK("http://www.ncbi.nlm.nih.gov/protein/254039634","Tubgcp6")</f>
        <v>Tubgcp6</v>
      </c>
      <c r="B7918" s="4"/>
      <c r="C7918" s="3">
        <v>0</v>
      </c>
      <c r="D7918" s="3">
        <v>0</v>
      </c>
      <c r="E7918" s="3">
        <v>184</v>
      </c>
      <c r="F7918" s="3">
        <v>909</v>
      </c>
      <c r="G7918" s="3">
        <v>0</v>
      </c>
      <c r="H7918" s="2">
        <f t="shared" si="246"/>
        <v>1093</v>
      </c>
      <c r="I7918" t="str">
        <f t="shared" si="247"/>
        <v>Tubgcp6_1093</v>
      </c>
      <c r="J7918" s="3">
        <v>0</v>
      </c>
      <c r="K7918" s="3">
        <v>0</v>
      </c>
      <c r="L7918" s="3">
        <v>184</v>
      </c>
      <c r="M7918" s="3">
        <v>909</v>
      </c>
      <c r="N7918" s="3">
        <v>0</v>
      </c>
    </row>
    <row r="7919" spans="1:14" x14ac:dyDescent="0.2">
      <c r="A7919" s="5" t="str">
        <f>HYPERLINK("http://www.ncbi.nlm.nih.gov/protein/254911131","Tufm")</f>
        <v>Tufm</v>
      </c>
      <c r="B7919" s="4"/>
      <c r="C7919" s="3">
        <v>214309</v>
      </c>
      <c r="D7919" s="3">
        <v>29770</v>
      </c>
      <c r="E7919" s="3">
        <v>938</v>
      </c>
      <c r="F7919" s="3">
        <v>0</v>
      </c>
      <c r="G7919" s="3">
        <v>7925</v>
      </c>
      <c r="H7919" s="2">
        <f t="shared" si="246"/>
        <v>252942</v>
      </c>
      <c r="I7919" t="str">
        <f t="shared" si="247"/>
        <v>Tufm_252942</v>
      </c>
      <c r="J7919" s="3">
        <v>214309</v>
      </c>
      <c r="K7919" s="3">
        <v>29770</v>
      </c>
      <c r="L7919" s="3">
        <v>938</v>
      </c>
      <c r="M7919" s="3">
        <v>0</v>
      </c>
      <c r="N7919" s="3">
        <v>7925</v>
      </c>
    </row>
    <row r="7920" spans="1:14" x14ac:dyDescent="0.2">
      <c r="A7920" s="5" t="str">
        <f>HYPERLINK("http://www.ncbi.nlm.nih.gov/protein/27370092","Tufm")</f>
        <v>Tufm</v>
      </c>
      <c r="B7920" s="4"/>
      <c r="C7920" s="3">
        <v>225969</v>
      </c>
      <c r="D7920" s="3">
        <v>36408</v>
      </c>
      <c r="E7920" s="3">
        <v>6109</v>
      </c>
      <c r="F7920" s="3">
        <v>2881</v>
      </c>
      <c r="G7920" s="3">
        <v>8461</v>
      </c>
      <c r="H7920" s="2">
        <f t="shared" si="246"/>
        <v>279828</v>
      </c>
      <c r="I7920" t="str">
        <f t="shared" si="247"/>
        <v>Tufm_279828</v>
      </c>
      <c r="J7920" s="3">
        <v>225969</v>
      </c>
      <c r="K7920" s="3">
        <v>36408</v>
      </c>
      <c r="L7920" s="3">
        <v>6109</v>
      </c>
      <c r="M7920" s="3">
        <v>2881</v>
      </c>
      <c r="N7920" s="3">
        <v>8461</v>
      </c>
    </row>
    <row r="7921" spans="1:14" x14ac:dyDescent="0.2">
      <c r="A7921" s="5" t="str">
        <f>HYPERLINK("http://www.ncbi.nlm.nih.gov/protein/124248487","Tusc3")</f>
        <v>Tusc3</v>
      </c>
      <c r="B7921" s="4"/>
      <c r="C7921" s="3">
        <v>0</v>
      </c>
      <c r="D7921" s="3">
        <v>4281</v>
      </c>
      <c r="E7921" s="3">
        <v>1317</v>
      </c>
      <c r="F7921" s="3">
        <v>0</v>
      </c>
      <c r="G7921" s="3">
        <v>0</v>
      </c>
      <c r="H7921" s="2">
        <f t="shared" si="246"/>
        <v>5598</v>
      </c>
      <c r="I7921" t="str">
        <f t="shared" si="247"/>
        <v>Tusc3_5598</v>
      </c>
      <c r="J7921" s="3">
        <v>0</v>
      </c>
      <c r="K7921" s="3">
        <v>4281</v>
      </c>
      <c r="L7921" s="3">
        <v>1317</v>
      </c>
      <c r="M7921" s="3">
        <v>0</v>
      </c>
      <c r="N7921" s="3">
        <v>0</v>
      </c>
    </row>
    <row r="7922" spans="1:14" x14ac:dyDescent="0.2">
      <c r="A7922" s="5" t="str">
        <f>HYPERLINK("http://www.ncbi.nlm.nih.gov/protein/37574078","Tut1")</f>
        <v>Tut1</v>
      </c>
      <c r="B7922" s="4"/>
      <c r="C7922" s="3">
        <v>0</v>
      </c>
      <c r="D7922" s="3">
        <v>0</v>
      </c>
      <c r="E7922" s="3">
        <v>0</v>
      </c>
      <c r="F7922" s="3">
        <v>0</v>
      </c>
      <c r="G7922" s="3">
        <v>910</v>
      </c>
      <c r="H7922" s="2">
        <f t="shared" si="246"/>
        <v>910</v>
      </c>
      <c r="I7922" t="str">
        <f t="shared" si="247"/>
        <v>Tut1_910</v>
      </c>
      <c r="J7922" s="3">
        <v>0</v>
      </c>
      <c r="K7922" s="3">
        <v>0</v>
      </c>
      <c r="L7922" s="3">
        <v>0</v>
      </c>
      <c r="M7922" s="3">
        <v>0</v>
      </c>
      <c r="N7922" s="3">
        <v>910</v>
      </c>
    </row>
    <row r="7923" spans="1:14" x14ac:dyDescent="0.2">
      <c r="A7923" s="5" t="str">
        <f>HYPERLINK("http://www.ncbi.nlm.nih.gov/protein/21312930","Tvp23b")</f>
        <v>Tvp23b</v>
      </c>
      <c r="B7923" s="4"/>
      <c r="C7923" s="3">
        <v>0</v>
      </c>
      <c r="D7923" s="3">
        <v>0</v>
      </c>
      <c r="E7923" s="3">
        <v>47</v>
      </c>
      <c r="F7923" s="3">
        <v>0</v>
      </c>
      <c r="G7923" s="3">
        <v>0</v>
      </c>
      <c r="H7923" s="2">
        <f t="shared" si="246"/>
        <v>47</v>
      </c>
      <c r="I7923" t="str">
        <f t="shared" si="247"/>
        <v>Tvp23b_47</v>
      </c>
      <c r="J7923" s="3">
        <v>0</v>
      </c>
      <c r="K7923" s="3">
        <v>0</v>
      </c>
      <c r="L7923" s="3">
        <v>47</v>
      </c>
      <c r="M7923" s="3">
        <v>0</v>
      </c>
      <c r="N7923" s="3">
        <v>0</v>
      </c>
    </row>
    <row r="7924" spans="1:14" x14ac:dyDescent="0.2">
      <c r="A7924" s="5" t="str">
        <f>HYPERLINK("http://www.ncbi.nlm.nih.gov/protein/62990169","Twf1")</f>
        <v>Twf1</v>
      </c>
      <c r="B7924" s="4"/>
      <c r="C7924" s="3">
        <v>3680</v>
      </c>
      <c r="D7924" s="3">
        <v>923</v>
      </c>
      <c r="E7924" s="3">
        <v>1845</v>
      </c>
      <c r="F7924" s="3">
        <v>105160</v>
      </c>
      <c r="G7924" s="3">
        <v>66988</v>
      </c>
      <c r="H7924" s="2">
        <f t="shared" si="246"/>
        <v>178596</v>
      </c>
      <c r="I7924" t="str">
        <f t="shared" si="247"/>
        <v>Twf1_178596</v>
      </c>
      <c r="J7924" s="3">
        <v>3680</v>
      </c>
      <c r="K7924" s="3">
        <v>923</v>
      </c>
      <c r="L7924" s="3">
        <v>1845</v>
      </c>
      <c r="M7924" s="3">
        <v>105160</v>
      </c>
      <c r="N7924" s="3">
        <v>66988</v>
      </c>
    </row>
    <row r="7925" spans="1:14" x14ac:dyDescent="0.2">
      <c r="A7925" s="5" t="str">
        <f>HYPERLINK("http://www.ncbi.nlm.nih.gov/protein/6755224","Twf2")</f>
        <v>Twf2</v>
      </c>
      <c r="B7925" s="4"/>
      <c r="C7925" s="3">
        <v>0</v>
      </c>
      <c r="D7925" s="3">
        <v>0</v>
      </c>
      <c r="E7925" s="3">
        <v>0</v>
      </c>
      <c r="F7925" s="3">
        <v>19130</v>
      </c>
      <c r="G7925" s="3">
        <v>17617</v>
      </c>
      <c r="H7925" s="2">
        <f t="shared" si="246"/>
        <v>36747</v>
      </c>
      <c r="I7925" t="str">
        <f t="shared" si="247"/>
        <v>Twf2_36747</v>
      </c>
      <c r="J7925" s="3">
        <v>0</v>
      </c>
      <c r="K7925" s="3">
        <v>0</v>
      </c>
      <c r="L7925" s="3">
        <v>0</v>
      </c>
      <c r="M7925" s="3">
        <v>19130</v>
      </c>
      <c r="N7925" s="3">
        <v>17617</v>
      </c>
    </row>
    <row r="7926" spans="1:14" x14ac:dyDescent="0.2">
      <c r="A7926" s="5" t="str">
        <f>HYPERLINK("http://www.ncbi.nlm.nih.gov/protein/91598586","Txlna")</f>
        <v>Txlna</v>
      </c>
      <c r="B7926" s="4"/>
      <c r="C7926" s="3">
        <v>0</v>
      </c>
      <c r="D7926" s="3">
        <v>829</v>
      </c>
      <c r="E7926" s="3">
        <v>20950</v>
      </c>
      <c r="F7926" s="3">
        <v>5967</v>
      </c>
      <c r="G7926" s="3">
        <v>407</v>
      </c>
      <c r="H7926" s="2">
        <f t="shared" si="246"/>
        <v>28153</v>
      </c>
      <c r="I7926" t="str">
        <f t="shared" si="247"/>
        <v>Txlna_28153</v>
      </c>
      <c r="J7926" s="3">
        <v>0</v>
      </c>
      <c r="K7926" s="3">
        <v>829</v>
      </c>
      <c r="L7926" s="3">
        <v>20950</v>
      </c>
      <c r="M7926" s="3">
        <v>5967</v>
      </c>
      <c r="N7926" s="3">
        <v>407</v>
      </c>
    </row>
    <row r="7927" spans="1:14" x14ac:dyDescent="0.2">
      <c r="A7927" s="5" t="str">
        <f>HYPERLINK("http://www.ncbi.nlm.nih.gov/protein/30725808","Txlng")</f>
        <v>Txlng</v>
      </c>
      <c r="B7927" s="4"/>
      <c r="C7927" s="3">
        <v>0</v>
      </c>
      <c r="D7927" s="3">
        <v>0</v>
      </c>
      <c r="E7927" s="3">
        <v>4</v>
      </c>
      <c r="F7927" s="3">
        <v>0</v>
      </c>
      <c r="G7927" s="3">
        <v>0</v>
      </c>
      <c r="H7927" s="2">
        <f t="shared" si="246"/>
        <v>4</v>
      </c>
      <c r="I7927" t="str">
        <f t="shared" si="247"/>
        <v>Txlng_4</v>
      </c>
      <c r="J7927" s="3">
        <v>0</v>
      </c>
      <c r="K7927" s="3">
        <v>0</v>
      </c>
      <c r="L7927" s="3">
        <v>4</v>
      </c>
      <c r="M7927" s="3">
        <v>0</v>
      </c>
      <c r="N7927" s="3">
        <v>0</v>
      </c>
    </row>
    <row r="7928" spans="1:14" x14ac:dyDescent="0.2">
      <c r="A7928" s="5" t="str">
        <f>HYPERLINK("http://www.ncbi.nlm.nih.gov/protein/6755911","Txn1")</f>
        <v>Txn1</v>
      </c>
      <c r="B7928" s="4"/>
      <c r="C7928" s="3">
        <v>57920</v>
      </c>
      <c r="D7928" s="3">
        <v>5701</v>
      </c>
      <c r="E7928" s="3">
        <v>11268</v>
      </c>
      <c r="F7928" s="3">
        <v>15045</v>
      </c>
      <c r="G7928" s="3">
        <v>78137</v>
      </c>
      <c r="H7928" s="2">
        <f t="shared" si="246"/>
        <v>168071</v>
      </c>
      <c r="I7928" t="str">
        <f t="shared" si="247"/>
        <v>Txn1_168071</v>
      </c>
      <c r="J7928" s="3">
        <v>57920</v>
      </c>
      <c r="K7928" s="3">
        <v>5701</v>
      </c>
      <c r="L7928" s="3">
        <v>11268</v>
      </c>
      <c r="M7928" s="3">
        <v>15045</v>
      </c>
      <c r="N7928" s="3">
        <v>78137</v>
      </c>
    </row>
    <row r="7929" spans="1:14" x14ac:dyDescent="0.2">
      <c r="A7929" s="5" t="str">
        <f>HYPERLINK("http://www.ncbi.nlm.nih.gov/protein/13384700","Txndc12")</f>
        <v>Txndc12</v>
      </c>
      <c r="B7929" s="4"/>
      <c r="C7929" s="3">
        <v>3112</v>
      </c>
      <c r="D7929" s="3">
        <v>3367</v>
      </c>
      <c r="E7929" s="3">
        <v>1433</v>
      </c>
      <c r="F7929" s="3">
        <v>0</v>
      </c>
      <c r="G7929" s="3">
        <v>5922</v>
      </c>
      <c r="H7929" s="2">
        <f t="shared" si="246"/>
        <v>13834</v>
      </c>
      <c r="I7929" t="str">
        <f t="shared" si="247"/>
        <v>Txndc12_13834</v>
      </c>
      <c r="J7929" s="3">
        <v>3112</v>
      </c>
      <c r="K7929" s="3">
        <v>3367</v>
      </c>
      <c r="L7929" s="3">
        <v>1433</v>
      </c>
      <c r="M7929" s="3">
        <v>0</v>
      </c>
      <c r="N7929" s="3">
        <v>5922</v>
      </c>
    </row>
    <row r="7930" spans="1:14" x14ac:dyDescent="0.2">
      <c r="A7930" s="5" t="str">
        <f>HYPERLINK("http://www.ncbi.nlm.nih.gov/protein/52693935","Txndc15")</f>
        <v>Txndc15</v>
      </c>
      <c r="B7930" s="4"/>
      <c r="C7930" s="3">
        <v>0</v>
      </c>
      <c r="D7930" s="3">
        <v>10</v>
      </c>
      <c r="E7930" s="3">
        <v>25</v>
      </c>
      <c r="F7930" s="3">
        <v>0</v>
      </c>
      <c r="G7930" s="3">
        <v>0</v>
      </c>
      <c r="H7930" s="2">
        <f t="shared" si="246"/>
        <v>35</v>
      </c>
      <c r="I7930" t="str">
        <f t="shared" si="247"/>
        <v>Txndc15_35</v>
      </c>
      <c r="J7930" s="3">
        <v>0</v>
      </c>
      <c r="K7930" s="3">
        <v>10</v>
      </c>
      <c r="L7930" s="3">
        <v>25</v>
      </c>
      <c r="M7930" s="3">
        <v>0</v>
      </c>
      <c r="N7930" s="3">
        <v>0</v>
      </c>
    </row>
    <row r="7931" spans="1:14" x14ac:dyDescent="0.2">
      <c r="A7931" s="5" t="str">
        <f>HYPERLINK("http://www.ncbi.nlm.nih.gov/protein/13386060","Txndc17")</f>
        <v>Txndc17</v>
      </c>
      <c r="B7931" s="4"/>
      <c r="C7931" s="3">
        <v>311</v>
      </c>
      <c r="D7931" s="3">
        <v>382</v>
      </c>
      <c r="E7931" s="3">
        <v>1891</v>
      </c>
      <c r="F7931" s="3">
        <v>0</v>
      </c>
      <c r="G7931" s="3">
        <v>34527</v>
      </c>
      <c r="H7931" s="2">
        <f t="shared" si="246"/>
        <v>37111</v>
      </c>
      <c r="I7931" t="str">
        <f t="shared" si="247"/>
        <v>Txndc17_37111</v>
      </c>
      <c r="J7931" s="3">
        <v>311</v>
      </c>
      <c r="K7931" s="3">
        <v>382</v>
      </c>
      <c r="L7931" s="3">
        <v>1891</v>
      </c>
      <c r="M7931" s="3">
        <v>0</v>
      </c>
      <c r="N7931" s="3">
        <v>34527</v>
      </c>
    </row>
    <row r="7932" spans="1:14" x14ac:dyDescent="0.2">
      <c r="A7932" s="5" t="str">
        <f>HYPERLINK("http://www.ncbi.nlm.nih.gov/protein/83921612","Txndc5")</f>
        <v>Txndc5</v>
      </c>
      <c r="B7932" s="4"/>
      <c r="C7932" s="3">
        <v>16951</v>
      </c>
      <c r="D7932" s="3">
        <v>10160</v>
      </c>
      <c r="E7932" s="3">
        <v>3197</v>
      </c>
      <c r="F7932" s="3">
        <v>0</v>
      </c>
      <c r="G7932" s="3">
        <v>14747</v>
      </c>
      <c r="H7932" s="2">
        <f t="shared" si="246"/>
        <v>45055</v>
      </c>
      <c r="I7932" t="str">
        <f t="shared" si="247"/>
        <v>Txndc5_45055</v>
      </c>
      <c r="J7932" s="3">
        <v>16951</v>
      </c>
      <c r="K7932" s="3">
        <v>10160</v>
      </c>
      <c r="L7932" s="3">
        <v>3197</v>
      </c>
      <c r="M7932" s="3">
        <v>0</v>
      </c>
      <c r="N7932" s="3">
        <v>14747</v>
      </c>
    </row>
    <row r="7933" spans="1:14" x14ac:dyDescent="0.2">
      <c r="A7933" s="5" t="str">
        <f>HYPERLINK("http://www.ncbi.nlm.nih.gov/protein/25286717","Txndc9")</f>
        <v>Txndc9</v>
      </c>
      <c r="B7933" s="4"/>
      <c r="C7933" s="3">
        <v>0</v>
      </c>
      <c r="D7933" s="3">
        <v>69</v>
      </c>
      <c r="E7933" s="3">
        <v>0</v>
      </c>
      <c r="F7933" s="3">
        <v>29926</v>
      </c>
      <c r="G7933" s="3">
        <v>0</v>
      </c>
      <c r="H7933" s="2">
        <f t="shared" si="246"/>
        <v>29995</v>
      </c>
      <c r="I7933" t="str">
        <f t="shared" si="247"/>
        <v>Txndc9_29995</v>
      </c>
      <c r="J7933" s="3">
        <v>0</v>
      </c>
      <c r="K7933" s="3">
        <v>69</v>
      </c>
      <c r="L7933" s="3">
        <v>0</v>
      </c>
      <c r="M7933" s="3">
        <v>29926</v>
      </c>
      <c r="N7933" s="3">
        <v>0</v>
      </c>
    </row>
    <row r="7934" spans="1:14" x14ac:dyDescent="0.2">
      <c r="A7934" s="5" t="str">
        <f>HYPERLINK("http://www.ncbi.nlm.nih.gov/protein/254553444","Txnip")</f>
        <v>Txnip</v>
      </c>
      <c r="B7934" s="4"/>
      <c r="C7934" s="3">
        <v>0</v>
      </c>
      <c r="D7934" s="3">
        <v>257</v>
      </c>
      <c r="E7934" s="3">
        <v>350</v>
      </c>
      <c r="F7934" s="3">
        <v>0</v>
      </c>
      <c r="G7934" s="3">
        <v>0</v>
      </c>
      <c r="H7934" s="2">
        <f t="shared" si="246"/>
        <v>607</v>
      </c>
      <c r="I7934" t="str">
        <f t="shared" si="247"/>
        <v>Txnip_607</v>
      </c>
      <c r="J7934" s="3">
        <v>0</v>
      </c>
      <c r="K7934" s="3">
        <v>257</v>
      </c>
      <c r="L7934" s="3">
        <v>350</v>
      </c>
      <c r="M7934" s="3">
        <v>0</v>
      </c>
      <c r="N7934" s="3">
        <v>0</v>
      </c>
    </row>
    <row r="7935" spans="1:14" x14ac:dyDescent="0.2">
      <c r="A7935" s="5" t="str">
        <f>HYPERLINK("http://www.ncbi.nlm.nih.gov/protein/60687518","Txnip")</f>
        <v>Txnip</v>
      </c>
      <c r="B7935" s="4"/>
      <c r="C7935" s="3">
        <v>0</v>
      </c>
      <c r="D7935" s="3">
        <v>257</v>
      </c>
      <c r="E7935" s="3">
        <v>350</v>
      </c>
      <c r="F7935" s="3">
        <v>0</v>
      </c>
      <c r="G7935" s="3">
        <v>0</v>
      </c>
      <c r="H7935" s="2">
        <f t="shared" si="246"/>
        <v>607</v>
      </c>
      <c r="I7935" t="str">
        <f t="shared" si="247"/>
        <v>Txnip_607</v>
      </c>
      <c r="J7935" s="3">
        <v>0</v>
      </c>
      <c r="K7935" s="3">
        <v>257</v>
      </c>
      <c r="L7935" s="3">
        <v>350</v>
      </c>
      <c r="M7935" s="3">
        <v>0</v>
      </c>
      <c r="N7935" s="3">
        <v>0</v>
      </c>
    </row>
    <row r="7936" spans="1:14" x14ac:dyDescent="0.2">
      <c r="A7936" s="5" t="str">
        <f>HYPERLINK("http://www.ncbi.nlm.nih.gov/protein/31543902","Txnl1")</f>
        <v>Txnl1</v>
      </c>
      <c r="B7936" s="4"/>
      <c r="C7936" s="3">
        <v>0</v>
      </c>
      <c r="D7936" s="3">
        <v>9818</v>
      </c>
      <c r="E7936" s="3">
        <v>5240</v>
      </c>
      <c r="F7936" s="3">
        <v>141512</v>
      </c>
      <c r="G7936" s="3">
        <v>41971</v>
      </c>
      <c r="H7936" s="2">
        <f t="shared" si="246"/>
        <v>198541</v>
      </c>
      <c r="I7936" t="str">
        <f t="shared" si="247"/>
        <v>Txnl1_198541</v>
      </c>
      <c r="J7936" s="3">
        <v>0</v>
      </c>
      <c r="K7936" s="3">
        <v>9818</v>
      </c>
      <c r="L7936" s="3">
        <v>5240</v>
      </c>
      <c r="M7936" s="3">
        <v>141512</v>
      </c>
      <c r="N7936" s="3">
        <v>41971</v>
      </c>
    </row>
    <row r="7937" spans="1:14" x14ac:dyDescent="0.2">
      <c r="A7937" s="5" t="str">
        <f>HYPERLINK("http://www.ncbi.nlm.nih.gov/protein/109255210","Txnl4a")</f>
        <v>Txnl4a</v>
      </c>
      <c r="B7937" s="4"/>
      <c r="C7937" s="3">
        <v>256</v>
      </c>
      <c r="D7937" s="3">
        <v>317</v>
      </c>
      <c r="E7937" s="3">
        <v>439</v>
      </c>
      <c r="F7937" s="3">
        <v>2153</v>
      </c>
      <c r="G7937" s="3">
        <v>54</v>
      </c>
      <c r="H7937" s="2">
        <f t="shared" si="246"/>
        <v>3219</v>
      </c>
      <c r="I7937" t="str">
        <f t="shared" si="247"/>
        <v>Txnl4a_3219</v>
      </c>
      <c r="J7937" s="3">
        <v>256</v>
      </c>
      <c r="K7937" s="3">
        <v>317</v>
      </c>
      <c r="L7937" s="3">
        <v>439</v>
      </c>
      <c r="M7937" s="3">
        <v>2153</v>
      </c>
      <c r="N7937" s="3">
        <v>54</v>
      </c>
    </row>
    <row r="7938" spans="1:14" x14ac:dyDescent="0.2">
      <c r="A7938" s="5" t="str">
        <f>HYPERLINK("http://www.ncbi.nlm.nih.gov/protein/13384656","Txnl4a")</f>
        <v>Txnl4a</v>
      </c>
      <c r="B7938" s="4"/>
      <c r="C7938" s="3">
        <v>256</v>
      </c>
      <c r="D7938" s="3">
        <v>317</v>
      </c>
      <c r="E7938" s="3">
        <v>439</v>
      </c>
      <c r="F7938" s="3">
        <v>2521</v>
      </c>
      <c r="G7938" s="3">
        <v>54</v>
      </c>
      <c r="H7938" s="2">
        <f t="shared" ref="H7938:H8001" si="248">SUM(C7938:G7938)</f>
        <v>3587</v>
      </c>
      <c r="I7938" t="str">
        <f t="shared" ref="I7938:I8001" si="249">A7938&amp;"_"&amp;H7938</f>
        <v>Txnl4a_3587</v>
      </c>
      <c r="J7938" s="3">
        <v>256</v>
      </c>
      <c r="K7938" s="3">
        <v>317</v>
      </c>
      <c r="L7938" s="3">
        <v>439</v>
      </c>
      <c r="M7938" s="3">
        <v>2521</v>
      </c>
      <c r="N7938" s="3">
        <v>54</v>
      </c>
    </row>
    <row r="7939" spans="1:14" x14ac:dyDescent="0.2">
      <c r="A7939" s="5" t="str">
        <f>HYPERLINK("http://www.ncbi.nlm.nih.gov/protein/160333183","Txnl4b")</f>
        <v>Txnl4b</v>
      </c>
      <c r="B7939" s="4"/>
      <c r="C7939" s="3">
        <v>0</v>
      </c>
      <c r="D7939" s="3">
        <v>0</v>
      </c>
      <c r="E7939" s="3">
        <v>119</v>
      </c>
      <c r="F7939" s="3">
        <v>0</v>
      </c>
      <c r="G7939" s="3">
        <v>600</v>
      </c>
      <c r="H7939" s="2">
        <f t="shared" si="248"/>
        <v>719</v>
      </c>
      <c r="I7939" t="str">
        <f t="shared" si="249"/>
        <v>Txnl4b_719</v>
      </c>
      <c r="J7939" s="3">
        <v>0</v>
      </c>
      <c r="K7939" s="3">
        <v>0</v>
      </c>
      <c r="L7939" s="3">
        <v>119</v>
      </c>
      <c r="M7939" s="3">
        <v>0</v>
      </c>
      <c r="N7939" s="3">
        <v>600</v>
      </c>
    </row>
    <row r="7940" spans="1:14" x14ac:dyDescent="0.2">
      <c r="A7940" s="5" t="str">
        <f>HYPERLINK("http://www.ncbi.nlm.nih.gov/protein/110224447","Txnrd1")</f>
        <v>Txnrd1</v>
      </c>
      <c r="B7940" s="4"/>
      <c r="C7940" s="3">
        <v>25592</v>
      </c>
      <c r="D7940" s="3">
        <v>13790</v>
      </c>
      <c r="E7940" s="3">
        <v>25171</v>
      </c>
      <c r="F7940" s="3">
        <v>36164</v>
      </c>
      <c r="G7940" s="3">
        <v>165130</v>
      </c>
      <c r="H7940" s="2">
        <f t="shared" si="248"/>
        <v>265847</v>
      </c>
      <c r="I7940" t="str">
        <f t="shared" si="249"/>
        <v>Txnrd1_265847</v>
      </c>
      <c r="J7940" s="3">
        <v>25592</v>
      </c>
      <c r="K7940" s="3">
        <v>13790</v>
      </c>
      <c r="L7940" s="3">
        <v>25171</v>
      </c>
      <c r="M7940" s="3">
        <v>36164</v>
      </c>
      <c r="N7940" s="3">
        <v>165130</v>
      </c>
    </row>
    <row r="7941" spans="1:14" x14ac:dyDescent="0.2">
      <c r="A7941" s="5" t="str">
        <f>HYPERLINK("http://www.ncbi.nlm.nih.gov/protein/13569841","Txnrd1")</f>
        <v>Txnrd1</v>
      </c>
      <c r="B7941" s="4"/>
      <c r="C7941" s="3">
        <v>25592</v>
      </c>
      <c r="D7941" s="3">
        <v>13790</v>
      </c>
      <c r="E7941" s="3">
        <v>25171</v>
      </c>
      <c r="F7941" s="3">
        <v>36164</v>
      </c>
      <c r="G7941" s="3">
        <v>165130</v>
      </c>
      <c r="H7941" s="2">
        <f t="shared" si="248"/>
        <v>265847</v>
      </c>
      <c r="I7941" t="str">
        <f t="shared" si="249"/>
        <v>Txnrd1_265847</v>
      </c>
      <c r="J7941" s="3">
        <v>25592</v>
      </c>
      <c r="K7941" s="3">
        <v>13790</v>
      </c>
      <c r="L7941" s="3">
        <v>25171</v>
      </c>
      <c r="M7941" s="3">
        <v>36164</v>
      </c>
      <c r="N7941" s="3">
        <v>165130</v>
      </c>
    </row>
    <row r="7942" spans="1:14" x14ac:dyDescent="0.2">
      <c r="A7942" s="5" t="str">
        <f>HYPERLINK("http://www.ncbi.nlm.nih.gov/protein/102468565","Txnrd2")</f>
        <v>Txnrd2</v>
      </c>
      <c r="B7942" s="4"/>
      <c r="C7942" s="3">
        <v>9904</v>
      </c>
      <c r="D7942" s="3">
        <v>6444</v>
      </c>
      <c r="E7942" s="3">
        <v>896</v>
      </c>
      <c r="F7942" s="3">
        <v>3561</v>
      </c>
      <c r="G7942" s="3">
        <v>0</v>
      </c>
      <c r="H7942" s="2">
        <f t="shared" si="248"/>
        <v>20805</v>
      </c>
      <c r="I7942" t="str">
        <f t="shared" si="249"/>
        <v>Txnrd2_20805</v>
      </c>
      <c r="J7942" s="3">
        <v>9904</v>
      </c>
      <c r="K7942" s="3">
        <v>6444</v>
      </c>
      <c r="L7942" s="3">
        <v>896</v>
      </c>
      <c r="M7942" s="3">
        <v>3561</v>
      </c>
      <c r="N7942" s="3">
        <v>0</v>
      </c>
    </row>
    <row r="7943" spans="1:14" x14ac:dyDescent="0.2">
      <c r="A7943" s="5" t="str">
        <f>HYPERLINK("http://www.ncbi.nlm.nih.gov/protein/296010805","Txnrd3")</f>
        <v>Txnrd3</v>
      </c>
      <c r="B7943" s="4"/>
      <c r="C7943" s="3">
        <v>0</v>
      </c>
      <c r="D7943" s="3">
        <v>0</v>
      </c>
      <c r="E7943" s="3">
        <v>0</v>
      </c>
      <c r="F7943" s="3">
        <v>810</v>
      </c>
      <c r="G7943" s="3">
        <v>0</v>
      </c>
      <c r="H7943" s="2">
        <f t="shared" si="248"/>
        <v>810</v>
      </c>
      <c r="I7943" t="str">
        <f t="shared" si="249"/>
        <v>Txnrd3_810</v>
      </c>
      <c r="J7943" s="3">
        <v>0</v>
      </c>
      <c r="K7943" s="3">
        <v>0</v>
      </c>
      <c r="L7943" s="3">
        <v>0</v>
      </c>
      <c r="M7943" s="3">
        <v>810</v>
      </c>
      <c r="N7943" s="3">
        <v>0</v>
      </c>
    </row>
    <row r="7944" spans="1:14" x14ac:dyDescent="0.2">
      <c r="A7944" s="5" t="str">
        <f>HYPERLINK("http://www.ncbi.nlm.nih.gov/protein/296010807","Txnrd3")</f>
        <v>Txnrd3</v>
      </c>
      <c r="B7944" s="4"/>
      <c r="C7944" s="3">
        <v>0</v>
      </c>
      <c r="D7944" s="3">
        <v>0</v>
      </c>
      <c r="E7944" s="3">
        <v>0</v>
      </c>
      <c r="F7944" s="3">
        <v>810</v>
      </c>
      <c r="G7944" s="3">
        <v>0</v>
      </c>
      <c r="H7944" s="2">
        <f t="shared" si="248"/>
        <v>810</v>
      </c>
      <c r="I7944" t="str">
        <f t="shared" si="249"/>
        <v>Txnrd3_810</v>
      </c>
      <c r="J7944" s="3">
        <v>0</v>
      </c>
      <c r="K7944" s="3">
        <v>0</v>
      </c>
      <c r="L7944" s="3">
        <v>0</v>
      </c>
      <c r="M7944" s="3">
        <v>810</v>
      </c>
      <c r="N7944" s="3">
        <v>0</v>
      </c>
    </row>
    <row r="7945" spans="1:14" x14ac:dyDescent="0.2">
      <c r="A7945" s="5" t="str">
        <f>HYPERLINK("http://www.ncbi.nlm.nih.gov/protein/110735449","Txnrd3")</f>
        <v>Txnrd3</v>
      </c>
      <c r="B7945" s="4"/>
      <c r="C7945" s="3">
        <v>0</v>
      </c>
      <c r="D7945" s="3">
        <v>169</v>
      </c>
      <c r="E7945" s="3">
        <v>499</v>
      </c>
      <c r="F7945" s="3">
        <v>1318</v>
      </c>
      <c r="G7945" s="3">
        <v>13558</v>
      </c>
      <c r="H7945" s="2">
        <f t="shared" si="248"/>
        <v>15544</v>
      </c>
      <c r="I7945" t="str">
        <f t="shared" si="249"/>
        <v>Txnrd3_15544</v>
      </c>
      <c r="J7945" s="3">
        <v>0</v>
      </c>
      <c r="K7945" s="3">
        <v>169</v>
      </c>
      <c r="L7945" s="3">
        <v>499</v>
      </c>
      <c r="M7945" s="3">
        <v>1318</v>
      </c>
      <c r="N7945" s="3">
        <v>13558</v>
      </c>
    </row>
    <row r="7946" spans="1:14" x14ac:dyDescent="0.2">
      <c r="A7946" s="5" t="str">
        <f>HYPERLINK("http://www.ncbi.nlm.nih.gov/protein/296010803","Txnrd3")</f>
        <v>Txnrd3</v>
      </c>
      <c r="B7946" s="4"/>
      <c r="C7946" s="3">
        <v>0</v>
      </c>
      <c r="D7946" s="3">
        <v>169</v>
      </c>
      <c r="E7946" s="3">
        <v>499</v>
      </c>
      <c r="F7946" s="3">
        <v>1318</v>
      </c>
      <c r="G7946" s="3">
        <v>13558</v>
      </c>
      <c r="H7946" s="2">
        <f t="shared" si="248"/>
        <v>15544</v>
      </c>
      <c r="I7946" t="str">
        <f t="shared" si="249"/>
        <v>Txnrd3_15544</v>
      </c>
      <c r="J7946" s="3">
        <v>0</v>
      </c>
      <c r="K7946" s="3">
        <v>169</v>
      </c>
      <c r="L7946" s="3">
        <v>499</v>
      </c>
      <c r="M7946" s="3">
        <v>1318</v>
      </c>
      <c r="N7946" s="3">
        <v>13558</v>
      </c>
    </row>
    <row r="7947" spans="1:14" x14ac:dyDescent="0.2">
      <c r="A7947" s="5" t="str">
        <f>HYPERLINK("http://www.ncbi.nlm.nih.gov/protein/133922607","Tyk2")</f>
        <v>Tyk2</v>
      </c>
      <c r="B7947" s="4"/>
      <c r="C7947" s="3">
        <v>0</v>
      </c>
      <c r="D7947" s="3">
        <v>543</v>
      </c>
      <c r="E7947" s="3">
        <v>1346</v>
      </c>
      <c r="F7947" s="3">
        <v>0</v>
      </c>
      <c r="G7947" s="3">
        <v>0</v>
      </c>
      <c r="H7947" s="2">
        <f t="shared" si="248"/>
        <v>1889</v>
      </c>
      <c r="I7947" t="str">
        <f t="shared" si="249"/>
        <v>Tyk2_1889</v>
      </c>
      <c r="J7947" s="3">
        <v>0</v>
      </c>
      <c r="K7947" s="3">
        <v>543</v>
      </c>
      <c r="L7947" s="3">
        <v>1346</v>
      </c>
      <c r="M7947" s="3">
        <v>0</v>
      </c>
      <c r="N7947" s="3">
        <v>0</v>
      </c>
    </row>
    <row r="7948" spans="1:14" x14ac:dyDescent="0.2">
      <c r="A7948" s="5" t="str">
        <f>HYPERLINK("http://www.ncbi.nlm.nih.gov/protein/328887920","Tyk2")</f>
        <v>Tyk2</v>
      </c>
      <c r="B7948" s="4"/>
      <c r="C7948" s="3">
        <v>0</v>
      </c>
      <c r="D7948" s="3">
        <v>543</v>
      </c>
      <c r="E7948" s="3">
        <v>1346</v>
      </c>
      <c r="F7948" s="3">
        <v>0</v>
      </c>
      <c r="G7948" s="3">
        <v>0</v>
      </c>
      <c r="H7948" s="2">
        <f t="shared" si="248"/>
        <v>1889</v>
      </c>
      <c r="I7948" t="str">
        <f t="shared" si="249"/>
        <v>Tyk2_1889</v>
      </c>
      <c r="J7948" s="3">
        <v>0</v>
      </c>
      <c r="K7948" s="3">
        <v>543</v>
      </c>
      <c r="L7948" s="3">
        <v>1346</v>
      </c>
      <c r="M7948" s="3">
        <v>0</v>
      </c>
      <c r="N7948" s="3">
        <v>0</v>
      </c>
    </row>
    <row r="7949" spans="1:14" x14ac:dyDescent="0.2">
      <c r="A7949" s="5" t="str">
        <f>HYPERLINK("http://www.ncbi.nlm.nih.gov/protein/46358062","Tyms")</f>
        <v>Tyms</v>
      </c>
      <c r="B7949" s="4"/>
      <c r="C7949" s="3">
        <v>0</v>
      </c>
      <c r="D7949" s="3">
        <v>169</v>
      </c>
      <c r="E7949" s="3">
        <v>78</v>
      </c>
      <c r="F7949" s="3">
        <v>0</v>
      </c>
      <c r="G7949" s="3">
        <v>12873</v>
      </c>
      <c r="H7949" s="2">
        <f t="shared" si="248"/>
        <v>13120</v>
      </c>
      <c r="I7949" t="str">
        <f t="shared" si="249"/>
        <v>Tyms_13120</v>
      </c>
      <c r="J7949" s="3">
        <v>0</v>
      </c>
      <c r="K7949" s="3">
        <v>169</v>
      </c>
      <c r="L7949" s="3">
        <v>78</v>
      </c>
      <c r="M7949" s="3">
        <v>0</v>
      </c>
      <c r="N7949" s="3">
        <v>12873</v>
      </c>
    </row>
    <row r="7950" spans="1:14" x14ac:dyDescent="0.2">
      <c r="A7950" s="5" t="str">
        <f>HYPERLINK("http://www.ncbi.nlm.nih.gov/protein/30725740","Tyw1")</f>
        <v>Tyw1</v>
      </c>
      <c r="B7950" s="4"/>
      <c r="C7950" s="3">
        <v>0</v>
      </c>
      <c r="D7950" s="3">
        <v>171</v>
      </c>
      <c r="E7950" s="3">
        <v>391</v>
      </c>
      <c r="F7950" s="3">
        <v>0</v>
      </c>
      <c r="G7950" s="3">
        <v>0</v>
      </c>
      <c r="H7950" s="2">
        <f t="shared" si="248"/>
        <v>562</v>
      </c>
      <c r="I7950" t="str">
        <f t="shared" si="249"/>
        <v>Tyw1_562</v>
      </c>
      <c r="J7950" s="3">
        <v>0</v>
      </c>
      <c r="K7950" s="3">
        <v>171</v>
      </c>
      <c r="L7950" s="3">
        <v>391</v>
      </c>
      <c r="M7950" s="3">
        <v>0</v>
      </c>
      <c r="N7950" s="3">
        <v>0</v>
      </c>
    </row>
    <row r="7951" spans="1:14" x14ac:dyDescent="0.2">
      <c r="A7951" s="5" t="str">
        <f>HYPERLINK("http://www.ncbi.nlm.nih.gov/protein/62899041","Tyw1")</f>
        <v>Tyw1</v>
      </c>
      <c r="B7951" s="4"/>
      <c r="C7951" s="3">
        <v>0</v>
      </c>
      <c r="D7951" s="3">
        <v>171</v>
      </c>
      <c r="E7951" s="3">
        <v>391</v>
      </c>
      <c r="F7951" s="3">
        <v>0</v>
      </c>
      <c r="G7951" s="3">
        <v>0</v>
      </c>
      <c r="H7951" s="2">
        <f t="shared" si="248"/>
        <v>562</v>
      </c>
      <c r="I7951" t="str">
        <f t="shared" si="249"/>
        <v>Tyw1_562</v>
      </c>
      <c r="J7951" s="3">
        <v>0</v>
      </c>
      <c r="K7951" s="3">
        <v>171</v>
      </c>
      <c r="L7951" s="3">
        <v>391</v>
      </c>
      <c r="M7951" s="3">
        <v>0</v>
      </c>
      <c r="N7951" s="3">
        <v>0</v>
      </c>
    </row>
    <row r="7952" spans="1:14" x14ac:dyDescent="0.2">
      <c r="A7952" s="5" t="str">
        <f>HYPERLINK("http://www.ncbi.nlm.nih.gov/protein/291045186","Tyw3")</f>
        <v>Tyw3</v>
      </c>
      <c r="B7952" s="4"/>
      <c r="C7952" s="3">
        <v>0</v>
      </c>
      <c r="D7952" s="3">
        <v>0</v>
      </c>
      <c r="E7952" s="3">
        <v>0</v>
      </c>
      <c r="F7952" s="3">
        <v>139</v>
      </c>
      <c r="G7952" s="3">
        <v>0</v>
      </c>
      <c r="H7952" s="2">
        <f t="shared" si="248"/>
        <v>139</v>
      </c>
      <c r="I7952" t="str">
        <f t="shared" si="249"/>
        <v>Tyw3_139</v>
      </c>
      <c r="J7952" s="3">
        <v>0</v>
      </c>
      <c r="K7952" s="3">
        <v>0</v>
      </c>
      <c r="L7952" s="3">
        <v>0</v>
      </c>
      <c r="M7952" s="3">
        <v>139</v>
      </c>
      <c r="N7952" s="3">
        <v>0</v>
      </c>
    </row>
    <row r="7953" spans="1:14" x14ac:dyDescent="0.2">
      <c r="A7953" s="5" t="str">
        <f>HYPERLINK("http://www.ncbi.nlm.nih.gov/protein/33859785","Tyw3")</f>
        <v>Tyw3</v>
      </c>
      <c r="B7953" s="4"/>
      <c r="C7953" s="3">
        <v>0</v>
      </c>
      <c r="D7953" s="3">
        <v>0</v>
      </c>
      <c r="E7953" s="3">
        <v>0</v>
      </c>
      <c r="F7953" s="3">
        <v>139</v>
      </c>
      <c r="G7953" s="3">
        <v>0</v>
      </c>
      <c r="H7953" s="2">
        <f t="shared" si="248"/>
        <v>139</v>
      </c>
      <c r="I7953" t="str">
        <f t="shared" si="249"/>
        <v>Tyw3_139</v>
      </c>
      <c r="J7953" s="3">
        <v>0</v>
      </c>
      <c r="K7953" s="3">
        <v>0</v>
      </c>
      <c r="L7953" s="3">
        <v>0</v>
      </c>
      <c r="M7953" s="3">
        <v>139</v>
      </c>
      <c r="N7953" s="3">
        <v>0</v>
      </c>
    </row>
    <row r="7954" spans="1:14" x14ac:dyDescent="0.2">
      <c r="A7954" s="5" t="str">
        <f>HYPERLINK("http://www.ncbi.nlm.nih.gov/protein/166235142","Tyw5")</f>
        <v>Tyw5</v>
      </c>
      <c r="B7954" s="4"/>
      <c r="C7954" s="3">
        <v>0</v>
      </c>
      <c r="D7954" s="3">
        <v>0</v>
      </c>
      <c r="E7954" s="3">
        <v>0</v>
      </c>
      <c r="F7954" s="3">
        <v>0</v>
      </c>
      <c r="G7954" s="3">
        <v>1285</v>
      </c>
      <c r="H7954" s="2">
        <f t="shared" si="248"/>
        <v>1285</v>
      </c>
      <c r="I7954" t="str">
        <f t="shared" si="249"/>
        <v>Tyw5_1285</v>
      </c>
      <c r="J7954" s="3">
        <v>0</v>
      </c>
      <c r="K7954" s="3">
        <v>0</v>
      </c>
      <c r="L7954" s="3">
        <v>0</v>
      </c>
      <c r="M7954" s="3">
        <v>0</v>
      </c>
      <c r="N7954" s="3">
        <v>1285</v>
      </c>
    </row>
    <row r="7955" spans="1:14" x14ac:dyDescent="0.2">
      <c r="A7955" s="5" t="str">
        <f>HYPERLINK("http://www.ncbi.nlm.nih.gov/protein/166235146","Tyw5")</f>
        <v>Tyw5</v>
      </c>
      <c r="B7955" s="4"/>
      <c r="C7955" s="3">
        <v>0</v>
      </c>
      <c r="D7955" s="3">
        <v>0</v>
      </c>
      <c r="E7955" s="3">
        <v>0</v>
      </c>
      <c r="F7955" s="3">
        <v>0</v>
      </c>
      <c r="G7955" s="3">
        <v>814</v>
      </c>
      <c r="H7955" s="2">
        <f t="shared" si="248"/>
        <v>814</v>
      </c>
      <c r="I7955" t="str">
        <f t="shared" si="249"/>
        <v>Tyw5_814</v>
      </c>
      <c r="J7955" s="3">
        <v>0</v>
      </c>
      <c r="K7955" s="3">
        <v>0</v>
      </c>
      <c r="L7955" s="3">
        <v>0</v>
      </c>
      <c r="M7955" s="3">
        <v>0</v>
      </c>
      <c r="N7955" s="3">
        <v>814</v>
      </c>
    </row>
    <row r="7956" spans="1:14" x14ac:dyDescent="0.2">
      <c r="A7956" s="5" t="str">
        <f>HYPERLINK("http://www.ncbi.nlm.nih.gov/protein/254939700","U2af1")</f>
        <v>U2af1</v>
      </c>
      <c r="B7956" s="4"/>
      <c r="C7956" s="3">
        <v>27441</v>
      </c>
      <c r="D7956" s="3">
        <v>207</v>
      </c>
      <c r="E7956" s="3">
        <v>1670</v>
      </c>
      <c r="F7956" s="3">
        <v>0</v>
      </c>
      <c r="G7956" s="3">
        <v>0</v>
      </c>
      <c r="H7956" s="2">
        <f t="shared" si="248"/>
        <v>29318</v>
      </c>
      <c r="I7956" t="str">
        <f t="shared" si="249"/>
        <v>U2af1_29318</v>
      </c>
      <c r="J7956" s="3">
        <v>27441</v>
      </c>
      <c r="K7956" s="3">
        <v>207</v>
      </c>
      <c r="L7956" s="3">
        <v>1670</v>
      </c>
      <c r="M7956" s="3">
        <v>0</v>
      </c>
      <c r="N7956" s="3">
        <v>0</v>
      </c>
    </row>
    <row r="7957" spans="1:14" x14ac:dyDescent="0.2">
      <c r="A7957" s="5" t="str">
        <f>HYPERLINK("http://www.ncbi.nlm.nih.gov/protein/254939694","U2af1")</f>
        <v>U2af1</v>
      </c>
      <c r="B7957" s="4"/>
      <c r="C7957" s="3">
        <v>81864</v>
      </c>
      <c r="D7957" s="3">
        <v>207</v>
      </c>
      <c r="E7957" s="3">
        <v>2106</v>
      </c>
      <c r="F7957" s="3">
        <v>8</v>
      </c>
      <c r="G7957" s="3">
        <v>0</v>
      </c>
      <c r="H7957" s="2">
        <f t="shared" si="248"/>
        <v>84185</v>
      </c>
      <c r="I7957" t="str">
        <f t="shared" si="249"/>
        <v>U2af1_84185</v>
      </c>
      <c r="J7957" s="3">
        <v>81864</v>
      </c>
      <c r="K7957" s="3">
        <v>207</v>
      </c>
      <c r="L7957" s="3">
        <v>2106</v>
      </c>
      <c r="M7957" s="3">
        <v>8</v>
      </c>
      <c r="N7957" s="3">
        <v>0</v>
      </c>
    </row>
    <row r="7958" spans="1:14" x14ac:dyDescent="0.2">
      <c r="A7958" s="5" t="str">
        <f>HYPERLINK("http://www.ncbi.nlm.nih.gov/protein/25072205","U2af1l4")</f>
        <v>U2af1l4</v>
      </c>
      <c r="B7958" s="4"/>
      <c r="C7958" s="3">
        <v>0</v>
      </c>
      <c r="D7958" s="3">
        <v>0</v>
      </c>
      <c r="E7958" s="3">
        <v>1670</v>
      </c>
      <c r="F7958" s="3">
        <v>0</v>
      </c>
      <c r="G7958" s="3">
        <v>0</v>
      </c>
      <c r="H7958" s="2">
        <f t="shared" si="248"/>
        <v>1670</v>
      </c>
      <c r="I7958" t="str">
        <f t="shared" si="249"/>
        <v>U2af1l4_1670</v>
      </c>
      <c r="J7958" s="3">
        <v>0</v>
      </c>
      <c r="K7958" s="3">
        <v>0</v>
      </c>
      <c r="L7958" s="3">
        <v>1670</v>
      </c>
      <c r="M7958" s="3">
        <v>0</v>
      </c>
      <c r="N7958" s="3">
        <v>0</v>
      </c>
    </row>
    <row r="7959" spans="1:14" x14ac:dyDescent="0.2">
      <c r="A7959" s="5" t="str">
        <f>HYPERLINK("http://www.ncbi.nlm.nih.gov/protein/164565377","U2af2")</f>
        <v>U2af2</v>
      </c>
      <c r="B7959" s="4"/>
      <c r="C7959" s="3">
        <v>99310</v>
      </c>
      <c r="D7959" s="3">
        <v>2044</v>
      </c>
      <c r="E7959" s="3">
        <v>3044</v>
      </c>
      <c r="F7959" s="3">
        <v>8423</v>
      </c>
      <c r="G7959" s="3">
        <v>11</v>
      </c>
      <c r="H7959" s="2">
        <f t="shared" si="248"/>
        <v>112832</v>
      </c>
      <c r="I7959" t="str">
        <f t="shared" si="249"/>
        <v>U2af2_112832</v>
      </c>
      <c r="J7959" s="3">
        <v>99310</v>
      </c>
      <c r="K7959" s="3">
        <v>2044</v>
      </c>
      <c r="L7959" s="3">
        <v>3044</v>
      </c>
      <c r="M7959" s="3">
        <v>8423</v>
      </c>
      <c r="N7959" s="3">
        <v>11</v>
      </c>
    </row>
    <row r="7960" spans="1:14" x14ac:dyDescent="0.2">
      <c r="A7960" s="5" t="str">
        <f>HYPERLINK("http://www.ncbi.nlm.nih.gov/protein/327365322","U2af2")</f>
        <v>U2af2</v>
      </c>
      <c r="B7960" s="4"/>
      <c r="C7960" s="3">
        <v>99310</v>
      </c>
      <c r="D7960" s="3">
        <v>2044</v>
      </c>
      <c r="E7960" s="3">
        <v>3044</v>
      </c>
      <c r="F7960" s="3">
        <v>8423</v>
      </c>
      <c r="G7960" s="3">
        <v>11</v>
      </c>
      <c r="H7960" s="2">
        <f t="shared" si="248"/>
        <v>112832</v>
      </c>
      <c r="I7960" t="str">
        <f t="shared" si="249"/>
        <v>U2af2_112832</v>
      </c>
      <c r="J7960" s="3">
        <v>99310</v>
      </c>
      <c r="K7960" s="3">
        <v>2044</v>
      </c>
      <c r="L7960" s="3">
        <v>3044</v>
      </c>
      <c r="M7960" s="3">
        <v>8423</v>
      </c>
      <c r="N7960" s="3">
        <v>11</v>
      </c>
    </row>
    <row r="7961" spans="1:14" x14ac:dyDescent="0.2">
      <c r="A7961" s="5" t="str">
        <f>HYPERLINK("http://www.ncbi.nlm.nih.gov/protein/171460908","U2surp")</f>
        <v>U2surp</v>
      </c>
      <c r="B7961" s="4"/>
      <c r="C7961" s="3">
        <v>805</v>
      </c>
      <c r="D7961" s="3">
        <v>1152</v>
      </c>
      <c r="E7961" s="3">
        <v>559</v>
      </c>
      <c r="F7961" s="3">
        <v>0</v>
      </c>
      <c r="G7961" s="3">
        <v>0</v>
      </c>
      <c r="H7961" s="2">
        <f t="shared" si="248"/>
        <v>2516</v>
      </c>
      <c r="I7961" t="str">
        <f t="shared" si="249"/>
        <v>U2surp_2516</v>
      </c>
      <c r="J7961" s="3">
        <v>805</v>
      </c>
      <c r="K7961" s="3">
        <v>1152</v>
      </c>
      <c r="L7961" s="3">
        <v>559</v>
      </c>
      <c r="M7961" s="3">
        <v>0</v>
      </c>
      <c r="N7961" s="3">
        <v>0</v>
      </c>
    </row>
    <row r="7962" spans="1:14" x14ac:dyDescent="0.2">
      <c r="A7962" s="5" t="str">
        <f>HYPERLINK("http://www.ncbi.nlm.nih.gov/protein/171460910","U2surp")</f>
        <v>U2surp</v>
      </c>
      <c r="B7962" s="4"/>
      <c r="C7962" s="3">
        <v>805</v>
      </c>
      <c r="D7962" s="3">
        <v>1152</v>
      </c>
      <c r="E7962" s="3">
        <v>559</v>
      </c>
      <c r="F7962" s="3">
        <v>0</v>
      </c>
      <c r="G7962" s="3">
        <v>0</v>
      </c>
      <c r="H7962" s="2">
        <f t="shared" si="248"/>
        <v>2516</v>
      </c>
      <c r="I7962" t="str">
        <f t="shared" si="249"/>
        <v>U2surp_2516</v>
      </c>
      <c r="J7962" s="3">
        <v>805</v>
      </c>
      <c r="K7962" s="3">
        <v>1152</v>
      </c>
      <c r="L7962" s="3">
        <v>559</v>
      </c>
      <c r="M7962" s="3">
        <v>0</v>
      </c>
      <c r="N7962" s="3">
        <v>0</v>
      </c>
    </row>
    <row r="7963" spans="1:14" x14ac:dyDescent="0.2">
      <c r="A7963" s="5" t="str">
        <f>HYPERLINK("http://www.ncbi.nlm.nih.gov/protein/28077007","Uaca")</f>
        <v>Uaca</v>
      </c>
      <c r="B7963" s="4"/>
      <c r="C7963" s="3">
        <v>494</v>
      </c>
      <c r="D7963" s="3">
        <v>0</v>
      </c>
      <c r="E7963" s="3">
        <v>0</v>
      </c>
      <c r="F7963" s="3">
        <v>237</v>
      </c>
      <c r="G7963" s="3">
        <v>0</v>
      </c>
      <c r="H7963" s="2">
        <f t="shared" si="248"/>
        <v>731</v>
      </c>
      <c r="I7963" t="str">
        <f t="shared" si="249"/>
        <v>Uaca_731</v>
      </c>
      <c r="J7963" s="3">
        <v>494</v>
      </c>
      <c r="K7963" s="3">
        <v>0</v>
      </c>
      <c r="L7963" s="3">
        <v>0</v>
      </c>
      <c r="M7963" s="3">
        <v>237</v>
      </c>
      <c r="N7963" s="3">
        <v>0</v>
      </c>
    </row>
    <row r="7964" spans="1:14" x14ac:dyDescent="0.2">
      <c r="A7964" s="5" t="str">
        <f>HYPERLINK("http://www.ncbi.nlm.nih.gov/protein/30520375","Uap1")</f>
        <v>Uap1</v>
      </c>
      <c r="B7964" s="4"/>
      <c r="C7964" s="3">
        <v>0</v>
      </c>
      <c r="D7964" s="3">
        <v>818</v>
      </c>
      <c r="E7964" s="3">
        <v>4380</v>
      </c>
      <c r="F7964" s="3">
        <v>0</v>
      </c>
      <c r="G7964" s="3">
        <v>22115</v>
      </c>
      <c r="H7964" s="2">
        <f t="shared" si="248"/>
        <v>27313</v>
      </c>
      <c r="I7964" t="str">
        <f t="shared" si="249"/>
        <v>Uap1_27313</v>
      </c>
      <c r="J7964" s="3">
        <v>0</v>
      </c>
      <c r="K7964" s="3">
        <v>818</v>
      </c>
      <c r="L7964" s="3">
        <v>4380</v>
      </c>
      <c r="M7964" s="3">
        <v>0</v>
      </c>
      <c r="N7964" s="3">
        <v>22115</v>
      </c>
    </row>
    <row r="7965" spans="1:14" x14ac:dyDescent="0.2">
      <c r="A7965" s="5" t="str">
        <f>HYPERLINK("http://www.ncbi.nlm.nih.gov/protein/377833682","Uap1")</f>
        <v>Uap1</v>
      </c>
      <c r="B7965" s="4"/>
      <c r="C7965" s="3">
        <v>0</v>
      </c>
      <c r="D7965" s="3">
        <v>818</v>
      </c>
      <c r="E7965" s="3">
        <v>4380</v>
      </c>
      <c r="F7965" s="3">
        <v>0</v>
      </c>
      <c r="G7965" s="3">
        <v>22115</v>
      </c>
      <c r="H7965" s="2">
        <f t="shared" si="248"/>
        <v>27313</v>
      </c>
      <c r="I7965" t="str">
        <f t="shared" si="249"/>
        <v>Uap1_27313</v>
      </c>
      <c r="J7965" s="3">
        <v>0</v>
      </c>
      <c r="K7965" s="3">
        <v>818</v>
      </c>
      <c r="L7965" s="3">
        <v>4380</v>
      </c>
      <c r="M7965" s="3">
        <v>0</v>
      </c>
      <c r="N7965" s="3">
        <v>22115</v>
      </c>
    </row>
    <row r="7966" spans="1:14" x14ac:dyDescent="0.2">
      <c r="A7966" s="5" t="str">
        <f>HYPERLINK("http://www.ncbi.nlm.nih.gov/protein/84794548","Uap1l1")</f>
        <v>Uap1l1</v>
      </c>
      <c r="B7966" s="4"/>
      <c r="C7966" s="3">
        <v>0</v>
      </c>
      <c r="D7966" s="3">
        <v>3192</v>
      </c>
      <c r="E7966" s="3">
        <v>13558</v>
      </c>
      <c r="F7966" s="3">
        <v>3634</v>
      </c>
      <c r="G7966" s="3">
        <v>209146</v>
      </c>
      <c r="H7966" s="2">
        <f t="shared" si="248"/>
        <v>229530</v>
      </c>
      <c r="I7966" t="str">
        <f t="shared" si="249"/>
        <v>Uap1l1_229530</v>
      </c>
      <c r="J7966" s="3">
        <v>0</v>
      </c>
      <c r="K7966" s="3">
        <v>3192</v>
      </c>
      <c r="L7966" s="3">
        <v>13558</v>
      </c>
      <c r="M7966" s="3">
        <v>3634</v>
      </c>
      <c r="N7966" s="3">
        <v>209146</v>
      </c>
    </row>
    <row r="7967" spans="1:14" x14ac:dyDescent="0.2">
      <c r="A7967" s="5" t="str">
        <f>HYPERLINK("http://www.ncbi.nlm.nih.gov/protein/209862989","Uba1")</f>
        <v>Uba1</v>
      </c>
      <c r="B7967" s="4"/>
      <c r="C7967" s="3">
        <v>13876</v>
      </c>
      <c r="D7967" s="3">
        <v>0</v>
      </c>
      <c r="E7967" s="3">
        <v>0</v>
      </c>
      <c r="F7967" s="3">
        <v>0</v>
      </c>
      <c r="G7967" s="3">
        <v>0</v>
      </c>
      <c r="H7967" s="2">
        <f t="shared" si="248"/>
        <v>13876</v>
      </c>
      <c r="I7967" t="str">
        <f t="shared" si="249"/>
        <v>Uba1_13876</v>
      </c>
      <c r="J7967" s="3">
        <v>13876</v>
      </c>
      <c r="K7967" s="3">
        <v>0</v>
      </c>
      <c r="L7967" s="3">
        <v>0</v>
      </c>
      <c r="M7967" s="3">
        <v>0</v>
      </c>
      <c r="N7967" s="3">
        <v>0</v>
      </c>
    </row>
    <row r="7968" spans="1:14" x14ac:dyDescent="0.2">
      <c r="A7968" s="5" t="str">
        <f>HYPERLINK("http://www.ncbi.nlm.nih.gov/protein/209862989;6678483","Uba1")</f>
        <v>Uba1</v>
      </c>
      <c r="B7968" s="4"/>
      <c r="C7968" s="3">
        <v>0</v>
      </c>
      <c r="D7968" s="3">
        <v>0</v>
      </c>
      <c r="E7968" s="3">
        <v>31595</v>
      </c>
      <c r="F7968" s="3">
        <v>0</v>
      </c>
      <c r="G7968" s="3">
        <v>0</v>
      </c>
      <c r="H7968" s="2">
        <f t="shared" si="248"/>
        <v>31595</v>
      </c>
      <c r="I7968" t="str">
        <f t="shared" si="249"/>
        <v>Uba1_31595</v>
      </c>
      <c r="J7968" s="3">
        <v>0</v>
      </c>
      <c r="K7968" s="3">
        <v>0</v>
      </c>
      <c r="L7968" s="3">
        <v>31595</v>
      </c>
      <c r="M7968" s="3">
        <v>0</v>
      </c>
      <c r="N7968" s="3">
        <v>0</v>
      </c>
    </row>
    <row r="7969" spans="1:14" x14ac:dyDescent="0.2">
      <c r="A7969" s="5" t="str">
        <f>HYPERLINK("http://www.ncbi.nlm.nih.gov/protein/6678483;209862989","Uba1")</f>
        <v>Uba1</v>
      </c>
      <c r="B7969" s="4"/>
      <c r="C7969" s="3">
        <v>0</v>
      </c>
      <c r="D7969" s="3">
        <v>3760</v>
      </c>
      <c r="E7969" s="3">
        <v>0</v>
      </c>
      <c r="F7969" s="3">
        <v>51651</v>
      </c>
      <c r="G7969" s="3">
        <v>390286</v>
      </c>
      <c r="H7969" s="2">
        <f t="shared" si="248"/>
        <v>445697</v>
      </c>
      <c r="I7969" t="str">
        <f t="shared" si="249"/>
        <v>Uba1_445697</v>
      </c>
      <c r="J7969" s="3">
        <v>0</v>
      </c>
      <c r="K7969" s="3">
        <v>3760</v>
      </c>
      <c r="L7969" s="3">
        <v>0</v>
      </c>
      <c r="M7969" s="3">
        <v>51651</v>
      </c>
      <c r="N7969" s="3">
        <v>390286</v>
      </c>
    </row>
    <row r="7970" spans="1:14" x14ac:dyDescent="0.2">
      <c r="A7970" s="5" t="str">
        <f>HYPERLINK("http://www.ncbi.nlm.nih.gov/protein/444189294","Uba1")</f>
        <v>Uba1</v>
      </c>
      <c r="B7970" s="4"/>
      <c r="C7970" s="3">
        <v>13876</v>
      </c>
      <c r="D7970" s="3">
        <v>3760</v>
      </c>
      <c r="E7970" s="3">
        <v>31595</v>
      </c>
      <c r="F7970" s="3">
        <v>51651</v>
      </c>
      <c r="G7970" s="3">
        <v>394142</v>
      </c>
      <c r="H7970" s="2">
        <f t="shared" si="248"/>
        <v>495024</v>
      </c>
      <c r="I7970" t="str">
        <f t="shared" si="249"/>
        <v>Uba1_495024</v>
      </c>
      <c r="J7970" s="3">
        <v>13876</v>
      </c>
      <c r="K7970" s="3">
        <v>3760</v>
      </c>
      <c r="L7970" s="3">
        <v>31595</v>
      </c>
      <c r="M7970" s="3">
        <v>51651</v>
      </c>
      <c r="N7970" s="3">
        <v>394142</v>
      </c>
    </row>
    <row r="7971" spans="1:14" x14ac:dyDescent="0.2">
      <c r="A7971" s="5" t="str">
        <f>HYPERLINK("http://www.ncbi.nlm.nih.gov/protein/6755923","Uba1y")</f>
        <v>Uba1y</v>
      </c>
      <c r="B7971" s="4"/>
      <c r="C7971" s="3">
        <v>2471</v>
      </c>
      <c r="D7971" s="3">
        <v>94</v>
      </c>
      <c r="E7971" s="3">
        <v>1469</v>
      </c>
      <c r="F7971" s="3">
        <v>3446</v>
      </c>
      <c r="G7971" s="3">
        <v>82046</v>
      </c>
      <c r="H7971" s="2">
        <f t="shared" si="248"/>
        <v>89526</v>
      </c>
      <c r="I7971" t="str">
        <f t="shared" si="249"/>
        <v>Uba1y_89526</v>
      </c>
      <c r="J7971" s="3">
        <v>2471</v>
      </c>
      <c r="K7971" s="3">
        <v>94</v>
      </c>
      <c r="L7971" s="3">
        <v>1469</v>
      </c>
      <c r="M7971" s="3">
        <v>3446</v>
      </c>
      <c r="N7971" s="3">
        <v>82046</v>
      </c>
    </row>
    <row r="7972" spans="1:14" x14ac:dyDescent="0.2">
      <c r="A7972" s="5" t="str">
        <f>HYPERLINK("http://www.ncbi.nlm.nih.gov/protein/7709986","Uba2")</f>
        <v>Uba2</v>
      </c>
      <c r="B7972" s="4"/>
      <c r="C7972" s="3">
        <v>0</v>
      </c>
      <c r="D7972" s="3">
        <v>1785</v>
      </c>
      <c r="E7972" s="3">
        <v>852</v>
      </c>
      <c r="F7972" s="3">
        <v>14865</v>
      </c>
      <c r="G7972" s="3">
        <v>71250</v>
      </c>
      <c r="H7972" s="2">
        <f t="shared" si="248"/>
        <v>88752</v>
      </c>
      <c r="I7972" t="str">
        <f t="shared" si="249"/>
        <v>Uba2_88752</v>
      </c>
      <c r="J7972" s="3">
        <v>0</v>
      </c>
      <c r="K7972" s="3">
        <v>1785</v>
      </c>
      <c r="L7972" s="3">
        <v>852</v>
      </c>
      <c r="M7972" s="3">
        <v>14865</v>
      </c>
      <c r="N7972" s="3">
        <v>71250</v>
      </c>
    </row>
    <row r="7973" spans="1:14" x14ac:dyDescent="0.2">
      <c r="A7973" s="5" t="str">
        <f>HYPERLINK("http://www.ncbi.nlm.nih.gov/protein/162135936","Uba3")</f>
        <v>Uba3</v>
      </c>
      <c r="B7973" s="4"/>
      <c r="C7973" s="3">
        <v>0</v>
      </c>
      <c r="D7973" s="3">
        <v>367</v>
      </c>
      <c r="E7973" s="3">
        <v>195</v>
      </c>
      <c r="F7973" s="3">
        <v>2832</v>
      </c>
      <c r="G7973" s="3">
        <v>40600</v>
      </c>
      <c r="H7973" s="2">
        <f t="shared" si="248"/>
        <v>43994</v>
      </c>
      <c r="I7973" t="str">
        <f t="shared" si="249"/>
        <v>Uba3_43994</v>
      </c>
      <c r="J7973" s="3">
        <v>0</v>
      </c>
      <c r="K7973" s="3">
        <v>367</v>
      </c>
      <c r="L7973" s="3">
        <v>195</v>
      </c>
      <c r="M7973" s="3">
        <v>2832</v>
      </c>
      <c r="N7973" s="3">
        <v>40600</v>
      </c>
    </row>
    <row r="7974" spans="1:14" x14ac:dyDescent="0.2">
      <c r="A7974" s="5" t="str">
        <f>HYPERLINK("http://www.ncbi.nlm.nih.gov/protein/162287057","Uba3")</f>
        <v>Uba3</v>
      </c>
      <c r="B7974" s="4"/>
      <c r="C7974" s="3">
        <v>0</v>
      </c>
      <c r="D7974" s="3">
        <v>367</v>
      </c>
      <c r="E7974" s="3">
        <v>195</v>
      </c>
      <c r="F7974" s="3">
        <v>2832</v>
      </c>
      <c r="G7974" s="3">
        <v>39272</v>
      </c>
      <c r="H7974" s="2">
        <f t="shared" si="248"/>
        <v>42666</v>
      </c>
      <c r="I7974" t="str">
        <f t="shared" si="249"/>
        <v>Uba3_42666</v>
      </c>
      <c r="J7974" s="3">
        <v>0</v>
      </c>
      <c r="K7974" s="3">
        <v>367</v>
      </c>
      <c r="L7974" s="3">
        <v>195</v>
      </c>
      <c r="M7974" s="3">
        <v>2832</v>
      </c>
      <c r="N7974" s="3">
        <v>39272</v>
      </c>
    </row>
    <row r="7975" spans="1:14" x14ac:dyDescent="0.2">
      <c r="A7975" s="5" t="str">
        <f>HYPERLINK("http://www.ncbi.nlm.nih.gov/protein/227499242","Uba5")</f>
        <v>Uba5</v>
      </c>
      <c r="B7975" s="4"/>
      <c r="C7975" s="3">
        <v>0</v>
      </c>
      <c r="D7975" s="3">
        <v>0</v>
      </c>
      <c r="E7975" s="3">
        <v>413</v>
      </c>
      <c r="F7975" s="3">
        <v>0</v>
      </c>
      <c r="G7975" s="3">
        <v>13987</v>
      </c>
      <c r="H7975" s="2">
        <f t="shared" si="248"/>
        <v>14400</v>
      </c>
      <c r="I7975" t="str">
        <f t="shared" si="249"/>
        <v>Uba5_14400</v>
      </c>
      <c r="J7975" s="3">
        <v>0</v>
      </c>
      <c r="K7975" s="3">
        <v>0</v>
      </c>
      <c r="L7975" s="3">
        <v>413</v>
      </c>
      <c r="M7975" s="3">
        <v>0</v>
      </c>
      <c r="N7975" s="3">
        <v>13987</v>
      </c>
    </row>
    <row r="7976" spans="1:14" x14ac:dyDescent="0.2">
      <c r="A7976" s="5" t="str">
        <f>HYPERLINK("http://www.ncbi.nlm.nih.gov/protein/9845265","Uba52")</f>
        <v>Uba52</v>
      </c>
      <c r="B7976" s="4"/>
      <c r="C7976" s="3">
        <v>1885025</v>
      </c>
      <c r="D7976" s="3">
        <v>50244</v>
      </c>
      <c r="E7976" s="3">
        <v>74108</v>
      </c>
      <c r="F7976" s="3">
        <v>291627</v>
      </c>
      <c r="G7976" s="3">
        <v>146013</v>
      </c>
      <c r="H7976" s="2">
        <f t="shared" si="248"/>
        <v>2447017</v>
      </c>
      <c r="I7976" t="str">
        <f t="shared" si="249"/>
        <v>Uba52_2447017</v>
      </c>
      <c r="J7976" s="3">
        <v>1885025</v>
      </c>
      <c r="K7976" s="3">
        <v>50244</v>
      </c>
      <c r="L7976" s="3">
        <v>74108</v>
      </c>
      <c r="M7976" s="3">
        <v>291627</v>
      </c>
      <c r="N7976" s="3">
        <v>146013</v>
      </c>
    </row>
    <row r="7977" spans="1:14" x14ac:dyDescent="0.2">
      <c r="A7977" s="5" t="str">
        <f>HYPERLINK("http://www.ncbi.nlm.nih.gov/protein/27370032","Uba6")</f>
        <v>Uba6</v>
      </c>
      <c r="B7977" s="4"/>
      <c r="C7977" s="3">
        <v>0</v>
      </c>
      <c r="D7977" s="3">
        <v>0</v>
      </c>
      <c r="E7977" s="3">
        <v>1187</v>
      </c>
      <c r="F7977" s="3">
        <v>0</v>
      </c>
      <c r="G7977" s="3">
        <v>78608</v>
      </c>
      <c r="H7977" s="2">
        <f t="shared" si="248"/>
        <v>79795</v>
      </c>
      <c r="I7977" t="str">
        <f t="shared" si="249"/>
        <v>Uba6_79795</v>
      </c>
      <c r="J7977" s="3">
        <v>0</v>
      </c>
      <c r="K7977" s="3">
        <v>0</v>
      </c>
      <c r="L7977" s="3">
        <v>1187</v>
      </c>
      <c r="M7977" s="3">
        <v>0</v>
      </c>
      <c r="N7977" s="3">
        <v>78608</v>
      </c>
    </row>
    <row r="7978" spans="1:14" x14ac:dyDescent="0.2">
      <c r="A7978" s="5" t="str">
        <f>HYPERLINK("http://www.ncbi.nlm.nih.gov/protein/30794156","Uba7")</f>
        <v>Uba7</v>
      </c>
      <c r="B7978" s="4"/>
      <c r="C7978" s="3">
        <v>0</v>
      </c>
      <c r="D7978" s="3">
        <v>0</v>
      </c>
      <c r="E7978" s="3">
        <v>0</v>
      </c>
      <c r="F7978" s="3">
        <v>0</v>
      </c>
      <c r="G7978" s="3">
        <v>10195</v>
      </c>
      <c r="H7978" s="2">
        <f t="shared" si="248"/>
        <v>10195</v>
      </c>
      <c r="I7978" t="str">
        <f t="shared" si="249"/>
        <v>Uba7_10195</v>
      </c>
      <c r="J7978" s="3">
        <v>0</v>
      </c>
      <c r="K7978" s="3">
        <v>0</v>
      </c>
      <c r="L7978" s="3">
        <v>0</v>
      </c>
      <c r="M7978" s="3">
        <v>0</v>
      </c>
      <c r="N7978" s="3">
        <v>10195</v>
      </c>
    </row>
    <row r="7979" spans="1:14" x14ac:dyDescent="0.2">
      <c r="A7979" s="5" t="str">
        <f>HYPERLINK("http://www.ncbi.nlm.nih.gov/protein/260447056","Ubac1")</f>
        <v>Ubac1</v>
      </c>
      <c r="B7979" s="4"/>
      <c r="C7979" s="3">
        <v>0</v>
      </c>
      <c r="D7979" s="3">
        <v>0</v>
      </c>
      <c r="E7979" s="3">
        <v>0</v>
      </c>
      <c r="F7979" s="3">
        <v>0</v>
      </c>
      <c r="G7979" s="3">
        <v>503</v>
      </c>
      <c r="H7979" s="2">
        <f t="shared" si="248"/>
        <v>503</v>
      </c>
      <c r="I7979" t="str">
        <f t="shared" si="249"/>
        <v>Ubac1_503</v>
      </c>
      <c r="J7979" s="3">
        <v>0</v>
      </c>
      <c r="K7979" s="3">
        <v>0</v>
      </c>
      <c r="L7979" s="3">
        <v>0</v>
      </c>
      <c r="M7979" s="3">
        <v>0</v>
      </c>
      <c r="N7979" s="3">
        <v>503</v>
      </c>
    </row>
    <row r="7980" spans="1:14" x14ac:dyDescent="0.2">
      <c r="A7980" s="5" t="str">
        <f>HYPERLINK("http://www.ncbi.nlm.nih.gov/protein/90568036","Ubac2")</f>
        <v>Ubac2</v>
      </c>
      <c r="B7980" s="4"/>
      <c r="C7980" s="3">
        <v>0</v>
      </c>
      <c r="D7980" s="3">
        <v>0</v>
      </c>
      <c r="E7980" s="3">
        <v>183</v>
      </c>
      <c r="F7980" s="3">
        <v>0</v>
      </c>
      <c r="G7980" s="3">
        <v>0</v>
      </c>
      <c r="H7980" s="2">
        <f t="shared" si="248"/>
        <v>183</v>
      </c>
      <c r="I7980" t="str">
        <f t="shared" si="249"/>
        <v>Ubac2_183</v>
      </c>
      <c r="J7980" s="3">
        <v>0</v>
      </c>
      <c r="K7980" s="3">
        <v>0</v>
      </c>
      <c r="L7980" s="3">
        <v>183</v>
      </c>
      <c r="M7980" s="3">
        <v>0</v>
      </c>
      <c r="N7980" s="3">
        <v>0</v>
      </c>
    </row>
    <row r="7981" spans="1:14" x14ac:dyDescent="0.2">
      <c r="A7981" s="5" t="str">
        <f>HYPERLINK("http://www.ncbi.nlm.nih.gov/protein/28076915","Ubap2")</f>
        <v>Ubap2</v>
      </c>
      <c r="B7981" s="4"/>
      <c r="C7981" s="3">
        <v>0</v>
      </c>
      <c r="D7981" s="3">
        <v>15</v>
      </c>
      <c r="E7981" s="3">
        <v>1102</v>
      </c>
      <c r="F7981" s="3">
        <v>0</v>
      </c>
      <c r="G7981" s="3">
        <v>161</v>
      </c>
      <c r="H7981" s="2">
        <f t="shared" si="248"/>
        <v>1278</v>
      </c>
      <c r="I7981" t="str">
        <f t="shared" si="249"/>
        <v>Ubap2_1278</v>
      </c>
      <c r="J7981" s="3">
        <v>0</v>
      </c>
      <c r="K7981" s="3">
        <v>15</v>
      </c>
      <c r="L7981" s="3">
        <v>1102</v>
      </c>
      <c r="M7981" s="3">
        <v>0</v>
      </c>
      <c r="N7981" s="3">
        <v>161</v>
      </c>
    </row>
    <row r="7982" spans="1:14" x14ac:dyDescent="0.2">
      <c r="A7982" s="5" t="str">
        <f>HYPERLINK("http://www.ncbi.nlm.nih.gov/protein/260166704","Ubap2l")</f>
        <v>Ubap2l</v>
      </c>
      <c r="B7982" s="4"/>
      <c r="C7982" s="3">
        <v>0</v>
      </c>
      <c r="D7982" s="3">
        <v>1148</v>
      </c>
      <c r="E7982" s="3">
        <v>34845</v>
      </c>
      <c r="F7982" s="3">
        <v>499</v>
      </c>
      <c r="G7982" s="3">
        <v>2881</v>
      </c>
      <c r="H7982" s="2">
        <f t="shared" si="248"/>
        <v>39373</v>
      </c>
      <c r="I7982" t="str">
        <f t="shared" si="249"/>
        <v>Ubap2l_39373</v>
      </c>
      <c r="J7982" s="3">
        <v>0</v>
      </c>
      <c r="K7982" s="3">
        <v>1148</v>
      </c>
      <c r="L7982" s="3">
        <v>34845</v>
      </c>
      <c r="M7982" s="3">
        <v>499</v>
      </c>
      <c r="N7982" s="3">
        <v>2881</v>
      </c>
    </row>
    <row r="7983" spans="1:14" x14ac:dyDescent="0.2">
      <c r="A7983" s="5" t="str">
        <f>HYPERLINK("http://www.ncbi.nlm.nih.gov/protein/260166706","Ubap2l")</f>
        <v>Ubap2l</v>
      </c>
      <c r="B7983" s="4"/>
      <c r="C7983" s="3">
        <v>0</v>
      </c>
      <c r="D7983" s="3">
        <v>1148</v>
      </c>
      <c r="E7983" s="3">
        <v>34845</v>
      </c>
      <c r="F7983" s="3">
        <v>499</v>
      </c>
      <c r="G7983" s="3">
        <v>2881</v>
      </c>
      <c r="H7983" s="2">
        <f t="shared" si="248"/>
        <v>39373</v>
      </c>
      <c r="I7983" t="str">
        <f t="shared" si="249"/>
        <v>Ubap2l_39373</v>
      </c>
      <c r="J7983" s="3">
        <v>0</v>
      </c>
      <c r="K7983" s="3">
        <v>1148</v>
      </c>
      <c r="L7983" s="3">
        <v>34845</v>
      </c>
      <c r="M7983" s="3">
        <v>499</v>
      </c>
      <c r="N7983" s="3">
        <v>2881</v>
      </c>
    </row>
    <row r="7984" spans="1:14" x14ac:dyDescent="0.2">
      <c r="A7984" s="5" t="str">
        <f>HYPERLINK("http://www.ncbi.nlm.nih.gov/protein/260166709","Ubap2l")</f>
        <v>Ubap2l</v>
      </c>
      <c r="B7984" s="4"/>
      <c r="C7984" s="3">
        <v>0</v>
      </c>
      <c r="D7984" s="3">
        <v>1148</v>
      </c>
      <c r="E7984" s="3">
        <v>30588</v>
      </c>
      <c r="F7984" s="3">
        <v>483</v>
      </c>
      <c r="G7984" s="3">
        <v>2881</v>
      </c>
      <c r="H7984" s="2">
        <f t="shared" si="248"/>
        <v>35100</v>
      </c>
      <c r="I7984" t="str">
        <f t="shared" si="249"/>
        <v>Ubap2l_35100</v>
      </c>
      <c r="J7984" s="3">
        <v>0</v>
      </c>
      <c r="K7984" s="3">
        <v>1148</v>
      </c>
      <c r="L7984" s="3">
        <v>30588</v>
      </c>
      <c r="M7984" s="3">
        <v>483</v>
      </c>
      <c r="N7984" s="3">
        <v>2881</v>
      </c>
    </row>
    <row r="7985" spans="1:14" x14ac:dyDescent="0.2">
      <c r="A7985" s="5" t="str">
        <f>HYPERLINK("http://www.ncbi.nlm.nih.gov/protein/260166711;260166713","Ubap2l")</f>
        <v>Ubap2l</v>
      </c>
      <c r="B7985" s="4"/>
      <c r="C7985" s="3">
        <v>0</v>
      </c>
      <c r="D7985" s="3">
        <v>1148</v>
      </c>
      <c r="E7985" s="3">
        <v>34666</v>
      </c>
      <c r="F7985" s="3">
        <v>499</v>
      </c>
      <c r="G7985" s="3">
        <v>2881</v>
      </c>
      <c r="H7985" s="2">
        <f t="shared" si="248"/>
        <v>39194</v>
      </c>
      <c r="I7985" t="str">
        <f t="shared" si="249"/>
        <v>Ubap2l_39194</v>
      </c>
      <c r="J7985" s="3">
        <v>0</v>
      </c>
      <c r="K7985" s="3">
        <v>1148</v>
      </c>
      <c r="L7985" s="3">
        <v>34666</v>
      </c>
      <c r="M7985" s="3">
        <v>499</v>
      </c>
      <c r="N7985" s="3">
        <v>2881</v>
      </c>
    </row>
    <row r="7986" spans="1:14" x14ac:dyDescent="0.2">
      <c r="A7986" s="5" t="str">
        <f>HYPERLINK("http://www.ncbi.nlm.nih.gov/protein/260166715","Ubap2l")</f>
        <v>Ubap2l</v>
      </c>
      <c r="B7986" s="4"/>
      <c r="C7986" s="3">
        <v>0</v>
      </c>
      <c r="D7986" s="3">
        <v>1148</v>
      </c>
      <c r="E7986" s="3">
        <v>30588</v>
      </c>
      <c r="F7986" s="3">
        <v>483</v>
      </c>
      <c r="G7986" s="3">
        <v>2881</v>
      </c>
      <c r="H7986" s="2">
        <f t="shared" si="248"/>
        <v>35100</v>
      </c>
      <c r="I7986" t="str">
        <f t="shared" si="249"/>
        <v>Ubap2l_35100</v>
      </c>
      <c r="J7986" s="3">
        <v>0</v>
      </c>
      <c r="K7986" s="3">
        <v>1148</v>
      </c>
      <c r="L7986" s="3">
        <v>30588</v>
      </c>
      <c r="M7986" s="3">
        <v>483</v>
      </c>
      <c r="N7986" s="3">
        <v>2881</v>
      </c>
    </row>
    <row r="7987" spans="1:14" x14ac:dyDescent="0.2">
      <c r="A7987" s="5" t="str">
        <f>HYPERLINK("http://www.ncbi.nlm.nih.gov/protein/33239421","Ubap2l")</f>
        <v>Ubap2l</v>
      </c>
      <c r="B7987" s="4"/>
      <c r="C7987" s="3">
        <v>0</v>
      </c>
      <c r="D7987" s="3">
        <v>1148</v>
      </c>
      <c r="E7987" s="3">
        <v>34666</v>
      </c>
      <c r="F7987" s="3">
        <v>499</v>
      </c>
      <c r="G7987" s="3">
        <v>2881</v>
      </c>
      <c r="H7987" s="2">
        <f t="shared" si="248"/>
        <v>39194</v>
      </c>
      <c r="I7987" t="str">
        <f t="shared" si="249"/>
        <v>Ubap2l_39194</v>
      </c>
      <c r="J7987" s="3">
        <v>0</v>
      </c>
      <c r="K7987" s="3">
        <v>1148</v>
      </c>
      <c r="L7987" s="3">
        <v>34666</v>
      </c>
      <c r="M7987" s="3">
        <v>499</v>
      </c>
      <c r="N7987" s="3">
        <v>2881</v>
      </c>
    </row>
    <row r="7988" spans="1:14" x14ac:dyDescent="0.2">
      <c r="A7988" s="5" t="str">
        <f>HYPERLINK("http://www.ncbi.nlm.nih.gov/protein/6755919","Ubb")</f>
        <v>Ubb</v>
      </c>
      <c r="B7988" s="4"/>
      <c r="C7988" s="3">
        <v>1885025</v>
      </c>
      <c r="D7988" s="3">
        <v>50244</v>
      </c>
      <c r="E7988" s="3">
        <v>74108</v>
      </c>
      <c r="F7988" s="3">
        <v>291627</v>
      </c>
      <c r="G7988" s="3">
        <v>146013</v>
      </c>
      <c r="H7988" s="2">
        <f t="shared" si="248"/>
        <v>2447017</v>
      </c>
      <c r="I7988" t="str">
        <f t="shared" si="249"/>
        <v>Ubb_2447017</v>
      </c>
      <c r="J7988" s="3">
        <v>1885025</v>
      </c>
      <c r="K7988" s="3">
        <v>50244</v>
      </c>
      <c r="L7988" s="3">
        <v>74108</v>
      </c>
      <c r="M7988" s="3">
        <v>291627</v>
      </c>
      <c r="N7988" s="3">
        <v>146013</v>
      </c>
    </row>
    <row r="7989" spans="1:14" x14ac:dyDescent="0.2">
      <c r="A7989" s="5" t="str">
        <f>HYPERLINK("http://www.ncbi.nlm.nih.gov/protein/157671923","Ubc")</f>
        <v>Ubc</v>
      </c>
      <c r="B7989" s="4"/>
      <c r="C7989" s="3">
        <v>1885025</v>
      </c>
      <c r="D7989" s="3">
        <v>50244</v>
      </c>
      <c r="E7989" s="3">
        <v>74108</v>
      </c>
      <c r="F7989" s="3">
        <v>291627</v>
      </c>
      <c r="G7989" s="3">
        <v>146013</v>
      </c>
      <c r="H7989" s="2">
        <f t="shared" si="248"/>
        <v>2447017</v>
      </c>
      <c r="I7989" t="str">
        <f t="shared" si="249"/>
        <v>Ubc_2447017</v>
      </c>
      <c r="J7989" s="3">
        <v>1885025</v>
      </c>
      <c r="K7989" s="3">
        <v>50244</v>
      </c>
      <c r="L7989" s="3">
        <v>74108</v>
      </c>
      <c r="M7989" s="3">
        <v>291627</v>
      </c>
      <c r="N7989" s="3">
        <v>146013</v>
      </c>
    </row>
    <row r="7990" spans="1:14" x14ac:dyDescent="0.2">
      <c r="A7990" s="5" t="str">
        <f>HYPERLINK("http://www.ncbi.nlm.nih.gov/protein/9790041","Ube2a")</f>
        <v>Ube2a</v>
      </c>
      <c r="B7990" s="4"/>
      <c r="C7990" s="3">
        <v>0</v>
      </c>
      <c r="D7990" s="3">
        <v>0</v>
      </c>
      <c r="E7990" s="3">
        <v>0</v>
      </c>
      <c r="F7990" s="3">
        <v>0</v>
      </c>
      <c r="G7990" s="3">
        <v>1606</v>
      </c>
      <c r="H7990" s="2">
        <f t="shared" si="248"/>
        <v>1606</v>
      </c>
      <c r="I7990" t="str">
        <f t="shared" si="249"/>
        <v>Ube2a_1606</v>
      </c>
      <c r="J7990" s="3">
        <v>0</v>
      </c>
      <c r="K7990" s="3">
        <v>0</v>
      </c>
      <c r="L7990" s="3">
        <v>0</v>
      </c>
      <c r="M7990" s="3">
        <v>0</v>
      </c>
      <c r="N7990" s="3">
        <v>1606</v>
      </c>
    </row>
    <row r="7991" spans="1:14" x14ac:dyDescent="0.2">
      <c r="A7991" s="5" t="str">
        <f>HYPERLINK("http://www.ncbi.nlm.nih.gov/protein/21312888","Ube2c")</f>
        <v>Ube2c</v>
      </c>
      <c r="B7991" s="4"/>
      <c r="C7991" s="3">
        <v>0</v>
      </c>
      <c r="D7991" s="3">
        <v>620</v>
      </c>
      <c r="E7991" s="3">
        <v>133</v>
      </c>
      <c r="F7991" s="3">
        <v>0</v>
      </c>
      <c r="G7991" s="3">
        <v>3395</v>
      </c>
      <c r="H7991" s="2">
        <f t="shared" si="248"/>
        <v>4148</v>
      </c>
      <c r="I7991" t="str">
        <f t="shared" si="249"/>
        <v>Ube2c_4148</v>
      </c>
      <c r="J7991" s="3">
        <v>0</v>
      </c>
      <c r="K7991" s="3">
        <v>620</v>
      </c>
      <c r="L7991" s="3">
        <v>133</v>
      </c>
      <c r="M7991" s="3">
        <v>0</v>
      </c>
      <c r="N7991" s="3">
        <v>3395</v>
      </c>
    </row>
    <row r="7992" spans="1:14" x14ac:dyDescent="0.2">
      <c r="A7992" s="5" t="str">
        <f>HYPERLINK("http://www.ncbi.nlm.nih.gov/protein/21703838","Ube2d1")</f>
        <v>Ube2d1</v>
      </c>
      <c r="B7992" s="4"/>
      <c r="C7992" s="3">
        <v>604</v>
      </c>
      <c r="D7992" s="3">
        <v>0</v>
      </c>
      <c r="E7992" s="3">
        <v>0</v>
      </c>
      <c r="F7992" s="3">
        <v>3880</v>
      </c>
      <c r="G7992" s="3">
        <v>0</v>
      </c>
      <c r="H7992" s="2">
        <f t="shared" si="248"/>
        <v>4484</v>
      </c>
      <c r="I7992" t="str">
        <f t="shared" si="249"/>
        <v>Ube2d1_4484</v>
      </c>
      <c r="J7992" s="3">
        <v>604</v>
      </c>
      <c r="K7992" s="3">
        <v>0</v>
      </c>
      <c r="L7992" s="3">
        <v>0</v>
      </c>
      <c r="M7992" s="3">
        <v>3880</v>
      </c>
      <c r="N7992" s="3">
        <v>0</v>
      </c>
    </row>
    <row r="7993" spans="1:14" x14ac:dyDescent="0.2">
      <c r="A7993" s="5" t="str">
        <f>HYPERLINK("http://www.ncbi.nlm.nih.gov/protein/9910600","Ube2d2a")</f>
        <v>Ube2d2a</v>
      </c>
      <c r="B7993" s="4"/>
      <c r="C7993" s="3">
        <v>8384</v>
      </c>
      <c r="D7993" s="3">
        <v>15475</v>
      </c>
      <c r="E7993" s="3">
        <v>3590</v>
      </c>
      <c r="F7993" s="3">
        <v>8857</v>
      </c>
      <c r="G7993" s="3">
        <v>32750</v>
      </c>
      <c r="H7993" s="2">
        <f t="shared" si="248"/>
        <v>69056</v>
      </c>
      <c r="I7993" t="str">
        <f t="shared" si="249"/>
        <v>Ube2d2a_69056</v>
      </c>
      <c r="J7993" s="3">
        <v>8384</v>
      </c>
      <c r="K7993" s="3">
        <v>15475</v>
      </c>
      <c r="L7993" s="3">
        <v>3590</v>
      </c>
      <c r="M7993" s="3">
        <v>8857</v>
      </c>
      <c r="N7993" s="3">
        <v>32750</v>
      </c>
    </row>
    <row r="7994" spans="1:14" x14ac:dyDescent="0.2">
      <c r="A7994" s="5" t="str">
        <f>HYPERLINK("http://www.ncbi.nlm.nih.gov/protein/448889035","Ube2d2b")</f>
        <v>Ube2d2b</v>
      </c>
      <c r="B7994" s="4"/>
      <c r="C7994" s="3">
        <v>7780</v>
      </c>
      <c r="D7994" s="3">
        <v>15475</v>
      </c>
      <c r="E7994" s="3">
        <v>3590</v>
      </c>
      <c r="F7994" s="3">
        <v>2832</v>
      </c>
      <c r="G7994" s="3">
        <v>32750</v>
      </c>
      <c r="H7994" s="2">
        <f t="shared" si="248"/>
        <v>62427</v>
      </c>
      <c r="I7994" t="str">
        <f t="shared" si="249"/>
        <v>Ube2d2b_62427</v>
      </c>
      <c r="J7994" s="3">
        <v>7780</v>
      </c>
      <c r="K7994" s="3">
        <v>15475</v>
      </c>
      <c r="L7994" s="3">
        <v>3590</v>
      </c>
      <c r="M7994" s="3">
        <v>2832</v>
      </c>
      <c r="N7994" s="3">
        <v>32750</v>
      </c>
    </row>
    <row r="7995" spans="1:14" x14ac:dyDescent="0.2">
      <c r="A7995" s="5" t="str">
        <f>HYPERLINK("http://www.ncbi.nlm.nih.gov/protein/13384718","Ube2d3")</f>
        <v>Ube2d3</v>
      </c>
      <c r="B7995" s="4"/>
      <c r="C7995" s="3">
        <v>8384</v>
      </c>
      <c r="D7995" s="3">
        <v>15475</v>
      </c>
      <c r="E7995" s="3">
        <v>3590</v>
      </c>
      <c r="F7995" s="3">
        <v>6712</v>
      </c>
      <c r="G7995" s="3">
        <v>32750</v>
      </c>
      <c r="H7995" s="2">
        <f t="shared" si="248"/>
        <v>66911</v>
      </c>
      <c r="I7995" t="str">
        <f t="shared" si="249"/>
        <v>Ube2d3_66911</v>
      </c>
      <c r="J7995" s="3">
        <v>8384</v>
      </c>
      <c r="K7995" s="3">
        <v>15475</v>
      </c>
      <c r="L7995" s="3">
        <v>3590</v>
      </c>
      <c r="M7995" s="3">
        <v>6712</v>
      </c>
      <c r="N7995" s="3">
        <v>32750</v>
      </c>
    </row>
    <row r="7996" spans="1:14" x14ac:dyDescent="0.2">
      <c r="A7996" s="5" t="str">
        <f>HYPERLINK("http://www.ncbi.nlm.nih.gov/protein/6678479","Ube2e1")</f>
        <v>Ube2e1</v>
      </c>
      <c r="B7996" s="4"/>
      <c r="C7996" s="3">
        <v>0</v>
      </c>
      <c r="D7996" s="3">
        <v>424</v>
      </c>
      <c r="E7996" s="3">
        <v>76</v>
      </c>
      <c r="F7996" s="3">
        <v>401</v>
      </c>
      <c r="G7996" s="3">
        <v>2784</v>
      </c>
      <c r="H7996" s="2">
        <f t="shared" si="248"/>
        <v>3685</v>
      </c>
      <c r="I7996" t="str">
        <f t="shared" si="249"/>
        <v>Ube2e1_3685</v>
      </c>
      <c r="J7996" s="3">
        <v>0</v>
      </c>
      <c r="K7996" s="3">
        <v>424</v>
      </c>
      <c r="L7996" s="3">
        <v>76</v>
      </c>
      <c r="M7996" s="3">
        <v>401</v>
      </c>
      <c r="N7996" s="3">
        <v>2784</v>
      </c>
    </row>
    <row r="7997" spans="1:14" x14ac:dyDescent="0.2">
      <c r="A7997" s="5" t="str">
        <f>HYPERLINK("http://www.ncbi.nlm.nih.gov/protein/21450233","Ube2e2")</f>
        <v>Ube2e2</v>
      </c>
      <c r="B7997" s="4"/>
      <c r="C7997" s="3">
        <v>0</v>
      </c>
      <c r="D7997" s="3">
        <v>601</v>
      </c>
      <c r="E7997" s="3">
        <v>203</v>
      </c>
      <c r="F7997" s="3">
        <v>630</v>
      </c>
      <c r="G7997" s="3">
        <v>3888</v>
      </c>
      <c r="H7997" s="2">
        <f t="shared" si="248"/>
        <v>5322</v>
      </c>
      <c r="I7997" t="str">
        <f t="shared" si="249"/>
        <v>Ube2e2_5322</v>
      </c>
      <c r="J7997" s="3">
        <v>0</v>
      </c>
      <c r="K7997" s="3">
        <v>601</v>
      </c>
      <c r="L7997" s="3">
        <v>203</v>
      </c>
      <c r="M7997" s="3">
        <v>630</v>
      </c>
      <c r="N7997" s="3">
        <v>3888</v>
      </c>
    </row>
    <row r="7998" spans="1:14" x14ac:dyDescent="0.2">
      <c r="A7998" s="5" t="str">
        <f>HYPERLINK("http://www.ncbi.nlm.nih.gov/protein/6678477","Ube2e3")</f>
        <v>Ube2e3</v>
      </c>
      <c r="B7998" s="4"/>
      <c r="C7998" s="3">
        <v>0</v>
      </c>
      <c r="D7998" s="3">
        <v>676</v>
      </c>
      <c r="E7998" s="3">
        <v>439</v>
      </c>
      <c r="F7998" s="3">
        <v>2513</v>
      </c>
      <c r="G7998" s="3">
        <v>4016</v>
      </c>
      <c r="H7998" s="2">
        <f t="shared" si="248"/>
        <v>7644</v>
      </c>
      <c r="I7998" t="str">
        <f t="shared" si="249"/>
        <v>Ube2e3_7644</v>
      </c>
      <c r="J7998" s="3">
        <v>0</v>
      </c>
      <c r="K7998" s="3">
        <v>676</v>
      </c>
      <c r="L7998" s="3">
        <v>439</v>
      </c>
      <c r="M7998" s="3">
        <v>2513</v>
      </c>
      <c r="N7998" s="3">
        <v>4016</v>
      </c>
    </row>
    <row r="7999" spans="1:14" x14ac:dyDescent="0.2">
      <c r="A7999" s="5" t="str">
        <f>HYPERLINK("http://www.ncbi.nlm.nih.gov/protein/13385948","Ube2f")</f>
        <v>Ube2f</v>
      </c>
      <c r="B7999" s="4"/>
      <c r="C7999" s="3">
        <v>0</v>
      </c>
      <c r="D7999" s="3">
        <v>0</v>
      </c>
      <c r="E7999" s="3">
        <v>0</v>
      </c>
      <c r="F7999" s="3">
        <v>0</v>
      </c>
      <c r="G7999" s="3">
        <v>4894</v>
      </c>
      <c r="H7999" s="2">
        <f t="shared" si="248"/>
        <v>4894</v>
      </c>
      <c r="I7999" t="str">
        <f t="shared" si="249"/>
        <v>Ube2f_4894</v>
      </c>
      <c r="J7999" s="3">
        <v>0</v>
      </c>
      <c r="K7999" s="3">
        <v>0</v>
      </c>
      <c r="L7999" s="3">
        <v>0</v>
      </c>
      <c r="M7999" s="3">
        <v>0</v>
      </c>
      <c r="N7999" s="3">
        <v>4894</v>
      </c>
    </row>
    <row r="8000" spans="1:14" x14ac:dyDescent="0.2">
      <c r="A8000" s="5" t="str">
        <f>HYPERLINK("http://www.ncbi.nlm.nih.gov/protein/27754105","Ube2g1")</f>
        <v>Ube2g1</v>
      </c>
      <c r="B8000" s="4"/>
      <c r="C8000" s="3">
        <v>0</v>
      </c>
      <c r="D8000" s="3">
        <v>271</v>
      </c>
      <c r="E8000" s="3">
        <v>0</v>
      </c>
      <c r="F8000" s="3">
        <v>0</v>
      </c>
      <c r="G8000" s="3">
        <v>6351</v>
      </c>
      <c r="H8000" s="2">
        <f t="shared" si="248"/>
        <v>6622</v>
      </c>
      <c r="I8000" t="str">
        <f t="shared" si="249"/>
        <v>Ube2g1_6622</v>
      </c>
      <c r="J8000" s="3">
        <v>0</v>
      </c>
      <c r="K8000" s="3">
        <v>271</v>
      </c>
      <c r="L8000" s="3">
        <v>0</v>
      </c>
      <c r="M8000" s="3">
        <v>0</v>
      </c>
      <c r="N8000" s="3">
        <v>6351</v>
      </c>
    </row>
    <row r="8001" spans="1:14" x14ac:dyDescent="0.2">
      <c r="A8001" s="5" t="str">
        <f>HYPERLINK("http://www.ncbi.nlm.nih.gov/protein/281332142","Ube2h")</f>
        <v>Ube2h</v>
      </c>
      <c r="B8001" s="4"/>
      <c r="C8001" s="3">
        <v>0</v>
      </c>
      <c r="D8001" s="3">
        <v>1457</v>
      </c>
      <c r="E8001" s="3">
        <v>350</v>
      </c>
      <c r="F8001" s="3">
        <v>1302</v>
      </c>
      <c r="G8001" s="3">
        <v>9307</v>
      </c>
      <c r="H8001" s="2">
        <f t="shared" si="248"/>
        <v>12416</v>
      </c>
      <c r="I8001" t="str">
        <f t="shared" si="249"/>
        <v>Ube2h_12416</v>
      </c>
      <c r="J8001" s="3">
        <v>0</v>
      </c>
      <c r="K8001" s="3">
        <v>1457</v>
      </c>
      <c r="L8001" s="3">
        <v>350</v>
      </c>
      <c r="M8001" s="3">
        <v>1302</v>
      </c>
      <c r="N8001" s="3">
        <v>9307</v>
      </c>
    </row>
    <row r="8002" spans="1:14" x14ac:dyDescent="0.2">
      <c r="A8002" s="5" t="str">
        <f>HYPERLINK("http://www.ncbi.nlm.nih.gov/protein/6678487","Ube2h")</f>
        <v>Ube2h</v>
      </c>
      <c r="B8002" s="4"/>
      <c r="C8002" s="3">
        <v>0</v>
      </c>
      <c r="D8002" s="3">
        <v>1457</v>
      </c>
      <c r="E8002" s="3">
        <v>350</v>
      </c>
      <c r="F8002" s="3">
        <v>1302</v>
      </c>
      <c r="G8002" s="3">
        <v>24086</v>
      </c>
      <c r="H8002" s="2">
        <f t="shared" ref="H8002:H8065" si="250">SUM(C8002:G8002)</f>
        <v>27195</v>
      </c>
      <c r="I8002" t="str">
        <f t="shared" ref="I8002:I8065" si="251">A8002&amp;"_"&amp;H8002</f>
        <v>Ube2h_27195</v>
      </c>
      <c r="J8002" s="3">
        <v>0</v>
      </c>
      <c r="K8002" s="3">
        <v>1457</v>
      </c>
      <c r="L8002" s="3">
        <v>350</v>
      </c>
      <c r="M8002" s="3">
        <v>1302</v>
      </c>
      <c r="N8002" s="3">
        <v>24086</v>
      </c>
    </row>
    <row r="8003" spans="1:14" x14ac:dyDescent="0.2">
      <c r="A8003" s="5" t="str">
        <f>HYPERLINK("http://www.ncbi.nlm.nih.gov/protein/31542956","Ube2k")</f>
        <v>Ube2k</v>
      </c>
      <c r="B8003" s="4"/>
      <c r="C8003" s="3">
        <v>2709</v>
      </c>
      <c r="D8003" s="3">
        <v>15370</v>
      </c>
      <c r="E8003" s="3">
        <v>15317</v>
      </c>
      <c r="F8003" s="3">
        <v>17779</v>
      </c>
      <c r="G8003" s="3">
        <v>43673</v>
      </c>
      <c r="H8003" s="2">
        <f t="shared" si="250"/>
        <v>94848</v>
      </c>
      <c r="I8003" t="str">
        <f t="shared" si="251"/>
        <v>Ube2k_94848</v>
      </c>
      <c r="J8003" s="3">
        <v>2709</v>
      </c>
      <c r="K8003" s="3">
        <v>15370</v>
      </c>
      <c r="L8003" s="3">
        <v>15317</v>
      </c>
      <c r="M8003" s="3">
        <v>17779</v>
      </c>
      <c r="N8003" s="3">
        <v>43673</v>
      </c>
    </row>
    <row r="8004" spans="1:14" x14ac:dyDescent="0.2">
      <c r="A8004" s="5" t="str">
        <f>HYPERLINK("http://www.ncbi.nlm.nih.gov/protein/21704162","Ube2m")</f>
        <v>Ube2m</v>
      </c>
      <c r="B8004" s="4"/>
      <c r="C8004" s="3">
        <v>586</v>
      </c>
      <c r="D8004" s="3">
        <v>9661</v>
      </c>
      <c r="E8004" s="3">
        <v>4118</v>
      </c>
      <c r="F8004" s="3">
        <v>13236</v>
      </c>
      <c r="G8004" s="3">
        <v>20776</v>
      </c>
      <c r="H8004" s="2">
        <f t="shared" si="250"/>
        <v>48377</v>
      </c>
      <c r="I8004" t="str">
        <f t="shared" si="251"/>
        <v>Ube2m_48377</v>
      </c>
      <c r="J8004" s="3">
        <v>586</v>
      </c>
      <c r="K8004" s="3">
        <v>9661</v>
      </c>
      <c r="L8004" s="3">
        <v>4118</v>
      </c>
      <c r="M8004" s="3">
        <v>13236</v>
      </c>
      <c r="N8004" s="3">
        <v>20776</v>
      </c>
    </row>
    <row r="8005" spans="1:14" x14ac:dyDescent="0.2">
      <c r="A8005" s="5" t="str">
        <f>HYPERLINK("http://www.ncbi.nlm.nih.gov/protein/270309117","Ube2m")</f>
        <v>Ube2m</v>
      </c>
      <c r="B8005" s="4"/>
      <c r="C8005" s="3">
        <v>586</v>
      </c>
      <c r="D8005" s="3">
        <v>1242</v>
      </c>
      <c r="E8005" s="3">
        <v>3960</v>
      </c>
      <c r="F8005" s="3">
        <v>3381</v>
      </c>
      <c r="G8005" s="3">
        <v>7518</v>
      </c>
      <c r="H8005" s="2">
        <f t="shared" si="250"/>
        <v>16687</v>
      </c>
      <c r="I8005" t="str">
        <f t="shared" si="251"/>
        <v>Ube2m_16687</v>
      </c>
      <c r="J8005" s="3">
        <v>586</v>
      </c>
      <c r="K8005" s="3">
        <v>1242</v>
      </c>
      <c r="L8005" s="3">
        <v>3960</v>
      </c>
      <c r="M8005" s="3">
        <v>3381</v>
      </c>
      <c r="N8005" s="3">
        <v>7518</v>
      </c>
    </row>
    <row r="8006" spans="1:14" x14ac:dyDescent="0.2">
      <c r="A8006" s="5" t="str">
        <f>HYPERLINK("http://www.ncbi.nlm.nih.gov/protein/345525404","Ube2m")</f>
        <v>Ube2m</v>
      </c>
      <c r="B8006" s="4"/>
      <c r="C8006" s="3">
        <v>586</v>
      </c>
      <c r="D8006" s="3">
        <v>7252</v>
      </c>
      <c r="E8006" s="3">
        <v>4118</v>
      </c>
      <c r="F8006" s="3">
        <v>12156</v>
      </c>
      <c r="G8006" s="3">
        <v>20776</v>
      </c>
      <c r="H8006" s="2">
        <f t="shared" si="250"/>
        <v>44888</v>
      </c>
      <c r="I8006" t="str">
        <f t="shared" si="251"/>
        <v>Ube2m_44888</v>
      </c>
      <c r="J8006" s="3">
        <v>586</v>
      </c>
      <c r="K8006" s="3">
        <v>7252</v>
      </c>
      <c r="L8006" s="3">
        <v>4118</v>
      </c>
      <c r="M8006" s="3">
        <v>12156</v>
      </c>
      <c r="N8006" s="3">
        <v>20776</v>
      </c>
    </row>
    <row r="8007" spans="1:14" x14ac:dyDescent="0.2">
      <c r="A8007" s="5" t="str">
        <f>HYPERLINK("http://www.ncbi.nlm.nih.gov/protein/18017605","Ube2n")</f>
        <v>Ube2n</v>
      </c>
      <c r="B8007" s="4"/>
      <c r="C8007" s="3">
        <v>45857</v>
      </c>
      <c r="D8007" s="3">
        <v>47274</v>
      </c>
      <c r="E8007" s="3">
        <v>23859</v>
      </c>
      <c r="F8007" s="3">
        <v>129929</v>
      </c>
      <c r="G8007" s="3">
        <v>21290</v>
      </c>
      <c r="H8007" s="2">
        <f t="shared" si="250"/>
        <v>268209</v>
      </c>
      <c r="I8007" t="str">
        <f t="shared" si="251"/>
        <v>Ube2n_268209</v>
      </c>
      <c r="J8007" s="3">
        <v>45857</v>
      </c>
      <c r="K8007" s="3">
        <v>47274</v>
      </c>
      <c r="L8007" s="3">
        <v>23859</v>
      </c>
      <c r="M8007" s="3">
        <v>129929</v>
      </c>
      <c r="N8007" s="3">
        <v>21290</v>
      </c>
    </row>
    <row r="8008" spans="1:14" x14ac:dyDescent="0.2">
      <c r="A8008" s="5" t="str">
        <f>HYPERLINK("http://www.ncbi.nlm.nih.gov/protein/50234896","Ube2o")</f>
        <v>Ube2o</v>
      </c>
      <c r="B8008" s="4"/>
      <c r="C8008" s="3">
        <v>0</v>
      </c>
      <c r="D8008" s="3">
        <v>17</v>
      </c>
      <c r="E8008" s="3">
        <v>15</v>
      </c>
      <c r="F8008" s="3">
        <v>393</v>
      </c>
      <c r="G8008" s="3">
        <v>33564</v>
      </c>
      <c r="H8008" s="2">
        <f t="shared" si="250"/>
        <v>33989</v>
      </c>
      <c r="I8008" t="str">
        <f t="shared" si="251"/>
        <v>Ube2o_33989</v>
      </c>
      <c r="J8008" s="3">
        <v>0</v>
      </c>
      <c r="K8008" s="3">
        <v>17</v>
      </c>
      <c r="L8008" s="3">
        <v>15</v>
      </c>
      <c r="M8008" s="3">
        <v>393</v>
      </c>
      <c r="N8008" s="3">
        <v>33564</v>
      </c>
    </row>
    <row r="8009" spans="1:14" x14ac:dyDescent="0.2">
      <c r="A8009" s="5" t="str">
        <f>HYPERLINK("http://www.ncbi.nlm.nih.gov/protein/170172548","Ube2q1")</f>
        <v>Ube2q1</v>
      </c>
      <c r="B8009" s="4"/>
      <c r="C8009" s="3">
        <v>0</v>
      </c>
      <c r="D8009" s="3">
        <v>0</v>
      </c>
      <c r="E8009" s="3">
        <v>0</v>
      </c>
      <c r="F8009" s="3">
        <v>0</v>
      </c>
      <c r="G8009" s="3">
        <v>3106</v>
      </c>
      <c r="H8009" s="2">
        <f t="shared" si="250"/>
        <v>3106</v>
      </c>
      <c r="I8009" t="str">
        <f t="shared" si="251"/>
        <v>Ube2q1_3106</v>
      </c>
      <c r="J8009" s="3">
        <v>0</v>
      </c>
      <c r="K8009" s="3">
        <v>0</v>
      </c>
      <c r="L8009" s="3">
        <v>0</v>
      </c>
      <c r="M8009" s="3">
        <v>0</v>
      </c>
      <c r="N8009" s="3">
        <v>3106</v>
      </c>
    </row>
    <row r="8010" spans="1:14" x14ac:dyDescent="0.2">
      <c r="A8010" s="5" t="str">
        <f>HYPERLINK("http://www.ncbi.nlm.nih.gov/protein/257796272","Ube2q2")</f>
        <v>Ube2q2</v>
      </c>
      <c r="B8010" s="4"/>
      <c r="C8010" s="3">
        <v>0</v>
      </c>
      <c r="D8010" s="3">
        <v>0</v>
      </c>
      <c r="E8010" s="3">
        <v>0</v>
      </c>
      <c r="F8010" s="3">
        <v>0</v>
      </c>
      <c r="G8010" s="3">
        <v>18452</v>
      </c>
      <c r="H8010" s="2">
        <f t="shared" si="250"/>
        <v>18452</v>
      </c>
      <c r="I8010" t="str">
        <f t="shared" si="251"/>
        <v>Ube2q2_18452</v>
      </c>
      <c r="J8010" s="3">
        <v>0</v>
      </c>
      <c r="K8010" s="3">
        <v>0</v>
      </c>
      <c r="L8010" s="3">
        <v>0</v>
      </c>
      <c r="M8010" s="3">
        <v>0</v>
      </c>
      <c r="N8010" s="3">
        <v>18452</v>
      </c>
    </row>
    <row r="8011" spans="1:14" x14ac:dyDescent="0.2">
      <c r="A8011" s="5" t="str">
        <f>HYPERLINK("http://www.ncbi.nlm.nih.gov/protein/13385778","Ube2r2")</f>
        <v>Ube2r2</v>
      </c>
      <c r="B8011" s="4"/>
      <c r="C8011" s="3">
        <v>0</v>
      </c>
      <c r="D8011" s="3">
        <v>0</v>
      </c>
      <c r="E8011" s="3">
        <v>0</v>
      </c>
      <c r="F8011" s="3">
        <v>0</v>
      </c>
      <c r="G8011" s="3">
        <v>5719</v>
      </c>
      <c r="H8011" s="2">
        <f t="shared" si="250"/>
        <v>5719</v>
      </c>
      <c r="I8011" t="str">
        <f t="shared" si="251"/>
        <v>Ube2r2_5719</v>
      </c>
      <c r="J8011" s="3">
        <v>0</v>
      </c>
      <c r="K8011" s="3">
        <v>0</v>
      </c>
      <c r="L8011" s="3">
        <v>0</v>
      </c>
      <c r="M8011" s="3">
        <v>0</v>
      </c>
      <c r="N8011" s="3">
        <v>5719</v>
      </c>
    </row>
    <row r="8012" spans="1:14" x14ac:dyDescent="0.2">
      <c r="A8012" s="5" t="str">
        <f>HYPERLINK("http://www.ncbi.nlm.nih.gov/protein/19527004","Ube2s")</f>
        <v>Ube2s</v>
      </c>
      <c r="B8012" s="4"/>
      <c r="C8012" s="3">
        <v>0</v>
      </c>
      <c r="D8012" s="3">
        <v>758</v>
      </c>
      <c r="E8012" s="3">
        <v>479</v>
      </c>
      <c r="F8012" s="3">
        <v>3266</v>
      </c>
      <c r="G8012" s="3">
        <v>2260</v>
      </c>
      <c r="H8012" s="2">
        <f t="shared" si="250"/>
        <v>6763</v>
      </c>
      <c r="I8012" t="str">
        <f t="shared" si="251"/>
        <v>Ube2s_6763</v>
      </c>
      <c r="J8012" s="3">
        <v>0</v>
      </c>
      <c r="K8012" s="3">
        <v>758</v>
      </c>
      <c r="L8012" s="3">
        <v>479</v>
      </c>
      <c r="M8012" s="3">
        <v>3266</v>
      </c>
      <c r="N8012" s="3">
        <v>2260</v>
      </c>
    </row>
    <row r="8013" spans="1:14" x14ac:dyDescent="0.2">
      <c r="A8013" s="5" t="str">
        <f>HYPERLINK("http://www.ncbi.nlm.nih.gov/protein/13385530","Ube2t")</f>
        <v>Ube2t</v>
      </c>
      <c r="B8013" s="4"/>
      <c r="C8013" s="3">
        <v>0</v>
      </c>
      <c r="D8013" s="3">
        <v>18126</v>
      </c>
      <c r="E8013" s="3">
        <v>0</v>
      </c>
      <c r="F8013" s="3">
        <v>24786</v>
      </c>
      <c r="G8013" s="3">
        <v>4466</v>
      </c>
      <c r="H8013" s="2">
        <f t="shared" si="250"/>
        <v>47378</v>
      </c>
      <c r="I8013" t="str">
        <f t="shared" si="251"/>
        <v>Ube2t_47378</v>
      </c>
      <c r="J8013" s="3">
        <v>0</v>
      </c>
      <c r="K8013" s="3">
        <v>18126</v>
      </c>
      <c r="L8013" s="3">
        <v>0</v>
      </c>
      <c r="M8013" s="3">
        <v>24786</v>
      </c>
      <c r="N8013" s="3">
        <v>4466</v>
      </c>
    </row>
    <row r="8014" spans="1:14" x14ac:dyDescent="0.2">
      <c r="A8014" s="5" t="str">
        <f>HYPERLINK("http://www.ncbi.nlm.nih.gov/protein/42741690","Ube2v1")</f>
        <v>Ube2v1</v>
      </c>
      <c r="B8014" s="4"/>
      <c r="C8014" s="3">
        <v>23816</v>
      </c>
      <c r="D8014" s="3">
        <v>31142</v>
      </c>
      <c r="E8014" s="3">
        <v>32063</v>
      </c>
      <c r="F8014" s="3">
        <v>54909</v>
      </c>
      <c r="G8014" s="3">
        <v>431807</v>
      </c>
      <c r="H8014" s="2">
        <f t="shared" si="250"/>
        <v>573737</v>
      </c>
      <c r="I8014" t="str">
        <f t="shared" si="251"/>
        <v>Ube2v1_573737</v>
      </c>
      <c r="J8014" s="3">
        <v>23816</v>
      </c>
      <c r="K8014" s="3">
        <v>31142</v>
      </c>
      <c r="L8014" s="3">
        <v>32063</v>
      </c>
      <c r="M8014" s="3">
        <v>54909</v>
      </c>
      <c r="N8014" s="3">
        <v>431807</v>
      </c>
    </row>
    <row r="8015" spans="1:14" x14ac:dyDescent="0.2">
      <c r="A8015" s="5" t="str">
        <f>HYPERLINK("http://www.ncbi.nlm.nih.gov/protein/226823223","Ube2v2")</f>
        <v>Ube2v2</v>
      </c>
      <c r="B8015" s="4"/>
      <c r="C8015" s="3">
        <v>21729</v>
      </c>
      <c r="D8015" s="3">
        <v>20215</v>
      </c>
      <c r="E8015" s="3">
        <v>24364</v>
      </c>
      <c r="F8015" s="3">
        <v>39806</v>
      </c>
      <c r="G8015" s="3">
        <v>106977</v>
      </c>
      <c r="H8015" s="2">
        <f t="shared" si="250"/>
        <v>213091</v>
      </c>
      <c r="I8015" t="str">
        <f t="shared" si="251"/>
        <v>Ube2v2_213091</v>
      </c>
      <c r="J8015" s="3">
        <v>21729</v>
      </c>
      <c r="K8015" s="3">
        <v>20215</v>
      </c>
      <c r="L8015" s="3">
        <v>24364</v>
      </c>
      <c r="M8015" s="3">
        <v>39806</v>
      </c>
      <c r="N8015" s="3">
        <v>106977</v>
      </c>
    </row>
    <row r="8016" spans="1:14" x14ac:dyDescent="0.2">
      <c r="A8016" s="5" t="str">
        <f>HYPERLINK("http://www.ncbi.nlm.nih.gov/protein/31543918","Ube2v2")</f>
        <v>Ube2v2</v>
      </c>
      <c r="B8016" s="4"/>
      <c r="C8016" s="3">
        <v>21729</v>
      </c>
      <c r="D8016" s="3">
        <v>23629</v>
      </c>
      <c r="E8016" s="3">
        <v>25330</v>
      </c>
      <c r="F8016" s="3">
        <v>42622</v>
      </c>
      <c r="G8016" s="3">
        <v>295015</v>
      </c>
      <c r="H8016" s="2">
        <f t="shared" si="250"/>
        <v>408325</v>
      </c>
      <c r="I8016" t="str">
        <f t="shared" si="251"/>
        <v>Ube2v2_408325</v>
      </c>
      <c r="J8016" s="3">
        <v>21729</v>
      </c>
      <c r="K8016" s="3">
        <v>23629</v>
      </c>
      <c r="L8016" s="3">
        <v>25330</v>
      </c>
      <c r="M8016" s="3">
        <v>42622</v>
      </c>
      <c r="N8016" s="3">
        <v>295015</v>
      </c>
    </row>
    <row r="8017" spans="1:14" x14ac:dyDescent="0.2">
      <c r="A8017" s="5" t="str">
        <f>HYPERLINK("http://www.ncbi.nlm.nih.gov/protein/401891882","Ube2w")</f>
        <v>Ube2w</v>
      </c>
      <c r="B8017" s="4"/>
      <c r="C8017" s="3">
        <v>0</v>
      </c>
      <c r="D8017" s="3">
        <v>0</v>
      </c>
      <c r="E8017" s="3">
        <v>0</v>
      </c>
      <c r="F8017" s="3">
        <v>0</v>
      </c>
      <c r="G8017" s="3">
        <v>139</v>
      </c>
      <c r="H8017" s="2">
        <f t="shared" si="250"/>
        <v>139</v>
      </c>
      <c r="I8017" t="str">
        <f t="shared" si="251"/>
        <v>Ube2w_139</v>
      </c>
      <c r="J8017" s="3">
        <v>0</v>
      </c>
      <c r="K8017" s="3">
        <v>0</v>
      </c>
      <c r="L8017" s="3">
        <v>0</v>
      </c>
      <c r="M8017" s="3">
        <v>0</v>
      </c>
      <c r="N8017" s="3">
        <v>139</v>
      </c>
    </row>
    <row r="8018" spans="1:14" x14ac:dyDescent="0.2">
      <c r="A8018" s="5" t="str">
        <f>HYPERLINK("http://www.ncbi.nlm.nih.gov/protein/401891885","Ube2w")</f>
        <v>Ube2w</v>
      </c>
      <c r="B8018" s="4"/>
      <c r="C8018" s="3">
        <v>0</v>
      </c>
      <c r="D8018" s="3">
        <v>0</v>
      </c>
      <c r="E8018" s="3">
        <v>0</v>
      </c>
      <c r="F8018" s="3">
        <v>0</v>
      </c>
      <c r="G8018" s="3">
        <v>139</v>
      </c>
      <c r="H8018" s="2">
        <f t="shared" si="250"/>
        <v>139</v>
      </c>
      <c r="I8018" t="str">
        <f t="shared" si="251"/>
        <v>Ube2w_139</v>
      </c>
      <c r="J8018" s="3">
        <v>0</v>
      </c>
      <c r="K8018" s="3">
        <v>0</v>
      </c>
      <c r="L8018" s="3">
        <v>0</v>
      </c>
      <c r="M8018" s="3">
        <v>0</v>
      </c>
      <c r="N8018" s="3">
        <v>139</v>
      </c>
    </row>
    <row r="8019" spans="1:14" x14ac:dyDescent="0.2">
      <c r="A8019" s="5" t="str">
        <f>HYPERLINK("http://www.ncbi.nlm.nih.gov/protein/401901244","Ube2w")</f>
        <v>Ube2w</v>
      </c>
      <c r="B8019" s="4"/>
      <c r="C8019" s="3">
        <v>0</v>
      </c>
      <c r="D8019" s="3">
        <v>0</v>
      </c>
      <c r="E8019" s="3">
        <v>0</v>
      </c>
      <c r="F8019" s="3">
        <v>0</v>
      </c>
      <c r="G8019" s="3">
        <v>139</v>
      </c>
      <c r="H8019" s="2">
        <f t="shared" si="250"/>
        <v>139</v>
      </c>
      <c r="I8019" t="str">
        <f t="shared" si="251"/>
        <v>Ube2w_139</v>
      </c>
      <c r="J8019" s="3">
        <v>0</v>
      </c>
      <c r="K8019" s="3">
        <v>0</v>
      </c>
      <c r="L8019" s="3">
        <v>0</v>
      </c>
      <c r="M8019" s="3">
        <v>0</v>
      </c>
      <c r="N8019" s="3">
        <v>139</v>
      </c>
    </row>
    <row r="8020" spans="1:14" x14ac:dyDescent="0.2">
      <c r="A8020" s="5" t="str">
        <f>HYPERLINK("http://www.ncbi.nlm.nih.gov/protein/110681729","Ube2z")</f>
        <v>Ube2z</v>
      </c>
      <c r="B8020" s="4"/>
      <c r="C8020" s="3">
        <v>0</v>
      </c>
      <c r="D8020" s="3">
        <v>1643</v>
      </c>
      <c r="E8020" s="3">
        <v>2044</v>
      </c>
      <c r="F8020" s="3">
        <v>0</v>
      </c>
      <c r="G8020" s="3">
        <v>38993</v>
      </c>
      <c r="H8020" s="2">
        <f t="shared" si="250"/>
        <v>42680</v>
      </c>
      <c r="I8020" t="str">
        <f t="shared" si="251"/>
        <v>Ube2z_42680</v>
      </c>
      <c r="J8020" s="3">
        <v>0</v>
      </c>
      <c r="K8020" s="3">
        <v>1643</v>
      </c>
      <c r="L8020" s="3">
        <v>2044</v>
      </c>
      <c r="M8020" s="3">
        <v>0</v>
      </c>
      <c r="N8020" s="3">
        <v>38993</v>
      </c>
    </row>
    <row r="8021" spans="1:14" x14ac:dyDescent="0.2">
      <c r="A8021" s="5" t="str">
        <f>HYPERLINK("http://www.ncbi.nlm.nih.gov/protein/27804321","Ube3a")</f>
        <v>Ube3a</v>
      </c>
      <c r="B8021" s="4"/>
      <c r="C8021" s="3">
        <v>0</v>
      </c>
      <c r="D8021" s="3">
        <v>0</v>
      </c>
      <c r="E8021" s="3">
        <v>15</v>
      </c>
      <c r="F8021" s="3">
        <v>6041</v>
      </c>
      <c r="G8021" s="3">
        <v>8632</v>
      </c>
      <c r="H8021" s="2">
        <f t="shared" si="250"/>
        <v>14688</v>
      </c>
      <c r="I8021" t="str">
        <f t="shared" si="251"/>
        <v>Ube3a_14688</v>
      </c>
      <c r="J8021" s="3">
        <v>0</v>
      </c>
      <c r="K8021" s="3">
        <v>0</v>
      </c>
      <c r="L8021" s="3">
        <v>15</v>
      </c>
      <c r="M8021" s="3">
        <v>6041</v>
      </c>
      <c r="N8021" s="3">
        <v>8632</v>
      </c>
    </row>
    <row r="8022" spans="1:14" x14ac:dyDescent="0.2">
      <c r="A8022" s="5" t="str">
        <f>HYPERLINK("http://www.ncbi.nlm.nih.gov/protein/76880494","Ube3a")</f>
        <v>Ube3a</v>
      </c>
      <c r="B8022" s="4"/>
      <c r="C8022" s="3">
        <v>0</v>
      </c>
      <c r="D8022" s="3">
        <v>0</v>
      </c>
      <c r="E8022" s="3">
        <v>15</v>
      </c>
      <c r="F8022" s="3">
        <v>6082</v>
      </c>
      <c r="G8022" s="3">
        <v>8664</v>
      </c>
      <c r="H8022" s="2">
        <f t="shared" si="250"/>
        <v>14761</v>
      </c>
      <c r="I8022" t="str">
        <f t="shared" si="251"/>
        <v>Ube3a_14761</v>
      </c>
      <c r="J8022" s="3">
        <v>0</v>
      </c>
      <c r="K8022" s="3">
        <v>0</v>
      </c>
      <c r="L8022" s="3">
        <v>15</v>
      </c>
      <c r="M8022" s="3">
        <v>6082</v>
      </c>
      <c r="N8022" s="3">
        <v>8664</v>
      </c>
    </row>
    <row r="8023" spans="1:14" x14ac:dyDescent="0.2">
      <c r="A8023" s="5" t="str">
        <f>HYPERLINK("http://www.ncbi.nlm.nih.gov/protein/76880500","Ube3a")</f>
        <v>Ube3a</v>
      </c>
      <c r="B8023" s="4"/>
      <c r="C8023" s="3">
        <v>0</v>
      </c>
      <c r="D8023" s="3">
        <v>0</v>
      </c>
      <c r="E8023" s="3">
        <v>15</v>
      </c>
      <c r="F8023" s="3">
        <v>6041</v>
      </c>
      <c r="G8023" s="3">
        <v>8632</v>
      </c>
      <c r="H8023" s="2">
        <f t="shared" si="250"/>
        <v>14688</v>
      </c>
      <c r="I8023" t="str">
        <f t="shared" si="251"/>
        <v>Ube3a_14688</v>
      </c>
      <c r="J8023" s="3">
        <v>0</v>
      </c>
      <c r="K8023" s="3">
        <v>0</v>
      </c>
      <c r="L8023" s="3">
        <v>15</v>
      </c>
      <c r="M8023" s="3">
        <v>6041</v>
      </c>
      <c r="N8023" s="3">
        <v>8632</v>
      </c>
    </row>
    <row r="8024" spans="1:14" x14ac:dyDescent="0.2">
      <c r="A8024" s="5" t="str">
        <f>HYPERLINK("http://www.ncbi.nlm.nih.gov/protein/29789341","Ube3c")</f>
        <v>Ube3c</v>
      </c>
      <c r="B8024" s="4"/>
      <c r="C8024" s="3">
        <v>0</v>
      </c>
      <c r="D8024" s="3">
        <v>0</v>
      </c>
      <c r="E8024" s="3">
        <v>0</v>
      </c>
      <c r="F8024" s="3">
        <v>3454</v>
      </c>
      <c r="G8024" s="3">
        <v>2677</v>
      </c>
      <c r="H8024" s="2">
        <f t="shared" si="250"/>
        <v>6131</v>
      </c>
      <c r="I8024" t="str">
        <f t="shared" si="251"/>
        <v>Ube3c_6131</v>
      </c>
      <c r="J8024" s="3">
        <v>0</v>
      </c>
      <c r="K8024" s="3">
        <v>0</v>
      </c>
      <c r="L8024" s="3">
        <v>0</v>
      </c>
      <c r="M8024" s="3">
        <v>3454</v>
      </c>
      <c r="N8024" s="3">
        <v>2677</v>
      </c>
    </row>
    <row r="8025" spans="1:14" x14ac:dyDescent="0.2">
      <c r="A8025" s="5" t="str">
        <f>HYPERLINK("http://www.ncbi.nlm.nih.gov/protein/167736371","Ube4a")</f>
        <v>Ube4a</v>
      </c>
      <c r="B8025" s="4"/>
      <c r="C8025" s="3">
        <v>0</v>
      </c>
      <c r="D8025" s="3">
        <v>463</v>
      </c>
      <c r="E8025" s="3">
        <v>465</v>
      </c>
      <c r="F8025" s="3">
        <v>0</v>
      </c>
      <c r="G8025" s="3">
        <v>493</v>
      </c>
      <c r="H8025" s="2">
        <f t="shared" si="250"/>
        <v>1421</v>
      </c>
      <c r="I8025" t="str">
        <f t="shared" si="251"/>
        <v>Ube4a_1421</v>
      </c>
      <c r="J8025" s="3">
        <v>0</v>
      </c>
      <c r="K8025" s="3">
        <v>463</v>
      </c>
      <c r="L8025" s="3">
        <v>465</v>
      </c>
      <c r="M8025" s="3">
        <v>0</v>
      </c>
      <c r="N8025" s="3">
        <v>493</v>
      </c>
    </row>
    <row r="8026" spans="1:14" x14ac:dyDescent="0.2">
      <c r="A8026" s="5" t="str">
        <f>HYPERLINK("http://www.ncbi.nlm.nih.gov/protein/172073169","Ube4b")</f>
        <v>Ube4b</v>
      </c>
      <c r="B8026" s="4"/>
      <c r="C8026" s="3">
        <v>0</v>
      </c>
      <c r="D8026" s="3">
        <v>0</v>
      </c>
      <c r="E8026" s="3">
        <v>28</v>
      </c>
      <c r="F8026" s="3">
        <v>16</v>
      </c>
      <c r="G8026" s="3">
        <v>9896</v>
      </c>
      <c r="H8026" s="2">
        <f t="shared" si="250"/>
        <v>9940</v>
      </c>
      <c r="I8026" t="str">
        <f t="shared" si="251"/>
        <v>Ube4b_9940</v>
      </c>
      <c r="J8026" s="3">
        <v>0</v>
      </c>
      <c r="K8026" s="3">
        <v>0</v>
      </c>
      <c r="L8026" s="3">
        <v>28</v>
      </c>
      <c r="M8026" s="3">
        <v>16</v>
      </c>
      <c r="N8026" s="3">
        <v>9896</v>
      </c>
    </row>
    <row r="8027" spans="1:14" x14ac:dyDescent="0.2">
      <c r="A8027" s="5" t="str">
        <f>HYPERLINK("http://www.ncbi.nlm.nih.gov/protein/77917602","Ubfd1")</f>
        <v>Ubfd1</v>
      </c>
      <c r="B8027" s="4"/>
      <c r="C8027" s="3">
        <v>0</v>
      </c>
      <c r="D8027" s="3">
        <v>0</v>
      </c>
      <c r="E8027" s="3">
        <v>274</v>
      </c>
      <c r="F8027" s="3">
        <v>0</v>
      </c>
      <c r="G8027" s="3">
        <v>10859</v>
      </c>
      <c r="H8027" s="2">
        <f t="shared" si="250"/>
        <v>11133</v>
      </c>
      <c r="I8027" t="str">
        <f t="shared" si="251"/>
        <v>Ubfd1_11133</v>
      </c>
      <c r="J8027" s="3">
        <v>0</v>
      </c>
      <c r="K8027" s="3">
        <v>0</v>
      </c>
      <c r="L8027" s="3">
        <v>274</v>
      </c>
      <c r="M8027" s="3">
        <v>0</v>
      </c>
      <c r="N8027" s="3">
        <v>10859</v>
      </c>
    </row>
    <row r="8028" spans="1:14" x14ac:dyDescent="0.2">
      <c r="A8028" s="5" t="str">
        <f>HYPERLINK("http://www.ncbi.nlm.nih.gov/protein/6755925","Ubl3")</f>
        <v>Ubl3</v>
      </c>
      <c r="B8028" s="4"/>
      <c r="C8028" s="3">
        <v>110</v>
      </c>
      <c r="D8028" s="3">
        <v>440</v>
      </c>
      <c r="E8028" s="3">
        <v>888</v>
      </c>
      <c r="F8028" s="3">
        <v>0</v>
      </c>
      <c r="G8028" s="3">
        <v>0</v>
      </c>
      <c r="H8028" s="2">
        <f t="shared" si="250"/>
        <v>1438</v>
      </c>
      <c r="I8028" t="str">
        <f t="shared" si="251"/>
        <v>Ubl3_1438</v>
      </c>
      <c r="J8028" s="3">
        <v>110</v>
      </c>
      <c r="K8028" s="3">
        <v>440</v>
      </c>
      <c r="L8028" s="3">
        <v>888</v>
      </c>
      <c r="M8028" s="3">
        <v>0</v>
      </c>
      <c r="N8028" s="3">
        <v>0</v>
      </c>
    </row>
    <row r="8029" spans="1:14" x14ac:dyDescent="0.2">
      <c r="A8029" s="5" t="str">
        <f>HYPERLINK("http://www.ncbi.nlm.nih.gov/protein/21703810","Ubl4")</f>
        <v>Ubl4</v>
      </c>
      <c r="B8029" s="4"/>
      <c r="C8029" s="3">
        <v>0</v>
      </c>
      <c r="D8029" s="3">
        <v>228</v>
      </c>
      <c r="E8029" s="3">
        <v>748</v>
      </c>
      <c r="F8029" s="3">
        <v>3553</v>
      </c>
      <c r="G8029" s="3">
        <v>12123</v>
      </c>
      <c r="H8029" s="2">
        <f t="shared" si="250"/>
        <v>16652</v>
      </c>
      <c r="I8029" t="str">
        <f t="shared" si="251"/>
        <v>Ubl4_16652</v>
      </c>
      <c r="J8029" s="3">
        <v>0</v>
      </c>
      <c r="K8029" s="3">
        <v>228</v>
      </c>
      <c r="L8029" s="3">
        <v>748</v>
      </c>
      <c r="M8029" s="3">
        <v>3553</v>
      </c>
      <c r="N8029" s="3">
        <v>12123</v>
      </c>
    </row>
    <row r="8030" spans="1:14" x14ac:dyDescent="0.2">
      <c r="A8030" s="5" t="str">
        <f>HYPERLINK("http://www.ncbi.nlm.nih.gov/protein/13384784","Ubl5")</f>
        <v>Ubl5</v>
      </c>
      <c r="B8030" s="4"/>
      <c r="C8030" s="3">
        <v>3496</v>
      </c>
      <c r="D8030" s="3">
        <v>63</v>
      </c>
      <c r="E8030" s="3">
        <v>1294</v>
      </c>
      <c r="F8030" s="3">
        <v>1531</v>
      </c>
      <c r="G8030" s="3">
        <v>1917</v>
      </c>
      <c r="H8030" s="2">
        <f t="shared" si="250"/>
        <v>8301</v>
      </c>
      <c r="I8030" t="str">
        <f t="shared" si="251"/>
        <v>Ubl5_8301</v>
      </c>
      <c r="J8030" s="3">
        <v>3496</v>
      </c>
      <c r="K8030" s="3">
        <v>63</v>
      </c>
      <c r="L8030" s="3">
        <v>1294</v>
      </c>
      <c r="M8030" s="3">
        <v>1531</v>
      </c>
      <c r="N8030" s="3">
        <v>1917</v>
      </c>
    </row>
    <row r="8031" spans="1:14" x14ac:dyDescent="0.2">
      <c r="A8031" s="5" t="str">
        <f>HYPERLINK("http://www.ncbi.nlm.nih.gov/protein/407261853","Ublcp1")</f>
        <v>Ublcp1</v>
      </c>
      <c r="B8031" s="4"/>
      <c r="C8031" s="3">
        <v>0</v>
      </c>
      <c r="D8031" s="3">
        <v>0</v>
      </c>
      <c r="E8031" s="3">
        <v>0</v>
      </c>
      <c r="F8031" s="3">
        <v>1113</v>
      </c>
      <c r="G8031" s="3">
        <v>0</v>
      </c>
      <c r="H8031" s="2">
        <f t="shared" si="250"/>
        <v>1113</v>
      </c>
      <c r="I8031" t="str">
        <f t="shared" si="251"/>
        <v>Ublcp1_1113</v>
      </c>
      <c r="J8031" s="3">
        <v>0</v>
      </c>
      <c r="K8031" s="3">
        <v>0</v>
      </c>
      <c r="L8031" s="3">
        <v>0</v>
      </c>
      <c r="M8031" s="3">
        <v>1113</v>
      </c>
      <c r="N8031" s="3">
        <v>0</v>
      </c>
    </row>
    <row r="8032" spans="1:14" x14ac:dyDescent="0.2">
      <c r="A8032" s="5" t="str">
        <f>HYPERLINK("http://www.ncbi.nlm.nih.gov/protein/46575895","Ublcp1")</f>
        <v>Ublcp1</v>
      </c>
      <c r="B8032" s="4"/>
      <c r="C8032" s="3">
        <v>0</v>
      </c>
      <c r="D8032" s="3">
        <v>96</v>
      </c>
      <c r="E8032" s="3">
        <v>588</v>
      </c>
      <c r="F8032" s="3">
        <v>4723</v>
      </c>
      <c r="G8032" s="3">
        <v>5869</v>
      </c>
      <c r="H8032" s="2">
        <f t="shared" si="250"/>
        <v>11276</v>
      </c>
      <c r="I8032" t="str">
        <f t="shared" si="251"/>
        <v>Ublcp1_11276</v>
      </c>
      <c r="J8032" s="3">
        <v>0</v>
      </c>
      <c r="K8032" s="3">
        <v>96</v>
      </c>
      <c r="L8032" s="3">
        <v>588</v>
      </c>
      <c r="M8032" s="3">
        <v>4723</v>
      </c>
      <c r="N8032" s="3">
        <v>5869</v>
      </c>
    </row>
    <row r="8033" spans="1:14" x14ac:dyDescent="0.2">
      <c r="A8033" s="5" t="str">
        <f>HYPERLINK("http://www.ncbi.nlm.nih.gov/protein/134032032","Ubp1")</f>
        <v>Ubp1</v>
      </c>
      <c r="B8033" s="4"/>
      <c r="C8033" s="3">
        <v>0</v>
      </c>
      <c r="D8033" s="3">
        <v>372</v>
      </c>
      <c r="E8033" s="3">
        <v>0</v>
      </c>
      <c r="F8033" s="3">
        <v>246</v>
      </c>
      <c r="G8033" s="3">
        <v>0</v>
      </c>
      <c r="H8033" s="2">
        <f t="shared" si="250"/>
        <v>618</v>
      </c>
      <c r="I8033" t="str">
        <f t="shared" si="251"/>
        <v>Ubp1_618</v>
      </c>
      <c r="J8033" s="3">
        <v>0</v>
      </c>
      <c r="K8033" s="3">
        <v>372</v>
      </c>
      <c r="L8033" s="3">
        <v>0</v>
      </c>
      <c r="M8033" s="3">
        <v>246</v>
      </c>
      <c r="N8033" s="3">
        <v>0</v>
      </c>
    </row>
    <row r="8034" spans="1:14" x14ac:dyDescent="0.2">
      <c r="A8034" s="5" t="str">
        <f>HYPERLINK("http://www.ncbi.nlm.nih.gov/protein/7305605","Ubp1")</f>
        <v>Ubp1</v>
      </c>
      <c r="B8034" s="4"/>
      <c r="C8034" s="3">
        <v>0</v>
      </c>
      <c r="D8034" s="3">
        <v>372</v>
      </c>
      <c r="E8034" s="3">
        <v>0</v>
      </c>
      <c r="F8034" s="3">
        <v>246</v>
      </c>
      <c r="G8034" s="3">
        <v>0</v>
      </c>
      <c r="H8034" s="2">
        <f t="shared" si="250"/>
        <v>618</v>
      </c>
      <c r="I8034" t="str">
        <f t="shared" si="251"/>
        <v>Ubp1_618</v>
      </c>
      <c r="J8034" s="3">
        <v>0</v>
      </c>
      <c r="K8034" s="3">
        <v>372</v>
      </c>
      <c r="L8034" s="3">
        <v>0</v>
      </c>
      <c r="M8034" s="3">
        <v>246</v>
      </c>
      <c r="N8034" s="3">
        <v>0</v>
      </c>
    </row>
    <row r="8035" spans="1:14" x14ac:dyDescent="0.2">
      <c r="A8035" s="5" t="str">
        <f>HYPERLINK("http://www.ncbi.nlm.nih.gov/protein/22726191","Ubqln1")</f>
        <v>Ubqln1</v>
      </c>
      <c r="B8035" s="4"/>
      <c r="C8035" s="3">
        <v>0</v>
      </c>
      <c r="D8035" s="3">
        <v>703</v>
      </c>
      <c r="E8035" s="3">
        <v>2767</v>
      </c>
      <c r="F8035" s="3">
        <v>262</v>
      </c>
      <c r="G8035" s="3">
        <v>6415</v>
      </c>
      <c r="H8035" s="2">
        <f t="shared" si="250"/>
        <v>10147</v>
      </c>
      <c r="I8035" t="str">
        <f t="shared" si="251"/>
        <v>Ubqln1_10147</v>
      </c>
      <c r="J8035" s="3">
        <v>0</v>
      </c>
      <c r="K8035" s="3">
        <v>703</v>
      </c>
      <c r="L8035" s="3">
        <v>2767</v>
      </c>
      <c r="M8035" s="3">
        <v>262</v>
      </c>
      <c r="N8035" s="3">
        <v>6415</v>
      </c>
    </row>
    <row r="8036" spans="1:14" x14ac:dyDescent="0.2">
      <c r="A8036" s="5" t="str">
        <f>HYPERLINK("http://www.ncbi.nlm.nih.gov/protein/295054230","Ubqln1")</f>
        <v>Ubqln1</v>
      </c>
      <c r="B8036" s="4"/>
      <c r="C8036" s="3">
        <v>0</v>
      </c>
      <c r="D8036" s="3">
        <v>703</v>
      </c>
      <c r="E8036" s="3">
        <v>2767</v>
      </c>
      <c r="F8036" s="3">
        <v>262</v>
      </c>
      <c r="G8036" s="3">
        <v>6415</v>
      </c>
      <c r="H8036" s="2">
        <f t="shared" si="250"/>
        <v>10147</v>
      </c>
      <c r="I8036" t="str">
        <f t="shared" si="251"/>
        <v>Ubqln1_10147</v>
      </c>
      <c r="J8036" s="3">
        <v>0</v>
      </c>
      <c r="K8036" s="3">
        <v>703</v>
      </c>
      <c r="L8036" s="3">
        <v>2767</v>
      </c>
      <c r="M8036" s="3">
        <v>262</v>
      </c>
      <c r="N8036" s="3">
        <v>6415</v>
      </c>
    </row>
    <row r="8037" spans="1:14" x14ac:dyDescent="0.2">
      <c r="A8037" s="5" t="str">
        <f>HYPERLINK("http://www.ncbi.nlm.nih.gov/protein/34328236","Ubqln2")</f>
        <v>Ubqln2</v>
      </c>
      <c r="B8037" s="4"/>
      <c r="C8037" s="3">
        <v>0</v>
      </c>
      <c r="D8037" s="3">
        <v>1244</v>
      </c>
      <c r="E8037" s="3">
        <v>3585</v>
      </c>
      <c r="F8037" s="3">
        <v>6180</v>
      </c>
      <c r="G8037" s="3">
        <v>19705</v>
      </c>
      <c r="H8037" s="2">
        <f t="shared" si="250"/>
        <v>30714</v>
      </c>
      <c r="I8037" t="str">
        <f t="shared" si="251"/>
        <v>Ubqln2_30714</v>
      </c>
      <c r="J8037" s="3">
        <v>0</v>
      </c>
      <c r="K8037" s="3">
        <v>1244</v>
      </c>
      <c r="L8037" s="3">
        <v>3585</v>
      </c>
      <c r="M8037" s="3">
        <v>6180</v>
      </c>
      <c r="N8037" s="3">
        <v>19705</v>
      </c>
    </row>
    <row r="8038" spans="1:14" x14ac:dyDescent="0.2">
      <c r="A8038" s="5" t="str">
        <f>HYPERLINK("http://www.ncbi.nlm.nih.gov/protein/15805016","Ubqln4")</f>
        <v>Ubqln4</v>
      </c>
      <c r="B8038" s="4"/>
      <c r="C8038" s="3">
        <v>0</v>
      </c>
      <c r="D8038" s="3">
        <v>0</v>
      </c>
      <c r="E8038" s="3">
        <v>1607</v>
      </c>
      <c r="F8038" s="3">
        <v>65</v>
      </c>
      <c r="G8038" s="3">
        <v>6640</v>
      </c>
      <c r="H8038" s="2">
        <f t="shared" si="250"/>
        <v>8312</v>
      </c>
      <c r="I8038" t="str">
        <f t="shared" si="251"/>
        <v>Ubqln4_8312</v>
      </c>
      <c r="J8038" s="3">
        <v>0</v>
      </c>
      <c r="K8038" s="3">
        <v>0</v>
      </c>
      <c r="L8038" s="3">
        <v>1607</v>
      </c>
      <c r="M8038" s="3">
        <v>65</v>
      </c>
      <c r="N8038" s="3">
        <v>6640</v>
      </c>
    </row>
    <row r="8039" spans="1:14" x14ac:dyDescent="0.2">
      <c r="A8039" s="5" t="str">
        <f>HYPERLINK("http://www.ncbi.nlm.nih.gov/protein/154091026","Ubr1")</f>
        <v>Ubr1</v>
      </c>
      <c r="B8039" s="4"/>
      <c r="C8039" s="3">
        <v>0</v>
      </c>
      <c r="D8039" s="3">
        <v>0</v>
      </c>
      <c r="E8039" s="3">
        <v>0</v>
      </c>
      <c r="F8039" s="3">
        <v>0</v>
      </c>
      <c r="G8039" s="3">
        <v>4809</v>
      </c>
      <c r="H8039" s="2">
        <f t="shared" si="250"/>
        <v>4809</v>
      </c>
      <c r="I8039" t="str">
        <f t="shared" si="251"/>
        <v>Ubr1_4809</v>
      </c>
      <c r="J8039" s="3">
        <v>0</v>
      </c>
      <c r="K8039" s="3">
        <v>0</v>
      </c>
      <c r="L8039" s="3">
        <v>0</v>
      </c>
      <c r="M8039" s="3">
        <v>0</v>
      </c>
      <c r="N8039" s="3">
        <v>4809</v>
      </c>
    </row>
    <row r="8040" spans="1:14" x14ac:dyDescent="0.2">
      <c r="A8040" s="5" t="str">
        <f>HYPERLINK("http://www.ncbi.nlm.nih.gov/protein/293651567","Ubr2")</f>
        <v>Ubr2</v>
      </c>
      <c r="B8040" s="4"/>
      <c r="C8040" s="3">
        <v>0</v>
      </c>
      <c r="D8040" s="3">
        <v>0</v>
      </c>
      <c r="E8040" s="3">
        <v>37</v>
      </c>
      <c r="F8040" s="3">
        <v>769</v>
      </c>
      <c r="G8040" s="3">
        <v>9296</v>
      </c>
      <c r="H8040" s="2">
        <f t="shared" si="250"/>
        <v>10102</v>
      </c>
      <c r="I8040" t="str">
        <f t="shared" si="251"/>
        <v>Ubr2_10102</v>
      </c>
      <c r="J8040" s="3">
        <v>0</v>
      </c>
      <c r="K8040" s="3">
        <v>0</v>
      </c>
      <c r="L8040" s="3">
        <v>37</v>
      </c>
      <c r="M8040" s="3">
        <v>769</v>
      </c>
      <c r="N8040" s="3">
        <v>9296</v>
      </c>
    </row>
    <row r="8041" spans="1:14" x14ac:dyDescent="0.2">
      <c r="A8041" s="5" t="str">
        <f>HYPERLINK("http://www.ncbi.nlm.nih.gov/protein/58615693","Ubr2")</f>
        <v>Ubr2</v>
      </c>
      <c r="B8041" s="4"/>
      <c r="C8041" s="3">
        <v>0</v>
      </c>
      <c r="D8041" s="3">
        <v>0</v>
      </c>
      <c r="E8041" s="3">
        <v>37</v>
      </c>
      <c r="F8041" s="3">
        <v>769</v>
      </c>
      <c r="G8041" s="3">
        <v>9296</v>
      </c>
      <c r="H8041" s="2">
        <f t="shared" si="250"/>
        <v>10102</v>
      </c>
      <c r="I8041" t="str">
        <f t="shared" si="251"/>
        <v>Ubr2_10102</v>
      </c>
      <c r="J8041" s="3">
        <v>0</v>
      </c>
      <c r="K8041" s="3">
        <v>0</v>
      </c>
      <c r="L8041" s="3">
        <v>37</v>
      </c>
      <c r="M8041" s="3">
        <v>769</v>
      </c>
      <c r="N8041" s="3">
        <v>9296</v>
      </c>
    </row>
    <row r="8042" spans="1:14" x14ac:dyDescent="0.2">
      <c r="A8042" s="5" t="str">
        <f>HYPERLINK("http://www.ncbi.nlm.nih.gov/protein/160948616","Ubr3")</f>
        <v>Ubr3</v>
      </c>
      <c r="B8042" s="4"/>
      <c r="C8042" s="3">
        <v>0</v>
      </c>
      <c r="D8042" s="3">
        <v>0</v>
      </c>
      <c r="E8042" s="3">
        <v>0</v>
      </c>
      <c r="F8042" s="3">
        <v>0</v>
      </c>
      <c r="G8042" s="3">
        <v>3063</v>
      </c>
      <c r="H8042" s="2">
        <f t="shared" si="250"/>
        <v>3063</v>
      </c>
      <c r="I8042" t="str">
        <f t="shared" si="251"/>
        <v>Ubr3_3063</v>
      </c>
      <c r="J8042" s="3">
        <v>0</v>
      </c>
      <c r="K8042" s="3">
        <v>0</v>
      </c>
      <c r="L8042" s="3">
        <v>0</v>
      </c>
      <c r="M8042" s="3">
        <v>0</v>
      </c>
      <c r="N8042" s="3">
        <v>3063</v>
      </c>
    </row>
    <row r="8043" spans="1:14" x14ac:dyDescent="0.2">
      <c r="A8043" s="5" t="str">
        <f>HYPERLINK("http://www.ncbi.nlm.nih.gov/protein/160948614","Ubr3")</f>
        <v>Ubr3</v>
      </c>
      <c r="B8043" s="4"/>
      <c r="C8043" s="3">
        <v>0</v>
      </c>
      <c r="D8043" s="3">
        <v>0</v>
      </c>
      <c r="E8043" s="3">
        <v>0</v>
      </c>
      <c r="F8043" s="3">
        <v>115</v>
      </c>
      <c r="G8043" s="3">
        <v>5365</v>
      </c>
      <c r="H8043" s="2">
        <f t="shared" si="250"/>
        <v>5480</v>
      </c>
      <c r="I8043" t="str">
        <f t="shared" si="251"/>
        <v>Ubr3_5480</v>
      </c>
      <c r="J8043" s="3">
        <v>0</v>
      </c>
      <c r="K8043" s="3">
        <v>0</v>
      </c>
      <c r="L8043" s="3">
        <v>0</v>
      </c>
      <c r="M8043" s="3">
        <v>115</v>
      </c>
      <c r="N8043" s="3">
        <v>5365</v>
      </c>
    </row>
    <row r="8044" spans="1:14" x14ac:dyDescent="0.2">
      <c r="A8044" s="5" t="str">
        <f>HYPERLINK("http://www.ncbi.nlm.nih.gov/protein/237820660","Ubr4")</f>
        <v>Ubr4</v>
      </c>
      <c r="B8044" s="4"/>
      <c r="C8044" s="3">
        <v>0</v>
      </c>
      <c r="D8044" s="3">
        <v>3042</v>
      </c>
      <c r="E8044" s="3">
        <v>6289</v>
      </c>
      <c r="F8044" s="3">
        <v>427098</v>
      </c>
      <c r="G8044" s="3">
        <v>8075</v>
      </c>
      <c r="H8044" s="2">
        <f t="shared" si="250"/>
        <v>444504</v>
      </c>
      <c r="I8044" t="str">
        <f t="shared" si="251"/>
        <v>Ubr4_444504</v>
      </c>
      <c r="J8044" s="3">
        <v>0</v>
      </c>
      <c r="K8044" s="3">
        <v>3042</v>
      </c>
      <c r="L8044" s="3">
        <v>6289</v>
      </c>
      <c r="M8044" s="3">
        <v>427098</v>
      </c>
      <c r="N8044" s="3">
        <v>8075</v>
      </c>
    </row>
    <row r="8045" spans="1:14" x14ac:dyDescent="0.2">
      <c r="A8045" s="5" t="str">
        <f>HYPERLINK("http://www.ncbi.nlm.nih.gov/protein/163310751","Ubr5")</f>
        <v>Ubr5</v>
      </c>
      <c r="B8045" s="4"/>
      <c r="C8045" s="3">
        <v>0</v>
      </c>
      <c r="D8045" s="3">
        <v>0</v>
      </c>
      <c r="E8045" s="3">
        <v>0</v>
      </c>
      <c r="F8045" s="3">
        <v>23525</v>
      </c>
      <c r="G8045" s="3">
        <v>0</v>
      </c>
      <c r="H8045" s="2">
        <f t="shared" si="250"/>
        <v>23525</v>
      </c>
      <c r="I8045" t="str">
        <f t="shared" si="251"/>
        <v>Ubr5_23525</v>
      </c>
      <c r="J8045" s="3">
        <v>0</v>
      </c>
      <c r="K8045" s="3">
        <v>0</v>
      </c>
      <c r="L8045" s="3">
        <v>0</v>
      </c>
      <c r="M8045" s="3">
        <v>23525</v>
      </c>
      <c r="N8045" s="3">
        <v>0</v>
      </c>
    </row>
    <row r="8046" spans="1:14" x14ac:dyDescent="0.2">
      <c r="A8046" s="5" t="str">
        <f>HYPERLINK("http://www.ncbi.nlm.nih.gov/protein/163310753","Ubr5")</f>
        <v>Ubr5</v>
      </c>
      <c r="B8046" s="4"/>
      <c r="C8046" s="3">
        <v>0</v>
      </c>
      <c r="D8046" s="3">
        <v>0</v>
      </c>
      <c r="E8046" s="3">
        <v>0</v>
      </c>
      <c r="F8046" s="3">
        <v>23525</v>
      </c>
      <c r="G8046" s="3">
        <v>0</v>
      </c>
      <c r="H8046" s="2">
        <f t="shared" si="250"/>
        <v>23525</v>
      </c>
      <c r="I8046" t="str">
        <f t="shared" si="251"/>
        <v>Ubr5_23525</v>
      </c>
      <c r="J8046" s="3">
        <v>0</v>
      </c>
      <c r="K8046" s="3">
        <v>0</v>
      </c>
      <c r="L8046" s="3">
        <v>0</v>
      </c>
      <c r="M8046" s="3">
        <v>23525</v>
      </c>
      <c r="N8046" s="3">
        <v>0</v>
      </c>
    </row>
    <row r="8047" spans="1:14" x14ac:dyDescent="0.2">
      <c r="A8047" s="5" t="str">
        <f>HYPERLINK("http://www.ncbi.nlm.nih.gov/protein/29789154","Ubr7")</f>
        <v>Ubr7</v>
      </c>
      <c r="B8047" s="4"/>
      <c r="C8047" s="3">
        <v>0</v>
      </c>
      <c r="D8047" s="3">
        <v>0</v>
      </c>
      <c r="E8047" s="3">
        <v>0</v>
      </c>
      <c r="F8047" s="3">
        <v>0</v>
      </c>
      <c r="G8047" s="3">
        <v>12873</v>
      </c>
      <c r="H8047" s="2">
        <f t="shared" si="250"/>
        <v>12873</v>
      </c>
      <c r="I8047" t="str">
        <f t="shared" si="251"/>
        <v>Ubr7_12873</v>
      </c>
      <c r="J8047" s="3">
        <v>0</v>
      </c>
      <c r="K8047" s="3">
        <v>0</v>
      </c>
      <c r="L8047" s="3">
        <v>0</v>
      </c>
      <c r="M8047" s="3">
        <v>0</v>
      </c>
      <c r="N8047" s="3">
        <v>12873</v>
      </c>
    </row>
    <row r="8048" spans="1:14" x14ac:dyDescent="0.2">
      <c r="A8048" s="5" t="str">
        <f>HYPERLINK("http://www.ncbi.nlm.nih.gov/protein/21703984","Ubtd1")</f>
        <v>Ubtd1</v>
      </c>
      <c r="B8048" s="4"/>
      <c r="C8048" s="3">
        <v>0</v>
      </c>
      <c r="D8048" s="3">
        <v>845</v>
      </c>
      <c r="E8048" s="3">
        <v>193</v>
      </c>
      <c r="F8048" s="3">
        <v>0</v>
      </c>
      <c r="G8048" s="3">
        <v>0</v>
      </c>
      <c r="H8048" s="2">
        <f t="shared" si="250"/>
        <v>1038</v>
      </c>
      <c r="I8048" t="str">
        <f t="shared" si="251"/>
        <v>Ubtd1_1038</v>
      </c>
      <c r="J8048" s="3">
        <v>0</v>
      </c>
      <c r="K8048" s="3">
        <v>845</v>
      </c>
      <c r="L8048" s="3">
        <v>193</v>
      </c>
      <c r="M8048" s="3">
        <v>0</v>
      </c>
      <c r="N8048" s="3">
        <v>0</v>
      </c>
    </row>
    <row r="8049" spans="1:14" x14ac:dyDescent="0.2">
      <c r="A8049" s="5" t="str">
        <f>HYPERLINK("http://www.ncbi.nlm.nih.gov/protein/40254263","Ubtd2")</f>
        <v>Ubtd2</v>
      </c>
      <c r="B8049" s="4"/>
      <c r="C8049" s="3">
        <v>0</v>
      </c>
      <c r="D8049" s="3">
        <v>522</v>
      </c>
      <c r="E8049" s="3">
        <v>193</v>
      </c>
      <c r="F8049" s="3">
        <v>0</v>
      </c>
      <c r="G8049" s="3">
        <v>0</v>
      </c>
      <c r="H8049" s="2">
        <f t="shared" si="250"/>
        <v>715</v>
      </c>
      <c r="I8049" t="str">
        <f t="shared" si="251"/>
        <v>Ubtd2_715</v>
      </c>
      <c r="J8049" s="3">
        <v>0</v>
      </c>
      <c r="K8049" s="3">
        <v>522</v>
      </c>
      <c r="L8049" s="3">
        <v>193</v>
      </c>
      <c r="M8049" s="3">
        <v>0</v>
      </c>
      <c r="N8049" s="3">
        <v>0</v>
      </c>
    </row>
    <row r="8050" spans="1:14" x14ac:dyDescent="0.2">
      <c r="A8050" s="5" t="str">
        <f>HYPERLINK("http://www.ncbi.nlm.nih.gov/protein/113205053","Ubtf")</f>
        <v>Ubtf</v>
      </c>
      <c r="B8050" s="4"/>
      <c r="C8050" s="3">
        <v>0</v>
      </c>
      <c r="D8050" s="3">
        <v>2964</v>
      </c>
      <c r="E8050" s="3">
        <v>241</v>
      </c>
      <c r="F8050" s="3">
        <v>0</v>
      </c>
      <c r="G8050" s="3">
        <v>0</v>
      </c>
      <c r="H8050" s="2">
        <f t="shared" si="250"/>
        <v>3205</v>
      </c>
      <c r="I8050" t="str">
        <f t="shared" si="251"/>
        <v>Ubtf_3205</v>
      </c>
      <c r="J8050" s="3">
        <v>0</v>
      </c>
      <c r="K8050" s="3">
        <v>2964</v>
      </c>
      <c r="L8050" s="3">
        <v>241</v>
      </c>
      <c r="M8050" s="3">
        <v>0</v>
      </c>
      <c r="N8050" s="3">
        <v>0</v>
      </c>
    </row>
    <row r="8051" spans="1:14" x14ac:dyDescent="0.2">
      <c r="A8051" s="5" t="str">
        <f>HYPERLINK("http://www.ncbi.nlm.nih.gov/protein/113205057","Ubtf")</f>
        <v>Ubtf</v>
      </c>
      <c r="B8051" s="4"/>
      <c r="C8051" s="3">
        <v>0</v>
      </c>
      <c r="D8051" s="3">
        <v>2964</v>
      </c>
      <c r="E8051" s="3">
        <v>241</v>
      </c>
      <c r="F8051" s="3">
        <v>0</v>
      </c>
      <c r="G8051" s="3">
        <v>0</v>
      </c>
      <c r="H8051" s="2">
        <f t="shared" si="250"/>
        <v>3205</v>
      </c>
      <c r="I8051" t="str">
        <f t="shared" si="251"/>
        <v>Ubtf_3205</v>
      </c>
      <c r="J8051" s="3">
        <v>0</v>
      </c>
      <c r="K8051" s="3">
        <v>2964</v>
      </c>
      <c r="L8051" s="3">
        <v>241</v>
      </c>
      <c r="M8051" s="3">
        <v>0</v>
      </c>
      <c r="N8051" s="3">
        <v>0</v>
      </c>
    </row>
    <row r="8052" spans="1:14" x14ac:dyDescent="0.2">
      <c r="A8052" s="5" t="str">
        <f>HYPERLINK("http://www.ncbi.nlm.nih.gov/protein/22122591","Ubxn1")</f>
        <v>Ubxn1</v>
      </c>
      <c r="B8052" s="4"/>
      <c r="C8052" s="3">
        <v>0</v>
      </c>
      <c r="D8052" s="3">
        <v>868</v>
      </c>
      <c r="E8052" s="3">
        <v>827</v>
      </c>
      <c r="F8052" s="3">
        <v>7302</v>
      </c>
      <c r="G8052" s="3">
        <v>48707</v>
      </c>
      <c r="H8052" s="2">
        <f t="shared" si="250"/>
        <v>57704</v>
      </c>
      <c r="I8052" t="str">
        <f t="shared" si="251"/>
        <v>Ubxn1_57704</v>
      </c>
      <c r="J8052" s="3">
        <v>0</v>
      </c>
      <c r="K8052" s="3">
        <v>868</v>
      </c>
      <c r="L8052" s="3">
        <v>827</v>
      </c>
      <c r="M8052" s="3">
        <v>7302</v>
      </c>
      <c r="N8052" s="3">
        <v>48707</v>
      </c>
    </row>
    <row r="8053" spans="1:14" x14ac:dyDescent="0.2">
      <c r="A8053" s="5" t="str">
        <f>HYPERLINK("http://www.ncbi.nlm.nih.gov/protein/85861252","Ubxn4")</f>
        <v>Ubxn4</v>
      </c>
      <c r="B8053" s="4"/>
      <c r="C8053" s="3">
        <v>2014</v>
      </c>
      <c r="D8053" s="3">
        <v>411</v>
      </c>
      <c r="E8053" s="3">
        <v>852</v>
      </c>
      <c r="F8053" s="3">
        <v>0</v>
      </c>
      <c r="G8053" s="3">
        <v>5751</v>
      </c>
      <c r="H8053" s="2">
        <f t="shared" si="250"/>
        <v>9028</v>
      </c>
      <c r="I8053" t="str">
        <f t="shared" si="251"/>
        <v>Ubxn4_9028</v>
      </c>
      <c r="J8053" s="3">
        <v>2014</v>
      </c>
      <c r="K8053" s="3">
        <v>411</v>
      </c>
      <c r="L8053" s="3">
        <v>852</v>
      </c>
      <c r="M8053" s="3">
        <v>0</v>
      </c>
      <c r="N8053" s="3">
        <v>5751</v>
      </c>
    </row>
    <row r="8054" spans="1:14" x14ac:dyDescent="0.2">
      <c r="A8054" s="5" t="str">
        <f>HYPERLINK("http://www.ncbi.nlm.nih.gov/protein/13277354","Ubxn6")</f>
        <v>Ubxn6</v>
      </c>
      <c r="B8054" s="4"/>
      <c r="C8054" s="3">
        <v>0</v>
      </c>
      <c r="D8054" s="3">
        <v>94</v>
      </c>
      <c r="E8054" s="3">
        <v>25</v>
      </c>
      <c r="F8054" s="3">
        <v>14865</v>
      </c>
      <c r="G8054" s="3">
        <v>2463</v>
      </c>
      <c r="H8054" s="2">
        <f t="shared" si="250"/>
        <v>17447</v>
      </c>
      <c r="I8054" t="str">
        <f t="shared" si="251"/>
        <v>Ubxn6_17447</v>
      </c>
      <c r="J8054" s="3">
        <v>0</v>
      </c>
      <c r="K8054" s="3">
        <v>94</v>
      </c>
      <c r="L8054" s="3">
        <v>25</v>
      </c>
      <c r="M8054" s="3">
        <v>14865</v>
      </c>
      <c r="N8054" s="3">
        <v>2463</v>
      </c>
    </row>
    <row r="8055" spans="1:14" x14ac:dyDescent="0.2">
      <c r="A8055" s="5" t="str">
        <f>HYPERLINK("http://www.ncbi.nlm.nih.gov/protein/268839673","Ubxn7")</f>
        <v>Ubxn7</v>
      </c>
      <c r="B8055" s="4"/>
      <c r="C8055" s="3">
        <v>0</v>
      </c>
      <c r="D8055" s="3">
        <v>630</v>
      </c>
      <c r="E8055" s="3">
        <v>171</v>
      </c>
      <c r="F8055" s="3">
        <v>0</v>
      </c>
      <c r="G8055" s="3">
        <v>6993</v>
      </c>
      <c r="H8055" s="2">
        <f t="shared" si="250"/>
        <v>7794</v>
      </c>
      <c r="I8055" t="str">
        <f t="shared" si="251"/>
        <v>Ubxn7_7794</v>
      </c>
      <c r="J8055" s="3">
        <v>0</v>
      </c>
      <c r="K8055" s="3">
        <v>630</v>
      </c>
      <c r="L8055" s="3">
        <v>171</v>
      </c>
      <c r="M8055" s="3">
        <v>0</v>
      </c>
      <c r="N8055" s="3">
        <v>6993</v>
      </c>
    </row>
    <row r="8056" spans="1:14" x14ac:dyDescent="0.2">
      <c r="A8056" s="5" t="str">
        <f>HYPERLINK("http://www.ncbi.nlm.nih.gov/protein/139948802","Uchl3")</f>
        <v>Uchl3</v>
      </c>
      <c r="B8056" s="4"/>
      <c r="C8056" s="3">
        <v>732</v>
      </c>
      <c r="D8056" s="3">
        <v>3929</v>
      </c>
      <c r="E8056" s="3">
        <v>3781</v>
      </c>
      <c r="F8056" s="3">
        <v>278</v>
      </c>
      <c r="G8056" s="3">
        <v>127207</v>
      </c>
      <c r="H8056" s="2">
        <f t="shared" si="250"/>
        <v>135927</v>
      </c>
      <c r="I8056" t="str">
        <f t="shared" si="251"/>
        <v>Uchl3_135927</v>
      </c>
      <c r="J8056" s="3">
        <v>732</v>
      </c>
      <c r="K8056" s="3">
        <v>3929</v>
      </c>
      <c r="L8056" s="3">
        <v>3781</v>
      </c>
      <c r="M8056" s="3">
        <v>278</v>
      </c>
      <c r="N8056" s="3">
        <v>127207</v>
      </c>
    </row>
    <row r="8057" spans="1:14" x14ac:dyDescent="0.2">
      <c r="A8057" s="5" t="str">
        <f>HYPERLINK("http://www.ncbi.nlm.nih.gov/protein/15809026","Uchl4")</f>
        <v>Uchl4</v>
      </c>
      <c r="B8057" s="4"/>
      <c r="C8057" s="3">
        <v>732</v>
      </c>
      <c r="D8057" s="3">
        <v>1714</v>
      </c>
      <c r="E8057" s="3">
        <v>2426</v>
      </c>
      <c r="F8057" s="3">
        <v>278</v>
      </c>
      <c r="G8057" s="3">
        <v>61055</v>
      </c>
      <c r="H8057" s="2">
        <f t="shared" si="250"/>
        <v>66205</v>
      </c>
      <c r="I8057" t="str">
        <f t="shared" si="251"/>
        <v>Uchl4_66205</v>
      </c>
      <c r="J8057" s="3">
        <v>732</v>
      </c>
      <c r="K8057" s="3">
        <v>1714</v>
      </c>
      <c r="L8057" s="3">
        <v>2426</v>
      </c>
      <c r="M8057" s="3">
        <v>278</v>
      </c>
      <c r="N8057" s="3">
        <v>61055</v>
      </c>
    </row>
    <row r="8058" spans="1:14" x14ac:dyDescent="0.2">
      <c r="A8058" s="5" t="str">
        <f>HYPERLINK("http://www.ncbi.nlm.nih.gov/protein/229577281","Uchl5")</f>
        <v>Uchl5</v>
      </c>
      <c r="B8058" s="4"/>
      <c r="C8058" s="3">
        <v>0</v>
      </c>
      <c r="D8058" s="3">
        <v>267</v>
      </c>
      <c r="E8058" s="3">
        <v>688</v>
      </c>
      <c r="F8058" s="3">
        <v>45479</v>
      </c>
      <c r="G8058" s="3">
        <v>2517</v>
      </c>
      <c r="H8058" s="2">
        <f t="shared" si="250"/>
        <v>48951</v>
      </c>
      <c r="I8058" t="str">
        <f t="shared" si="251"/>
        <v>Uchl5_48951</v>
      </c>
      <c r="J8058" s="3">
        <v>0</v>
      </c>
      <c r="K8058" s="3">
        <v>267</v>
      </c>
      <c r="L8058" s="3">
        <v>688</v>
      </c>
      <c r="M8058" s="3">
        <v>45479</v>
      </c>
      <c r="N8058" s="3">
        <v>2517</v>
      </c>
    </row>
    <row r="8059" spans="1:14" x14ac:dyDescent="0.2">
      <c r="A8059" s="5" t="str">
        <f>HYPERLINK("http://www.ncbi.nlm.nih.gov/protein/229577283","Uchl5")</f>
        <v>Uchl5</v>
      </c>
      <c r="B8059" s="4"/>
      <c r="C8059" s="3">
        <v>0</v>
      </c>
      <c r="D8059" s="3">
        <v>267</v>
      </c>
      <c r="E8059" s="3">
        <v>688</v>
      </c>
      <c r="F8059" s="3">
        <v>45479</v>
      </c>
      <c r="G8059" s="3">
        <v>2517</v>
      </c>
      <c r="H8059" s="2">
        <f t="shared" si="250"/>
        <v>48951</v>
      </c>
      <c r="I8059" t="str">
        <f t="shared" si="251"/>
        <v>Uchl5_48951</v>
      </c>
      <c r="J8059" s="3">
        <v>0</v>
      </c>
      <c r="K8059" s="3">
        <v>267</v>
      </c>
      <c r="L8059" s="3">
        <v>688</v>
      </c>
      <c r="M8059" s="3">
        <v>45479</v>
      </c>
      <c r="N8059" s="3">
        <v>2517</v>
      </c>
    </row>
    <row r="8060" spans="1:14" x14ac:dyDescent="0.2">
      <c r="A8060" s="5" t="str">
        <f>HYPERLINK("http://www.ncbi.nlm.nih.gov/protein/227498248","Uck1")</f>
        <v>Uck1</v>
      </c>
      <c r="B8060" s="4"/>
      <c r="C8060" s="3">
        <v>0</v>
      </c>
      <c r="D8060" s="3">
        <v>0</v>
      </c>
      <c r="E8060" s="3">
        <v>0</v>
      </c>
      <c r="F8060" s="3">
        <v>0</v>
      </c>
      <c r="G8060" s="3">
        <v>7679</v>
      </c>
      <c r="H8060" s="2">
        <f t="shared" si="250"/>
        <v>7679</v>
      </c>
      <c r="I8060" t="str">
        <f t="shared" si="251"/>
        <v>Uck1_7679</v>
      </c>
      <c r="J8060" s="3">
        <v>0</v>
      </c>
      <c r="K8060" s="3">
        <v>0</v>
      </c>
      <c r="L8060" s="3">
        <v>0</v>
      </c>
      <c r="M8060" s="3">
        <v>0</v>
      </c>
      <c r="N8060" s="3">
        <v>7679</v>
      </c>
    </row>
    <row r="8061" spans="1:14" x14ac:dyDescent="0.2">
      <c r="A8061" s="5" t="str">
        <f>HYPERLINK("http://www.ncbi.nlm.nih.gov/protein/13507680","Uck2")</f>
        <v>Uck2</v>
      </c>
      <c r="B8061" s="4"/>
      <c r="C8061" s="3">
        <v>0</v>
      </c>
      <c r="D8061" s="3">
        <v>0</v>
      </c>
      <c r="E8061" s="3">
        <v>0</v>
      </c>
      <c r="F8061" s="3">
        <v>1784</v>
      </c>
      <c r="G8061" s="3">
        <v>8021</v>
      </c>
      <c r="H8061" s="2">
        <f t="shared" si="250"/>
        <v>9805</v>
      </c>
      <c r="I8061" t="str">
        <f t="shared" si="251"/>
        <v>Uck2_9805</v>
      </c>
      <c r="J8061" s="3">
        <v>0</v>
      </c>
      <c r="K8061" s="3">
        <v>0</v>
      </c>
      <c r="L8061" s="3">
        <v>0</v>
      </c>
      <c r="M8061" s="3">
        <v>1784</v>
      </c>
      <c r="N8061" s="3">
        <v>8021</v>
      </c>
    </row>
    <row r="8062" spans="1:14" x14ac:dyDescent="0.2">
      <c r="A8062" s="5" t="str">
        <f>HYPERLINK("http://www.ncbi.nlm.nih.gov/protein/31541796","Uckl1")</f>
        <v>Uckl1</v>
      </c>
      <c r="B8062" s="4"/>
      <c r="C8062" s="3">
        <v>0</v>
      </c>
      <c r="D8062" s="3">
        <v>0</v>
      </c>
      <c r="E8062" s="3">
        <v>0</v>
      </c>
      <c r="F8062" s="3">
        <v>4625</v>
      </c>
      <c r="G8062" s="3">
        <v>1124</v>
      </c>
      <c r="H8062" s="2">
        <f t="shared" si="250"/>
        <v>5749</v>
      </c>
      <c r="I8062" t="str">
        <f t="shared" si="251"/>
        <v>Uckl1_5749</v>
      </c>
      <c r="J8062" s="3">
        <v>0</v>
      </c>
      <c r="K8062" s="3">
        <v>0</v>
      </c>
      <c r="L8062" s="3">
        <v>0</v>
      </c>
      <c r="M8062" s="3">
        <v>4625</v>
      </c>
      <c r="N8062" s="3">
        <v>1124</v>
      </c>
    </row>
    <row r="8063" spans="1:14" x14ac:dyDescent="0.2">
      <c r="A8063" s="5" t="str">
        <f>HYPERLINK("http://www.ncbi.nlm.nih.gov/protein/104294890","Uevld")</f>
        <v>Uevld</v>
      </c>
      <c r="B8063" s="4"/>
      <c r="C8063" s="3">
        <v>0</v>
      </c>
      <c r="D8063" s="3">
        <v>4697</v>
      </c>
      <c r="E8063" s="3">
        <v>4106</v>
      </c>
      <c r="F8063" s="3">
        <v>12884</v>
      </c>
      <c r="G8063" s="3">
        <v>13558</v>
      </c>
      <c r="H8063" s="2">
        <f t="shared" si="250"/>
        <v>35245</v>
      </c>
      <c r="I8063" t="str">
        <f t="shared" si="251"/>
        <v>Uevld_35245</v>
      </c>
      <c r="J8063" s="3">
        <v>0</v>
      </c>
      <c r="K8063" s="3">
        <v>4697</v>
      </c>
      <c r="L8063" s="3">
        <v>4106</v>
      </c>
      <c r="M8063" s="3">
        <v>12884</v>
      </c>
      <c r="N8063" s="3">
        <v>13558</v>
      </c>
    </row>
    <row r="8064" spans="1:14" x14ac:dyDescent="0.2">
      <c r="A8064" s="5" t="str">
        <f>HYPERLINK("http://www.ncbi.nlm.nih.gov/protein/13384768","Ufc1")</f>
        <v>Ufc1</v>
      </c>
      <c r="B8064" s="4"/>
      <c r="C8064" s="3">
        <v>0</v>
      </c>
      <c r="D8064" s="3">
        <v>265</v>
      </c>
      <c r="E8064" s="3">
        <v>0</v>
      </c>
      <c r="F8064" s="3">
        <v>0</v>
      </c>
      <c r="G8064" s="3">
        <v>2003</v>
      </c>
      <c r="H8064" s="2">
        <f t="shared" si="250"/>
        <v>2268</v>
      </c>
      <c r="I8064" t="str">
        <f t="shared" si="251"/>
        <v>Ufc1_2268</v>
      </c>
      <c r="J8064" s="3">
        <v>0</v>
      </c>
      <c r="K8064" s="3">
        <v>265</v>
      </c>
      <c r="L8064" s="3">
        <v>0</v>
      </c>
      <c r="M8064" s="3">
        <v>0</v>
      </c>
      <c r="N8064" s="3">
        <v>2003</v>
      </c>
    </row>
    <row r="8065" spans="1:14" x14ac:dyDescent="0.2">
      <c r="A8065" s="5" t="str">
        <f>HYPERLINK("http://www.ncbi.nlm.nih.gov/protein/257153392","Ufd1l")</f>
        <v>Ufd1l</v>
      </c>
      <c r="B8065" s="4"/>
      <c r="C8065" s="3">
        <v>0</v>
      </c>
      <c r="D8065" s="3">
        <v>0</v>
      </c>
      <c r="E8065" s="3">
        <v>246</v>
      </c>
      <c r="F8065" s="3">
        <v>12548</v>
      </c>
      <c r="G8065" s="3">
        <v>16471</v>
      </c>
      <c r="H8065" s="2">
        <f t="shared" si="250"/>
        <v>29265</v>
      </c>
      <c r="I8065" t="str">
        <f t="shared" si="251"/>
        <v>Ufd1l_29265</v>
      </c>
      <c r="J8065" s="3">
        <v>0</v>
      </c>
      <c r="K8065" s="3">
        <v>0</v>
      </c>
      <c r="L8065" s="3">
        <v>246</v>
      </c>
      <c r="M8065" s="3">
        <v>12548</v>
      </c>
      <c r="N8065" s="3">
        <v>16471</v>
      </c>
    </row>
    <row r="8066" spans="1:14" x14ac:dyDescent="0.2">
      <c r="A8066" s="5" t="str">
        <f>HYPERLINK("http://www.ncbi.nlm.nih.gov/protein/227330590","Ufl1")</f>
        <v>Ufl1</v>
      </c>
      <c r="B8066" s="4"/>
      <c r="C8066" s="3">
        <v>0</v>
      </c>
      <c r="D8066" s="3">
        <v>123</v>
      </c>
      <c r="E8066" s="3">
        <v>28</v>
      </c>
      <c r="F8066" s="3">
        <v>0</v>
      </c>
      <c r="G8066" s="3">
        <v>0</v>
      </c>
      <c r="H8066" s="2">
        <f t="shared" ref="H8066:H8129" si="252">SUM(C8066:G8066)</f>
        <v>151</v>
      </c>
      <c r="I8066" t="str">
        <f t="shared" ref="I8066:I8129" si="253">A8066&amp;"_"&amp;H8066</f>
        <v>Ufl1_151</v>
      </c>
      <c r="J8066" s="3">
        <v>0</v>
      </c>
      <c r="K8066" s="3">
        <v>123</v>
      </c>
      <c r="L8066" s="3">
        <v>28</v>
      </c>
      <c r="M8066" s="3">
        <v>0</v>
      </c>
      <c r="N8066" s="3">
        <v>0</v>
      </c>
    </row>
    <row r="8067" spans="1:14" x14ac:dyDescent="0.2">
      <c r="A8067" s="5" t="str">
        <f>HYPERLINK("http://www.ncbi.nlm.nih.gov/protein/13385932","Ufm1")</f>
        <v>Ufm1</v>
      </c>
      <c r="B8067" s="4"/>
      <c r="C8067" s="3">
        <v>0</v>
      </c>
      <c r="D8067" s="3">
        <v>0</v>
      </c>
      <c r="E8067" s="3">
        <v>260</v>
      </c>
      <c r="F8067" s="3">
        <v>0</v>
      </c>
      <c r="G8067" s="3">
        <v>0</v>
      </c>
      <c r="H8067" s="2">
        <f t="shared" si="252"/>
        <v>260</v>
      </c>
      <c r="I8067" t="str">
        <f t="shared" si="253"/>
        <v>Ufm1_260</v>
      </c>
      <c r="J8067" s="3">
        <v>0</v>
      </c>
      <c r="K8067" s="3">
        <v>0</v>
      </c>
      <c r="L8067" s="3">
        <v>260</v>
      </c>
      <c r="M8067" s="3">
        <v>0</v>
      </c>
      <c r="N8067" s="3">
        <v>0</v>
      </c>
    </row>
    <row r="8068" spans="1:14" x14ac:dyDescent="0.2">
      <c r="A8068" s="5" t="str">
        <f>HYPERLINK("http://www.ncbi.nlm.nih.gov/protein/20149754","Ufsp2")</f>
        <v>Ufsp2</v>
      </c>
      <c r="B8068" s="4"/>
      <c r="C8068" s="3">
        <v>0</v>
      </c>
      <c r="D8068" s="3">
        <v>1040</v>
      </c>
      <c r="E8068" s="3">
        <v>320</v>
      </c>
      <c r="F8068" s="3">
        <v>0</v>
      </c>
      <c r="G8068" s="3">
        <v>0</v>
      </c>
      <c r="H8068" s="2">
        <f t="shared" si="252"/>
        <v>1360</v>
      </c>
      <c r="I8068" t="str">
        <f t="shared" si="253"/>
        <v>Ufsp2_1360</v>
      </c>
      <c r="J8068" s="3">
        <v>0</v>
      </c>
      <c r="K8068" s="3">
        <v>1040</v>
      </c>
      <c r="L8068" s="3">
        <v>320</v>
      </c>
      <c r="M8068" s="3">
        <v>0</v>
      </c>
      <c r="N8068" s="3">
        <v>0</v>
      </c>
    </row>
    <row r="8069" spans="1:14" x14ac:dyDescent="0.2">
      <c r="A8069" s="5" t="str">
        <f>HYPERLINK("http://www.ncbi.nlm.nih.gov/protein/6678499","Ugdh")</f>
        <v>Ugdh</v>
      </c>
      <c r="B8069" s="4"/>
      <c r="C8069" s="3">
        <v>0</v>
      </c>
      <c r="D8069" s="3">
        <v>3154</v>
      </c>
      <c r="E8069" s="3">
        <v>7944</v>
      </c>
      <c r="F8069" s="3">
        <v>96066</v>
      </c>
      <c r="G8069" s="3">
        <v>67984</v>
      </c>
      <c r="H8069" s="2">
        <f t="shared" si="252"/>
        <v>175148</v>
      </c>
      <c r="I8069" t="str">
        <f t="shared" si="253"/>
        <v>Ugdh_175148</v>
      </c>
      <c r="J8069" s="3">
        <v>0</v>
      </c>
      <c r="K8069" s="3">
        <v>3154</v>
      </c>
      <c r="L8069" s="3">
        <v>7944</v>
      </c>
      <c r="M8069" s="3">
        <v>96066</v>
      </c>
      <c r="N8069" s="3">
        <v>67984</v>
      </c>
    </row>
    <row r="8070" spans="1:14" x14ac:dyDescent="0.2">
      <c r="A8070" s="5" t="str">
        <f>HYPERLINK("http://www.ncbi.nlm.nih.gov/protein/236466498","Uggt1")</f>
        <v>Uggt1</v>
      </c>
      <c r="B8070" s="4"/>
      <c r="C8070" s="3">
        <v>27605</v>
      </c>
      <c r="D8070" s="3">
        <v>236</v>
      </c>
      <c r="E8070" s="3">
        <v>12050</v>
      </c>
      <c r="F8070" s="3">
        <v>892</v>
      </c>
      <c r="G8070" s="3">
        <v>5772</v>
      </c>
      <c r="H8070" s="2">
        <f t="shared" si="252"/>
        <v>46555</v>
      </c>
      <c r="I8070" t="str">
        <f t="shared" si="253"/>
        <v>Uggt1_46555</v>
      </c>
      <c r="J8070" s="3">
        <v>27605</v>
      </c>
      <c r="K8070" s="3">
        <v>236</v>
      </c>
      <c r="L8070" s="3">
        <v>12050</v>
      </c>
      <c r="M8070" s="3">
        <v>892</v>
      </c>
      <c r="N8070" s="3">
        <v>5772</v>
      </c>
    </row>
    <row r="8071" spans="1:14" x14ac:dyDescent="0.2">
      <c r="A8071" s="5" t="str">
        <f>HYPERLINK("http://www.ncbi.nlm.nih.gov/protein/158749642","Uggt2")</f>
        <v>Uggt2</v>
      </c>
      <c r="B8071" s="4"/>
      <c r="C8071" s="3">
        <v>0</v>
      </c>
      <c r="D8071" s="3">
        <v>637</v>
      </c>
      <c r="E8071" s="3">
        <v>0</v>
      </c>
      <c r="F8071" s="3">
        <v>0</v>
      </c>
      <c r="G8071" s="3">
        <v>0</v>
      </c>
      <c r="H8071" s="2">
        <f t="shared" si="252"/>
        <v>637</v>
      </c>
      <c r="I8071" t="str">
        <f t="shared" si="253"/>
        <v>Uggt2_637</v>
      </c>
      <c r="J8071" s="3">
        <v>0</v>
      </c>
      <c r="K8071" s="3">
        <v>637</v>
      </c>
      <c r="L8071" s="3">
        <v>0</v>
      </c>
      <c r="M8071" s="3">
        <v>0</v>
      </c>
      <c r="N8071" s="3">
        <v>0</v>
      </c>
    </row>
    <row r="8072" spans="1:14" x14ac:dyDescent="0.2">
      <c r="A8072" s="5" t="str">
        <f>HYPERLINK("http://www.ncbi.nlm.nih.gov/protein/21314832","Ugp2")</f>
        <v>Ugp2</v>
      </c>
      <c r="B8072" s="4"/>
      <c r="C8072" s="3">
        <v>0</v>
      </c>
      <c r="D8072" s="3">
        <v>4657</v>
      </c>
      <c r="E8072" s="3">
        <v>5695</v>
      </c>
      <c r="F8072" s="3">
        <v>37441</v>
      </c>
      <c r="G8072" s="3">
        <v>55722</v>
      </c>
      <c r="H8072" s="2">
        <f t="shared" si="252"/>
        <v>103515</v>
      </c>
      <c r="I8072" t="str">
        <f t="shared" si="253"/>
        <v>Ugp2_103515</v>
      </c>
      <c r="J8072" s="3">
        <v>0</v>
      </c>
      <c r="K8072" s="3">
        <v>4657</v>
      </c>
      <c r="L8072" s="3">
        <v>5695</v>
      </c>
      <c r="M8072" s="3">
        <v>37441</v>
      </c>
      <c r="N8072" s="3">
        <v>55722</v>
      </c>
    </row>
    <row r="8073" spans="1:14" x14ac:dyDescent="0.2">
      <c r="A8073" s="5" t="str">
        <f>HYPERLINK("http://www.ncbi.nlm.nih.gov/protein/31543926","Ugt8a")</f>
        <v>Ugt8a</v>
      </c>
      <c r="B8073" s="4"/>
      <c r="C8073" s="3">
        <v>0</v>
      </c>
      <c r="D8073" s="3">
        <v>488</v>
      </c>
      <c r="E8073" s="3">
        <v>208</v>
      </c>
      <c r="F8073" s="3">
        <v>0</v>
      </c>
      <c r="G8073" s="3">
        <v>0</v>
      </c>
      <c r="H8073" s="2">
        <f t="shared" si="252"/>
        <v>696</v>
      </c>
      <c r="I8073" t="str">
        <f t="shared" si="253"/>
        <v>Ugt8a_696</v>
      </c>
      <c r="J8073" s="3">
        <v>0</v>
      </c>
      <c r="K8073" s="3">
        <v>488</v>
      </c>
      <c r="L8073" s="3">
        <v>208</v>
      </c>
      <c r="M8073" s="3">
        <v>0</v>
      </c>
      <c r="N8073" s="3">
        <v>0</v>
      </c>
    </row>
    <row r="8074" spans="1:14" x14ac:dyDescent="0.2">
      <c r="A8074" s="5" t="str">
        <f>HYPERLINK("http://www.ncbi.nlm.nih.gov/protein/161621269","Uhrf1")</f>
        <v>Uhrf1</v>
      </c>
      <c r="B8074" s="4"/>
      <c r="C8074" s="3">
        <v>34122</v>
      </c>
      <c r="D8074" s="3">
        <v>0</v>
      </c>
      <c r="E8074" s="3">
        <v>0</v>
      </c>
      <c r="F8074" s="3">
        <v>0</v>
      </c>
      <c r="G8074" s="3">
        <v>0</v>
      </c>
      <c r="H8074" s="2">
        <f t="shared" si="252"/>
        <v>34122</v>
      </c>
      <c r="I8074" t="str">
        <f t="shared" si="253"/>
        <v>Uhrf1_34122</v>
      </c>
      <c r="J8074" s="3">
        <v>34122</v>
      </c>
      <c r="K8074" s="3">
        <v>0</v>
      </c>
      <c r="L8074" s="3">
        <v>0</v>
      </c>
      <c r="M8074" s="3">
        <v>0</v>
      </c>
      <c r="N8074" s="3">
        <v>0</v>
      </c>
    </row>
    <row r="8075" spans="1:14" x14ac:dyDescent="0.2">
      <c r="A8075" s="5" t="str">
        <f>HYPERLINK("http://www.ncbi.nlm.nih.gov/protein/162287241","Uhrf1")</f>
        <v>Uhrf1</v>
      </c>
      <c r="B8075" s="4"/>
      <c r="C8075" s="3">
        <v>34122</v>
      </c>
      <c r="D8075" s="3">
        <v>0</v>
      </c>
      <c r="E8075" s="3">
        <v>0</v>
      </c>
      <c r="F8075" s="3">
        <v>0</v>
      </c>
      <c r="G8075" s="3">
        <v>0</v>
      </c>
      <c r="H8075" s="2">
        <f t="shared" si="252"/>
        <v>34122</v>
      </c>
      <c r="I8075" t="str">
        <f t="shared" si="253"/>
        <v>Uhrf1_34122</v>
      </c>
      <c r="J8075" s="3">
        <v>34122</v>
      </c>
      <c r="K8075" s="3">
        <v>0</v>
      </c>
      <c r="L8075" s="3">
        <v>0</v>
      </c>
      <c r="M8075" s="3">
        <v>0</v>
      </c>
      <c r="N8075" s="3">
        <v>0</v>
      </c>
    </row>
    <row r="8076" spans="1:14" x14ac:dyDescent="0.2">
      <c r="A8076" s="5" t="str">
        <f>HYPERLINK("http://www.ncbi.nlm.nih.gov/protein/124107591","Uhrf1bp1")</f>
        <v>Uhrf1bp1</v>
      </c>
      <c r="B8076" s="4"/>
      <c r="C8076" s="3">
        <v>0</v>
      </c>
      <c r="D8076" s="3">
        <v>0</v>
      </c>
      <c r="E8076" s="3">
        <v>70</v>
      </c>
      <c r="F8076" s="3">
        <v>8988</v>
      </c>
      <c r="G8076" s="3">
        <v>0</v>
      </c>
      <c r="H8076" s="2">
        <f t="shared" si="252"/>
        <v>9058</v>
      </c>
      <c r="I8076" t="str">
        <f t="shared" si="253"/>
        <v>Uhrf1bp1_9058</v>
      </c>
      <c r="J8076" s="3">
        <v>0</v>
      </c>
      <c r="K8076" s="3">
        <v>0</v>
      </c>
      <c r="L8076" s="3">
        <v>70</v>
      </c>
      <c r="M8076" s="3">
        <v>8988</v>
      </c>
      <c r="N8076" s="3">
        <v>0</v>
      </c>
    </row>
    <row r="8077" spans="1:14" x14ac:dyDescent="0.2">
      <c r="A8077" s="5" t="str">
        <f>HYPERLINK("http://www.ncbi.nlm.nih.gov/protein/33859498","Umps")</f>
        <v>Umps</v>
      </c>
      <c r="B8077" s="4"/>
      <c r="C8077" s="3">
        <v>1318</v>
      </c>
      <c r="D8077" s="3">
        <v>10118</v>
      </c>
      <c r="E8077" s="3">
        <v>17899</v>
      </c>
      <c r="F8077" s="3">
        <v>47591</v>
      </c>
      <c r="G8077" s="3">
        <v>173398</v>
      </c>
      <c r="H8077" s="2">
        <f t="shared" si="252"/>
        <v>250324</v>
      </c>
      <c r="I8077" t="str">
        <f t="shared" si="253"/>
        <v>Umps_250324</v>
      </c>
      <c r="J8077" s="3">
        <v>1318</v>
      </c>
      <c r="K8077" s="3">
        <v>10118</v>
      </c>
      <c r="L8077" s="3">
        <v>17899</v>
      </c>
      <c r="M8077" s="3">
        <v>47591</v>
      </c>
      <c r="N8077" s="3">
        <v>173398</v>
      </c>
    </row>
    <row r="8078" spans="1:14" x14ac:dyDescent="0.2">
      <c r="A8078" s="5" t="str">
        <f>HYPERLINK("http://www.ncbi.nlm.nih.gov/protein/6755939","Unc119")</f>
        <v>Unc119</v>
      </c>
      <c r="B8078" s="4"/>
      <c r="C8078" s="3">
        <v>0</v>
      </c>
      <c r="D8078" s="3">
        <v>0</v>
      </c>
      <c r="E8078" s="3">
        <v>0</v>
      </c>
      <c r="F8078" s="3">
        <v>0</v>
      </c>
      <c r="G8078" s="3">
        <v>364</v>
      </c>
      <c r="H8078" s="2">
        <f t="shared" si="252"/>
        <v>364</v>
      </c>
      <c r="I8078" t="str">
        <f t="shared" si="253"/>
        <v>Unc119_364</v>
      </c>
      <c r="J8078" s="3">
        <v>0</v>
      </c>
      <c r="K8078" s="3">
        <v>0</v>
      </c>
      <c r="L8078" s="3">
        <v>0</v>
      </c>
      <c r="M8078" s="3">
        <v>0</v>
      </c>
      <c r="N8078" s="3">
        <v>364</v>
      </c>
    </row>
    <row r="8079" spans="1:14" x14ac:dyDescent="0.2">
      <c r="A8079" s="5" t="str">
        <f>HYPERLINK("http://www.ncbi.nlm.nih.gov/protein/30425054","Unc119b")</f>
        <v>Unc119b</v>
      </c>
      <c r="B8079" s="4"/>
      <c r="C8079" s="3">
        <v>0</v>
      </c>
      <c r="D8079" s="3">
        <v>1338</v>
      </c>
      <c r="E8079" s="3">
        <v>291</v>
      </c>
      <c r="F8079" s="3">
        <v>13506</v>
      </c>
      <c r="G8079" s="3">
        <v>22169</v>
      </c>
      <c r="H8079" s="2">
        <f t="shared" si="252"/>
        <v>37304</v>
      </c>
      <c r="I8079" t="str">
        <f t="shared" si="253"/>
        <v>Unc119b_37304</v>
      </c>
      <c r="J8079" s="3">
        <v>0</v>
      </c>
      <c r="K8079" s="3">
        <v>1338</v>
      </c>
      <c r="L8079" s="3">
        <v>291</v>
      </c>
      <c r="M8079" s="3">
        <v>13506</v>
      </c>
      <c r="N8079" s="3">
        <v>22169</v>
      </c>
    </row>
    <row r="8080" spans="1:14" x14ac:dyDescent="0.2">
      <c r="A8080" s="5" t="str">
        <f>HYPERLINK("http://www.ncbi.nlm.nih.gov/protein/124487217","Unc13c")</f>
        <v>Unc13c</v>
      </c>
      <c r="B8080" s="4"/>
      <c r="C8080" s="3">
        <v>0</v>
      </c>
      <c r="D8080" s="3">
        <v>0</v>
      </c>
      <c r="E8080" s="3">
        <v>0</v>
      </c>
      <c r="F8080" s="3">
        <v>172</v>
      </c>
      <c r="G8080" s="3">
        <v>0</v>
      </c>
      <c r="H8080" s="2">
        <f t="shared" si="252"/>
        <v>172</v>
      </c>
      <c r="I8080" t="str">
        <f t="shared" si="253"/>
        <v>Unc13c_172</v>
      </c>
      <c r="J8080" s="3">
        <v>0</v>
      </c>
      <c r="K8080" s="3">
        <v>0</v>
      </c>
      <c r="L8080" s="3">
        <v>0</v>
      </c>
      <c r="M8080" s="3">
        <v>172</v>
      </c>
      <c r="N8080" s="3">
        <v>0</v>
      </c>
    </row>
    <row r="8081" spans="1:14" x14ac:dyDescent="0.2">
      <c r="A8081" s="5" t="str">
        <f>HYPERLINK("http://www.ncbi.nlm.nih.gov/protein/62243588","Unc13d")</f>
        <v>Unc13d</v>
      </c>
      <c r="B8081" s="4"/>
      <c r="C8081" s="3">
        <v>0</v>
      </c>
      <c r="D8081" s="3">
        <v>0</v>
      </c>
      <c r="E8081" s="3">
        <v>1</v>
      </c>
      <c r="F8081" s="3">
        <v>0</v>
      </c>
      <c r="G8081" s="3">
        <v>0</v>
      </c>
      <c r="H8081" s="2">
        <f t="shared" si="252"/>
        <v>1</v>
      </c>
      <c r="I8081" t="str">
        <f t="shared" si="253"/>
        <v>Unc13d_1</v>
      </c>
      <c r="J8081" s="3">
        <v>0</v>
      </c>
      <c r="K8081" s="3">
        <v>0</v>
      </c>
      <c r="L8081" s="3">
        <v>1</v>
      </c>
      <c r="M8081" s="3">
        <v>0</v>
      </c>
      <c r="N8081" s="3">
        <v>0</v>
      </c>
    </row>
    <row r="8082" spans="1:14" x14ac:dyDescent="0.2">
      <c r="A8082" s="5" t="str">
        <f>HYPERLINK("http://www.ncbi.nlm.nih.gov/protein/227908790","Unc45a")</f>
        <v>Unc45a</v>
      </c>
      <c r="B8082" s="4"/>
      <c r="C8082" s="3">
        <v>0</v>
      </c>
      <c r="D8082" s="3">
        <v>1334</v>
      </c>
      <c r="E8082" s="3">
        <v>4952</v>
      </c>
      <c r="F8082" s="3">
        <v>10911</v>
      </c>
      <c r="G8082" s="3">
        <v>546</v>
      </c>
      <c r="H8082" s="2">
        <f t="shared" si="252"/>
        <v>17743</v>
      </c>
      <c r="I8082" t="str">
        <f t="shared" si="253"/>
        <v>Unc45a_17743</v>
      </c>
      <c r="J8082" s="3">
        <v>0</v>
      </c>
      <c r="K8082" s="3">
        <v>1334</v>
      </c>
      <c r="L8082" s="3">
        <v>4952</v>
      </c>
      <c r="M8082" s="3">
        <v>10911</v>
      </c>
      <c r="N8082" s="3">
        <v>546</v>
      </c>
    </row>
    <row r="8083" spans="1:14" x14ac:dyDescent="0.2">
      <c r="A8083" s="5" t="str">
        <f>HYPERLINK("http://www.ncbi.nlm.nih.gov/protein/313661493","Unc79")</f>
        <v>Unc79</v>
      </c>
      <c r="B8083" s="4"/>
      <c r="C8083" s="3">
        <v>0</v>
      </c>
      <c r="D8083" s="3">
        <v>0</v>
      </c>
      <c r="E8083" s="3">
        <v>66</v>
      </c>
      <c r="F8083" s="3">
        <v>0</v>
      </c>
      <c r="G8083" s="3">
        <v>0</v>
      </c>
      <c r="H8083" s="2">
        <f t="shared" si="252"/>
        <v>66</v>
      </c>
      <c r="I8083" t="str">
        <f t="shared" si="253"/>
        <v>Unc79_66</v>
      </c>
      <c r="J8083" s="3">
        <v>0</v>
      </c>
      <c r="K8083" s="3">
        <v>0</v>
      </c>
      <c r="L8083" s="3">
        <v>66</v>
      </c>
      <c r="M8083" s="3">
        <v>0</v>
      </c>
      <c r="N8083" s="3">
        <v>0</v>
      </c>
    </row>
    <row r="8084" spans="1:14" x14ac:dyDescent="0.2">
      <c r="A8084" s="5" t="str">
        <f>HYPERLINK("http://www.ncbi.nlm.nih.gov/protein/101943608","Ung")</f>
        <v>Ung</v>
      </c>
      <c r="B8084" s="4"/>
      <c r="C8084" s="3">
        <v>0</v>
      </c>
      <c r="D8084" s="3">
        <v>0</v>
      </c>
      <c r="E8084" s="3">
        <v>0</v>
      </c>
      <c r="F8084" s="3">
        <v>344</v>
      </c>
      <c r="G8084" s="3">
        <v>54</v>
      </c>
      <c r="H8084" s="2">
        <f t="shared" si="252"/>
        <v>398</v>
      </c>
      <c r="I8084" t="str">
        <f t="shared" si="253"/>
        <v>Ung_398</v>
      </c>
      <c r="J8084" s="3">
        <v>0</v>
      </c>
      <c r="K8084" s="3">
        <v>0</v>
      </c>
      <c r="L8084" s="3">
        <v>0</v>
      </c>
      <c r="M8084" s="3">
        <v>344</v>
      </c>
      <c r="N8084" s="3">
        <v>54</v>
      </c>
    </row>
    <row r="8085" spans="1:14" x14ac:dyDescent="0.2">
      <c r="A8085" s="5" t="str">
        <f>HYPERLINK("http://www.ncbi.nlm.nih.gov/protein/27369808","Unk")</f>
        <v>Unk</v>
      </c>
      <c r="B8085" s="4"/>
      <c r="C8085" s="3">
        <v>0</v>
      </c>
      <c r="D8085" s="3">
        <v>38</v>
      </c>
      <c r="E8085" s="3">
        <v>2728</v>
      </c>
      <c r="F8085" s="3">
        <v>0</v>
      </c>
      <c r="G8085" s="3">
        <v>0</v>
      </c>
      <c r="H8085" s="2">
        <f t="shared" si="252"/>
        <v>2766</v>
      </c>
      <c r="I8085" t="str">
        <f t="shared" si="253"/>
        <v>Unk_2766</v>
      </c>
      <c r="J8085" s="3">
        <v>0</v>
      </c>
      <c r="K8085" s="3">
        <v>38</v>
      </c>
      <c r="L8085" s="3">
        <v>2728</v>
      </c>
      <c r="M8085" s="3">
        <v>0</v>
      </c>
      <c r="N8085" s="3">
        <v>0</v>
      </c>
    </row>
    <row r="8086" spans="1:14" x14ac:dyDescent="0.2">
      <c r="A8086" s="5" t="str">
        <f>HYPERLINK("http://www.ncbi.nlm.nih.gov/protein/170784811","Upf1")</f>
        <v>Upf1</v>
      </c>
      <c r="B8086" s="4"/>
      <c r="C8086" s="3">
        <v>5711</v>
      </c>
      <c r="D8086" s="3">
        <v>7895</v>
      </c>
      <c r="E8086" s="3">
        <v>104742</v>
      </c>
      <c r="F8086" s="3">
        <v>62448</v>
      </c>
      <c r="G8086" s="3">
        <v>3331</v>
      </c>
      <c r="H8086" s="2">
        <f t="shared" si="252"/>
        <v>184127</v>
      </c>
      <c r="I8086" t="str">
        <f t="shared" si="253"/>
        <v>Upf1_184127</v>
      </c>
      <c r="J8086" s="3">
        <v>5711</v>
      </c>
      <c r="K8086" s="3">
        <v>7895</v>
      </c>
      <c r="L8086" s="3">
        <v>104742</v>
      </c>
      <c r="M8086" s="3">
        <v>62448</v>
      </c>
      <c r="N8086" s="3">
        <v>3331</v>
      </c>
    </row>
    <row r="8087" spans="1:14" x14ac:dyDescent="0.2">
      <c r="A8087" s="5" t="str">
        <f>HYPERLINK("http://www.ncbi.nlm.nih.gov/protein/170784813","Upf1")</f>
        <v>Upf1</v>
      </c>
      <c r="B8087" s="4"/>
      <c r="C8087" s="3">
        <v>5711</v>
      </c>
      <c r="D8087" s="3">
        <v>7895</v>
      </c>
      <c r="E8087" s="3">
        <v>104742</v>
      </c>
      <c r="F8087" s="3">
        <v>62448</v>
      </c>
      <c r="G8087" s="3">
        <v>3331</v>
      </c>
      <c r="H8087" s="2">
        <f t="shared" si="252"/>
        <v>184127</v>
      </c>
      <c r="I8087" t="str">
        <f t="shared" si="253"/>
        <v>Upf1_184127</v>
      </c>
      <c r="J8087" s="3">
        <v>5711</v>
      </c>
      <c r="K8087" s="3">
        <v>7895</v>
      </c>
      <c r="L8087" s="3">
        <v>104742</v>
      </c>
      <c r="M8087" s="3">
        <v>62448</v>
      </c>
      <c r="N8087" s="3">
        <v>3331</v>
      </c>
    </row>
    <row r="8088" spans="1:14" x14ac:dyDescent="0.2">
      <c r="A8088" s="5" t="str">
        <f>HYPERLINK("http://www.ncbi.nlm.nih.gov/protein/124487283","Upf2")</f>
        <v>Upf2</v>
      </c>
      <c r="B8088" s="4"/>
      <c r="C8088" s="3">
        <v>0</v>
      </c>
      <c r="D8088" s="3">
        <v>0</v>
      </c>
      <c r="E8088" s="3">
        <v>1573</v>
      </c>
      <c r="F8088" s="3">
        <v>745</v>
      </c>
      <c r="G8088" s="3">
        <v>0</v>
      </c>
      <c r="H8088" s="2">
        <f t="shared" si="252"/>
        <v>2318</v>
      </c>
      <c r="I8088" t="str">
        <f t="shared" si="253"/>
        <v>Upf2_2318</v>
      </c>
      <c r="J8088" s="3">
        <v>0</v>
      </c>
      <c r="K8088" s="3">
        <v>0</v>
      </c>
      <c r="L8088" s="3">
        <v>1573</v>
      </c>
      <c r="M8088" s="3">
        <v>745</v>
      </c>
      <c r="N8088" s="3">
        <v>0</v>
      </c>
    </row>
    <row r="8089" spans="1:14" x14ac:dyDescent="0.2">
      <c r="A8089" s="5" t="str">
        <f>HYPERLINK("http://www.ncbi.nlm.nih.gov/protein/74959788","Upf3b")</f>
        <v>Upf3b</v>
      </c>
      <c r="B8089" s="4"/>
      <c r="C8089" s="3">
        <v>0</v>
      </c>
      <c r="D8089" s="3">
        <v>0</v>
      </c>
      <c r="E8089" s="3">
        <v>890</v>
      </c>
      <c r="F8089" s="3">
        <v>3217</v>
      </c>
      <c r="G8089" s="3">
        <v>0</v>
      </c>
      <c r="H8089" s="2">
        <f t="shared" si="252"/>
        <v>4107</v>
      </c>
      <c r="I8089" t="str">
        <f t="shared" si="253"/>
        <v>Upf3b_4107</v>
      </c>
      <c r="J8089" s="3">
        <v>0</v>
      </c>
      <c r="K8089" s="3">
        <v>0</v>
      </c>
      <c r="L8089" s="3">
        <v>890</v>
      </c>
      <c r="M8089" s="3">
        <v>3217</v>
      </c>
      <c r="N8089" s="3">
        <v>0</v>
      </c>
    </row>
    <row r="8090" spans="1:14" x14ac:dyDescent="0.2">
      <c r="A8090" s="5" t="str">
        <f>HYPERLINK("http://www.ncbi.nlm.nih.gov/protein/58037127","Upk1a")</f>
        <v>Upk1a</v>
      </c>
      <c r="B8090" s="4"/>
      <c r="C8090" s="3">
        <v>1135</v>
      </c>
      <c r="D8090" s="3">
        <v>3200</v>
      </c>
      <c r="E8090" s="3">
        <v>1488</v>
      </c>
      <c r="F8090" s="3">
        <v>0</v>
      </c>
      <c r="G8090" s="3">
        <v>0</v>
      </c>
      <c r="H8090" s="2">
        <f t="shared" si="252"/>
        <v>5823</v>
      </c>
      <c r="I8090" t="str">
        <f t="shared" si="253"/>
        <v>Upk1a_5823</v>
      </c>
      <c r="J8090" s="3">
        <v>1135</v>
      </c>
      <c r="K8090" s="3">
        <v>3200</v>
      </c>
      <c r="L8090" s="3">
        <v>1488</v>
      </c>
      <c r="M8090" s="3">
        <v>0</v>
      </c>
      <c r="N8090" s="3">
        <v>0</v>
      </c>
    </row>
    <row r="8091" spans="1:14" x14ac:dyDescent="0.2">
      <c r="A8091" s="5" t="str">
        <f>HYPERLINK("http://www.ncbi.nlm.nih.gov/protein/121949819","Upk2")</f>
        <v>Upk2</v>
      </c>
      <c r="B8091" s="4"/>
      <c r="C8091" s="3">
        <v>0</v>
      </c>
      <c r="D8091" s="3">
        <v>0</v>
      </c>
      <c r="E8091" s="3">
        <v>198</v>
      </c>
      <c r="F8091" s="3">
        <v>0</v>
      </c>
      <c r="G8091" s="3">
        <v>0</v>
      </c>
      <c r="H8091" s="2">
        <f t="shared" si="252"/>
        <v>198</v>
      </c>
      <c r="I8091" t="str">
        <f t="shared" si="253"/>
        <v>Upk2_198</v>
      </c>
      <c r="J8091" s="3">
        <v>0</v>
      </c>
      <c r="K8091" s="3">
        <v>0</v>
      </c>
      <c r="L8091" s="3">
        <v>198</v>
      </c>
      <c r="M8091" s="3">
        <v>0</v>
      </c>
      <c r="N8091" s="3">
        <v>0</v>
      </c>
    </row>
    <row r="8092" spans="1:14" x14ac:dyDescent="0.2">
      <c r="A8092" s="5" t="str">
        <f>HYPERLINK("http://www.ncbi.nlm.nih.gov/protein/124487135","Uprt")</f>
        <v>Uprt</v>
      </c>
      <c r="B8092" s="4"/>
      <c r="C8092" s="3">
        <v>0</v>
      </c>
      <c r="D8092" s="3">
        <v>0</v>
      </c>
      <c r="E8092" s="3">
        <v>0</v>
      </c>
      <c r="F8092" s="3">
        <v>3143</v>
      </c>
      <c r="G8092" s="3">
        <v>0</v>
      </c>
      <c r="H8092" s="2">
        <f t="shared" si="252"/>
        <v>3143</v>
      </c>
      <c r="I8092" t="str">
        <f t="shared" si="253"/>
        <v>Uprt_3143</v>
      </c>
      <c r="J8092" s="3">
        <v>0</v>
      </c>
      <c r="K8092" s="3">
        <v>0</v>
      </c>
      <c r="L8092" s="3">
        <v>0</v>
      </c>
      <c r="M8092" s="3">
        <v>3143</v>
      </c>
      <c r="N8092" s="3">
        <v>0</v>
      </c>
    </row>
    <row r="8093" spans="1:14" x14ac:dyDescent="0.2">
      <c r="A8093" s="5" t="str">
        <f>HYPERLINK("http://www.ncbi.nlm.nih.gov/protein/213512915","Uqcc1")</f>
        <v>Uqcc1</v>
      </c>
      <c r="B8093" s="4"/>
      <c r="C8093" s="3">
        <v>12796</v>
      </c>
      <c r="D8093" s="3">
        <v>4484</v>
      </c>
      <c r="E8093" s="3">
        <v>555</v>
      </c>
      <c r="F8093" s="3">
        <v>0</v>
      </c>
      <c r="G8093" s="3">
        <v>0</v>
      </c>
      <c r="H8093" s="2">
        <f t="shared" si="252"/>
        <v>17835</v>
      </c>
      <c r="I8093" t="str">
        <f t="shared" si="253"/>
        <v>Uqcc1_17835</v>
      </c>
      <c r="J8093" s="3">
        <v>12796</v>
      </c>
      <c r="K8093" s="3">
        <v>4484</v>
      </c>
      <c r="L8093" s="3">
        <v>555</v>
      </c>
      <c r="M8093" s="3">
        <v>0</v>
      </c>
      <c r="N8093" s="3">
        <v>0</v>
      </c>
    </row>
    <row r="8094" spans="1:14" x14ac:dyDescent="0.2">
      <c r="A8094" s="5" t="str">
        <f>HYPERLINK("http://www.ncbi.nlm.nih.gov/protein/13385560","Uqcc2")</f>
        <v>Uqcc2</v>
      </c>
      <c r="B8094" s="4"/>
      <c r="C8094" s="3">
        <v>567</v>
      </c>
      <c r="D8094" s="3">
        <v>2737</v>
      </c>
      <c r="E8094" s="3">
        <v>0</v>
      </c>
      <c r="F8094" s="3">
        <v>0</v>
      </c>
      <c r="G8094" s="3">
        <v>0</v>
      </c>
      <c r="H8094" s="2">
        <f t="shared" si="252"/>
        <v>3304</v>
      </c>
      <c r="I8094" t="str">
        <f t="shared" si="253"/>
        <v>Uqcc2_3304</v>
      </c>
      <c r="J8094" s="3">
        <v>567</v>
      </c>
      <c r="K8094" s="3">
        <v>2737</v>
      </c>
      <c r="L8094" s="3">
        <v>0</v>
      </c>
      <c r="M8094" s="3">
        <v>0</v>
      </c>
      <c r="N8094" s="3">
        <v>0</v>
      </c>
    </row>
    <row r="8095" spans="1:14" x14ac:dyDescent="0.2">
      <c r="A8095" s="5" t="str">
        <f>HYPERLINK("http://www.ncbi.nlm.nih.gov/protein/37574048","Uqcr10")</f>
        <v>Uqcr10</v>
      </c>
      <c r="B8095" s="4"/>
      <c r="C8095" s="3">
        <v>33244</v>
      </c>
      <c r="D8095" s="3">
        <v>6663</v>
      </c>
      <c r="E8095" s="3">
        <v>524</v>
      </c>
      <c r="F8095" s="3">
        <v>0</v>
      </c>
      <c r="G8095" s="3">
        <v>0</v>
      </c>
      <c r="H8095" s="2">
        <f t="shared" si="252"/>
        <v>40431</v>
      </c>
      <c r="I8095" t="str">
        <f t="shared" si="253"/>
        <v>Uqcr10_40431</v>
      </c>
      <c r="J8095" s="3">
        <v>33244</v>
      </c>
      <c r="K8095" s="3">
        <v>6663</v>
      </c>
      <c r="L8095" s="3">
        <v>524</v>
      </c>
      <c r="M8095" s="3">
        <v>0</v>
      </c>
      <c r="N8095" s="3">
        <v>0</v>
      </c>
    </row>
    <row r="8096" spans="1:14" x14ac:dyDescent="0.2">
      <c r="A8096" s="5" t="str">
        <f>HYPERLINK("http://www.ncbi.nlm.nih.gov/protein/13385112","Uqcr11")</f>
        <v>Uqcr11</v>
      </c>
      <c r="B8096" s="4"/>
      <c r="C8096" s="3">
        <v>696</v>
      </c>
      <c r="D8096" s="3">
        <v>0</v>
      </c>
      <c r="E8096" s="3">
        <v>28</v>
      </c>
      <c r="F8096" s="3">
        <v>0</v>
      </c>
      <c r="G8096" s="3">
        <v>0</v>
      </c>
      <c r="H8096" s="2">
        <f t="shared" si="252"/>
        <v>724</v>
      </c>
      <c r="I8096" t="str">
        <f t="shared" si="253"/>
        <v>Uqcr11_724</v>
      </c>
      <c r="J8096" s="3">
        <v>696</v>
      </c>
      <c r="K8096" s="3">
        <v>0</v>
      </c>
      <c r="L8096" s="3">
        <v>28</v>
      </c>
      <c r="M8096" s="3">
        <v>0</v>
      </c>
      <c r="N8096" s="3">
        <v>0</v>
      </c>
    </row>
    <row r="8097" spans="1:14" x14ac:dyDescent="0.2">
      <c r="A8097" s="5" t="str">
        <f>HYPERLINK("http://www.ncbi.nlm.nih.gov/protein/13385726","Uqcrb")</f>
        <v>Uqcrb</v>
      </c>
      <c r="B8097" s="4"/>
      <c r="C8097" s="3">
        <v>10984</v>
      </c>
      <c r="D8097" s="3">
        <v>6409</v>
      </c>
      <c r="E8097" s="3">
        <v>752</v>
      </c>
      <c r="F8097" s="3">
        <v>0</v>
      </c>
      <c r="G8097" s="3">
        <v>0</v>
      </c>
      <c r="H8097" s="2">
        <f t="shared" si="252"/>
        <v>18145</v>
      </c>
      <c r="I8097" t="str">
        <f t="shared" si="253"/>
        <v>Uqcrb_18145</v>
      </c>
      <c r="J8097" s="3">
        <v>10984</v>
      </c>
      <c r="K8097" s="3">
        <v>6409</v>
      </c>
      <c r="L8097" s="3">
        <v>752</v>
      </c>
      <c r="M8097" s="3">
        <v>0</v>
      </c>
      <c r="N8097" s="3">
        <v>0</v>
      </c>
    </row>
    <row r="8098" spans="1:14" x14ac:dyDescent="0.2">
      <c r="A8098" s="5" t="str">
        <f>HYPERLINK("http://www.ncbi.nlm.nih.gov/protein/46593021","Uqcrc1")</f>
        <v>Uqcrc1</v>
      </c>
      <c r="B8098" s="4"/>
      <c r="C8098" s="3">
        <v>331247</v>
      </c>
      <c r="D8098" s="3">
        <v>89642</v>
      </c>
      <c r="E8098" s="3">
        <v>19786</v>
      </c>
      <c r="F8098" s="3">
        <v>0</v>
      </c>
      <c r="G8098" s="3">
        <v>0</v>
      </c>
      <c r="H8098" s="2">
        <f t="shared" si="252"/>
        <v>440675</v>
      </c>
      <c r="I8098" t="str">
        <f t="shared" si="253"/>
        <v>Uqcrc1_440675</v>
      </c>
      <c r="J8098" s="3">
        <v>331247</v>
      </c>
      <c r="K8098" s="3">
        <v>89642</v>
      </c>
      <c r="L8098" s="3">
        <v>19786</v>
      </c>
      <c r="M8098" s="3">
        <v>0</v>
      </c>
      <c r="N8098" s="3">
        <v>0</v>
      </c>
    </row>
    <row r="8099" spans="1:14" x14ac:dyDescent="0.2">
      <c r="A8099" s="5" t="str">
        <f>HYPERLINK("http://www.ncbi.nlm.nih.gov/protein/22267442","Uqcrc2")</f>
        <v>Uqcrc2</v>
      </c>
      <c r="B8099" s="4"/>
      <c r="C8099" s="3">
        <v>343549</v>
      </c>
      <c r="D8099" s="3">
        <v>67917</v>
      </c>
      <c r="E8099" s="3">
        <v>19834</v>
      </c>
      <c r="F8099" s="3">
        <v>598</v>
      </c>
      <c r="G8099" s="3">
        <v>0</v>
      </c>
      <c r="H8099" s="2">
        <f t="shared" si="252"/>
        <v>431898</v>
      </c>
      <c r="I8099" t="str">
        <f t="shared" si="253"/>
        <v>Uqcrc2_431898</v>
      </c>
      <c r="J8099" s="3">
        <v>343549</v>
      </c>
      <c r="K8099" s="3">
        <v>67917</v>
      </c>
      <c r="L8099" s="3">
        <v>19834</v>
      </c>
      <c r="M8099" s="3">
        <v>598</v>
      </c>
      <c r="N8099" s="3">
        <v>0</v>
      </c>
    </row>
    <row r="8100" spans="1:14" x14ac:dyDescent="0.2">
      <c r="A8100" s="5" t="str">
        <f>HYPERLINK("http://www.ncbi.nlm.nih.gov/protein/13385168","Uqcrfs1")</f>
        <v>Uqcrfs1</v>
      </c>
      <c r="B8100" s="4"/>
      <c r="C8100" s="3">
        <v>36429</v>
      </c>
      <c r="D8100" s="3">
        <v>14105</v>
      </c>
      <c r="E8100" s="3">
        <v>157</v>
      </c>
      <c r="F8100" s="3">
        <v>0</v>
      </c>
      <c r="G8100" s="3">
        <v>0</v>
      </c>
      <c r="H8100" s="2">
        <f t="shared" si="252"/>
        <v>50691</v>
      </c>
      <c r="I8100" t="str">
        <f t="shared" si="253"/>
        <v>Uqcrfs1_50691</v>
      </c>
      <c r="J8100" s="3">
        <v>36429</v>
      </c>
      <c r="K8100" s="3">
        <v>14105</v>
      </c>
      <c r="L8100" s="3">
        <v>157</v>
      </c>
      <c r="M8100" s="3">
        <v>0</v>
      </c>
      <c r="N8100" s="3">
        <v>0</v>
      </c>
    </row>
    <row r="8101" spans="1:14" x14ac:dyDescent="0.2">
      <c r="A8101" s="5" t="str">
        <f>HYPERLINK("http://www.ncbi.nlm.nih.gov/protein/21539599","Uqcrh")</f>
        <v>Uqcrh</v>
      </c>
      <c r="B8101" s="4"/>
      <c r="C8101" s="3">
        <v>4760</v>
      </c>
      <c r="D8101" s="3">
        <v>466</v>
      </c>
      <c r="E8101" s="3">
        <v>0</v>
      </c>
      <c r="F8101" s="3">
        <v>0</v>
      </c>
      <c r="G8101" s="3">
        <v>0</v>
      </c>
      <c r="H8101" s="2">
        <f t="shared" si="252"/>
        <v>5226</v>
      </c>
      <c r="I8101" t="str">
        <f t="shared" si="253"/>
        <v>Uqcrh_5226</v>
      </c>
      <c r="J8101" s="3">
        <v>4760</v>
      </c>
      <c r="K8101" s="3">
        <v>466</v>
      </c>
      <c r="L8101" s="3">
        <v>0</v>
      </c>
      <c r="M8101" s="3">
        <v>0</v>
      </c>
      <c r="N8101" s="3">
        <v>0</v>
      </c>
    </row>
    <row r="8102" spans="1:14" x14ac:dyDescent="0.2">
      <c r="A8102" s="5" t="str">
        <f>HYPERLINK("http://www.ncbi.nlm.nih.gov/protein/21539585","Uqcrq")</f>
        <v>Uqcrq</v>
      </c>
      <c r="B8102" s="4"/>
      <c r="C8102" s="3">
        <v>5217</v>
      </c>
      <c r="D8102" s="3">
        <v>443</v>
      </c>
      <c r="E8102" s="3">
        <v>312</v>
      </c>
      <c r="F8102" s="3">
        <v>0</v>
      </c>
      <c r="G8102" s="3">
        <v>0</v>
      </c>
      <c r="H8102" s="2">
        <f t="shared" si="252"/>
        <v>5972</v>
      </c>
      <c r="I8102" t="str">
        <f t="shared" si="253"/>
        <v>Uqcrq_5972</v>
      </c>
      <c r="J8102" s="3">
        <v>5217</v>
      </c>
      <c r="K8102" s="3">
        <v>443</v>
      </c>
      <c r="L8102" s="3">
        <v>312</v>
      </c>
      <c r="M8102" s="3">
        <v>0</v>
      </c>
      <c r="N8102" s="3">
        <v>0</v>
      </c>
    </row>
    <row r="8103" spans="1:14" x14ac:dyDescent="0.2">
      <c r="A8103" s="5" t="str">
        <f>HYPERLINK("http://www.ncbi.nlm.nih.gov/protein/256818750","Urb1")</f>
        <v>Urb1</v>
      </c>
      <c r="B8103" s="4"/>
      <c r="C8103" s="3">
        <v>2087</v>
      </c>
      <c r="D8103" s="3">
        <v>0</v>
      </c>
      <c r="E8103" s="3">
        <v>559</v>
      </c>
      <c r="F8103" s="3">
        <v>3070</v>
      </c>
      <c r="G8103" s="3">
        <v>0</v>
      </c>
      <c r="H8103" s="2">
        <f t="shared" si="252"/>
        <v>5716</v>
      </c>
      <c r="I8103" t="str">
        <f t="shared" si="253"/>
        <v>Urb1_5716</v>
      </c>
      <c r="J8103" s="3">
        <v>2087</v>
      </c>
      <c r="K8103" s="3">
        <v>0</v>
      </c>
      <c r="L8103" s="3">
        <v>559</v>
      </c>
      <c r="M8103" s="3">
        <v>3070</v>
      </c>
      <c r="N8103" s="3">
        <v>0</v>
      </c>
    </row>
    <row r="8104" spans="1:14" x14ac:dyDescent="0.2">
      <c r="A8104" s="5" t="str">
        <f>HYPERLINK("http://www.ncbi.nlm.nih.gov/protein/71274162","Urb2")</f>
        <v>Urb2</v>
      </c>
      <c r="B8104" s="4"/>
      <c r="C8104" s="3">
        <v>0</v>
      </c>
      <c r="D8104" s="3">
        <v>0</v>
      </c>
      <c r="E8104" s="3">
        <v>773</v>
      </c>
      <c r="F8104" s="3">
        <v>0</v>
      </c>
      <c r="G8104" s="3">
        <v>0</v>
      </c>
      <c r="H8104" s="2">
        <f t="shared" si="252"/>
        <v>773</v>
      </c>
      <c r="I8104" t="str">
        <f t="shared" si="253"/>
        <v>Urb2_773</v>
      </c>
      <c r="J8104" s="3">
        <v>0</v>
      </c>
      <c r="K8104" s="3">
        <v>0</v>
      </c>
      <c r="L8104" s="3">
        <v>773</v>
      </c>
      <c r="M8104" s="3">
        <v>0</v>
      </c>
      <c r="N8104" s="3">
        <v>0</v>
      </c>
    </row>
    <row r="8105" spans="1:14" x14ac:dyDescent="0.2">
      <c r="A8105" s="5" t="str">
        <f>HYPERLINK("http://www.ncbi.nlm.nih.gov/protein/110347606","Urod")</f>
        <v>Urod</v>
      </c>
      <c r="B8105" s="4"/>
      <c r="C8105" s="3">
        <v>0</v>
      </c>
      <c r="D8105" s="3">
        <v>0</v>
      </c>
      <c r="E8105" s="3">
        <v>331</v>
      </c>
      <c r="F8105" s="3">
        <v>0</v>
      </c>
      <c r="G8105" s="3">
        <v>62458</v>
      </c>
      <c r="H8105" s="2">
        <f t="shared" si="252"/>
        <v>62789</v>
      </c>
      <c r="I8105" t="str">
        <f t="shared" si="253"/>
        <v>Urod_62789</v>
      </c>
      <c r="J8105" s="3">
        <v>0</v>
      </c>
      <c r="K8105" s="3">
        <v>0</v>
      </c>
      <c r="L8105" s="3">
        <v>331</v>
      </c>
      <c r="M8105" s="3">
        <v>0</v>
      </c>
      <c r="N8105" s="3">
        <v>62458</v>
      </c>
    </row>
    <row r="8106" spans="1:14" x14ac:dyDescent="0.2">
      <c r="A8106" s="5" t="str">
        <f>HYPERLINK("http://www.ncbi.nlm.nih.gov/protein/6678519","Uros")</f>
        <v>Uros</v>
      </c>
      <c r="B8106" s="4"/>
      <c r="C8106" s="3">
        <v>0</v>
      </c>
      <c r="D8106" s="3">
        <v>0</v>
      </c>
      <c r="E8106" s="3">
        <v>0</v>
      </c>
      <c r="F8106" s="3">
        <v>0</v>
      </c>
      <c r="G8106" s="3">
        <v>11963</v>
      </c>
      <c r="H8106" s="2">
        <f t="shared" si="252"/>
        <v>11963</v>
      </c>
      <c r="I8106" t="str">
        <f t="shared" si="253"/>
        <v>Uros_11963</v>
      </c>
      <c r="J8106" s="3">
        <v>0</v>
      </c>
      <c r="K8106" s="3">
        <v>0</v>
      </c>
      <c r="L8106" s="3">
        <v>0</v>
      </c>
      <c r="M8106" s="3">
        <v>0</v>
      </c>
      <c r="N8106" s="3">
        <v>11963</v>
      </c>
    </row>
    <row r="8107" spans="1:14" x14ac:dyDescent="0.2">
      <c r="A8107" s="5" t="str">
        <f>HYPERLINK("http://www.ncbi.nlm.nih.gov/protein/21630259","Use1")</f>
        <v>Use1</v>
      </c>
      <c r="B8107" s="4"/>
      <c r="C8107" s="3">
        <v>110</v>
      </c>
      <c r="D8107" s="3">
        <v>0</v>
      </c>
      <c r="E8107" s="3">
        <v>0</v>
      </c>
      <c r="F8107" s="3">
        <v>0</v>
      </c>
      <c r="G8107" s="3">
        <v>0</v>
      </c>
      <c r="H8107" s="2">
        <f t="shared" si="252"/>
        <v>110</v>
      </c>
      <c r="I8107" t="str">
        <f t="shared" si="253"/>
        <v>Use1_110</v>
      </c>
      <c r="J8107" s="3">
        <v>110</v>
      </c>
      <c r="K8107" s="3">
        <v>0</v>
      </c>
      <c r="L8107" s="3">
        <v>0</v>
      </c>
      <c r="M8107" s="3">
        <v>0</v>
      </c>
      <c r="N8107" s="3">
        <v>0</v>
      </c>
    </row>
    <row r="8108" spans="1:14" x14ac:dyDescent="0.2">
      <c r="A8108" s="5" t="str">
        <f>HYPERLINK("http://www.ncbi.nlm.nih.gov/protein/224809387","Use1")</f>
        <v>Use1</v>
      </c>
      <c r="B8108" s="4"/>
      <c r="C8108" s="3">
        <v>110</v>
      </c>
      <c r="D8108" s="3">
        <v>0</v>
      </c>
      <c r="E8108" s="3">
        <v>0</v>
      </c>
      <c r="F8108" s="3">
        <v>0</v>
      </c>
      <c r="G8108" s="3">
        <v>0</v>
      </c>
      <c r="H8108" s="2">
        <f t="shared" si="252"/>
        <v>110</v>
      </c>
      <c r="I8108" t="str">
        <f t="shared" si="253"/>
        <v>Use1_110</v>
      </c>
      <c r="J8108" s="3">
        <v>110</v>
      </c>
      <c r="K8108" s="3">
        <v>0</v>
      </c>
      <c r="L8108" s="3">
        <v>0</v>
      </c>
      <c r="M8108" s="3">
        <v>0</v>
      </c>
      <c r="N8108" s="3">
        <v>0</v>
      </c>
    </row>
    <row r="8109" spans="1:14" x14ac:dyDescent="0.2">
      <c r="A8109" s="5" t="str">
        <f>HYPERLINK("http://www.ncbi.nlm.nih.gov/protein/254911001","Ush1c")</f>
        <v>Ush1c</v>
      </c>
      <c r="B8109" s="4"/>
      <c r="C8109" s="3">
        <v>0</v>
      </c>
      <c r="D8109" s="3">
        <v>2</v>
      </c>
      <c r="E8109" s="3">
        <v>0</v>
      </c>
      <c r="F8109" s="3">
        <v>0</v>
      </c>
      <c r="G8109" s="3">
        <v>0</v>
      </c>
      <c r="H8109" s="2">
        <f t="shared" si="252"/>
        <v>2</v>
      </c>
      <c r="I8109" t="str">
        <f t="shared" si="253"/>
        <v>Ush1c_2</v>
      </c>
      <c r="J8109" s="3">
        <v>0</v>
      </c>
      <c r="K8109" s="3">
        <v>2</v>
      </c>
      <c r="L8109" s="3">
        <v>0</v>
      </c>
      <c r="M8109" s="3">
        <v>0</v>
      </c>
      <c r="N8109" s="3">
        <v>0</v>
      </c>
    </row>
    <row r="8110" spans="1:14" x14ac:dyDescent="0.2">
      <c r="A8110" s="5" t="str">
        <f>HYPERLINK("http://www.ncbi.nlm.nih.gov/protein/254911003","Ush1c")</f>
        <v>Ush1c</v>
      </c>
      <c r="B8110" s="4"/>
      <c r="C8110" s="3">
        <v>0</v>
      </c>
      <c r="D8110" s="3">
        <v>2</v>
      </c>
      <c r="E8110" s="3">
        <v>0</v>
      </c>
      <c r="F8110" s="3">
        <v>0</v>
      </c>
      <c r="G8110" s="3">
        <v>0</v>
      </c>
      <c r="H8110" s="2">
        <f t="shared" si="252"/>
        <v>2</v>
      </c>
      <c r="I8110" t="str">
        <f t="shared" si="253"/>
        <v>Ush1c_2</v>
      </c>
      <c r="J8110" s="3">
        <v>0</v>
      </c>
      <c r="K8110" s="3">
        <v>2</v>
      </c>
      <c r="L8110" s="3">
        <v>0</v>
      </c>
      <c r="M8110" s="3">
        <v>0</v>
      </c>
      <c r="N8110" s="3">
        <v>0</v>
      </c>
    </row>
    <row r="8111" spans="1:14" x14ac:dyDescent="0.2">
      <c r="A8111" s="5" t="str">
        <f>HYPERLINK("http://www.ncbi.nlm.nih.gov/protein/254911005","Ush1c")</f>
        <v>Ush1c</v>
      </c>
      <c r="B8111" s="4"/>
      <c r="C8111" s="3">
        <v>0</v>
      </c>
      <c r="D8111" s="3">
        <v>2</v>
      </c>
      <c r="E8111" s="3">
        <v>0</v>
      </c>
      <c r="F8111" s="3">
        <v>0</v>
      </c>
      <c r="G8111" s="3">
        <v>0</v>
      </c>
      <c r="H8111" s="2">
        <f t="shared" si="252"/>
        <v>2</v>
      </c>
      <c r="I8111" t="str">
        <f t="shared" si="253"/>
        <v>Ush1c_2</v>
      </c>
      <c r="J8111" s="3">
        <v>0</v>
      </c>
      <c r="K8111" s="3">
        <v>2</v>
      </c>
      <c r="L8111" s="3">
        <v>0</v>
      </c>
      <c r="M8111" s="3">
        <v>0</v>
      </c>
      <c r="N8111" s="3">
        <v>0</v>
      </c>
    </row>
    <row r="8112" spans="1:14" x14ac:dyDescent="0.2">
      <c r="A8112" s="5" t="str">
        <f>HYPERLINK("http://www.ncbi.nlm.nih.gov/protein/23956096","Uso1")</f>
        <v>Uso1</v>
      </c>
      <c r="B8112" s="4"/>
      <c r="C8112" s="3">
        <v>14315</v>
      </c>
      <c r="D8112" s="3">
        <v>9999</v>
      </c>
      <c r="E8112" s="3">
        <v>22990</v>
      </c>
      <c r="F8112" s="3">
        <v>16093</v>
      </c>
      <c r="G8112" s="3">
        <v>79614</v>
      </c>
      <c r="H8112" s="2">
        <f t="shared" si="252"/>
        <v>143011</v>
      </c>
      <c r="I8112" t="str">
        <f t="shared" si="253"/>
        <v>Uso1_143011</v>
      </c>
      <c r="J8112" s="3">
        <v>14315</v>
      </c>
      <c r="K8112" s="3">
        <v>9999</v>
      </c>
      <c r="L8112" s="3">
        <v>22990</v>
      </c>
      <c r="M8112" s="3">
        <v>16093</v>
      </c>
      <c r="N8112" s="3">
        <v>79614</v>
      </c>
    </row>
    <row r="8113" spans="1:14" x14ac:dyDescent="0.2">
      <c r="A8113" s="5" t="str">
        <f>HYPERLINK("http://www.ncbi.nlm.nih.gov/protein/6678493","Usp10")</f>
        <v>Usp10</v>
      </c>
      <c r="B8113" s="4"/>
      <c r="C8113" s="3">
        <v>0</v>
      </c>
      <c r="D8113" s="3">
        <v>0</v>
      </c>
      <c r="E8113" s="3">
        <v>25058</v>
      </c>
      <c r="F8113" s="3">
        <v>7948</v>
      </c>
      <c r="G8113" s="3">
        <v>0</v>
      </c>
      <c r="H8113" s="2">
        <f t="shared" si="252"/>
        <v>33006</v>
      </c>
      <c r="I8113" t="str">
        <f t="shared" si="253"/>
        <v>Usp10_33006</v>
      </c>
      <c r="J8113" s="3">
        <v>0</v>
      </c>
      <c r="K8113" s="3">
        <v>0</v>
      </c>
      <c r="L8113" s="3">
        <v>25058</v>
      </c>
      <c r="M8113" s="3">
        <v>7948</v>
      </c>
      <c r="N8113" s="3">
        <v>0</v>
      </c>
    </row>
    <row r="8114" spans="1:14" x14ac:dyDescent="0.2">
      <c r="A8114" s="5" t="str">
        <f>HYPERLINK("http://www.ncbi.nlm.nih.gov/protein/164663834","Usp11")</f>
        <v>Usp11</v>
      </c>
      <c r="B8114" s="4"/>
      <c r="C8114" s="3">
        <v>0</v>
      </c>
      <c r="D8114" s="3">
        <v>0</v>
      </c>
      <c r="E8114" s="3">
        <v>0</v>
      </c>
      <c r="F8114" s="3">
        <v>0</v>
      </c>
      <c r="G8114" s="3">
        <v>2367</v>
      </c>
      <c r="H8114" s="2">
        <f t="shared" si="252"/>
        <v>2367</v>
      </c>
      <c r="I8114" t="str">
        <f t="shared" si="253"/>
        <v>Usp11_2367</v>
      </c>
      <c r="J8114" s="3">
        <v>0</v>
      </c>
      <c r="K8114" s="3">
        <v>0</v>
      </c>
      <c r="L8114" s="3">
        <v>0</v>
      </c>
      <c r="M8114" s="3">
        <v>0</v>
      </c>
      <c r="N8114" s="3">
        <v>2367</v>
      </c>
    </row>
    <row r="8115" spans="1:14" x14ac:dyDescent="0.2">
      <c r="A8115" s="5" t="str">
        <f>HYPERLINK("http://www.ncbi.nlm.nih.gov/protein/34328057","Usp12")</f>
        <v>Usp12</v>
      </c>
      <c r="B8115" s="4"/>
      <c r="C8115" s="3">
        <v>0</v>
      </c>
      <c r="D8115" s="3">
        <v>0</v>
      </c>
      <c r="E8115" s="3">
        <v>53</v>
      </c>
      <c r="F8115" s="3">
        <v>0</v>
      </c>
      <c r="G8115" s="3">
        <v>0</v>
      </c>
      <c r="H8115" s="2">
        <f t="shared" si="252"/>
        <v>53</v>
      </c>
      <c r="I8115" t="str">
        <f t="shared" si="253"/>
        <v>Usp12_53</v>
      </c>
      <c r="J8115" s="3">
        <v>0</v>
      </c>
      <c r="K8115" s="3">
        <v>0</v>
      </c>
      <c r="L8115" s="3">
        <v>53</v>
      </c>
      <c r="M8115" s="3">
        <v>0</v>
      </c>
      <c r="N8115" s="3">
        <v>0</v>
      </c>
    </row>
    <row r="8116" spans="1:14" x14ac:dyDescent="0.2">
      <c r="A8116" s="5" t="str">
        <f>HYPERLINK("http://www.ncbi.nlm.nih.gov/protein/31560313","Usp14")</f>
        <v>Usp14</v>
      </c>
      <c r="B8116" s="4"/>
      <c r="C8116" s="3">
        <v>0</v>
      </c>
      <c r="D8116" s="3">
        <v>4031</v>
      </c>
      <c r="E8116" s="3">
        <v>4566</v>
      </c>
      <c r="F8116" s="3">
        <v>157916</v>
      </c>
      <c r="G8116" s="3">
        <v>5944</v>
      </c>
      <c r="H8116" s="2">
        <f t="shared" si="252"/>
        <v>172457</v>
      </c>
      <c r="I8116" t="str">
        <f t="shared" si="253"/>
        <v>Usp14_172457</v>
      </c>
      <c r="J8116" s="3">
        <v>0</v>
      </c>
      <c r="K8116" s="3">
        <v>4031</v>
      </c>
      <c r="L8116" s="3">
        <v>4566</v>
      </c>
      <c r="M8116" s="3">
        <v>157916</v>
      </c>
      <c r="N8116" s="3">
        <v>5944</v>
      </c>
    </row>
    <row r="8117" spans="1:14" x14ac:dyDescent="0.2">
      <c r="A8117" s="5" t="str">
        <f>HYPERLINK("http://www.ncbi.nlm.nih.gov/protein/84452155","Usp14")</f>
        <v>Usp14</v>
      </c>
      <c r="B8117" s="4"/>
      <c r="C8117" s="3">
        <v>0</v>
      </c>
      <c r="D8117" s="3">
        <v>4031</v>
      </c>
      <c r="E8117" s="3">
        <v>4566</v>
      </c>
      <c r="F8117" s="3">
        <v>153700</v>
      </c>
      <c r="G8117" s="3">
        <v>5944</v>
      </c>
      <c r="H8117" s="2">
        <f t="shared" si="252"/>
        <v>168241</v>
      </c>
      <c r="I8117" t="str">
        <f t="shared" si="253"/>
        <v>Usp14_168241</v>
      </c>
      <c r="J8117" s="3">
        <v>0</v>
      </c>
      <c r="K8117" s="3">
        <v>4031</v>
      </c>
      <c r="L8117" s="3">
        <v>4566</v>
      </c>
      <c r="M8117" s="3">
        <v>153700</v>
      </c>
      <c r="N8117" s="3">
        <v>5944</v>
      </c>
    </row>
    <row r="8118" spans="1:14" x14ac:dyDescent="0.2">
      <c r="A8118" s="5" t="str">
        <f>HYPERLINK("http://www.ncbi.nlm.nih.gov/protein/21489969","Usp15")</f>
        <v>Usp15</v>
      </c>
      <c r="B8118" s="4"/>
      <c r="C8118" s="3">
        <v>0</v>
      </c>
      <c r="D8118" s="3">
        <v>0</v>
      </c>
      <c r="E8118" s="3">
        <v>250</v>
      </c>
      <c r="F8118" s="3">
        <v>6352</v>
      </c>
      <c r="G8118" s="3">
        <v>34003</v>
      </c>
      <c r="H8118" s="2">
        <f t="shared" si="252"/>
        <v>40605</v>
      </c>
      <c r="I8118" t="str">
        <f t="shared" si="253"/>
        <v>Usp15_40605</v>
      </c>
      <c r="J8118" s="3">
        <v>0</v>
      </c>
      <c r="K8118" s="3">
        <v>0</v>
      </c>
      <c r="L8118" s="3">
        <v>250</v>
      </c>
      <c r="M8118" s="3">
        <v>6352</v>
      </c>
      <c r="N8118" s="3">
        <v>34003</v>
      </c>
    </row>
    <row r="8119" spans="1:14" x14ac:dyDescent="0.2">
      <c r="A8119" s="5" t="str">
        <f>HYPERLINK("http://www.ncbi.nlm.nih.gov/protein/251823802","Usp16")</f>
        <v>Usp16</v>
      </c>
      <c r="B8119" s="4"/>
      <c r="C8119" s="3">
        <v>0</v>
      </c>
      <c r="D8119" s="3">
        <v>0</v>
      </c>
      <c r="E8119" s="3">
        <v>47</v>
      </c>
      <c r="F8119" s="3">
        <v>1285</v>
      </c>
      <c r="G8119" s="3">
        <v>0</v>
      </c>
      <c r="H8119" s="2">
        <f t="shared" si="252"/>
        <v>1332</v>
      </c>
      <c r="I8119" t="str">
        <f t="shared" si="253"/>
        <v>Usp16_1332</v>
      </c>
      <c r="J8119" s="3">
        <v>0</v>
      </c>
      <c r="K8119" s="3">
        <v>0</v>
      </c>
      <c r="L8119" s="3">
        <v>47</v>
      </c>
      <c r="M8119" s="3">
        <v>1285</v>
      </c>
      <c r="N8119" s="3">
        <v>0</v>
      </c>
    </row>
    <row r="8120" spans="1:14" x14ac:dyDescent="0.2">
      <c r="A8120" s="5" t="str">
        <f>HYPERLINK("http://www.ncbi.nlm.nih.gov/protein/112983634","Usp17ld")</f>
        <v>Usp17ld</v>
      </c>
      <c r="B8120" s="4"/>
      <c r="C8120" s="3">
        <v>0</v>
      </c>
      <c r="D8120" s="3">
        <v>0</v>
      </c>
      <c r="E8120" s="3">
        <v>597</v>
      </c>
      <c r="F8120" s="3">
        <v>0</v>
      </c>
      <c r="G8120" s="3">
        <v>0</v>
      </c>
      <c r="H8120" s="2">
        <f t="shared" si="252"/>
        <v>597</v>
      </c>
      <c r="I8120" t="str">
        <f t="shared" si="253"/>
        <v>Usp17ld_597</v>
      </c>
      <c r="J8120" s="3">
        <v>0</v>
      </c>
      <c r="K8120" s="3">
        <v>0</v>
      </c>
      <c r="L8120" s="3">
        <v>597</v>
      </c>
      <c r="M8120" s="3">
        <v>0</v>
      </c>
      <c r="N8120" s="3">
        <v>0</v>
      </c>
    </row>
    <row r="8121" spans="1:14" x14ac:dyDescent="0.2">
      <c r="A8121" s="5" t="str">
        <f>HYPERLINK("http://www.ncbi.nlm.nih.gov/protein/270265841","Usp19")</f>
        <v>Usp19</v>
      </c>
      <c r="B8121" s="4"/>
      <c r="C8121" s="3">
        <v>0</v>
      </c>
      <c r="D8121" s="3">
        <v>96</v>
      </c>
      <c r="E8121" s="3">
        <v>219</v>
      </c>
      <c r="F8121" s="3">
        <v>344</v>
      </c>
      <c r="G8121" s="3">
        <v>8450</v>
      </c>
      <c r="H8121" s="2">
        <f t="shared" si="252"/>
        <v>9109</v>
      </c>
      <c r="I8121" t="str">
        <f t="shared" si="253"/>
        <v>Usp19_9109</v>
      </c>
      <c r="J8121" s="3">
        <v>0</v>
      </c>
      <c r="K8121" s="3">
        <v>96</v>
      </c>
      <c r="L8121" s="3">
        <v>219</v>
      </c>
      <c r="M8121" s="3">
        <v>344</v>
      </c>
      <c r="N8121" s="3">
        <v>8450</v>
      </c>
    </row>
    <row r="8122" spans="1:14" x14ac:dyDescent="0.2">
      <c r="A8122" s="5" t="str">
        <f>HYPERLINK("http://www.ncbi.nlm.nih.gov/protein/270265843","Usp19")</f>
        <v>Usp19</v>
      </c>
      <c r="B8122" s="4"/>
      <c r="C8122" s="3">
        <v>0</v>
      </c>
      <c r="D8122" s="3">
        <v>96</v>
      </c>
      <c r="E8122" s="3">
        <v>219</v>
      </c>
      <c r="F8122" s="3">
        <v>344</v>
      </c>
      <c r="G8122" s="3">
        <v>8450</v>
      </c>
      <c r="H8122" s="2">
        <f t="shared" si="252"/>
        <v>9109</v>
      </c>
      <c r="I8122" t="str">
        <f t="shared" si="253"/>
        <v>Usp19_9109</v>
      </c>
      <c r="J8122" s="3">
        <v>0</v>
      </c>
      <c r="K8122" s="3">
        <v>96</v>
      </c>
      <c r="L8122" s="3">
        <v>219</v>
      </c>
      <c r="M8122" s="3">
        <v>344</v>
      </c>
      <c r="N8122" s="3">
        <v>8450</v>
      </c>
    </row>
    <row r="8123" spans="1:14" x14ac:dyDescent="0.2">
      <c r="A8123" s="5" t="str">
        <f>HYPERLINK("http://www.ncbi.nlm.nih.gov/protein/270265845","Usp19")</f>
        <v>Usp19</v>
      </c>
      <c r="B8123" s="4"/>
      <c r="C8123" s="3">
        <v>0</v>
      </c>
      <c r="D8123" s="3">
        <v>96</v>
      </c>
      <c r="E8123" s="3">
        <v>219</v>
      </c>
      <c r="F8123" s="3">
        <v>344</v>
      </c>
      <c r="G8123" s="3">
        <v>8450</v>
      </c>
      <c r="H8123" s="2">
        <f t="shared" si="252"/>
        <v>9109</v>
      </c>
      <c r="I8123" t="str">
        <f t="shared" si="253"/>
        <v>Usp19_9109</v>
      </c>
      <c r="J8123" s="3">
        <v>0</v>
      </c>
      <c r="K8123" s="3">
        <v>96</v>
      </c>
      <c r="L8123" s="3">
        <v>219</v>
      </c>
      <c r="M8123" s="3">
        <v>344</v>
      </c>
      <c r="N8123" s="3">
        <v>8450</v>
      </c>
    </row>
    <row r="8124" spans="1:14" x14ac:dyDescent="0.2">
      <c r="A8124" s="5" t="str">
        <f>HYPERLINK("http://www.ncbi.nlm.nih.gov/protein/270265848","Usp19")</f>
        <v>Usp19</v>
      </c>
      <c r="B8124" s="4"/>
      <c r="C8124" s="3">
        <v>0</v>
      </c>
      <c r="D8124" s="3">
        <v>96</v>
      </c>
      <c r="E8124" s="3">
        <v>219</v>
      </c>
      <c r="F8124" s="3">
        <v>344</v>
      </c>
      <c r="G8124" s="3">
        <v>8450</v>
      </c>
      <c r="H8124" s="2">
        <f t="shared" si="252"/>
        <v>9109</v>
      </c>
      <c r="I8124" t="str">
        <f t="shared" si="253"/>
        <v>Usp19_9109</v>
      </c>
      <c r="J8124" s="3">
        <v>0</v>
      </c>
      <c r="K8124" s="3">
        <v>96</v>
      </c>
      <c r="L8124" s="3">
        <v>219</v>
      </c>
      <c r="M8124" s="3">
        <v>344</v>
      </c>
      <c r="N8124" s="3">
        <v>8450</v>
      </c>
    </row>
    <row r="8125" spans="1:14" x14ac:dyDescent="0.2">
      <c r="A8125" s="5" t="str">
        <f>HYPERLINK("http://www.ncbi.nlm.nih.gov/protein/270265851","Usp19")</f>
        <v>Usp19</v>
      </c>
      <c r="B8125" s="4"/>
      <c r="C8125" s="3">
        <v>0</v>
      </c>
      <c r="D8125" s="3">
        <v>96</v>
      </c>
      <c r="E8125" s="3">
        <v>219</v>
      </c>
      <c r="F8125" s="3">
        <v>344</v>
      </c>
      <c r="G8125" s="3">
        <v>8450</v>
      </c>
      <c r="H8125" s="2">
        <f t="shared" si="252"/>
        <v>9109</v>
      </c>
      <c r="I8125" t="str">
        <f t="shared" si="253"/>
        <v>Usp19_9109</v>
      </c>
      <c r="J8125" s="3">
        <v>0</v>
      </c>
      <c r="K8125" s="3">
        <v>96</v>
      </c>
      <c r="L8125" s="3">
        <v>219</v>
      </c>
      <c r="M8125" s="3">
        <v>344</v>
      </c>
      <c r="N8125" s="3">
        <v>8450</v>
      </c>
    </row>
    <row r="8126" spans="1:14" x14ac:dyDescent="0.2">
      <c r="A8126" s="5" t="str">
        <f>HYPERLINK("http://www.ncbi.nlm.nih.gov/protein/260064007","Usp24")</f>
        <v>Usp24</v>
      </c>
      <c r="B8126" s="4"/>
      <c r="C8126" s="3">
        <v>0</v>
      </c>
      <c r="D8126" s="3">
        <v>0</v>
      </c>
      <c r="E8126" s="3">
        <v>790</v>
      </c>
      <c r="F8126" s="3">
        <v>712</v>
      </c>
      <c r="G8126" s="3">
        <v>535</v>
      </c>
      <c r="H8126" s="2">
        <f t="shared" si="252"/>
        <v>2037</v>
      </c>
      <c r="I8126" t="str">
        <f t="shared" si="253"/>
        <v>Usp24_2037</v>
      </c>
      <c r="J8126" s="3">
        <v>0</v>
      </c>
      <c r="K8126" s="3">
        <v>0</v>
      </c>
      <c r="L8126" s="3">
        <v>790</v>
      </c>
      <c r="M8126" s="3">
        <v>712</v>
      </c>
      <c r="N8126" s="3">
        <v>535</v>
      </c>
    </row>
    <row r="8127" spans="1:14" x14ac:dyDescent="0.2">
      <c r="A8127" s="5" t="str">
        <f>HYPERLINK("http://www.ncbi.nlm.nih.gov/protein/31980712","Usp25")</f>
        <v>Usp25</v>
      </c>
      <c r="B8127" s="4"/>
      <c r="C8127" s="3">
        <v>0</v>
      </c>
      <c r="D8127" s="3">
        <v>0</v>
      </c>
      <c r="E8127" s="3">
        <v>0</v>
      </c>
      <c r="F8127" s="3">
        <v>0</v>
      </c>
      <c r="G8127" s="3">
        <v>8942</v>
      </c>
      <c r="H8127" s="2">
        <f t="shared" si="252"/>
        <v>8942</v>
      </c>
      <c r="I8127" t="str">
        <f t="shared" si="253"/>
        <v>Usp25_8942</v>
      </c>
      <c r="J8127" s="3">
        <v>0</v>
      </c>
      <c r="K8127" s="3">
        <v>0</v>
      </c>
      <c r="L8127" s="3">
        <v>0</v>
      </c>
      <c r="M8127" s="3">
        <v>0</v>
      </c>
      <c r="N8127" s="3">
        <v>8942</v>
      </c>
    </row>
    <row r="8128" spans="1:14" x14ac:dyDescent="0.2">
      <c r="A8128" s="5" t="str">
        <f>HYPERLINK("http://www.ncbi.nlm.nih.gov/protein/126032299","Usp32")</f>
        <v>Usp32</v>
      </c>
      <c r="B8128" s="4"/>
      <c r="C8128" s="3">
        <v>0</v>
      </c>
      <c r="D8128" s="3">
        <v>0</v>
      </c>
      <c r="E8128" s="3">
        <v>10</v>
      </c>
      <c r="F8128" s="3">
        <v>0</v>
      </c>
      <c r="G8128" s="3">
        <v>0</v>
      </c>
      <c r="H8128" s="2">
        <f t="shared" si="252"/>
        <v>10</v>
      </c>
      <c r="I8128" t="str">
        <f t="shared" si="253"/>
        <v>Usp32_10</v>
      </c>
      <c r="J8128" s="3">
        <v>0</v>
      </c>
      <c r="K8128" s="3">
        <v>0</v>
      </c>
      <c r="L8128" s="3">
        <v>10</v>
      </c>
      <c r="M8128" s="3">
        <v>0</v>
      </c>
      <c r="N8128" s="3">
        <v>0</v>
      </c>
    </row>
    <row r="8129" spans="1:14" x14ac:dyDescent="0.2">
      <c r="A8129" s="5" t="str">
        <f>HYPERLINK("http://www.ncbi.nlm.nih.gov/protein/357527386","Usp34")</f>
        <v>Usp34</v>
      </c>
      <c r="B8129" s="4"/>
      <c r="C8129" s="3">
        <v>0</v>
      </c>
      <c r="D8129" s="3">
        <v>0</v>
      </c>
      <c r="E8129" s="3">
        <v>0</v>
      </c>
      <c r="F8129" s="3">
        <v>5198</v>
      </c>
      <c r="G8129" s="3">
        <v>236</v>
      </c>
      <c r="H8129" s="2">
        <f t="shared" si="252"/>
        <v>5434</v>
      </c>
      <c r="I8129" t="str">
        <f t="shared" si="253"/>
        <v>Usp34_5434</v>
      </c>
      <c r="J8129" s="3">
        <v>0</v>
      </c>
      <c r="K8129" s="3">
        <v>0</v>
      </c>
      <c r="L8129" s="3">
        <v>0</v>
      </c>
      <c r="M8129" s="3">
        <v>5198</v>
      </c>
      <c r="N8129" s="3">
        <v>236</v>
      </c>
    </row>
    <row r="8130" spans="1:14" x14ac:dyDescent="0.2">
      <c r="A8130" s="5" t="str">
        <f>HYPERLINK("http://www.ncbi.nlm.nih.gov/protein/226442882","Usp36")</f>
        <v>Usp36</v>
      </c>
      <c r="B8130" s="4"/>
      <c r="C8130" s="3">
        <v>0</v>
      </c>
      <c r="D8130" s="3">
        <v>0</v>
      </c>
      <c r="E8130" s="3">
        <v>0</v>
      </c>
      <c r="F8130" s="3">
        <v>0</v>
      </c>
      <c r="G8130" s="3">
        <v>300</v>
      </c>
      <c r="H8130" s="2">
        <f t="shared" ref="H8130:H8193" si="254">SUM(C8130:G8130)</f>
        <v>300</v>
      </c>
      <c r="I8130" t="str">
        <f t="shared" ref="I8130:I8193" si="255">A8130&amp;"_"&amp;H8130</f>
        <v>Usp36_300</v>
      </c>
      <c r="J8130" s="3">
        <v>0</v>
      </c>
      <c r="K8130" s="3">
        <v>0</v>
      </c>
      <c r="L8130" s="3">
        <v>0</v>
      </c>
      <c r="M8130" s="3">
        <v>0</v>
      </c>
      <c r="N8130" s="3">
        <v>300</v>
      </c>
    </row>
    <row r="8131" spans="1:14" x14ac:dyDescent="0.2">
      <c r="A8131" s="5" t="str">
        <f>HYPERLINK("http://www.ncbi.nlm.nih.gov/protein/34328301","Usp38")</f>
        <v>Usp38</v>
      </c>
      <c r="B8131" s="4"/>
      <c r="C8131" s="3">
        <v>0</v>
      </c>
      <c r="D8131" s="3">
        <v>0</v>
      </c>
      <c r="E8131" s="3">
        <v>0</v>
      </c>
      <c r="F8131" s="3">
        <v>0</v>
      </c>
      <c r="G8131" s="3">
        <v>514</v>
      </c>
      <c r="H8131" s="2">
        <f t="shared" si="254"/>
        <v>514</v>
      </c>
      <c r="I8131" t="str">
        <f t="shared" si="255"/>
        <v>Usp38_514</v>
      </c>
      <c r="J8131" s="3">
        <v>0</v>
      </c>
      <c r="K8131" s="3">
        <v>0</v>
      </c>
      <c r="L8131" s="3">
        <v>0</v>
      </c>
      <c r="M8131" s="3">
        <v>0</v>
      </c>
      <c r="N8131" s="3">
        <v>514</v>
      </c>
    </row>
    <row r="8132" spans="1:14" x14ac:dyDescent="0.2">
      <c r="A8132" s="5" t="str">
        <f>HYPERLINK("http://www.ncbi.nlm.nih.gov/protein/20070404","Usp39")</f>
        <v>Usp39</v>
      </c>
      <c r="B8132" s="4"/>
      <c r="C8132" s="3">
        <v>4339</v>
      </c>
      <c r="D8132" s="3">
        <v>453</v>
      </c>
      <c r="E8132" s="3">
        <v>3519</v>
      </c>
      <c r="F8132" s="3">
        <v>16379</v>
      </c>
      <c r="G8132" s="3">
        <v>0</v>
      </c>
      <c r="H8132" s="2">
        <f t="shared" si="254"/>
        <v>24690</v>
      </c>
      <c r="I8132" t="str">
        <f t="shared" si="255"/>
        <v>Usp39_24690</v>
      </c>
      <c r="J8132" s="3">
        <v>4339</v>
      </c>
      <c r="K8132" s="3">
        <v>453</v>
      </c>
      <c r="L8132" s="3">
        <v>3519</v>
      </c>
      <c r="M8132" s="3">
        <v>16379</v>
      </c>
      <c r="N8132" s="3">
        <v>0</v>
      </c>
    </row>
    <row r="8133" spans="1:14" x14ac:dyDescent="0.2">
      <c r="A8133" s="5" t="str">
        <f>HYPERLINK("http://www.ncbi.nlm.nih.gov/protein/164519045","Usp4")</f>
        <v>Usp4</v>
      </c>
      <c r="B8133" s="4"/>
      <c r="C8133" s="3">
        <v>0</v>
      </c>
      <c r="D8133" s="3">
        <v>0</v>
      </c>
      <c r="E8133" s="3">
        <v>189</v>
      </c>
      <c r="F8133" s="3">
        <v>0</v>
      </c>
      <c r="G8133" s="3">
        <v>33724</v>
      </c>
      <c r="H8133" s="2">
        <f t="shared" si="254"/>
        <v>33913</v>
      </c>
      <c r="I8133" t="str">
        <f t="shared" si="255"/>
        <v>Usp4_33913</v>
      </c>
      <c r="J8133" s="3">
        <v>0</v>
      </c>
      <c r="K8133" s="3">
        <v>0</v>
      </c>
      <c r="L8133" s="3">
        <v>189</v>
      </c>
      <c r="M8133" s="3">
        <v>0</v>
      </c>
      <c r="N8133" s="3">
        <v>33724</v>
      </c>
    </row>
    <row r="8134" spans="1:14" x14ac:dyDescent="0.2">
      <c r="A8134" s="5" t="str">
        <f>HYPERLINK("http://www.ncbi.nlm.nih.gov/protein/312836847","Usp47")</f>
        <v>Usp47</v>
      </c>
      <c r="B8134" s="4"/>
      <c r="C8134" s="3">
        <v>0</v>
      </c>
      <c r="D8134" s="3">
        <v>0</v>
      </c>
      <c r="E8134" s="3">
        <v>102</v>
      </c>
      <c r="F8134" s="3">
        <v>0</v>
      </c>
      <c r="G8134" s="3">
        <v>48000</v>
      </c>
      <c r="H8134" s="2">
        <f t="shared" si="254"/>
        <v>48102</v>
      </c>
      <c r="I8134" t="str">
        <f t="shared" si="255"/>
        <v>Usp47_48102</v>
      </c>
      <c r="J8134" s="3">
        <v>0</v>
      </c>
      <c r="K8134" s="3">
        <v>0</v>
      </c>
      <c r="L8134" s="3">
        <v>102</v>
      </c>
      <c r="M8134" s="3">
        <v>0</v>
      </c>
      <c r="N8134" s="3">
        <v>48000</v>
      </c>
    </row>
    <row r="8135" spans="1:14" x14ac:dyDescent="0.2">
      <c r="A8135" s="5" t="str">
        <f>HYPERLINK("http://www.ncbi.nlm.nih.gov/protein/48928014","Usp47")</f>
        <v>Usp47</v>
      </c>
      <c r="B8135" s="4"/>
      <c r="C8135" s="3">
        <v>0</v>
      </c>
      <c r="D8135" s="3">
        <v>0</v>
      </c>
      <c r="E8135" s="3">
        <v>102</v>
      </c>
      <c r="F8135" s="3">
        <v>0</v>
      </c>
      <c r="G8135" s="3">
        <v>48000</v>
      </c>
      <c r="H8135" s="2">
        <f t="shared" si="254"/>
        <v>48102</v>
      </c>
      <c r="I8135" t="str">
        <f t="shared" si="255"/>
        <v>Usp47_48102</v>
      </c>
      <c r="J8135" s="3">
        <v>0</v>
      </c>
      <c r="K8135" s="3">
        <v>0</v>
      </c>
      <c r="L8135" s="3">
        <v>102</v>
      </c>
      <c r="M8135" s="3">
        <v>0</v>
      </c>
      <c r="N8135" s="3">
        <v>48000</v>
      </c>
    </row>
    <row r="8136" spans="1:14" x14ac:dyDescent="0.2">
      <c r="A8136" s="5" t="str">
        <f>HYPERLINK("http://www.ncbi.nlm.nih.gov/protein/7305619","Usp5")</f>
        <v>Usp5</v>
      </c>
      <c r="B8136" s="4"/>
      <c r="C8136" s="3">
        <v>0</v>
      </c>
      <c r="D8136" s="3">
        <v>4968</v>
      </c>
      <c r="E8136" s="3">
        <v>3810</v>
      </c>
      <c r="F8136" s="3">
        <v>1784</v>
      </c>
      <c r="G8136" s="3">
        <v>81671</v>
      </c>
      <c r="H8136" s="2">
        <f t="shared" si="254"/>
        <v>92233</v>
      </c>
      <c r="I8136" t="str">
        <f t="shared" si="255"/>
        <v>Usp5_92233</v>
      </c>
      <c r="J8136" s="3">
        <v>0</v>
      </c>
      <c r="K8136" s="3">
        <v>4968</v>
      </c>
      <c r="L8136" s="3">
        <v>3810</v>
      </c>
      <c r="M8136" s="3">
        <v>1784</v>
      </c>
      <c r="N8136" s="3">
        <v>81671</v>
      </c>
    </row>
    <row r="8137" spans="1:14" x14ac:dyDescent="0.2">
      <c r="A8137" s="5" t="str">
        <f>HYPERLINK("http://www.ncbi.nlm.nih.gov/protein/154146209","Usp7")</f>
        <v>Usp7</v>
      </c>
      <c r="B8137" s="4"/>
      <c r="C8137" s="3">
        <v>1281</v>
      </c>
      <c r="D8137" s="3">
        <v>1887</v>
      </c>
      <c r="E8137" s="3">
        <v>3673</v>
      </c>
      <c r="F8137" s="3">
        <v>55514</v>
      </c>
      <c r="G8137" s="3">
        <v>51395</v>
      </c>
      <c r="H8137" s="2">
        <f t="shared" si="254"/>
        <v>113750</v>
      </c>
      <c r="I8137" t="str">
        <f t="shared" si="255"/>
        <v>Usp7_113750</v>
      </c>
      <c r="J8137" s="3">
        <v>1281</v>
      </c>
      <c r="K8137" s="3">
        <v>1887</v>
      </c>
      <c r="L8137" s="3">
        <v>3673</v>
      </c>
      <c r="M8137" s="3">
        <v>55514</v>
      </c>
      <c r="N8137" s="3">
        <v>51395</v>
      </c>
    </row>
    <row r="8138" spans="1:14" x14ac:dyDescent="0.2">
      <c r="A8138" s="5" t="str">
        <f>HYPERLINK("http://www.ncbi.nlm.nih.gov/protein/31981044","Usp8")</f>
        <v>Usp8</v>
      </c>
      <c r="B8138" s="4"/>
      <c r="C8138" s="3">
        <v>0</v>
      </c>
      <c r="D8138" s="3">
        <v>161</v>
      </c>
      <c r="E8138" s="3">
        <v>0</v>
      </c>
      <c r="F8138" s="3">
        <v>319</v>
      </c>
      <c r="G8138" s="3">
        <v>7936</v>
      </c>
      <c r="H8138" s="2">
        <f t="shared" si="254"/>
        <v>8416</v>
      </c>
      <c r="I8138" t="str">
        <f t="shared" si="255"/>
        <v>Usp8_8416</v>
      </c>
      <c r="J8138" s="3">
        <v>0</v>
      </c>
      <c r="K8138" s="3">
        <v>161</v>
      </c>
      <c r="L8138" s="3">
        <v>0</v>
      </c>
      <c r="M8138" s="3">
        <v>319</v>
      </c>
      <c r="N8138" s="3">
        <v>7936</v>
      </c>
    </row>
    <row r="8139" spans="1:14" x14ac:dyDescent="0.2">
      <c r="A8139" s="5" t="str">
        <f>HYPERLINK("http://www.ncbi.nlm.nih.gov/protein/357588457","Usp8")</f>
        <v>Usp8</v>
      </c>
      <c r="B8139" s="4"/>
      <c r="C8139" s="3">
        <v>0</v>
      </c>
      <c r="D8139" s="3">
        <v>161</v>
      </c>
      <c r="E8139" s="3">
        <v>0</v>
      </c>
      <c r="F8139" s="3">
        <v>319</v>
      </c>
      <c r="G8139" s="3">
        <v>7936</v>
      </c>
      <c r="H8139" s="2">
        <f t="shared" si="254"/>
        <v>8416</v>
      </c>
      <c r="I8139" t="str">
        <f t="shared" si="255"/>
        <v>Usp8_8416</v>
      </c>
      <c r="J8139" s="3">
        <v>0</v>
      </c>
      <c r="K8139" s="3">
        <v>161</v>
      </c>
      <c r="L8139" s="3">
        <v>0</v>
      </c>
      <c r="M8139" s="3">
        <v>319</v>
      </c>
      <c r="N8139" s="3">
        <v>7936</v>
      </c>
    </row>
    <row r="8140" spans="1:14" x14ac:dyDescent="0.2">
      <c r="A8140" s="5" t="str">
        <f>HYPERLINK("http://www.ncbi.nlm.nih.gov/protein/115511018","Usp9x")</f>
        <v>Usp9x</v>
      </c>
      <c r="B8140" s="4"/>
      <c r="C8140" s="3">
        <v>0</v>
      </c>
      <c r="D8140" s="3">
        <v>1215</v>
      </c>
      <c r="E8140" s="3">
        <v>5979</v>
      </c>
      <c r="F8140" s="3">
        <v>68210</v>
      </c>
      <c r="G8140" s="3">
        <v>85494</v>
      </c>
      <c r="H8140" s="2">
        <f t="shared" si="254"/>
        <v>160898</v>
      </c>
      <c r="I8140" t="str">
        <f t="shared" si="255"/>
        <v>Usp9x_160898</v>
      </c>
      <c r="J8140" s="3">
        <v>0</v>
      </c>
      <c r="K8140" s="3">
        <v>1215</v>
      </c>
      <c r="L8140" s="3">
        <v>5979</v>
      </c>
      <c r="M8140" s="3">
        <v>68210</v>
      </c>
      <c r="N8140" s="3">
        <v>85494</v>
      </c>
    </row>
    <row r="8141" spans="1:14" x14ac:dyDescent="0.2">
      <c r="A8141" s="5" t="str">
        <f>HYPERLINK("http://www.ncbi.nlm.nih.gov/protein/120300980","Usp9y")</f>
        <v>Usp9y</v>
      </c>
      <c r="B8141" s="4"/>
      <c r="C8141" s="3">
        <v>0</v>
      </c>
      <c r="D8141" s="3">
        <v>520</v>
      </c>
      <c r="E8141" s="3">
        <v>1037</v>
      </c>
      <c r="F8141" s="3">
        <v>13310</v>
      </c>
      <c r="G8141" s="3">
        <v>26238</v>
      </c>
      <c r="H8141" s="2">
        <f t="shared" si="254"/>
        <v>41105</v>
      </c>
      <c r="I8141" t="str">
        <f t="shared" si="255"/>
        <v>Usp9y_41105</v>
      </c>
      <c r="J8141" s="3">
        <v>0</v>
      </c>
      <c r="K8141" s="3">
        <v>520</v>
      </c>
      <c r="L8141" s="3">
        <v>1037</v>
      </c>
      <c r="M8141" s="3">
        <v>13310</v>
      </c>
      <c r="N8141" s="3">
        <v>26238</v>
      </c>
    </row>
    <row r="8142" spans="1:14" x14ac:dyDescent="0.2">
      <c r="A8142" s="5" t="str">
        <f>HYPERLINK("http://www.ncbi.nlm.nih.gov/protein/169646253","Uspl1")</f>
        <v>Uspl1</v>
      </c>
      <c r="B8142" s="4"/>
      <c r="C8142" s="3">
        <v>714</v>
      </c>
      <c r="D8142" s="3">
        <v>0</v>
      </c>
      <c r="E8142" s="3">
        <v>0</v>
      </c>
      <c r="F8142" s="3">
        <v>0</v>
      </c>
      <c r="G8142" s="3">
        <v>0</v>
      </c>
      <c r="H8142" s="2">
        <f t="shared" si="254"/>
        <v>714</v>
      </c>
      <c r="I8142" t="str">
        <f t="shared" si="255"/>
        <v>Uspl1_714</v>
      </c>
      <c r="J8142" s="3">
        <v>714</v>
      </c>
      <c r="K8142" s="3">
        <v>0</v>
      </c>
      <c r="L8142" s="3">
        <v>0</v>
      </c>
      <c r="M8142" s="3">
        <v>0</v>
      </c>
      <c r="N8142" s="3">
        <v>0</v>
      </c>
    </row>
    <row r="8143" spans="1:14" x14ac:dyDescent="0.2">
      <c r="A8143" s="5" t="str">
        <f>HYPERLINK("http://www.ncbi.nlm.nih.gov/protein/169646335","Uspl1")</f>
        <v>Uspl1</v>
      </c>
      <c r="B8143" s="4"/>
      <c r="C8143" s="3">
        <v>714</v>
      </c>
      <c r="D8143" s="3">
        <v>0</v>
      </c>
      <c r="E8143" s="3">
        <v>0</v>
      </c>
      <c r="F8143" s="3">
        <v>0</v>
      </c>
      <c r="G8143" s="3">
        <v>0</v>
      </c>
      <c r="H8143" s="2">
        <f t="shared" si="254"/>
        <v>714</v>
      </c>
      <c r="I8143" t="str">
        <f t="shared" si="255"/>
        <v>Uspl1_714</v>
      </c>
      <c r="J8143" s="3">
        <v>714</v>
      </c>
      <c r="K8143" s="3">
        <v>0</v>
      </c>
      <c r="L8143" s="3">
        <v>0</v>
      </c>
      <c r="M8143" s="3">
        <v>0</v>
      </c>
      <c r="N8143" s="3">
        <v>0</v>
      </c>
    </row>
    <row r="8144" spans="1:14" x14ac:dyDescent="0.2">
      <c r="A8144" s="5" t="str">
        <f>HYPERLINK("http://www.ncbi.nlm.nih.gov/protein/558472807","Uspl1")</f>
        <v>Uspl1</v>
      </c>
      <c r="B8144" s="4"/>
      <c r="C8144" s="3">
        <v>714</v>
      </c>
      <c r="D8144" s="3">
        <v>0</v>
      </c>
      <c r="E8144" s="3">
        <v>0</v>
      </c>
      <c r="F8144" s="3">
        <v>0</v>
      </c>
      <c r="G8144" s="3">
        <v>0</v>
      </c>
      <c r="H8144" s="2">
        <f t="shared" si="254"/>
        <v>714</v>
      </c>
      <c r="I8144" t="str">
        <f t="shared" si="255"/>
        <v>Uspl1_714</v>
      </c>
      <c r="J8144" s="3">
        <v>714</v>
      </c>
      <c r="K8144" s="3">
        <v>0</v>
      </c>
      <c r="L8144" s="3">
        <v>0</v>
      </c>
      <c r="M8144" s="3">
        <v>0</v>
      </c>
      <c r="N8144" s="3">
        <v>0</v>
      </c>
    </row>
    <row r="8145" spans="1:14" x14ac:dyDescent="0.2">
      <c r="A8145" s="5" t="str">
        <f>HYPERLINK("http://www.ncbi.nlm.nih.gov/protein/110556631","Ust")</f>
        <v>Ust</v>
      </c>
      <c r="B8145" s="4"/>
      <c r="C8145" s="3">
        <v>0</v>
      </c>
      <c r="D8145" s="3">
        <v>0</v>
      </c>
      <c r="E8145" s="3">
        <v>110</v>
      </c>
      <c r="F8145" s="3">
        <v>0</v>
      </c>
      <c r="G8145" s="3">
        <v>0</v>
      </c>
      <c r="H8145" s="2">
        <f t="shared" si="254"/>
        <v>110</v>
      </c>
      <c r="I8145" t="str">
        <f t="shared" si="255"/>
        <v>Ust_110</v>
      </c>
      <c r="J8145" s="3">
        <v>0</v>
      </c>
      <c r="K8145" s="3">
        <v>0</v>
      </c>
      <c r="L8145" s="3">
        <v>110</v>
      </c>
      <c r="M8145" s="3">
        <v>0</v>
      </c>
      <c r="N8145" s="3">
        <v>0</v>
      </c>
    </row>
    <row r="8146" spans="1:14" x14ac:dyDescent="0.2">
      <c r="A8146" s="5" t="str">
        <f>HYPERLINK("http://www.ncbi.nlm.nih.gov/protein/30725776","Utp15")</f>
        <v>Utp15</v>
      </c>
      <c r="B8146" s="4"/>
      <c r="C8146" s="3">
        <v>0</v>
      </c>
      <c r="D8146" s="3">
        <v>0</v>
      </c>
      <c r="E8146" s="3">
        <v>60</v>
      </c>
      <c r="F8146" s="3">
        <v>0</v>
      </c>
      <c r="G8146" s="3">
        <v>0</v>
      </c>
      <c r="H8146" s="2">
        <f t="shared" si="254"/>
        <v>60</v>
      </c>
      <c r="I8146" t="str">
        <f t="shared" si="255"/>
        <v>Utp15_60</v>
      </c>
      <c r="J8146" s="3">
        <v>0</v>
      </c>
      <c r="K8146" s="3">
        <v>0</v>
      </c>
      <c r="L8146" s="3">
        <v>60</v>
      </c>
      <c r="M8146" s="3">
        <v>0</v>
      </c>
      <c r="N8146" s="3">
        <v>0</v>
      </c>
    </row>
    <row r="8147" spans="1:14" x14ac:dyDescent="0.2">
      <c r="A8147" s="5" t="str">
        <f>HYPERLINK("http://www.ncbi.nlm.nih.gov/protein/226437674","Utp20")</f>
        <v>Utp20</v>
      </c>
      <c r="B8147" s="4"/>
      <c r="C8147" s="3">
        <v>0</v>
      </c>
      <c r="D8147" s="3">
        <v>2743</v>
      </c>
      <c r="E8147" s="3">
        <v>3098</v>
      </c>
      <c r="F8147" s="3">
        <v>0</v>
      </c>
      <c r="G8147" s="3">
        <v>32461</v>
      </c>
      <c r="H8147" s="2">
        <f t="shared" si="254"/>
        <v>38302</v>
      </c>
      <c r="I8147" t="str">
        <f t="shared" si="255"/>
        <v>Utp20_38302</v>
      </c>
      <c r="J8147" s="3">
        <v>0</v>
      </c>
      <c r="K8147" s="3">
        <v>2743</v>
      </c>
      <c r="L8147" s="3">
        <v>3098</v>
      </c>
      <c r="M8147" s="3">
        <v>0</v>
      </c>
      <c r="N8147" s="3">
        <v>32461</v>
      </c>
    </row>
    <row r="8148" spans="1:14" x14ac:dyDescent="0.2">
      <c r="A8148" s="5" t="str">
        <f>HYPERLINK("http://www.ncbi.nlm.nih.gov/protein/12746430","Utp3")</f>
        <v>Utp3</v>
      </c>
      <c r="B8148" s="4"/>
      <c r="C8148" s="3">
        <v>1190</v>
      </c>
      <c r="D8148" s="3">
        <v>0</v>
      </c>
      <c r="E8148" s="3">
        <v>0</v>
      </c>
      <c r="F8148" s="3">
        <v>0</v>
      </c>
      <c r="G8148" s="3">
        <v>0</v>
      </c>
      <c r="H8148" s="2">
        <f t="shared" si="254"/>
        <v>1190</v>
      </c>
      <c r="I8148" t="str">
        <f t="shared" si="255"/>
        <v>Utp3_1190</v>
      </c>
      <c r="J8148" s="3">
        <v>1190</v>
      </c>
      <c r="K8148" s="3">
        <v>0</v>
      </c>
      <c r="L8148" s="3">
        <v>0</v>
      </c>
      <c r="M8148" s="3">
        <v>0</v>
      </c>
      <c r="N8148" s="3">
        <v>0</v>
      </c>
    </row>
    <row r="8149" spans="1:14" x14ac:dyDescent="0.2">
      <c r="A8149" s="5" t="str">
        <f>HYPERLINK("http://www.ncbi.nlm.nih.gov/protein/110431378","Utrn")</f>
        <v>Utrn</v>
      </c>
      <c r="B8149" s="4"/>
      <c r="C8149" s="3">
        <v>4888</v>
      </c>
      <c r="D8149" s="3">
        <v>5977</v>
      </c>
      <c r="E8149" s="3">
        <v>17554</v>
      </c>
      <c r="F8149" s="3">
        <v>3495</v>
      </c>
      <c r="G8149" s="3">
        <v>15379</v>
      </c>
      <c r="H8149" s="2">
        <f t="shared" si="254"/>
        <v>47293</v>
      </c>
      <c r="I8149" t="str">
        <f t="shared" si="255"/>
        <v>Utrn_47293</v>
      </c>
      <c r="J8149" s="3">
        <v>4888</v>
      </c>
      <c r="K8149" s="3">
        <v>5977</v>
      </c>
      <c r="L8149" s="3">
        <v>17554</v>
      </c>
      <c r="M8149" s="3">
        <v>3495</v>
      </c>
      <c r="N8149" s="3">
        <v>15379</v>
      </c>
    </row>
    <row r="8150" spans="1:14" x14ac:dyDescent="0.2">
      <c r="A8150" s="5" t="str">
        <f>HYPERLINK("http://www.ncbi.nlm.nih.gov/protein/6755931","Uts2")</f>
        <v>Uts2</v>
      </c>
      <c r="B8150" s="4"/>
      <c r="C8150" s="3">
        <v>0</v>
      </c>
      <c r="D8150" s="3">
        <v>0</v>
      </c>
      <c r="E8150" s="3">
        <v>0</v>
      </c>
      <c r="F8150" s="3">
        <v>0</v>
      </c>
      <c r="G8150" s="3">
        <v>1596</v>
      </c>
      <c r="H8150" s="2">
        <f t="shared" si="254"/>
        <v>1596</v>
      </c>
      <c r="I8150" t="str">
        <f t="shared" si="255"/>
        <v>Uts2_1596</v>
      </c>
      <c r="J8150" s="3">
        <v>0</v>
      </c>
      <c r="K8150" s="3">
        <v>0</v>
      </c>
      <c r="L8150" s="3">
        <v>0</v>
      </c>
      <c r="M8150" s="3">
        <v>0</v>
      </c>
      <c r="N8150" s="3">
        <v>1596</v>
      </c>
    </row>
    <row r="8151" spans="1:14" x14ac:dyDescent="0.2">
      <c r="A8151" s="5" t="str">
        <f>HYPERLINK("http://www.ncbi.nlm.nih.gov/protein/170671724","Uvrag")</f>
        <v>Uvrag</v>
      </c>
      <c r="B8151" s="4"/>
      <c r="C8151" s="3">
        <v>0</v>
      </c>
      <c r="D8151" s="3">
        <v>0</v>
      </c>
      <c r="E8151" s="3">
        <v>852</v>
      </c>
      <c r="F8151" s="3">
        <v>0</v>
      </c>
      <c r="G8151" s="3">
        <v>0</v>
      </c>
      <c r="H8151" s="2">
        <f t="shared" si="254"/>
        <v>852</v>
      </c>
      <c r="I8151" t="str">
        <f t="shared" si="255"/>
        <v>Uvrag_852</v>
      </c>
      <c r="J8151" s="3">
        <v>0</v>
      </c>
      <c r="K8151" s="3">
        <v>0</v>
      </c>
      <c r="L8151" s="3">
        <v>852</v>
      </c>
      <c r="M8151" s="3">
        <v>0</v>
      </c>
      <c r="N8151" s="3">
        <v>0</v>
      </c>
    </row>
    <row r="8152" spans="1:14" x14ac:dyDescent="0.2">
      <c r="A8152" s="5" t="str">
        <f>HYPERLINK("http://www.ncbi.nlm.nih.gov/protein/28076899","Uxs1")</f>
        <v>Uxs1</v>
      </c>
      <c r="B8152" s="4"/>
      <c r="C8152" s="3">
        <v>0</v>
      </c>
      <c r="D8152" s="3">
        <v>15</v>
      </c>
      <c r="E8152" s="3">
        <v>0</v>
      </c>
      <c r="F8152" s="3">
        <v>0</v>
      </c>
      <c r="G8152" s="3">
        <v>0</v>
      </c>
      <c r="H8152" s="2">
        <f t="shared" si="254"/>
        <v>15</v>
      </c>
      <c r="I8152" t="str">
        <f t="shared" si="255"/>
        <v>Uxs1_15</v>
      </c>
      <c r="J8152" s="3">
        <v>0</v>
      </c>
      <c r="K8152" s="3">
        <v>15</v>
      </c>
      <c r="L8152" s="3">
        <v>0</v>
      </c>
      <c r="M8152" s="3">
        <v>0</v>
      </c>
      <c r="N8152" s="3">
        <v>0</v>
      </c>
    </row>
    <row r="8153" spans="1:14" x14ac:dyDescent="0.2">
      <c r="A8153" s="5" t="str">
        <f>HYPERLINK("http://www.ncbi.nlm.nih.gov/protein/30841023","Uxt")</f>
        <v>Uxt</v>
      </c>
      <c r="B8153" s="4"/>
      <c r="C8153" s="3">
        <v>0</v>
      </c>
      <c r="D8153" s="3">
        <v>58</v>
      </c>
      <c r="E8153" s="3">
        <v>119</v>
      </c>
      <c r="F8153" s="3">
        <v>2996</v>
      </c>
      <c r="G8153" s="3">
        <v>150</v>
      </c>
      <c r="H8153" s="2">
        <f t="shared" si="254"/>
        <v>3323</v>
      </c>
      <c r="I8153" t="str">
        <f t="shared" si="255"/>
        <v>Uxt_3323</v>
      </c>
      <c r="J8153" s="3">
        <v>0</v>
      </c>
      <c r="K8153" s="3">
        <v>58</v>
      </c>
      <c r="L8153" s="3">
        <v>119</v>
      </c>
      <c r="M8153" s="3">
        <v>2996</v>
      </c>
      <c r="N8153" s="3">
        <v>150</v>
      </c>
    </row>
    <row r="8154" spans="1:14" x14ac:dyDescent="0.2">
      <c r="A8154" s="5" t="str">
        <f>HYPERLINK("http://www.ncbi.nlm.nih.gov/protein/31542488","Vac14")</f>
        <v>Vac14</v>
      </c>
      <c r="B8154" s="4"/>
      <c r="C8154" s="3">
        <v>915</v>
      </c>
      <c r="D8154" s="3">
        <v>2259</v>
      </c>
      <c r="E8154" s="3">
        <v>3130</v>
      </c>
      <c r="F8154" s="3">
        <v>60982</v>
      </c>
      <c r="G8154" s="3">
        <v>4766</v>
      </c>
      <c r="H8154" s="2">
        <f t="shared" si="254"/>
        <v>72052</v>
      </c>
      <c r="I8154" t="str">
        <f t="shared" si="255"/>
        <v>Vac14_72052</v>
      </c>
      <c r="J8154" s="3">
        <v>915</v>
      </c>
      <c r="K8154" s="3">
        <v>2259</v>
      </c>
      <c r="L8154" s="3">
        <v>3130</v>
      </c>
      <c r="M8154" s="3">
        <v>60982</v>
      </c>
      <c r="N8154" s="3">
        <v>4766</v>
      </c>
    </row>
    <row r="8155" spans="1:14" x14ac:dyDescent="0.2">
      <c r="A8155" s="5" t="str">
        <f>HYPERLINK("http://www.ncbi.nlm.nih.gov/protein/123702073","Vamp1")</f>
        <v>Vamp1</v>
      </c>
      <c r="B8155" s="4"/>
      <c r="C8155" s="3">
        <v>3002</v>
      </c>
      <c r="D8155" s="3">
        <v>73</v>
      </c>
      <c r="E8155" s="3">
        <v>2353</v>
      </c>
      <c r="F8155" s="3">
        <v>0</v>
      </c>
      <c r="G8155" s="3">
        <v>0</v>
      </c>
      <c r="H8155" s="2">
        <f t="shared" si="254"/>
        <v>5428</v>
      </c>
      <c r="I8155" t="str">
        <f t="shared" si="255"/>
        <v>Vamp1_5428</v>
      </c>
      <c r="J8155" s="3">
        <v>3002</v>
      </c>
      <c r="K8155" s="3">
        <v>73</v>
      </c>
      <c r="L8155" s="3">
        <v>2353</v>
      </c>
      <c r="M8155" s="3">
        <v>0</v>
      </c>
      <c r="N8155" s="3">
        <v>0</v>
      </c>
    </row>
    <row r="8156" spans="1:14" x14ac:dyDescent="0.2">
      <c r="A8156" s="5" t="str">
        <f>HYPERLINK("http://www.ncbi.nlm.nih.gov/protein/6678549","Vamp1")</f>
        <v>Vamp1</v>
      </c>
      <c r="B8156" s="4"/>
      <c r="C8156" s="3">
        <v>3002</v>
      </c>
      <c r="D8156" s="3">
        <v>73</v>
      </c>
      <c r="E8156" s="3">
        <v>2353</v>
      </c>
      <c r="F8156" s="3">
        <v>0</v>
      </c>
      <c r="G8156" s="3">
        <v>0</v>
      </c>
      <c r="H8156" s="2">
        <f t="shared" si="254"/>
        <v>5428</v>
      </c>
      <c r="I8156" t="str">
        <f t="shared" si="255"/>
        <v>Vamp1_5428</v>
      </c>
      <c r="J8156" s="3">
        <v>3002</v>
      </c>
      <c r="K8156" s="3">
        <v>73</v>
      </c>
      <c r="L8156" s="3">
        <v>2353</v>
      </c>
      <c r="M8156" s="3">
        <v>0</v>
      </c>
      <c r="N8156" s="3">
        <v>0</v>
      </c>
    </row>
    <row r="8157" spans="1:14" x14ac:dyDescent="0.2">
      <c r="A8157" s="5" t="str">
        <f>HYPERLINK("http://www.ncbi.nlm.nih.gov/protein/6678551","Vamp2")</f>
        <v>Vamp2</v>
      </c>
      <c r="B8157" s="4"/>
      <c r="C8157" s="3">
        <v>27496</v>
      </c>
      <c r="D8157" s="3">
        <v>6027</v>
      </c>
      <c r="E8157" s="3">
        <v>12526</v>
      </c>
      <c r="F8157" s="3">
        <v>20104</v>
      </c>
      <c r="G8157" s="3">
        <v>0</v>
      </c>
      <c r="H8157" s="2">
        <f t="shared" si="254"/>
        <v>66153</v>
      </c>
      <c r="I8157" t="str">
        <f t="shared" si="255"/>
        <v>Vamp2_66153</v>
      </c>
      <c r="J8157" s="3">
        <v>27496</v>
      </c>
      <c r="K8157" s="3">
        <v>6027</v>
      </c>
      <c r="L8157" s="3">
        <v>12526</v>
      </c>
      <c r="M8157" s="3">
        <v>20104</v>
      </c>
      <c r="N8157" s="3">
        <v>0</v>
      </c>
    </row>
    <row r="8158" spans="1:14" x14ac:dyDescent="0.2">
      <c r="A8158" s="5" t="str">
        <f>HYPERLINK("http://www.ncbi.nlm.nih.gov/protein/6678553","Vamp3")</f>
        <v>Vamp3</v>
      </c>
      <c r="B8158" s="4"/>
      <c r="C8158" s="3">
        <v>28997</v>
      </c>
      <c r="D8158" s="3">
        <v>6058</v>
      </c>
      <c r="E8158" s="3">
        <v>13007</v>
      </c>
      <c r="F8158" s="3">
        <v>21667</v>
      </c>
      <c r="G8158" s="3">
        <v>0</v>
      </c>
      <c r="H8158" s="2">
        <f t="shared" si="254"/>
        <v>69729</v>
      </c>
      <c r="I8158" t="str">
        <f t="shared" si="255"/>
        <v>Vamp3_69729</v>
      </c>
      <c r="J8158" s="3">
        <v>28997</v>
      </c>
      <c r="K8158" s="3">
        <v>6058</v>
      </c>
      <c r="L8158" s="3">
        <v>13007</v>
      </c>
      <c r="M8158" s="3">
        <v>21667</v>
      </c>
      <c r="N8158" s="3">
        <v>0</v>
      </c>
    </row>
    <row r="8159" spans="1:14" x14ac:dyDescent="0.2">
      <c r="A8159" s="5" t="str">
        <f>HYPERLINK("http://www.ncbi.nlm.nih.gov/protein/31543938","Vamp4")</f>
        <v>Vamp4</v>
      </c>
      <c r="B8159" s="4"/>
      <c r="C8159" s="3">
        <v>0</v>
      </c>
      <c r="D8159" s="3">
        <v>701</v>
      </c>
      <c r="E8159" s="3">
        <v>20</v>
      </c>
      <c r="F8159" s="3">
        <v>0</v>
      </c>
      <c r="G8159" s="3">
        <v>0</v>
      </c>
      <c r="H8159" s="2">
        <f t="shared" si="254"/>
        <v>721</v>
      </c>
      <c r="I8159" t="str">
        <f t="shared" si="255"/>
        <v>Vamp4_721</v>
      </c>
      <c r="J8159" s="3">
        <v>0</v>
      </c>
      <c r="K8159" s="3">
        <v>701</v>
      </c>
      <c r="L8159" s="3">
        <v>20</v>
      </c>
      <c r="M8159" s="3">
        <v>0</v>
      </c>
      <c r="N8159" s="3">
        <v>0</v>
      </c>
    </row>
    <row r="8160" spans="1:14" x14ac:dyDescent="0.2">
      <c r="A8160" s="5" t="str">
        <f>HYPERLINK("http://www.ncbi.nlm.nih.gov/protein/124001562;8394526","Vamp5")</f>
        <v>Vamp5</v>
      </c>
      <c r="B8160" s="4"/>
      <c r="C8160" s="3">
        <v>0</v>
      </c>
      <c r="D8160" s="3">
        <v>33</v>
      </c>
      <c r="E8160" s="3">
        <v>82</v>
      </c>
      <c r="F8160" s="3">
        <v>0</v>
      </c>
      <c r="G8160" s="3">
        <v>0</v>
      </c>
      <c r="H8160" s="2">
        <f t="shared" si="254"/>
        <v>115</v>
      </c>
      <c r="I8160" t="str">
        <f t="shared" si="255"/>
        <v>Vamp5_115</v>
      </c>
      <c r="J8160" s="3">
        <v>0</v>
      </c>
      <c r="K8160" s="3">
        <v>33</v>
      </c>
      <c r="L8160" s="3">
        <v>82</v>
      </c>
      <c r="M8160" s="3">
        <v>0</v>
      </c>
      <c r="N8160" s="3">
        <v>0</v>
      </c>
    </row>
    <row r="8161" spans="1:14" x14ac:dyDescent="0.2">
      <c r="A8161" s="5" t="str">
        <f>HYPERLINK("http://www.ncbi.nlm.nih.gov/protein/33468929","Vamp7")</f>
        <v>Vamp7</v>
      </c>
      <c r="B8161" s="4"/>
      <c r="C8161" s="3">
        <v>0</v>
      </c>
      <c r="D8161" s="3">
        <v>2046</v>
      </c>
      <c r="E8161" s="3">
        <v>2523</v>
      </c>
      <c r="F8161" s="3">
        <v>3364</v>
      </c>
      <c r="G8161" s="3">
        <v>0</v>
      </c>
      <c r="H8161" s="2">
        <f t="shared" si="254"/>
        <v>7933</v>
      </c>
      <c r="I8161" t="str">
        <f t="shared" si="255"/>
        <v>Vamp7_7933</v>
      </c>
      <c r="J8161" s="3">
        <v>0</v>
      </c>
      <c r="K8161" s="3">
        <v>2046</v>
      </c>
      <c r="L8161" s="3">
        <v>2523</v>
      </c>
      <c r="M8161" s="3">
        <v>3364</v>
      </c>
      <c r="N8161" s="3">
        <v>0</v>
      </c>
    </row>
    <row r="8162" spans="1:14" x14ac:dyDescent="0.2">
      <c r="A8162" s="5" t="str">
        <f>HYPERLINK("http://www.ncbi.nlm.nih.gov/protein/31980629","Vamp8")</f>
        <v>Vamp8</v>
      </c>
      <c r="B8162" s="4"/>
      <c r="C8162" s="3">
        <v>14352</v>
      </c>
      <c r="D8162" s="3">
        <v>8972</v>
      </c>
      <c r="E8162" s="3">
        <v>13932</v>
      </c>
      <c r="F8162" s="3">
        <v>10232</v>
      </c>
      <c r="G8162" s="3">
        <v>0</v>
      </c>
      <c r="H8162" s="2">
        <f t="shared" si="254"/>
        <v>47488</v>
      </c>
      <c r="I8162" t="str">
        <f t="shared" si="255"/>
        <v>Vamp8_47488</v>
      </c>
      <c r="J8162" s="3">
        <v>14352</v>
      </c>
      <c r="K8162" s="3">
        <v>8972</v>
      </c>
      <c r="L8162" s="3">
        <v>13932</v>
      </c>
      <c r="M8162" s="3">
        <v>10232</v>
      </c>
      <c r="N8162" s="3">
        <v>0</v>
      </c>
    </row>
    <row r="8163" spans="1:14" x14ac:dyDescent="0.2">
      <c r="A8163" s="5" t="str">
        <f>HYPERLINK("http://www.ncbi.nlm.nih.gov/protein/260099697","Vangl1")</f>
        <v>Vangl1</v>
      </c>
      <c r="B8163" s="4"/>
      <c r="C8163" s="3">
        <v>0</v>
      </c>
      <c r="D8163" s="3">
        <v>1626</v>
      </c>
      <c r="E8163" s="3">
        <v>7618</v>
      </c>
      <c r="F8163" s="3">
        <v>442</v>
      </c>
      <c r="G8163" s="3">
        <v>0</v>
      </c>
      <c r="H8163" s="2">
        <f t="shared" si="254"/>
        <v>9686</v>
      </c>
      <c r="I8163" t="str">
        <f t="shared" si="255"/>
        <v>Vangl1_9686</v>
      </c>
      <c r="J8163" s="3">
        <v>0</v>
      </c>
      <c r="K8163" s="3">
        <v>1626</v>
      </c>
      <c r="L8163" s="3">
        <v>7618</v>
      </c>
      <c r="M8163" s="3">
        <v>442</v>
      </c>
      <c r="N8163" s="3">
        <v>0</v>
      </c>
    </row>
    <row r="8164" spans="1:14" x14ac:dyDescent="0.2">
      <c r="A8164" s="5" t="str">
        <f>HYPERLINK("http://www.ncbi.nlm.nih.gov/protein/260099699","Vangl1")</f>
        <v>Vangl1</v>
      </c>
      <c r="B8164" s="4"/>
      <c r="C8164" s="3">
        <v>0</v>
      </c>
      <c r="D8164" s="3">
        <v>1626</v>
      </c>
      <c r="E8164" s="3">
        <v>5199</v>
      </c>
      <c r="F8164" s="3">
        <v>442</v>
      </c>
      <c r="G8164" s="3">
        <v>0</v>
      </c>
      <c r="H8164" s="2">
        <f t="shared" si="254"/>
        <v>7267</v>
      </c>
      <c r="I8164" t="str">
        <f t="shared" si="255"/>
        <v>Vangl1_7267</v>
      </c>
      <c r="J8164" s="3">
        <v>0</v>
      </c>
      <c r="K8164" s="3">
        <v>1626</v>
      </c>
      <c r="L8164" s="3">
        <v>5199</v>
      </c>
      <c r="M8164" s="3">
        <v>442</v>
      </c>
      <c r="N8164" s="3">
        <v>0</v>
      </c>
    </row>
    <row r="8165" spans="1:14" x14ac:dyDescent="0.2">
      <c r="A8165" s="5" t="str">
        <f>HYPERLINK("http://www.ncbi.nlm.nih.gov/protein/94721328","Vapa")</f>
        <v>Vapa</v>
      </c>
      <c r="B8165" s="4"/>
      <c r="C8165" s="3">
        <v>142055</v>
      </c>
      <c r="D8165" s="3">
        <v>14510</v>
      </c>
      <c r="E8165" s="3">
        <v>6737</v>
      </c>
      <c r="F8165" s="3">
        <v>6786</v>
      </c>
      <c r="G8165" s="3">
        <v>3116</v>
      </c>
      <c r="H8165" s="2">
        <f t="shared" si="254"/>
        <v>173204</v>
      </c>
      <c r="I8165" t="str">
        <f t="shared" si="255"/>
        <v>Vapa_173204</v>
      </c>
      <c r="J8165" s="3">
        <v>142055</v>
      </c>
      <c r="K8165" s="3">
        <v>14510</v>
      </c>
      <c r="L8165" s="3">
        <v>6737</v>
      </c>
      <c r="M8165" s="3">
        <v>6786</v>
      </c>
      <c r="N8165" s="3">
        <v>3116</v>
      </c>
    </row>
    <row r="8166" spans="1:14" x14ac:dyDescent="0.2">
      <c r="A8166" s="5" t="str">
        <f>HYPERLINK("http://www.ncbi.nlm.nih.gov/protein/31543940","Vapb")</f>
        <v>Vapb</v>
      </c>
      <c r="B8166" s="4"/>
      <c r="C8166" s="3">
        <v>83842</v>
      </c>
      <c r="D8166" s="3">
        <v>14327</v>
      </c>
      <c r="E8166" s="3">
        <v>11392</v>
      </c>
      <c r="F8166" s="3">
        <v>6958</v>
      </c>
      <c r="G8166" s="3">
        <v>3116</v>
      </c>
      <c r="H8166" s="2">
        <f t="shared" si="254"/>
        <v>119635</v>
      </c>
      <c r="I8166" t="str">
        <f t="shared" si="255"/>
        <v>Vapb_119635</v>
      </c>
      <c r="J8166" s="3">
        <v>83842</v>
      </c>
      <c r="K8166" s="3">
        <v>14327</v>
      </c>
      <c r="L8166" s="3">
        <v>11392</v>
      </c>
      <c r="M8166" s="3">
        <v>6958</v>
      </c>
      <c r="N8166" s="3">
        <v>3116</v>
      </c>
    </row>
    <row r="8167" spans="1:14" x14ac:dyDescent="0.2">
      <c r="A8167" s="5" t="str">
        <f>HYPERLINK("http://www.ncbi.nlm.nih.gov/protein/255069795","Vars")</f>
        <v>Vars</v>
      </c>
      <c r="B8167" s="4"/>
      <c r="C8167" s="3">
        <v>92372</v>
      </c>
      <c r="D8167" s="3">
        <v>26530</v>
      </c>
      <c r="E8167" s="3">
        <v>67804</v>
      </c>
      <c r="F8167" s="3">
        <v>1419892</v>
      </c>
      <c r="G8167" s="3">
        <v>179663</v>
      </c>
      <c r="H8167" s="2">
        <f t="shared" si="254"/>
        <v>1786261</v>
      </c>
      <c r="I8167" t="str">
        <f t="shared" si="255"/>
        <v>Vars_1786261</v>
      </c>
      <c r="J8167" s="3">
        <v>92372</v>
      </c>
      <c r="K8167" s="3">
        <v>26530</v>
      </c>
      <c r="L8167" s="3">
        <v>67804</v>
      </c>
      <c r="M8167" s="3">
        <v>1419892</v>
      </c>
      <c r="N8167" s="3">
        <v>179663</v>
      </c>
    </row>
    <row r="8168" spans="1:14" x14ac:dyDescent="0.2">
      <c r="A8168" s="5" t="str">
        <f>HYPERLINK("http://www.ncbi.nlm.nih.gov/protein/160333671","Vars2")</f>
        <v>Vars2</v>
      </c>
      <c r="B8168" s="4"/>
      <c r="C8168" s="3">
        <v>0</v>
      </c>
      <c r="D8168" s="3">
        <v>35</v>
      </c>
      <c r="E8168" s="3">
        <v>0</v>
      </c>
      <c r="F8168" s="3">
        <v>0</v>
      </c>
      <c r="G8168" s="3">
        <v>0</v>
      </c>
      <c r="H8168" s="2">
        <f t="shared" si="254"/>
        <v>35</v>
      </c>
      <c r="I8168" t="str">
        <f t="shared" si="255"/>
        <v>Vars2_35</v>
      </c>
      <c r="J8168" s="3">
        <v>0</v>
      </c>
      <c r="K8168" s="3">
        <v>35</v>
      </c>
      <c r="L8168" s="3">
        <v>0</v>
      </c>
      <c r="M8168" s="3">
        <v>0</v>
      </c>
      <c r="N8168" s="3">
        <v>0</v>
      </c>
    </row>
    <row r="8169" spans="1:14" x14ac:dyDescent="0.2">
      <c r="A8169" s="5" t="str">
        <f>HYPERLINK("http://www.ncbi.nlm.nih.gov/protein/31981693","Vasn")</f>
        <v>Vasn</v>
      </c>
      <c r="B8169" s="4"/>
      <c r="C8169" s="3">
        <v>0</v>
      </c>
      <c r="D8169" s="3">
        <v>0</v>
      </c>
      <c r="E8169" s="3">
        <v>0</v>
      </c>
      <c r="F8169" s="3">
        <v>0</v>
      </c>
      <c r="G8169" s="3">
        <v>75</v>
      </c>
      <c r="H8169" s="2">
        <f t="shared" si="254"/>
        <v>75</v>
      </c>
      <c r="I8169" t="str">
        <f t="shared" si="255"/>
        <v>Vasn_75</v>
      </c>
      <c r="J8169" s="3">
        <v>0</v>
      </c>
      <c r="K8169" s="3">
        <v>0</v>
      </c>
      <c r="L8169" s="3">
        <v>0</v>
      </c>
      <c r="M8169" s="3">
        <v>0</v>
      </c>
      <c r="N8169" s="3">
        <v>75</v>
      </c>
    </row>
    <row r="8170" spans="1:14" x14ac:dyDescent="0.2">
      <c r="A8170" s="5" t="str">
        <f>HYPERLINK("http://www.ncbi.nlm.nih.gov/protein/530537260","Vasp")</f>
        <v>Vasp</v>
      </c>
      <c r="B8170" s="4"/>
      <c r="C8170" s="3">
        <v>2014</v>
      </c>
      <c r="D8170" s="3">
        <v>0</v>
      </c>
      <c r="E8170" s="3">
        <v>0</v>
      </c>
      <c r="F8170" s="3">
        <v>0</v>
      </c>
      <c r="G8170" s="3">
        <v>0</v>
      </c>
      <c r="H8170" s="2">
        <f t="shared" si="254"/>
        <v>2014</v>
      </c>
      <c r="I8170" t="str">
        <f t="shared" si="255"/>
        <v>Vasp_2014</v>
      </c>
      <c r="J8170" s="3">
        <v>2014</v>
      </c>
      <c r="K8170" s="3">
        <v>0</v>
      </c>
      <c r="L8170" s="3">
        <v>0</v>
      </c>
      <c r="M8170" s="3">
        <v>0</v>
      </c>
      <c r="N8170" s="3">
        <v>0</v>
      </c>
    </row>
    <row r="8171" spans="1:14" x14ac:dyDescent="0.2">
      <c r="A8171" s="5" t="str">
        <f>HYPERLINK("http://www.ncbi.nlm.nih.gov/protein/530537263","Vasp")</f>
        <v>Vasp</v>
      </c>
      <c r="B8171" s="4"/>
      <c r="C8171" s="3">
        <v>2014</v>
      </c>
      <c r="D8171" s="3">
        <v>0</v>
      </c>
      <c r="E8171" s="3">
        <v>0</v>
      </c>
      <c r="F8171" s="3">
        <v>0</v>
      </c>
      <c r="G8171" s="3">
        <v>0</v>
      </c>
      <c r="H8171" s="2">
        <f t="shared" si="254"/>
        <v>2014</v>
      </c>
      <c r="I8171" t="str">
        <f t="shared" si="255"/>
        <v>Vasp_2014</v>
      </c>
      <c r="J8171" s="3">
        <v>2014</v>
      </c>
      <c r="K8171" s="3">
        <v>0</v>
      </c>
      <c r="L8171" s="3">
        <v>0</v>
      </c>
      <c r="M8171" s="3">
        <v>0</v>
      </c>
      <c r="N8171" s="3">
        <v>0</v>
      </c>
    </row>
    <row r="8172" spans="1:14" x14ac:dyDescent="0.2">
      <c r="A8172" s="5" t="str">
        <f>HYPERLINK("http://www.ncbi.nlm.nih.gov/protein/160707909","Vasp")</f>
        <v>Vasp</v>
      </c>
      <c r="B8172" s="4"/>
      <c r="C8172" s="3">
        <v>2014</v>
      </c>
      <c r="D8172" s="3">
        <v>1035</v>
      </c>
      <c r="E8172" s="3">
        <v>637</v>
      </c>
      <c r="F8172" s="3">
        <v>2939</v>
      </c>
      <c r="G8172" s="3">
        <v>4605</v>
      </c>
      <c r="H8172" s="2">
        <f t="shared" si="254"/>
        <v>11230</v>
      </c>
      <c r="I8172" t="str">
        <f t="shared" si="255"/>
        <v>Vasp_11230</v>
      </c>
      <c r="J8172" s="3">
        <v>2014</v>
      </c>
      <c r="K8172" s="3">
        <v>1035</v>
      </c>
      <c r="L8172" s="3">
        <v>637</v>
      </c>
      <c r="M8172" s="3">
        <v>2939</v>
      </c>
      <c r="N8172" s="3">
        <v>4605</v>
      </c>
    </row>
    <row r="8173" spans="1:14" x14ac:dyDescent="0.2">
      <c r="A8173" s="5" t="str">
        <f>HYPERLINK("http://www.ncbi.nlm.nih.gov/protein/33859662","Vat1")</f>
        <v>Vat1</v>
      </c>
      <c r="B8173" s="4"/>
      <c r="C8173" s="3">
        <v>24768</v>
      </c>
      <c r="D8173" s="3">
        <v>23021</v>
      </c>
      <c r="E8173" s="3">
        <v>57473</v>
      </c>
      <c r="F8173" s="3">
        <v>106224</v>
      </c>
      <c r="G8173" s="3">
        <v>85687</v>
      </c>
      <c r="H8173" s="2">
        <f t="shared" si="254"/>
        <v>297173</v>
      </c>
      <c r="I8173" t="str">
        <f t="shared" si="255"/>
        <v>Vat1_297173</v>
      </c>
      <c r="J8173" s="3">
        <v>24768</v>
      </c>
      <c r="K8173" s="3">
        <v>23021</v>
      </c>
      <c r="L8173" s="3">
        <v>57473</v>
      </c>
      <c r="M8173" s="3">
        <v>106224</v>
      </c>
      <c r="N8173" s="3">
        <v>85687</v>
      </c>
    </row>
    <row r="8174" spans="1:14" x14ac:dyDescent="0.2">
      <c r="A8174" s="5" t="str">
        <f>HYPERLINK("http://www.ncbi.nlm.nih.gov/protein/6678555","Vav2")</f>
        <v>Vav2</v>
      </c>
      <c r="B8174" s="4"/>
      <c r="C8174" s="3">
        <v>0</v>
      </c>
      <c r="D8174" s="3">
        <v>48</v>
      </c>
      <c r="E8174" s="3">
        <v>0</v>
      </c>
      <c r="F8174" s="3">
        <v>0</v>
      </c>
      <c r="G8174" s="3">
        <v>1274</v>
      </c>
      <c r="H8174" s="2">
        <f t="shared" si="254"/>
        <v>1322</v>
      </c>
      <c r="I8174" t="str">
        <f t="shared" si="255"/>
        <v>Vav2_1322</v>
      </c>
      <c r="J8174" s="3">
        <v>0</v>
      </c>
      <c r="K8174" s="3">
        <v>48</v>
      </c>
      <c r="L8174" s="3">
        <v>0</v>
      </c>
      <c r="M8174" s="3">
        <v>0</v>
      </c>
      <c r="N8174" s="3">
        <v>1274</v>
      </c>
    </row>
    <row r="8175" spans="1:14" x14ac:dyDescent="0.2">
      <c r="A8175" s="5" t="str">
        <f>HYPERLINK("http://www.ncbi.nlm.nih.gov/protein/124248572","Vbp1")</f>
        <v>Vbp1</v>
      </c>
      <c r="B8175" s="4"/>
      <c r="C8175" s="3">
        <v>0</v>
      </c>
      <c r="D8175" s="3">
        <v>674</v>
      </c>
      <c r="E8175" s="3">
        <v>998</v>
      </c>
      <c r="F8175" s="3">
        <v>6876</v>
      </c>
      <c r="G8175" s="3">
        <v>36905</v>
      </c>
      <c r="H8175" s="2">
        <f t="shared" si="254"/>
        <v>45453</v>
      </c>
      <c r="I8175" t="str">
        <f t="shared" si="255"/>
        <v>Vbp1_45453</v>
      </c>
      <c r="J8175" s="3">
        <v>0</v>
      </c>
      <c r="K8175" s="3">
        <v>674</v>
      </c>
      <c r="L8175" s="3">
        <v>998</v>
      </c>
      <c r="M8175" s="3">
        <v>6876</v>
      </c>
      <c r="N8175" s="3">
        <v>36905</v>
      </c>
    </row>
    <row r="8176" spans="1:14" x14ac:dyDescent="0.2">
      <c r="A8176" s="5" t="str">
        <f>HYPERLINK("http://www.ncbi.nlm.nih.gov/protein/31543942","Vcl")</f>
        <v>Vcl</v>
      </c>
      <c r="B8176" s="4"/>
      <c r="C8176" s="3">
        <v>162319</v>
      </c>
      <c r="D8176" s="3">
        <v>33674</v>
      </c>
      <c r="E8176" s="3">
        <v>145379</v>
      </c>
      <c r="F8176" s="3">
        <v>220896</v>
      </c>
      <c r="G8176" s="3">
        <v>1711850</v>
      </c>
      <c r="H8176" s="2">
        <f t="shared" si="254"/>
        <v>2274118</v>
      </c>
      <c r="I8176" t="str">
        <f t="shared" si="255"/>
        <v>Vcl_2274118</v>
      </c>
      <c r="J8176" s="3">
        <v>162319</v>
      </c>
      <c r="K8176" s="3">
        <v>33674</v>
      </c>
      <c r="L8176" s="3">
        <v>145379</v>
      </c>
      <c r="M8176" s="3">
        <v>220896</v>
      </c>
      <c r="N8176" s="3">
        <v>1711850</v>
      </c>
    </row>
    <row r="8177" spans="1:14" x14ac:dyDescent="0.2">
      <c r="A8177" s="5" t="str">
        <f>HYPERLINK("http://www.ncbi.nlm.nih.gov/protein/225543319","Vcp")</f>
        <v>Vcp</v>
      </c>
      <c r="B8177" s="4"/>
      <c r="C8177" s="3">
        <v>222583</v>
      </c>
      <c r="D8177" s="3">
        <v>22364</v>
      </c>
      <c r="E8177" s="3">
        <v>56721</v>
      </c>
      <c r="F8177" s="3">
        <v>654035</v>
      </c>
      <c r="G8177" s="3">
        <v>165590</v>
      </c>
      <c r="H8177" s="2">
        <f t="shared" si="254"/>
        <v>1121293</v>
      </c>
      <c r="I8177" t="str">
        <f t="shared" si="255"/>
        <v>Vcp_1121293</v>
      </c>
      <c r="J8177" s="3">
        <v>222583</v>
      </c>
      <c r="K8177" s="3">
        <v>22364</v>
      </c>
      <c r="L8177" s="3">
        <v>56721</v>
      </c>
      <c r="M8177" s="3">
        <v>654035</v>
      </c>
      <c r="N8177" s="3">
        <v>165590</v>
      </c>
    </row>
    <row r="8178" spans="1:14" x14ac:dyDescent="0.2">
      <c r="A8178" s="5" t="str">
        <f>HYPERLINK("http://www.ncbi.nlm.nih.gov/protein/70778826","Vcpip1")</f>
        <v>Vcpip1</v>
      </c>
      <c r="B8178" s="4"/>
      <c r="C8178" s="3">
        <v>0</v>
      </c>
      <c r="D8178" s="3">
        <v>42</v>
      </c>
      <c r="E8178" s="3">
        <v>0</v>
      </c>
      <c r="F8178" s="3">
        <v>810</v>
      </c>
      <c r="G8178" s="3">
        <v>18624</v>
      </c>
      <c r="H8178" s="2">
        <f t="shared" si="254"/>
        <v>19476</v>
      </c>
      <c r="I8178" t="str">
        <f t="shared" si="255"/>
        <v>Vcpip1_19476</v>
      </c>
      <c r="J8178" s="3">
        <v>0</v>
      </c>
      <c r="K8178" s="3">
        <v>42</v>
      </c>
      <c r="L8178" s="3">
        <v>0</v>
      </c>
      <c r="M8178" s="3">
        <v>810</v>
      </c>
      <c r="N8178" s="3">
        <v>18624</v>
      </c>
    </row>
    <row r="8179" spans="1:14" x14ac:dyDescent="0.2">
      <c r="A8179" s="5" t="str">
        <f>HYPERLINK("http://www.ncbi.nlm.nih.gov/protein/98986329","Vcpkmt")</f>
        <v>Vcpkmt</v>
      </c>
      <c r="B8179" s="4"/>
      <c r="C8179" s="3">
        <v>0</v>
      </c>
      <c r="D8179" s="3">
        <v>0</v>
      </c>
      <c r="E8179" s="3">
        <v>0</v>
      </c>
      <c r="F8179" s="3">
        <v>0</v>
      </c>
      <c r="G8179" s="3">
        <v>2945</v>
      </c>
      <c r="H8179" s="2">
        <f t="shared" si="254"/>
        <v>2945</v>
      </c>
      <c r="I8179" t="str">
        <f t="shared" si="255"/>
        <v>Vcpkmt_2945</v>
      </c>
      <c r="J8179" s="3">
        <v>0</v>
      </c>
      <c r="K8179" s="3">
        <v>0</v>
      </c>
      <c r="L8179" s="3">
        <v>0</v>
      </c>
      <c r="M8179" s="3">
        <v>0</v>
      </c>
      <c r="N8179" s="3">
        <v>2945</v>
      </c>
    </row>
    <row r="8180" spans="1:14" x14ac:dyDescent="0.2">
      <c r="A8180" s="5" t="str">
        <f>HYPERLINK("http://www.ncbi.nlm.nih.gov/protein/6755963","Vdac1")</f>
        <v>Vdac1</v>
      </c>
      <c r="B8180" s="4"/>
      <c r="C8180" s="3">
        <v>1165434</v>
      </c>
      <c r="D8180" s="3">
        <v>315851</v>
      </c>
      <c r="E8180" s="3">
        <v>144301</v>
      </c>
      <c r="F8180" s="3">
        <v>54909</v>
      </c>
      <c r="G8180" s="3">
        <v>0</v>
      </c>
      <c r="H8180" s="2">
        <f t="shared" si="254"/>
        <v>1680495</v>
      </c>
      <c r="I8180" t="str">
        <f t="shared" si="255"/>
        <v>Vdac1_1680495</v>
      </c>
      <c r="J8180" s="3">
        <v>1165434</v>
      </c>
      <c r="K8180" s="3">
        <v>315851</v>
      </c>
      <c r="L8180" s="3">
        <v>144301</v>
      </c>
      <c r="M8180" s="3">
        <v>54909</v>
      </c>
      <c r="N8180" s="3">
        <v>0</v>
      </c>
    </row>
    <row r="8181" spans="1:14" x14ac:dyDescent="0.2">
      <c r="A8181" s="5" t="str">
        <f>HYPERLINK("http://www.ncbi.nlm.nih.gov/protein/6755965","Vdac2")</f>
        <v>Vdac2</v>
      </c>
      <c r="B8181" s="4"/>
      <c r="C8181" s="3">
        <v>653506</v>
      </c>
      <c r="D8181" s="3">
        <v>271034</v>
      </c>
      <c r="E8181" s="3">
        <v>86043</v>
      </c>
      <c r="F8181" s="3">
        <v>12131</v>
      </c>
      <c r="G8181" s="3">
        <v>0</v>
      </c>
      <c r="H8181" s="2">
        <f t="shared" si="254"/>
        <v>1022714</v>
      </c>
      <c r="I8181" t="str">
        <f t="shared" si="255"/>
        <v>Vdac2_1022714</v>
      </c>
      <c r="J8181" s="3">
        <v>653506</v>
      </c>
      <c r="K8181" s="3">
        <v>271034</v>
      </c>
      <c r="L8181" s="3">
        <v>86043</v>
      </c>
      <c r="M8181" s="3">
        <v>12131</v>
      </c>
      <c r="N8181" s="3">
        <v>0</v>
      </c>
    </row>
    <row r="8182" spans="1:14" x14ac:dyDescent="0.2">
      <c r="A8182" s="5" t="str">
        <f>HYPERLINK("http://www.ncbi.nlm.nih.gov/protein/312222784","Vdac3")</f>
        <v>Vdac3</v>
      </c>
      <c r="B8182" s="4"/>
      <c r="C8182" s="3">
        <v>566150</v>
      </c>
      <c r="D8182" s="3">
        <v>77399</v>
      </c>
      <c r="E8182" s="3">
        <v>49048</v>
      </c>
      <c r="F8182" s="3">
        <v>13015</v>
      </c>
      <c r="G8182" s="3">
        <v>0</v>
      </c>
      <c r="H8182" s="2">
        <f t="shared" si="254"/>
        <v>705612</v>
      </c>
      <c r="I8182" t="str">
        <f t="shared" si="255"/>
        <v>Vdac3_705612</v>
      </c>
      <c r="J8182" s="3">
        <v>566150</v>
      </c>
      <c r="K8182" s="3">
        <v>77399</v>
      </c>
      <c r="L8182" s="3">
        <v>49048</v>
      </c>
      <c r="M8182" s="3">
        <v>13015</v>
      </c>
      <c r="N8182" s="3">
        <v>0</v>
      </c>
    </row>
    <row r="8183" spans="1:14" x14ac:dyDescent="0.2">
      <c r="A8183" s="5" t="str">
        <f>HYPERLINK("http://www.ncbi.nlm.nih.gov/protein/6755967","Vdac3")</f>
        <v>Vdac3</v>
      </c>
      <c r="B8183" s="4"/>
      <c r="C8183" s="3">
        <v>566150</v>
      </c>
      <c r="D8183" s="3">
        <v>78273</v>
      </c>
      <c r="E8183" s="3">
        <v>49361</v>
      </c>
      <c r="F8183" s="3">
        <v>13015</v>
      </c>
      <c r="G8183" s="3">
        <v>0</v>
      </c>
      <c r="H8183" s="2">
        <f t="shared" si="254"/>
        <v>706799</v>
      </c>
      <c r="I8183" t="str">
        <f t="shared" si="255"/>
        <v>Vdac3_706799</v>
      </c>
      <c r="J8183" s="3">
        <v>566150</v>
      </c>
      <c r="K8183" s="3">
        <v>78273</v>
      </c>
      <c r="L8183" s="3">
        <v>49361</v>
      </c>
      <c r="M8183" s="3">
        <v>13015</v>
      </c>
      <c r="N8183" s="3">
        <v>0</v>
      </c>
    </row>
    <row r="8184" spans="1:14" x14ac:dyDescent="0.2">
      <c r="A8184" s="5" t="str">
        <f>HYPERLINK("http://www.ncbi.nlm.nih.gov/protein/240848537","Veph1")</f>
        <v>Veph1</v>
      </c>
      <c r="B8184" s="4"/>
      <c r="C8184" s="3">
        <v>0</v>
      </c>
      <c r="D8184" s="3">
        <v>488</v>
      </c>
      <c r="E8184" s="3">
        <v>4290</v>
      </c>
      <c r="F8184" s="3">
        <v>532</v>
      </c>
      <c r="G8184" s="3">
        <v>0</v>
      </c>
      <c r="H8184" s="2">
        <f t="shared" si="254"/>
        <v>5310</v>
      </c>
      <c r="I8184" t="str">
        <f t="shared" si="255"/>
        <v>Veph1_5310</v>
      </c>
      <c r="J8184" s="3">
        <v>0</v>
      </c>
      <c r="K8184" s="3">
        <v>488</v>
      </c>
      <c r="L8184" s="3">
        <v>4290</v>
      </c>
      <c r="M8184" s="3">
        <v>532</v>
      </c>
      <c r="N8184" s="3">
        <v>0</v>
      </c>
    </row>
    <row r="8185" spans="1:14" x14ac:dyDescent="0.2">
      <c r="A8185" s="5" t="str">
        <f>HYPERLINK("http://www.ncbi.nlm.nih.gov/protein/6678567","Vhl")</f>
        <v>Vhl</v>
      </c>
      <c r="B8185" s="4"/>
      <c r="C8185" s="3">
        <v>0</v>
      </c>
      <c r="D8185" s="3">
        <v>0</v>
      </c>
      <c r="E8185" s="3">
        <v>0</v>
      </c>
      <c r="F8185" s="3">
        <v>0</v>
      </c>
      <c r="G8185" s="3">
        <v>86</v>
      </c>
      <c r="H8185" s="2">
        <f t="shared" si="254"/>
        <v>86</v>
      </c>
      <c r="I8185" t="str">
        <f t="shared" si="255"/>
        <v>Vhl_86</v>
      </c>
      <c r="J8185" s="3">
        <v>0</v>
      </c>
      <c r="K8185" s="3">
        <v>0</v>
      </c>
      <c r="L8185" s="3">
        <v>0</v>
      </c>
      <c r="M8185" s="3">
        <v>0</v>
      </c>
      <c r="N8185" s="3">
        <v>86</v>
      </c>
    </row>
    <row r="8186" spans="1:14" x14ac:dyDescent="0.2">
      <c r="A8186" s="5" t="str">
        <f>HYPERLINK("http://www.ncbi.nlm.nih.gov/protein/190684696","Vil1")</f>
        <v>Vil1</v>
      </c>
      <c r="B8186" s="4"/>
      <c r="C8186" s="3">
        <v>0</v>
      </c>
      <c r="D8186" s="3">
        <v>0</v>
      </c>
      <c r="E8186" s="3">
        <v>0</v>
      </c>
      <c r="F8186" s="3">
        <v>0</v>
      </c>
      <c r="G8186" s="3">
        <v>27963</v>
      </c>
      <c r="H8186" s="2">
        <f t="shared" si="254"/>
        <v>27963</v>
      </c>
      <c r="I8186" t="str">
        <f t="shared" si="255"/>
        <v>Vil1_27963</v>
      </c>
      <c r="J8186" s="3">
        <v>0</v>
      </c>
      <c r="K8186" s="3">
        <v>0</v>
      </c>
      <c r="L8186" s="3">
        <v>0</v>
      </c>
      <c r="M8186" s="3">
        <v>0</v>
      </c>
      <c r="N8186" s="3">
        <v>27963</v>
      </c>
    </row>
    <row r="8187" spans="1:14" x14ac:dyDescent="0.2">
      <c r="A8187" s="5" t="str">
        <f>HYPERLINK("http://www.ncbi.nlm.nih.gov/protein/257096031","Vill")</f>
        <v>Vill</v>
      </c>
      <c r="B8187" s="4"/>
      <c r="C8187" s="3">
        <v>110</v>
      </c>
      <c r="D8187" s="3">
        <v>691</v>
      </c>
      <c r="E8187" s="3">
        <v>10275</v>
      </c>
      <c r="F8187" s="3">
        <v>0</v>
      </c>
      <c r="G8187" s="3">
        <v>4080</v>
      </c>
      <c r="H8187" s="2">
        <f t="shared" si="254"/>
        <v>15156</v>
      </c>
      <c r="I8187" t="str">
        <f t="shared" si="255"/>
        <v>Vill_15156</v>
      </c>
      <c r="J8187" s="3">
        <v>110</v>
      </c>
      <c r="K8187" s="3">
        <v>691</v>
      </c>
      <c r="L8187" s="3">
        <v>10275</v>
      </c>
      <c r="M8187" s="3">
        <v>0</v>
      </c>
      <c r="N8187" s="3">
        <v>4080</v>
      </c>
    </row>
    <row r="8188" spans="1:14" x14ac:dyDescent="0.2">
      <c r="A8188" s="5" t="str">
        <f>HYPERLINK("http://www.ncbi.nlm.nih.gov/protein/257096033","Vill")</f>
        <v>Vill</v>
      </c>
      <c r="B8188" s="4"/>
      <c r="C8188" s="3">
        <v>110</v>
      </c>
      <c r="D8188" s="3">
        <v>691</v>
      </c>
      <c r="E8188" s="3">
        <v>9951</v>
      </c>
      <c r="F8188" s="3">
        <v>0</v>
      </c>
      <c r="G8188" s="3">
        <v>4080</v>
      </c>
      <c r="H8188" s="2">
        <f t="shared" si="254"/>
        <v>14832</v>
      </c>
      <c r="I8188" t="str">
        <f t="shared" si="255"/>
        <v>Vill_14832</v>
      </c>
      <c r="J8188" s="3">
        <v>110</v>
      </c>
      <c r="K8188" s="3">
        <v>691</v>
      </c>
      <c r="L8188" s="3">
        <v>9951</v>
      </c>
      <c r="M8188" s="3">
        <v>0</v>
      </c>
      <c r="N8188" s="3">
        <v>4080</v>
      </c>
    </row>
    <row r="8189" spans="1:14" x14ac:dyDescent="0.2">
      <c r="A8189" s="5" t="str">
        <f>HYPERLINK("http://www.ncbi.nlm.nih.gov/protein/31982755","Vim")</f>
        <v>Vim</v>
      </c>
      <c r="B8189" s="4"/>
      <c r="C8189" s="3">
        <v>715600</v>
      </c>
      <c r="D8189" s="3">
        <v>0</v>
      </c>
      <c r="E8189" s="3">
        <v>2644</v>
      </c>
      <c r="F8189" s="3">
        <v>0</v>
      </c>
      <c r="G8189" s="3">
        <v>0</v>
      </c>
      <c r="H8189" s="2">
        <f t="shared" si="254"/>
        <v>718244</v>
      </c>
      <c r="I8189" t="str">
        <f t="shared" si="255"/>
        <v>Vim_718244</v>
      </c>
      <c r="J8189" s="3">
        <v>715600</v>
      </c>
      <c r="K8189" s="3">
        <v>0</v>
      </c>
      <c r="L8189" s="3">
        <v>2644</v>
      </c>
      <c r="M8189" s="3">
        <v>0</v>
      </c>
      <c r="N8189" s="3">
        <v>0</v>
      </c>
    </row>
    <row r="8190" spans="1:14" x14ac:dyDescent="0.2">
      <c r="A8190" s="5" t="str">
        <f>HYPERLINK("http://www.ncbi.nlm.nih.gov/protein/111119010","Vimp")</f>
        <v>Vimp</v>
      </c>
      <c r="B8190" s="4"/>
      <c r="C8190" s="3">
        <v>0</v>
      </c>
      <c r="D8190" s="3">
        <v>109</v>
      </c>
      <c r="E8190" s="3">
        <v>13</v>
      </c>
      <c r="F8190" s="3">
        <v>0</v>
      </c>
      <c r="G8190" s="3">
        <v>0</v>
      </c>
      <c r="H8190" s="2">
        <f t="shared" si="254"/>
        <v>122</v>
      </c>
      <c r="I8190" t="str">
        <f t="shared" si="255"/>
        <v>Vimp_122</v>
      </c>
      <c r="J8190" s="3">
        <v>0</v>
      </c>
      <c r="K8190" s="3">
        <v>109</v>
      </c>
      <c r="L8190" s="3">
        <v>13</v>
      </c>
      <c r="M8190" s="3">
        <v>0</v>
      </c>
      <c r="N8190" s="3">
        <v>0</v>
      </c>
    </row>
    <row r="8191" spans="1:14" x14ac:dyDescent="0.2">
      <c r="A8191" s="5" t="str">
        <f>HYPERLINK("http://www.ncbi.nlm.nih.gov/protein/217035166","Vipas39")</f>
        <v>Vipas39</v>
      </c>
      <c r="B8191" s="4"/>
      <c r="C8191" s="3">
        <v>0</v>
      </c>
      <c r="D8191" s="3">
        <v>0</v>
      </c>
      <c r="E8191" s="3">
        <v>6</v>
      </c>
      <c r="F8191" s="3">
        <v>0</v>
      </c>
      <c r="G8191" s="3">
        <v>0</v>
      </c>
      <c r="H8191" s="2">
        <f t="shared" si="254"/>
        <v>6</v>
      </c>
      <c r="I8191" t="str">
        <f t="shared" si="255"/>
        <v>Vipas39_6</v>
      </c>
      <c r="J8191" s="3">
        <v>0</v>
      </c>
      <c r="K8191" s="3">
        <v>0</v>
      </c>
      <c r="L8191" s="3">
        <v>6</v>
      </c>
      <c r="M8191" s="3">
        <v>0</v>
      </c>
      <c r="N8191" s="3">
        <v>0</v>
      </c>
    </row>
    <row r="8192" spans="1:14" x14ac:dyDescent="0.2">
      <c r="A8192" s="5" t="str">
        <f>HYPERLINK("http://www.ncbi.nlm.nih.gov/protein/217272818","Vipas39")</f>
        <v>Vipas39</v>
      </c>
      <c r="B8192" s="4"/>
      <c r="C8192" s="3">
        <v>0</v>
      </c>
      <c r="D8192" s="3">
        <v>0</v>
      </c>
      <c r="E8192" s="3">
        <v>6</v>
      </c>
      <c r="F8192" s="3">
        <v>0</v>
      </c>
      <c r="G8192" s="3">
        <v>0</v>
      </c>
      <c r="H8192" s="2">
        <f t="shared" si="254"/>
        <v>6</v>
      </c>
      <c r="I8192" t="str">
        <f t="shared" si="255"/>
        <v>Vipas39_6</v>
      </c>
      <c r="J8192" s="3">
        <v>0</v>
      </c>
      <c r="K8192" s="3">
        <v>0</v>
      </c>
      <c r="L8192" s="3">
        <v>6</v>
      </c>
      <c r="M8192" s="3">
        <v>0</v>
      </c>
      <c r="N8192" s="3">
        <v>0</v>
      </c>
    </row>
    <row r="8193" spans="1:14" x14ac:dyDescent="0.2">
      <c r="A8193" s="5" t="str">
        <f>HYPERLINK("http://www.ncbi.nlm.nih.gov/protein/30519915","Vkorc1")</f>
        <v>Vkorc1</v>
      </c>
      <c r="B8193" s="4"/>
      <c r="C8193" s="3">
        <v>0</v>
      </c>
      <c r="D8193" s="3">
        <v>2227</v>
      </c>
      <c r="E8193" s="3">
        <v>208</v>
      </c>
      <c r="F8193" s="3">
        <v>0</v>
      </c>
      <c r="G8193" s="3">
        <v>0</v>
      </c>
      <c r="H8193" s="2">
        <f t="shared" si="254"/>
        <v>2435</v>
      </c>
      <c r="I8193" t="str">
        <f t="shared" si="255"/>
        <v>Vkorc1_2435</v>
      </c>
      <c r="J8193" s="3">
        <v>0</v>
      </c>
      <c r="K8193" s="3">
        <v>2227</v>
      </c>
      <c r="L8193" s="3">
        <v>208</v>
      </c>
      <c r="M8193" s="3">
        <v>0</v>
      </c>
      <c r="N8193" s="3">
        <v>0</v>
      </c>
    </row>
    <row r="8194" spans="1:14" x14ac:dyDescent="0.2">
      <c r="A8194" s="5" t="str">
        <f>HYPERLINK("http://www.ncbi.nlm.nih.gov/protein/556503385","Vkorc1l1")</f>
        <v>Vkorc1l1</v>
      </c>
      <c r="B8194" s="4"/>
      <c r="C8194" s="3">
        <v>2307</v>
      </c>
      <c r="D8194" s="3">
        <v>0</v>
      </c>
      <c r="E8194" s="3">
        <v>0</v>
      </c>
      <c r="F8194" s="3">
        <v>0</v>
      </c>
      <c r="G8194" s="3">
        <v>0</v>
      </c>
      <c r="H8194" s="2">
        <f t="shared" ref="H8194:H8257" si="256">SUM(C8194:G8194)</f>
        <v>2307</v>
      </c>
      <c r="I8194" t="str">
        <f t="shared" ref="I8194:I8257" si="257">A8194&amp;"_"&amp;H8194</f>
        <v>Vkorc1l1_2307</v>
      </c>
      <c r="J8194" s="3">
        <v>2307</v>
      </c>
      <c r="K8194" s="3">
        <v>0</v>
      </c>
      <c r="L8194" s="3">
        <v>0</v>
      </c>
      <c r="M8194" s="3">
        <v>0</v>
      </c>
      <c r="N8194" s="3">
        <v>0</v>
      </c>
    </row>
    <row r="8195" spans="1:14" x14ac:dyDescent="0.2">
      <c r="A8195" s="5" t="str">
        <f>HYPERLINK("http://www.ncbi.nlm.nih.gov/protein/47717109","Vkorc1l1")</f>
        <v>Vkorc1l1</v>
      </c>
      <c r="B8195" s="4"/>
      <c r="C8195" s="3">
        <v>0</v>
      </c>
      <c r="D8195" s="3">
        <v>1171</v>
      </c>
      <c r="E8195" s="3">
        <v>0</v>
      </c>
      <c r="F8195" s="3">
        <v>0</v>
      </c>
      <c r="G8195" s="3">
        <v>0</v>
      </c>
      <c r="H8195" s="2">
        <f t="shared" si="256"/>
        <v>1171</v>
      </c>
      <c r="I8195" t="str">
        <f t="shared" si="257"/>
        <v>Vkorc1l1_1171</v>
      </c>
      <c r="J8195" s="3">
        <v>0</v>
      </c>
      <c r="K8195" s="3">
        <v>1171</v>
      </c>
      <c r="L8195" s="3">
        <v>0</v>
      </c>
      <c r="M8195" s="3">
        <v>0</v>
      </c>
      <c r="N8195" s="3">
        <v>0</v>
      </c>
    </row>
    <row r="8196" spans="1:14" x14ac:dyDescent="0.2">
      <c r="A8196" s="5" t="str">
        <f>HYPERLINK("http://www.ncbi.nlm.nih.gov/protein/46309457","Vkorc1l1")</f>
        <v>Vkorc1l1</v>
      </c>
      <c r="B8196" s="4"/>
      <c r="C8196" s="3">
        <v>2307</v>
      </c>
      <c r="D8196" s="3">
        <v>1171</v>
      </c>
      <c r="E8196" s="3">
        <v>0</v>
      </c>
      <c r="F8196" s="3">
        <v>0</v>
      </c>
      <c r="G8196" s="3">
        <v>0</v>
      </c>
      <c r="H8196" s="2">
        <f t="shared" si="256"/>
        <v>3478</v>
      </c>
      <c r="I8196" t="str">
        <f t="shared" si="257"/>
        <v>Vkorc1l1_3478</v>
      </c>
      <c r="J8196" s="3">
        <v>2307</v>
      </c>
      <c r="K8196" s="3">
        <v>1171</v>
      </c>
      <c r="L8196" s="3">
        <v>0</v>
      </c>
      <c r="M8196" s="3">
        <v>0</v>
      </c>
      <c r="N8196" s="3">
        <v>0</v>
      </c>
    </row>
    <row r="8197" spans="1:14" x14ac:dyDescent="0.2">
      <c r="A8197" s="5" t="str">
        <f>HYPERLINK("http://www.ncbi.nlm.nih.gov/protein/238637303","Vldlr")</f>
        <v>Vldlr</v>
      </c>
      <c r="B8197" s="4"/>
      <c r="C8197" s="3">
        <v>0</v>
      </c>
      <c r="D8197" s="3">
        <v>2</v>
      </c>
      <c r="E8197" s="3">
        <v>57</v>
      </c>
      <c r="F8197" s="3">
        <v>0</v>
      </c>
      <c r="G8197" s="3">
        <v>0</v>
      </c>
      <c r="H8197" s="2">
        <f t="shared" si="256"/>
        <v>59</v>
      </c>
      <c r="I8197" t="str">
        <f t="shared" si="257"/>
        <v>Vldlr_59</v>
      </c>
      <c r="J8197" s="3">
        <v>0</v>
      </c>
      <c r="K8197" s="3">
        <v>2</v>
      </c>
      <c r="L8197" s="3">
        <v>57</v>
      </c>
      <c r="M8197" s="3">
        <v>0</v>
      </c>
      <c r="N8197" s="3">
        <v>0</v>
      </c>
    </row>
    <row r="8198" spans="1:14" x14ac:dyDescent="0.2">
      <c r="A8198" s="5" t="str">
        <f>HYPERLINK("http://www.ncbi.nlm.nih.gov/protein/238637305","Vldlr")</f>
        <v>Vldlr</v>
      </c>
      <c r="B8198" s="4"/>
      <c r="C8198" s="3">
        <v>0</v>
      </c>
      <c r="D8198" s="3">
        <v>2</v>
      </c>
      <c r="E8198" s="3">
        <v>57</v>
      </c>
      <c r="F8198" s="3">
        <v>0</v>
      </c>
      <c r="G8198" s="3">
        <v>0</v>
      </c>
      <c r="H8198" s="2">
        <f t="shared" si="256"/>
        <v>59</v>
      </c>
      <c r="I8198" t="str">
        <f t="shared" si="257"/>
        <v>Vldlr_59</v>
      </c>
      <c r="J8198" s="3">
        <v>0</v>
      </c>
      <c r="K8198" s="3">
        <v>2</v>
      </c>
      <c r="L8198" s="3">
        <v>57</v>
      </c>
      <c r="M8198" s="3">
        <v>0</v>
      </c>
      <c r="N8198" s="3">
        <v>0</v>
      </c>
    </row>
    <row r="8199" spans="1:14" x14ac:dyDescent="0.2">
      <c r="A8199" s="5" t="str">
        <f>HYPERLINK("http://www.ncbi.nlm.nih.gov/protein/124486867","Vma21")</f>
        <v>Vma21</v>
      </c>
      <c r="B8199" s="4"/>
      <c r="C8199" s="3">
        <v>0</v>
      </c>
      <c r="D8199" s="3">
        <v>795</v>
      </c>
      <c r="E8199" s="3">
        <v>319</v>
      </c>
      <c r="F8199" s="3">
        <v>0</v>
      </c>
      <c r="G8199" s="3">
        <v>0</v>
      </c>
      <c r="H8199" s="2">
        <f t="shared" si="256"/>
        <v>1114</v>
      </c>
      <c r="I8199" t="str">
        <f t="shared" si="257"/>
        <v>Vma21_1114</v>
      </c>
      <c r="J8199" s="3">
        <v>0</v>
      </c>
      <c r="K8199" s="3">
        <v>795</v>
      </c>
      <c r="L8199" s="3">
        <v>319</v>
      </c>
      <c r="M8199" s="3">
        <v>0</v>
      </c>
      <c r="N8199" s="3">
        <v>0</v>
      </c>
    </row>
    <row r="8200" spans="1:14" x14ac:dyDescent="0.2">
      <c r="A8200" s="5" t="str">
        <f>HYPERLINK("http://www.ncbi.nlm.nih.gov/protein/262050612","Vmac")</f>
        <v>Vmac</v>
      </c>
      <c r="B8200" s="4"/>
      <c r="C8200" s="3">
        <v>0</v>
      </c>
      <c r="D8200" s="3">
        <v>0</v>
      </c>
      <c r="E8200" s="3">
        <v>0</v>
      </c>
      <c r="F8200" s="3">
        <v>0</v>
      </c>
      <c r="G8200" s="3">
        <v>129</v>
      </c>
      <c r="H8200" s="2">
        <f t="shared" si="256"/>
        <v>129</v>
      </c>
      <c r="I8200" t="str">
        <f t="shared" si="257"/>
        <v>Vmac_129</v>
      </c>
      <c r="J8200" s="3">
        <v>0</v>
      </c>
      <c r="K8200" s="3">
        <v>0</v>
      </c>
      <c r="L8200" s="3">
        <v>0</v>
      </c>
      <c r="M8200" s="3">
        <v>0</v>
      </c>
      <c r="N8200" s="3">
        <v>129</v>
      </c>
    </row>
    <row r="8201" spans="1:14" x14ac:dyDescent="0.2">
      <c r="A8201" s="5" t="str">
        <f>HYPERLINK("http://www.ncbi.nlm.nih.gov/protein/30725792","Vmac")</f>
        <v>Vmac</v>
      </c>
      <c r="B8201" s="4"/>
      <c r="C8201" s="3">
        <v>0</v>
      </c>
      <c r="D8201" s="3">
        <v>0</v>
      </c>
      <c r="E8201" s="3">
        <v>0</v>
      </c>
      <c r="F8201" s="3">
        <v>0</v>
      </c>
      <c r="G8201" s="3">
        <v>428</v>
      </c>
      <c r="H8201" s="2">
        <f t="shared" si="256"/>
        <v>428</v>
      </c>
      <c r="I8201" t="str">
        <f t="shared" si="257"/>
        <v>Vmac_428</v>
      </c>
      <c r="J8201" s="3">
        <v>0</v>
      </c>
      <c r="K8201" s="3">
        <v>0</v>
      </c>
      <c r="L8201" s="3">
        <v>0</v>
      </c>
      <c r="M8201" s="3">
        <v>0</v>
      </c>
      <c r="N8201" s="3">
        <v>428</v>
      </c>
    </row>
    <row r="8202" spans="1:14" x14ac:dyDescent="0.2">
      <c r="A8202" s="5" t="str">
        <f>HYPERLINK("http://www.ncbi.nlm.nih.gov/protein/282847329","Vmn1r11")</f>
        <v>Vmn1r11</v>
      </c>
      <c r="B8202" s="4"/>
      <c r="C8202" s="3">
        <v>0</v>
      </c>
      <c r="D8202" s="3">
        <v>1651</v>
      </c>
      <c r="E8202" s="3">
        <v>3193</v>
      </c>
      <c r="F8202" s="3">
        <v>0</v>
      </c>
      <c r="G8202" s="3">
        <v>2195</v>
      </c>
      <c r="H8202" s="2">
        <f t="shared" si="256"/>
        <v>7039</v>
      </c>
      <c r="I8202" t="str">
        <f t="shared" si="257"/>
        <v>Vmn1r11_7039</v>
      </c>
      <c r="J8202" s="3">
        <v>0</v>
      </c>
      <c r="K8202" s="3">
        <v>1651</v>
      </c>
      <c r="L8202" s="3">
        <v>3193</v>
      </c>
      <c r="M8202" s="3">
        <v>0</v>
      </c>
      <c r="N8202" s="3">
        <v>2195</v>
      </c>
    </row>
    <row r="8203" spans="1:14" x14ac:dyDescent="0.2">
      <c r="A8203" s="5" t="str">
        <f>HYPERLINK("http://www.ncbi.nlm.nih.gov/protein/285026477","Vmn1r68")</f>
        <v>Vmn1r68</v>
      </c>
      <c r="B8203" s="4"/>
      <c r="C8203" s="3">
        <v>0</v>
      </c>
      <c r="D8203" s="3">
        <v>0</v>
      </c>
      <c r="E8203" s="3">
        <v>258</v>
      </c>
      <c r="F8203" s="3">
        <v>0</v>
      </c>
      <c r="G8203" s="3">
        <v>0</v>
      </c>
      <c r="H8203" s="2">
        <f t="shared" si="256"/>
        <v>258</v>
      </c>
      <c r="I8203" t="str">
        <f t="shared" si="257"/>
        <v>Vmn1r68_258</v>
      </c>
      <c r="J8203" s="3">
        <v>0</v>
      </c>
      <c r="K8203" s="3">
        <v>0</v>
      </c>
      <c r="L8203" s="3">
        <v>258</v>
      </c>
      <c r="M8203" s="3">
        <v>0</v>
      </c>
      <c r="N8203" s="3">
        <v>0</v>
      </c>
    </row>
    <row r="8204" spans="1:14" x14ac:dyDescent="0.2">
      <c r="A8204" s="5" t="str">
        <f>HYPERLINK("http://www.ncbi.nlm.nih.gov/protein/22003898","Vmn1r69")</f>
        <v>Vmn1r69</v>
      </c>
      <c r="B8204" s="4"/>
      <c r="C8204" s="3">
        <v>0</v>
      </c>
      <c r="D8204" s="3">
        <v>0</v>
      </c>
      <c r="E8204" s="3">
        <v>258</v>
      </c>
      <c r="F8204" s="3">
        <v>0</v>
      </c>
      <c r="G8204" s="3">
        <v>0</v>
      </c>
      <c r="H8204" s="2">
        <f t="shared" si="256"/>
        <v>258</v>
      </c>
      <c r="I8204" t="str">
        <f t="shared" si="257"/>
        <v>Vmn1r69_258</v>
      </c>
      <c r="J8204" s="3">
        <v>0</v>
      </c>
      <c r="K8204" s="3">
        <v>0</v>
      </c>
      <c r="L8204" s="3">
        <v>258</v>
      </c>
      <c r="M8204" s="3">
        <v>0</v>
      </c>
      <c r="N8204" s="3">
        <v>0</v>
      </c>
    </row>
    <row r="8205" spans="1:14" x14ac:dyDescent="0.2">
      <c r="A8205" s="5" t="str">
        <f>HYPERLINK("http://www.ncbi.nlm.nih.gov/protein/27753991","Vmp1")</f>
        <v>Vmp1</v>
      </c>
      <c r="B8205" s="4"/>
      <c r="C8205" s="3">
        <v>0</v>
      </c>
      <c r="D8205" s="3">
        <v>570</v>
      </c>
      <c r="E8205" s="3">
        <v>190</v>
      </c>
      <c r="F8205" s="3">
        <v>0</v>
      </c>
      <c r="G8205" s="3">
        <v>0</v>
      </c>
      <c r="H8205" s="2">
        <f t="shared" si="256"/>
        <v>760</v>
      </c>
      <c r="I8205" t="str">
        <f t="shared" si="257"/>
        <v>Vmp1_760</v>
      </c>
      <c r="J8205" s="3">
        <v>0</v>
      </c>
      <c r="K8205" s="3">
        <v>570</v>
      </c>
      <c r="L8205" s="3">
        <v>190</v>
      </c>
      <c r="M8205" s="3">
        <v>0</v>
      </c>
      <c r="N8205" s="3">
        <v>0</v>
      </c>
    </row>
    <row r="8206" spans="1:14" x14ac:dyDescent="0.2">
      <c r="A8206" s="5" t="str">
        <f>HYPERLINK("http://www.ncbi.nlm.nih.gov/protein/82617569","Vprbp")</f>
        <v>Vprbp</v>
      </c>
      <c r="B8206" s="4"/>
      <c r="C8206" s="3">
        <v>0</v>
      </c>
      <c r="D8206" s="3">
        <v>0</v>
      </c>
      <c r="E8206" s="3">
        <v>0</v>
      </c>
      <c r="F8206" s="3">
        <v>4666</v>
      </c>
      <c r="G8206" s="3">
        <v>268</v>
      </c>
      <c r="H8206" s="2">
        <f t="shared" si="256"/>
        <v>4934</v>
      </c>
      <c r="I8206" t="str">
        <f t="shared" si="257"/>
        <v>Vprbp_4934</v>
      </c>
      <c r="J8206" s="3">
        <v>0</v>
      </c>
      <c r="K8206" s="3">
        <v>0</v>
      </c>
      <c r="L8206" s="3">
        <v>0</v>
      </c>
      <c r="M8206" s="3">
        <v>4666</v>
      </c>
      <c r="N8206" s="3">
        <v>268</v>
      </c>
    </row>
    <row r="8207" spans="1:14" x14ac:dyDescent="0.2">
      <c r="A8207" s="5" t="str">
        <f>HYPERLINK("http://www.ncbi.nlm.nih.gov/protein/58037259","Vps11")</f>
        <v>Vps11</v>
      </c>
      <c r="B8207" s="4"/>
      <c r="C8207" s="3">
        <v>0</v>
      </c>
      <c r="D8207" s="3">
        <v>885</v>
      </c>
      <c r="E8207" s="3">
        <v>67</v>
      </c>
      <c r="F8207" s="3">
        <v>0</v>
      </c>
      <c r="G8207" s="3">
        <v>0</v>
      </c>
      <c r="H8207" s="2">
        <f t="shared" si="256"/>
        <v>952</v>
      </c>
      <c r="I8207" t="str">
        <f t="shared" si="257"/>
        <v>Vps11_952</v>
      </c>
      <c r="J8207" s="3">
        <v>0</v>
      </c>
      <c r="K8207" s="3">
        <v>885</v>
      </c>
      <c r="L8207" s="3">
        <v>67</v>
      </c>
      <c r="M8207" s="3">
        <v>0</v>
      </c>
      <c r="N8207" s="3">
        <v>0</v>
      </c>
    </row>
    <row r="8208" spans="1:14" x14ac:dyDescent="0.2">
      <c r="A8208" s="5" t="str">
        <f>HYPERLINK("http://www.ncbi.nlm.nih.gov/protein/66392160","Vps13a")</f>
        <v>Vps13a</v>
      </c>
      <c r="B8208" s="4"/>
      <c r="C8208" s="3">
        <v>0</v>
      </c>
      <c r="D8208" s="3">
        <v>1202</v>
      </c>
      <c r="E8208" s="3">
        <v>603</v>
      </c>
      <c r="F8208" s="3">
        <v>0</v>
      </c>
      <c r="G8208" s="3">
        <v>0</v>
      </c>
      <c r="H8208" s="2">
        <f t="shared" si="256"/>
        <v>1805</v>
      </c>
      <c r="I8208" t="str">
        <f t="shared" si="257"/>
        <v>Vps13a_1805</v>
      </c>
      <c r="J8208" s="3">
        <v>0</v>
      </c>
      <c r="K8208" s="3">
        <v>1202</v>
      </c>
      <c r="L8208" s="3">
        <v>603</v>
      </c>
      <c r="M8208" s="3">
        <v>0</v>
      </c>
      <c r="N8208" s="3">
        <v>0</v>
      </c>
    </row>
    <row r="8209" spans="1:14" x14ac:dyDescent="0.2">
      <c r="A8209" s="5" t="str">
        <f>HYPERLINK("http://www.ncbi.nlm.nih.gov/protein/122114537","Vps13c")</f>
        <v>Vps13c</v>
      </c>
      <c r="B8209" s="4"/>
      <c r="C8209" s="3">
        <v>0</v>
      </c>
      <c r="D8209" s="3">
        <v>16251</v>
      </c>
      <c r="E8209" s="3">
        <v>29480</v>
      </c>
      <c r="F8209" s="3">
        <v>36794</v>
      </c>
      <c r="G8209" s="3">
        <v>407</v>
      </c>
      <c r="H8209" s="2">
        <f t="shared" si="256"/>
        <v>82932</v>
      </c>
      <c r="I8209" t="str">
        <f t="shared" si="257"/>
        <v>Vps13c_82932</v>
      </c>
      <c r="J8209" s="3">
        <v>0</v>
      </c>
      <c r="K8209" s="3">
        <v>16251</v>
      </c>
      <c r="L8209" s="3">
        <v>29480</v>
      </c>
      <c r="M8209" s="3">
        <v>36794</v>
      </c>
      <c r="N8209" s="3">
        <v>407</v>
      </c>
    </row>
    <row r="8210" spans="1:14" x14ac:dyDescent="0.2">
      <c r="A8210" s="5" t="str">
        <f>HYPERLINK("http://www.ncbi.nlm.nih.gov/protein/451172096","Vps13d")</f>
        <v>Vps13d</v>
      </c>
      <c r="B8210" s="4"/>
      <c r="C8210" s="3">
        <v>0</v>
      </c>
      <c r="D8210" s="3">
        <v>0</v>
      </c>
      <c r="E8210" s="3">
        <v>13</v>
      </c>
      <c r="F8210" s="3">
        <v>0</v>
      </c>
      <c r="G8210" s="3">
        <v>0</v>
      </c>
      <c r="H8210" s="2">
        <f t="shared" si="256"/>
        <v>13</v>
      </c>
      <c r="I8210" t="str">
        <f t="shared" si="257"/>
        <v>Vps13d_13</v>
      </c>
      <c r="J8210" s="3">
        <v>0</v>
      </c>
      <c r="K8210" s="3">
        <v>0</v>
      </c>
      <c r="L8210" s="3">
        <v>13</v>
      </c>
      <c r="M8210" s="3">
        <v>0</v>
      </c>
      <c r="N8210" s="3">
        <v>0</v>
      </c>
    </row>
    <row r="8211" spans="1:14" x14ac:dyDescent="0.2">
      <c r="A8211" s="5" t="str">
        <f>HYPERLINK("http://www.ncbi.nlm.nih.gov/protein/451805038","Vps13d")</f>
        <v>Vps13d</v>
      </c>
      <c r="B8211" s="4"/>
      <c r="C8211" s="3">
        <v>0</v>
      </c>
      <c r="D8211" s="3">
        <v>0</v>
      </c>
      <c r="E8211" s="3">
        <v>13</v>
      </c>
      <c r="F8211" s="3">
        <v>0</v>
      </c>
      <c r="G8211" s="3">
        <v>0</v>
      </c>
      <c r="H8211" s="2">
        <f t="shared" si="256"/>
        <v>13</v>
      </c>
      <c r="I8211" t="str">
        <f t="shared" si="257"/>
        <v>Vps13d_13</v>
      </c>
      <c r="J8211" s="3">
        <v>0</v>
      </c>
      <c r="K8211" s="3">
        <v>0</v>
      </c>
      <c r="L8211" s="3">
        <v>13</v>
      </c>
      <c r="M8211" s="3">
        <v>0</v>
      </c>
      <c r="N8211" s="3">
        <v>0</v>
      </c>
    </row>
    <row r="8212" spans="1:14" x14ac:dyDescent="0.2">
      <c r="A8212" s="5" t="str">
        <f>HYPERLINK("http://www.ncbi.nlm.nih.gov/protein/254939640","Vps16")</f>
        <v>Vps16</v>
      </c>
      <c r="B8212" s="4"/>
      <c r="C8212" s="3">
        <v>0</v>
      </c>
      <c r="D8212" s="3">
        <v>1495</v>
      </c>
      <c r="E8212" s="3">
        <v>3976</v>
      </c>
      <c r="F8212" s="3">
        <v>598</v>
      </c>
      <c r="G8212" s="3">
        <v>0</v>
      </c>
      <c r="H8212" s="2">
        <f t="shared" si="256"/>
        <v>6069</v>
      </c>
      <c r="I8212" t="str">
        <f t="shared" si="257"/>
        <v>Vps16_6069</v>
      </c>
      <c r="J8212" s="3">
        <v>0</v>
      </c>
      <c r="K8212" s="3">
        <v>1495</v>
      </c>
      <c r="L8212" s="3">
        <v>3976</v>
      </c>
      <c r="M8212" s="3">
        <v>598</v>
      </c>
      <c r="N8212" s="3">
        <v>0</v>
      </c>
    </row>
    <row r="8213" spans="1:14" x14ac:dyDescent="0.2">
      <c r="A8213" s="5" t="str">
        <f>HYPERLINK("http://www.ncbi.nlm.nih.gov/protein/254675217","Vps18")</f>
        <v>Vps18</v>
      </c>
      <c r="B8213" s="4"/>
      <c r="C8213" s="3">
        <v>0</v>
      </c>
      <c r="D8213" s="3">
        <v>1113</v>
      </c>
      <c r="E8213" s="3">
        <v>1853</v>
      </c>
      <c r="F8213" s="3">
        <v>180</v>
      </c>
      <c r="G8213" s="3">
        <v>0</v>
      </c>
      <c r="H8213" s="2">
        <f t="shared" si="256"/>
        <v>3146</v>
      </c>
      <c r="I8213" t="str">
        <f t="shared" si="257"/>
        <v>Vps18_3146</v>
      </c>
      <c r="J8213" s="3">
        <v>0</v>
      </c>
      <c r="K8213" s="3">
        <v>1113</v>
      </c>
      <c r="L8213" s="3">
        <v>1853</v>
      </c>
      <c r="M8213" s="3">
        <v>180</v>
      </c>
      <c r="N8213" s="3">
        <v>0</v>
      </c>
    </row>
    <row r="8214" spans="1:14" x14ac:dyDescent="0.2">
      <c r="A8214" s="5" t="str">
        <f>HYPERLINK("http://www.ncbi.nlm.nih.gov/protein/548923764","Vps25")</f>
        <v>Vps25</v>
      </c>
      <c r="B8214" s="4"/>
      <c r="C8214" s="3">
        <v>201</v>
      </c>
      <c r="D8214" s="3">
        <v>0</v>
      </c>
      <c r="E8214" s="3">
        <v>0</v>
      </c>
      <c r="F8214" s="3">
        <v>0</v>
      </c>
      <c r="G8214" s="3">
        <v>0</v>
      </c>
      <c r="H8214" s="2">
        <f t="shared" si="256"/>
        <v>201</v>
      </c>
      <c r="I8214" t="str">
        <f t="shared" si="257"/>
        <v>Vps25_201</v>
      </c>
      <c r="J8214" s="3">
        <v>201</v>
      </c>
      <c r="K8214" s="3">
        <v>0</v>
      </c>
      <c r="L8214" s="3">
        <v>0</v>
      </c>
      <c r="M8214" s="3">
        <v>0</v>
      </c>
      <c r="N8214" s="3">
        <v>0</v>
      </c>
    </row>
    <row r="8215" spans="1:14" x14ac:dyDescent="0.2">
      <c r="A8215" s="5" t="str">
        <f>HYPERLINK("http://www.ncbi.nlm.nih.gov/protein/25092662","Vps25")</f>
        <v>Vps25</v>
      </c>
      <c r="B8215" s="4"/>
      <c r="C8215" s="3">
        <v>201</v>
      </c>
      <c r="D8215" s="3">
        <v>3618</v>
      </c>
      <c r="E8215" s="3">
        <v>3298</v>
      </c>
      <c r="F8215" s="3">
        <v>11443</v>
      </c>
      <c r="G8215" s="3">
        <v>12637</v>
      </c>
      <c r="H8215" s="2">
        <f t="shared" si="256"/>
        <v>31197</v>
      </c>
      <c r="I8215" t="str">
        <f t="shared" si="257"/>
        <v>Vps25_31197</v>
      </c>
      <c r="J8215" s="3">
        <v>201</v>
      </c>
      <c r="K8215" s="3">
        <v>3618</v>
      </c>
      <c r="L8215" s="3">
        <v>3298</v>
      </c>
      <c r="M8215" s="3">
        <v>11443</v>
      </c>
      <c r="N8215" s="3">
        <v>12637</v>
      </c>
    </row>
    <row r="8216" spans="1:14" x14ac:dyDescent="0.2">
      <c r="A8216" s="5" t="str">
        <f>HYPERLINK("http://www.ncbi.nlm.nih.gov/protein/164518904","Vps26a")</f>
        <v>Vps26a</v>
      </c>
      <c r="B8216" s="4"/>
      <c r="C8216" s="3">
        <v>6993</v>
      </c>
      <c r="D8216" s="3">
        <v>6903</v>
      </c>
      <c r="E8216" s="3">
        <v>20778</v>
      </c>
      <c r="F8216" s="3">
        <v>142879</v>
      </c>
      <c r="G8216" s="3">
        <v>103732</v>
      </c>
      <c r="H8216" s="2">
        <f t="shared" si="256"/>
        <v>281285</v>
      </c>
      <c r="I8216" t="str">
        <f t="shared" si="257"/>
        <v>Vps26a_281285</v>
      </c>
      <c r="J8216" s="3">
        <v>6993</v>
      </c>
      <c r="K8216" s="3">
        <v>6903</v>
      </c>
      <c r="L8216" s="3">
        <v>20778</v>
      </c>
      <c r="M8216" s="3">
        <v>142879</v>
      </c>
      <c r="N8216" s="3">
        <v>103732</v>
      </c>
    </row>
    <row r="8217" spans="1:14" x14ac:dyDescent="0.2">
      <c r="A8217" s="5" t="str">
        <f>HYPERLINK("http://www.ncbi.nlm.nih.gov/protein/19526826","Vps26a")</f>
        <v>Vps26a</v>
      </c>
      <c r="B8217" s="4"/>
      <c r="C8217" s="3">
        <v>6993</v>
      </c>
      <c r="D8217" s="3">
        <v>6903</v>
      </c>
      <c r="E8217" s="3">
        <v>20778</v>
      </c>
      <c r="F8217" s="3">
        <v>142879</v>
      </c>
      <c r="G8217" s="3">
        <v>103732</v>
      </c>
      <c r="H8217" s="2">
        <f t="shared" si="256"/>
        <v>281285</v>
      </c>
      <c r="I8217" t="str">
        <f t="shared" si="257"/>
        <v>Vps26a_281285</v>
      </c>
      <c r="J8217" s="3">
        <v>6993</v>
      </c>
      <c r="K8217" s="3">
        <v>6903</v>
      </c>
      <c r="L8217" s="3">
        <v>20778</v>
      </c>
      <c r="M8217" s="3">
        <v>142879</v>
      </c>
      <c r="N8217" s="3">
        <v>103732</v>
      </c>
    </row>
    <row r="8218" spans="1:14" x14ac:dyDescent="0.2">
      <c r="A8218" s="5" t="str">
        <f>HYPERLINK("http://www.ncbi.nlm.nih.gov/protein/29825827","Vps26b")</f>
        <v>Vps26b</v>
      </c>
      <c r="B8218" s="4"/>
      <c r="C8218" s="3">
        <v>2783</v>
      </c>
      <c r="D8218" s="3">
        <v>2728</v>
      </c>
      <c r="E8218" s="3">
        <v>7798</v>
      </c>
      <c r="F8218" s="3">
        <v>39823</v>
      </c>
      <c r="G8218" s="3">
        <v>8503</v>
      </c>
      <c r="H8218" s="2">
        <f t="shared" si="256"/>
        <v>61635</v>
      </c>
      <c r="I8218" t="str">
        <f t="shared" si="257"/>
        <v>Vps26b_61635</v>
      </c>
      <c r="J8218" s="3">
        <v>2783</v>
      </c>
      <c r="K8218" s="3">
        <v>2728</v>
      </c>
      <c r="L8218" s="3">
        <v>7798</v>
      </c>
      <c r="M8218" s="3">
        <v>39823</v>
      </c>
      <c r="N8218" s="3">
        <v>8503</v>
      </c>
    </row>
    <row r="8219" spans="1:14" x14ac:dyDescent="0.2">
      <c r="A8219" s="5" t="str">
        <f>HYPERLINK("http://www.ncbi.nlm.nih.gov/protein/13385320","Vps28")</f>
        <v>Vps28</v>
      </c>
      <c r="B8219" s="4"/>
      <c r="C8219" s="3">
        <v>0</v>
      </c>
      <c r="D8219" s="3">
        <v>2835</v>
      </c>
      <c r="E8219" s="3">
        <v>3436</v>
      </c>
      <c r="F8219" s="3">
        <v>843</v>
      </c>
      <c r="G8219" s="3">
        <v>19673</v>
      </c>
      <c r="H8219" s="2">
        <f t="shared" si="256"/>
        <v>26787</v>
      </c>
      <c r="I8219" t="str">
        <f t="shared" si="257"/>
        <v>Vps28_26787</v>
      </c>
      <c r="J8219" s="3">
        <v>0</v>
      </c>
      <c r="K8219" s="3">
        <v>2835</v>
      </c>
      <c r="L8219" s="3">
        <v>3436</v>
      </c>
      <c r="M8219" s="3">
        <v>843</v>
      </c>
      <c r="N8219" s="3">
        <v>19673</v>
      </c>
    </row>
    <row r="8220" spans="1:14" x14ac:dyDescent="0.2">
      <c r="A8220" s="5" t="str">
        <f>HYPERLINK("http://www.ncbi.nlm.nih.gov/protein/9790285","Vps29")</f>
        <v>Vps29</v>
      </c>
      <c r="B8220" s="4"/>
      <c r="C8220" s="3">
        <v>6334</v>
      </c>
      <c r="D8220" s="3">
        <v>2380</v>
      </c>
      <c r="E8220" s="3">
        <v>19032</v>
      </c>
      <c r="F8220" s="3">
        <v>48499</v>
      </c>
      <c r="G8220" s="3">
        <v>41264</v>
      </c>
      <c r="H8220" s="2">
        <f t="shared" si="256"/>
        <v>117509</v>
      </c>
      <c r="I8220" t="str">
        <f t="shared" si="257"/>
        <v>Vps29_117509</v>
      </c>
      <c r="J8220" s="3">
        <v>6334</v>
      </c>
      <c r="K8220" s="3">
        <v>2380</v>
      </c>
      <c r="L8220" s="3">
        <v>19032</v>
      </c>
      <c r="M8220" s="3">
        <v>48499</v>
      </c>
      <c r="N8220" s="3">
        <v>41264</v>
      </c>
    </row>
    <row r="8221" spans="1:14" x14ac:dyDescent="0.2">
      <c r="A8221" s="5" t="str">
        <f>HYPERLINK("http://www.ncbi.nlm.nih.gov/protein/254588041","Vps33a")</f>
        <v>Vps33a</v>
      </c>
      <c r="B8221" s="4"/>
      <c r="C8221" s="3">
        <v>0</v>
      </c>
      <c r="D8221" s="3">
        <v>313</v>
      </c>
      <c r="E8221" s="3">
        <v>1775</v>
      </c>
      <c r="F8221" s="3">
        <v>941</v>
      </c>
      <c r="G8221" s="3">
        <v>0</v>
      </c>
      <c r="H8221" s="2">
        <f t="shared" si="256"/>
        <v>3029</v>
      </c>
      <c r="I8221" t="str">
        <f t="shared" si="257"/>
        <v>Vps33a_3029</v>
      </c>
      <c r="J8221" s="3">
        <v>0</v>
      </c>
      <c r="K8221" s="3">
        <v>313</v>
      </c>
      <c r="L8221" s="3">
        <v>1775</v>
      </c>
      <c r="M8221" s="3">
        <v>941</v>
      </c>
      <c r="N8221" s="3">
        <v>0</v>
      </c>
    </row>
    <row r="8222" spans="1:14" x14ac:dyDescent="0.2">
      <c r="A8222" s="5" t="str">
        <f>HYPERLINK("http://www.ncbi.nlm.nih.gov/protein/158937308","Vps33b")</f>
        <v>Vps33b</v>
      </c>
      <c r="B8222" s="4"/>
      <c r="C8222" s="3">
        <v>0</v>
      </c>
      <c r="D8222" s="3">
        <v>0</v>
      </c>
      <c r="E8222" s="3">
        <v>3</v>
      </c>
      <c r="F8222" s="3">
        <v>8317</v>
      </c>
      <c r="G8222" s="3">
        <v>0</v>
      </c>
      <c r="H8222" s="2">
        <f t="shared" si="256"/>
        <v>8320</v>
      </c>
      <c r="I8222" t="str">
        <f t="shared" si="257"/>
        <v>Vps33b_8320</v>
      </c>
      <c r="J8222" s="3">
        <v>0</v>
      </c>
      <c r="K8222" s="3">
        <v>0</v>
      </c>
      <c r="L8222" s="3">
        <v>3</v>
      </c>
      <c r="M8222" s="3">
        <v>8317</v>
      </c>
      <c r="N8222" s="3">
        <v>0</v>
      </c>
    </row>
    <row r="8223" spans="1:14" x14ac:dyDescent="0.2">
      <c r="A8223" s="5" t="str">
        <f>HYPERLINK("http://www.ncbi.nlm.nih.gov/protein/13928670","Vps35")</f>
        <v>Vps35</v>
      </c>
      <c r="B8223" s="4"/>
      <c r="C8223" s="3">
        <v>55339</v>
      </c>
      <c r="D8223" s="3">
        <v>16251</v>
      </c>
      <c r="E8223" s="3">
        <v>86245</v>
      </c>
      <c r="F8223" s="3">
        <v>264074</v>
      </c>
      <c r="G8223" s="3">
        <v>82485</v>
      </c>
      <c r="H8223" s="2">
        <f t="shared" si="256"/>
        <v>504394</v>
      </c>
      <c r="I8223" t="str">
        <f t="shared" si="257"/>
        <v>Vps35_504394</v>
      </c>
      <c r="J8223" s="3">
        <v>55339</v>
      </c>
      <c r="K8223" s="3">
        <v>16251</v>
      </c>
      <c r="L8223" s="3">
        <v>86245</v>
      </c>
      <c r="M8223" s="3">
        <v>264074</v>
      </c>
      <c r="N8223" s="3">
        <v>82485</v>
      </c>
    </row>
    <row r="8224" spans="1:14" x14ac:dyDescent="0.2">
      <c r="A8224" s="5" t="str">
        <f>HYPERLINK("http://www.ncbi.nlm.nih.gov/protein/30794416","Vps36")</f>
        <v>Vps36</v>
      </c>
      <c r="B8224" s="4"/>
      <c r="C8224" s="3">
        <v>0</v>
      </c>
      <c r="D8224" s="3">
        <v>1799</v>
      </c>
      <c r="E8224" s="3">
        <v>2603</v>
      </c>
      <c r="F8224" s="3">
        <v>1523</v>
      </c>
      <c r="G8224" s="3">
        <v>19705</v>
      </c>
      <c r="H8224" s="2">
        <f t="shared" si="256"/>
        <v>25630</v>
      </c>
      <c r="I8224" t="str">
        <f t="shared" si="257"/>
        <v>Vps36_25630</v>
      </c>
      <c r="J8224" s="3">
        <v>0</v>
      </c>
      <c r="K8224" s="3">
        <v>1799</v>
      </c>
      <c r="L8224" s="3">
        <v>2603</v>
      </c>
      <c r="M8224" s="3">
        <v>1523</v>
      </c>
      <c r="N8224" s="3">
        <v>19705</v>
      </c>
    </row>
    <row r="8225" spans="1:14" x14ac:dyDescent="0.2">
      <c r="A8225" s="5" t="str">
        <f>HYPERLINK("http://www.ncbi.nlm.nih.gov/protein/29244484","Vps37b")</f>
        <v>Vps37b</v>
      </c>
      <c r="B8225" s="4"/>
      <c r="C8225" s="3">
        <v>0</v>
      </c>
      <c r="D8225" s="3">
        <v>0</v>
      </c>
      <c r="E8225" s="3">
        <v>146</v>
      </c>
      <c r="F8225" s="3">
        <v>0</v>
      </c>
      <c r="G8225" s="3">
        <v>2303</v>
      </c>
      <c r="H8225" s="2">
        <f t="shared" si="256"/>
        <v>2449</v>
      </c>
      <c r="I8225" t="str">
        <f t="shared" si="257"/>
        <v>Vps37b_2449</v>
      </c>
      <c r="J8225" s="3">
        <v>0</v>
      </c>
      <c r="K8225" s="3">
        <v>0</v>
      </c>
      <c r="L8225" s="3">
        <v>146</v>
      </c>
      <c r="M8225" s="3">
        <v>0</v>
      </c>
      <c r="N8225" s="3">
        <v>2303</v>
      </c>
    </row>
    <row r="8226" spans="1:14" x14ac:dyDescent="0.2">
      <c r="A8226" s="5" t="str">
        <f>HYPERLINK("http://www.ncbi.nlm.nih.gov/protein/31088908","Vps37c")</f>
        <v>Vps37c</v>
      </c>
      <c r="B8226" s="4"/>
      <c r="C8226" s="3">
        <v>0</v>
      </c>
      <c r="D8226" s="3">
        <v>25</v>
      </c>
      <c r="E8226" s="3">
        <v>417</v>
      </c>
      <c r="F8226" s="3">
        <v>0</v>
      </c>
      <c r="G8226" s="3">
        <v>696</v>
      </c>
      <c r="H8226" s="2">
        <f t="shared" si="256"/>
        <v>1138</v>
      </c>
      <c r="I8226" t="str">
        <f t="shared" si="257"/>
        <v>Vps37c_1138</v>
      </c>
      <c r="J8226" s="3">
        <v>0</v>
      </c>
      <c r="K8226" s="3">
        <v>25</v>
      </c>
      <c r="L8226" s="3">
        <v>417</v>
      </c>
      <c r="M8226" s="3">
        <v>0</v>
      </c>
      <c r="N8226" s="3">
        <v>696</v>
      </c>
    </row>
    <row r="8227" spans="1:14" x14ac:dyDescent="0.2">
      <c r="A8227" s="5" t="str">
        <f>HYPERLINK("http://www.ncbi.nlm.nih.gov/protein/22164794","Vps39")</f>
        <v>Vps39</v>
      </c>
      <c r="B8227" s="4"/>
      <c r="C8227" s="3">
        <v>0</v>
      </c>
      <c r="D8227" s="3">
        <v>1716</v>
      </c>
      <c r="E8227" s="3">
        <v>262</v>
      </c>
      <c r="F8227" s="3">
        <v>0</v>
      </c>
      <c r="G8227" s="3">
        <v>0</v>
      </c>
      <c r="H8227" s="2">
        <f t="shared" si="256"/>
        <v>1978</v>
      </c>
      <c r="I8227" t="str">
        <f t="shared" si="257"/>
        <v>Vps39_1978</v>
      </c>
      <c r="J8227" s="3">
        <v>0</v>
      </c>
      <c r="K8227" s="3">
        <v>1716</v>
      </c>
      <c r="L8227" s="3">
        <v>262</v>
      </c>
      <c r="M8227" s="3">
        <v>0</v>
      </c>
      <c r="N8227" s="3">
        <v>0</v>
      </c>
    </row>
    <row r="8228" spans="1:14" x14ac:dyDescent="0.2">
      <c r="A8228" s="5" t="str">
        <f>HYPERLINK("http://www.ncbi.nlm.nih.gov/protein/30578384","Vps39")</f>
        <v>Vps39</v>
      </c>
      <c r="B8228" s="4"/>
      <c r="C8228" s="3">
        <v>0</v>
      </c>
      <c r="D8228" s="3">
        <v>1716</v>
      </c>
      <c r="E8228" s="3">
        <v>262</v>
      </c>
      <c r="F8228" s="3">
        <v>0</v>
      </c>
      <c r="G8228" s="3">
        <v>0</v>
      </c>
      <c r="H8228" s="2">
        <f t="shared" si="256"/>
        <v>1978</v>
      </c>
      <c r="I8228" t="str">
        <f t="shared" si="257"/>
        <v>Vps39_1978</v>
      </c>
      <c r="J8228" s="3">
        <v>0</v>
      </c>
      <c r="K8228" s="3">
        <v>1716</v>
      </c>
      <c r="L8228" s="3">
        <v>262</v>
      </c>
      <c r="M8228" s="3">
        <v>0</v>
      </c>
      <c r="N8228" s="3">
        <v>0</v>
      </c>
    </row>
    <row r="8229" spans="1:14" x14ac:dyDescent="0.2">
      <c r="A8229" s="5" t="str">
        <f>HYPERLINK("http://www.ncbi.nlm.nih.gov/protein/7305631","Vps45")</f>
        <v>Vps45</v>
      </c>
      <c r="B8229" s="4"/>
      <c r="C8229" s="3">
        <v>3478</v>
      </c>
      <c r="D8229" s="3">
        <v>2977</v>
      </c>
      <c r="E8229" s="3">
        <v>3159</v>
      </c>
      <c r="F8229" s="3">
        <v>5943</v>
      </c>
      <c r="G8229" s="3">
        <v>0</v>
      </c>
      <c r="H8229" s="2">
        <f t="shared" si="256"/>
        <v>15557</v>
      </c>
      <c r="I8229" t="str">
        <f t="shared" si="257"/>
        <v>Vps45_15557</v>
      </c>
      <c r="J8229" s="3">
        <v>3478</v>
      </c>
      <c r="K8229" s="3">
        <v>2977</v>
      </c>
      <c r="L8229" s="3">
        <v>3159</v>
      </c>
      <c r="M8229" s="3">
        <v>5943</v>
      </c>
      <c r="N8229" s="3">
        <v>0</v>
      </c>
    </row>
    <row r="8230" spans="1:14" x14ac:dyDescent="0.2">
      <c r="A8230" s="5" t="str">
        <f>HYPERLINK("http://www.ncbi.nlm.nih.gov/protein/18699726","Vps4a")</f>
        <v>Vps4a</v>
      </c>
      <c r="B8230" s="4"/>
      <c r="C8230" s="3">
        <v>0</v>
      </c>
      <c r="D8230" s="3">
        <v>0</v>
      </c>
      <c r="E8230" s="3">
        <v>2021</v>
      </c>
      <c r="F8230" s="3">
        <v>0</v>
      </c>
      <c r="G8230" s="3">
        <v>4059</v>
      </c>
      <c r="H8230" s="2">
        <f t="shared" si="256"/>
        <v>6080</v>
      </c>
      <c r="I8230" t="str">
        <f t="shared" si="257"/>
        <v>Vps4a_6080</v>
      </c>
      <c r="J8230" s="3">
        <v>0</v>
      </c>
      <c r="K8230" s="3">
        <v>0</v>
      </c>
      <c r="L8230" s="3">
        <v>2021</v>
      </c>
      <c r="M8230" s="3">
        <v>0</v>
      </c>
      <c r="N8230" s="3">
        <v>4059</v>
      </c>
    </row>
    <row r="8231" spans="1:14" x14ac:dyDescent="0.2">
      <c r="A8231" s="5" t="str">
        <f>HYPERLINK("http://www.ncbi.nlm.nih.gov/protein/164698506","Vps4b")</f>
        <v>Vps4b</v>
      </c>
      <c r="B8231" s="4"/>
      <c r="C8231" s="3">
        <v>37</v>
      </c>
      <c r="D8231" s="3">
        <v>3970</v>
      </c>
      <c r="E8231" s="3">
        <v>3048</v>
      </c>
      <c r="F8231" s="3">
        <v>5370</v>
      </c>
      <c r="G8231" s="3">
        <v>12230</v>
      </c>
      <c r="H8231" s="2">
        <f t="shared" si="256"/>
        <v>24655</v>
      </c>
      <c r="I8231" t="str">
        <f t="shared" si="257"/>
        <v>Vps4b_24655</v>
      </c>
      <c r="J8231" s="3">
        <v>37</v>
      </c>
      <c r="K8231" s="3">
        <v>3970</v>
      </c>
      <c r="L8231" s="3">
        <v>3048</v>
      </c>
      <c r="M8231" s="3">
        <v>5370</v>
      </c>
      <c r="N8231" s="3">
        <v>12230</v>
      </c>
    </row>
    <row r="8232" spans="1:14" x14ac:dyDescent="0.2">
      <c r="A8232" s="5" t="str">
        <f>HYPERLINK("http://www.ncbi.nlm.nih.gov/protein/124486662","Vps51")</f>
        <v>Vps51</v>
      </c>
      <c r="B8232" s="4"/>
      <c r="C8232" s="3">
        <v>0</v>
      </c>
      <c r="D8232" s="3">
        <v>1641</v>
      </c>
      <c r="E8232" s="3">
        <v>1493</v>
      </c>
      <c r="F8232" s="3">
        <v>32308</v>
      </c>
      <c r="G8232" s="3">
        <v>11802</v>
      </c>
      <c r="H8232" s="2">
        <f t="shared" si="256"/>
        <v>47244</v>
      </c>
      <c r="I8232" t="str">
        <f t="shared" si="257"/>
        <v>Vps51_47244</v>
      </c>
      <c r="J8232" s="3">
        <v>0</v>
      </c>
      <c r="K8232" s="3">
        <v>1641</v>
      </c>
      <c r="L8232" s="3">
        <v>1493</v>
      </c>
      <c r="M8232" s="3">
        <v>32308</v>
      </c>
      <c r="N8232" s="3">
        <v>11802</v>
      </c>
    </row>
    <row r="8233" spans="1:14" x14ac:dyDescent="0.2">
      <c r="A8233" s="5" t="str">
        <f>HYPERLINK("http://www.ncbi.nlm.nih.gov/protein/148747162","Vps52")</f>
        <v>Vps52</v>
      </c>
      <c r="B8233" s="4"/>
      <c r="C8233" s="3">
        <v>0</v>
      </c>
      <c r="D8233" s="3">
        <v>737</v>
      </c>
      <c r="E8233" s="3">
        <v>435</v>
      </c>
      <c r="F8233" s="3">
        <v>45405</v>
      </c>
      <c r="G8233" s="3">
        <v>2549</v>
      </c>
      <c r="H8233" s="2">
        <f t="shared" si="256"/>
        <v>49126</v>
      </c>
      <c r="I8233" t="str">
        <f t="shared" si="257"/>
        <v>Vps52_49126</v>
      </c>
      <c r="J8233" s="3">
        <v>0</v>
      </c>
      <c r="K8233" s="3">
        <v>737</v>
      </c>
      <c r="L8233" s="3">
        <v>435</v>
      </c>
      <c r="M8233" s="3">
        <v>45405</v>
      </c>
      <c r="N8233" s="3">
        <v>2549</v>
      </c>
    </row>
    <row r="8234" spans="1:14" x14ac:dyDescent="0.2">
      <c r="A8234" s="5" t="str">
        <f>HYPERLINK("http://www.ncbi.nlm.nih.gov/protein/377833518","Vps52")</f>
        <v>Vps52</v>
      </c>
      <c r="B8234" s="4"/>
      <c r="C8234" s="3">
        <v>0</v>
      </c>
      <c r="D8234" s="3">
        <v>737</v>
      </c>
      <c r="E8234" s="3">
        <v>435</v>
      </c>
      <c r="F8234" s="3">
        <v>45405</v>
      </c>
      <c r="G8234" s="3">
        <v>2549</v>
      </c>
      <c r="H8234" s="2">
        <f t="shared" si="256"/>
        <v>49126</v>
      </c>
      <c r="I8234" t="str">
        <f t="shared" si="257"/>
        <v>Vps52_49126</v>
      </c>
      <c r="J8234" s="3">
        <v>0</v>
      </c>
      <c r="K8234" s="3">
        <v>737</v>
      </c>
      <c r="L8234" s="3">
        <v>435</v>
      </c>
      <c r="M8234" s="3">
        <v>45405</v>
      </c>
      <c r="N8234" s="3">
        <v>2549</v>
      </c>
    </row>
    <row r="8235" spans="1:14" x14ac:dyDescent="0.2">
      <c r="A8235" s="5" t="str">
        <f>HYPERLINK("http://www.ncbi.nlm.nih.gov/protein/31980873","Vps53")</f>
        <v>Vps53</v>
      </c>
      <c r="B8235" s="4"/>
      <c r="C8235" s="3">
        <v>0</v>
      </c>
      <c r="D8235" s="3">
        <v>685</v>
      </c>
      <c r="E8235" s="3">
        <v>3219</v>
      </c>
      <c r="F8235" s="3">
        <v>34175</v>
      </c>
      <c r="G8235" s="3">
        <v>1114</v>
      </c>
      <c r="H8235" s="2">
        <f t="shared" si="256"/>
        <v>39193</v>
      </c>
      <c r="I8235" t="str">
        <f t="shared" si="257"/>
        <v>Vps53_39193</v>
      </c>
      <c r="J8235" s="3">
        <v>0</v>
      </c>
      <c r="K8235" s="3">
        <v>685</v>
      </c>
      <c r="L8235" s="3">
        <v>3219</v>
      </c>
      <c r="M8235" s="3">
        <v>34175</v>
      </c>
      <c r="N8235" s="3">
        <v>1114</v>
      </c>
    </row>
    <row r="8236" spans="1:14" x14ac:dyDescent="0.2">
      <c r="A8236" s="5" t="str">
        <f>HYPERLINK("http://www.ncbi.nlm.nih.gov/protein/124486983","Vps8")</f>
        <v>Vps8</v>
      </c>
      <c r="B8236" s="4"/>
      <c r="C8236" s="3">
        <v>0</v>
      </c>
      <c r="D8236" s="3">
        <v>0</v>
      </c>
      <c r="E8236" s="3">
        <v>325</v>
      </c>
      <c r="F8236" s="3">
        <v>0</v>
      </c>
      <c r="G8236" s="3">
        <v>3491</v>
      </c>
      <c r="H8236" s="2">
        <f t="shared" si="256"/>
        <v>3816</v>
      </c>
      <c r="I8236" t="str">
        <f t="shared" si="257"/>
        <v>Vps8_3816</v>
      </c>
      <c r="J8236" s="3">
        <v>0</v>
      </c>
      <c r="K8236" s="3">
        <v>0</v>
      </c>
      <c r="L8236" s="3">
        <v>325</v>
      </c>
      <c r="M8236" s="3">
        <v>0</v>
      </c>
      <c r="N8236" s="3">
        <v>3491</v>
      </c>
    </row>
    <row r="8237" spans="1:14" x14ac:dyDescent="0.2">
      <c r="A8237" s="5" t="str">
        <f>HYPERLINK("http://www.ncbi.nlm.nih.gov/protein/71067120","Vrk1")</f>
        <v>Vrk1</v>
      </c>
      <c r="B8237" s="4"/>
      <c r="C8237" s="3">
        <v>7981</v>
      </c>
      <c r="D8237" s="3">
        <v>169</v>
      </c>
      <c r="E8237" s="3">
        <v>556</v>
      </c>
      <c r="F8237" s="3">
        <v>0</v>
      </c>
      <c r="G8237" s="3">
        <v>0</v>
      </c>
      <c r="H8237" s="2">
        <f t="shared" si="256"/>
        <v>8706</v>
      </c>
      <c r="I8237" t="str">
        <f t="shared" si="257"/>
        <v>Vrk1_8706</v>
      </c>
      <c r="J8237" s="3">
        <v>7981</v>
      </c>
      <c r="K8237" s="3">
        <v>169</v>
      </c>
      <c r="L8237" s="3">
        <v>556</v>
      </c>
      <c r="M8237" s="3">
        <v>0</v>
      </c>
      <c r="N8237" s="3">
        <v>0</v>
      </c>
    </row>
    <row r="8238" spans="1:14" x14ac:dyDescent="0.2">
      <c r="A8238" s="5" t="str">
        <f>HYPERLINK("http://www.ncbi.nlm.nih.gov/protein/71067122","Vrk1")</f>
        <v>Vrk1</v>
      </c>
      <c r="B8238" s="4"/>
      <c r="C8238" s="3">
        <v>7981</v>
      </c>
      <c r="D8238" s="3">
        <v>169</v>
      </c>
      <c r="E8238" s="3">
        <v>556</v>
      </c>
      <c r="F8238" s="3">
        <v>0</v>
      </c>
      <c r="G8238" s="3">
        <v>0</v>
      </c>
      <c r="H8238" s="2">
        <f t="shared" si="256"/>
        <v>8706</v>
      </c>
      <c r="I8238" t="str">
        <f t="shared" si="257"/>
        <v>Vrk1_8706</v>
      </c>
      <c r="J8238" s="3">
        <v>7981</v>
      </c>
      <c r="K8238" s="3">
        <v>169</v>
      </c>
      <c r="L8238" s="3">
        <v>556</v>
      </c>
      <c r="M8238" s="3">
        <v>0</v>
      </c>
      <c r="N8238" s="3">
        <v>0</v>
      </c>
    </row>
    <row r="8239" spans="1:14" x14ac:dyDescent="0.2">
      <c r="A8239" s="5" t="str">
        <f>HYPERLINK("http://www.ncbi.nlm.nih.gov/protein/6755985","Vrk1")</f>
        <v>Vrk1</v>
      </c>
      <c r="B8239" s="4"/>
      <c r="C8239" s="3">
        <v>7981</v>
      </c>
      <c r="D8239" s="3">
        <v>169</v>
      </c>
      <c r="E8239" s="3">
        <v>569</v>
      </c>
      <c r="F8239" s="3">
        <v>377</v>
      </c>
      <c r="G8239" s="3">
        <v>0</v>
      </c>
      <c r="H8239" s="2">
        <f t="shared" si="256"/>
        <v>9096</v>
      </c>
      <c r="I8239" t="str">
        <f t="shared" si="257"/>
        <v>Vrk1_9096</v>
      </c>
      <c r="J8239" s="3">
        <v>7981</v>
      </c>
      <c r="K8239" s="3">
        <v>169</v>
      </c>
      <c r="L8239" s="3">
        <v>569</v>
      </c>
      <c r="M8239" s="3">
        <v>377</v>
      </c>
      <c r="N8239" s="3">
        <v>0</v>
      </c>
    </row>
    <row r="8240" spans="1:14" x14ac:dyDescent="0.2">
      <c r="A8240" s="5" t="str">
        <f>HYPERLINK("http://www.ncbi.nlm.nih.gov/protein/148664203","Vsig10")</f>
        <v>Vsig10</v>
      </c>
      <c r="B8240" s="4"/>
      <c r="C8240" s="3">
        <v>2215</v>
      </c>
      <c r="D8240" s="3">
        <v>2263</v>
      </c>
      <c r="E8240" s="3">
        <v>7100</v>
      </c>
      <c r="F8240" s="3">
        <v>3201</v>
      </c>
      <c r="G8240" s="3">
        <v>171</v>
      </c>
      <c r="H8240" s="2">
        <f t="shared" si="256"/>
        <v>14950</v>
      </c>
      <c r="I8240" t="str">
        <f t="shared" si="257"/>
        <v>Vsig10_14950</v>
      </c>
      <c r="J8240" s="3">
        <v>2215</v>
      </c>
      <c r="K8240" s="3">
        <v>2263</v>
      </c>
      <c r="L8240" s="3">
        <v>7100</v>
      </c>
      <c r="M8240" s="3">
        <v>3201</v>
      </c>
      <c r="N8240" s="3">
        <v>171</v>
      </c>
    </row>
    <row r="8241" spans="1:14" x14ac:dyDescent="0.2">
      <c r="A8241" s="5" t="str">
        <f>HYPERLINK("http://www.ncbi.nlm.nih.gov/protein/27754140","Vta1")</f>
        <v>Vta1</v>
      </c>
      <c r="B8241" s="4"/>
      <c r="C8241" s="3">
        <v>0</v>
      </c>
      <c r="D8241" s="3">
        <v>25</v>
      </c>
      <c r="E8241" s="3">
        <v>992</v>
      </c>
      <c r="F8241" s="3">
        <v>20988</v>
      </c>
      <c r="G8241" s="3">
        <v>38212</v>
      </c>
      <c r="H8241" s="2">
        <f t="shared" si="256"/>
        <v>60217</v>
      </c>
      <c r="I8241" t="str">
        <f t="shared" si="257"/>
        <v>Vta1_60217</v>
      </c>
      <c r="J8241" s="3">
        <v>0</v>
      </c>
      <c r="K8241" s="3">
        <v>25</v>
      </c>
      <c r="L8241" s="3">
        <v>992</v>
      </c>
      <c r="M8241" s="3">
        <v>20988</v>
      </c>
      <c r="N8241" s="3">
        <v>38212</v>
      </c>
    </row>
    <row r="8242" spans="1:14" x14ac:dyDescent="0.2">
      <c r="A8242" s="5" t="str">
        <f>HYPERLINK("http://www.ncbi.nlm.nih.gov/protein/13928668","Vti1a")</f>
        <v>Vti1a</v>
      </c>
      <c r="B8242" s="4"/>
      <c r="C8242" s="3">
        <v>0</v>
      </c>
      <c r="D8242" s="3">
        <v>234</v>
      </c>
      <c r="E8242" s="3">
        <v>436</v>
      </c>
      <c r="F8242" s="3">
        <v>1072</v>
      </c>
      <c r="G8242" s="3">
        <v>86</v>
      </c>
      <c r="H8242" s="2">
        <f t="shared" si="256"/>
        <v>1828</v>
      </c>
      <c r="I8242" t="str">
        <f t="shared" si="257"/>
        <v>Vti1a_1828</v>
      </c>
      <c r="J8242" s="3">
        <v>0</v>
      </c>
      <c r="K8242" s="3">
        <v>234</v>
      </c>
      <c r="L8242" s="3">
        <v>436</v>
      </c>
      <c r="M8242" s="3">
        <v>1072</v>
      </c>
      <c r="N8242" s="3">
        <v>86</v>
      </c>
    </row>
    <row r="8243" spans="1:14" x14ac:dyDescent="0.2">
      <c r="A8243" s="5" t="str">
        <f>HYPERLINK("http://www.ncbi.nlm.nih.gov/protein/31980617","Vti1b")</f>
        <v>Vti1b</v>
      </c>
      <c r="B8243" s="4"/>
      <c r="C8243" s="3">
        <v>0</v>
      </c>
      <c r="D8243" s="3">
        <v>2081</v>
      </c>
      <c r="E8243" s="3">
        <v>536</v>
      </c>
      <c r="F8243" s="3">
        <v>0</v>
      </c>
      <c r="G8243" s="3">
        <v>0</v>
      </c>
      <c r="H8243" s="2">
        <f t="shared" si="256"/>
        <v>2617</v>
      </c>
      <c r="I8243" t="str">
        <f t="shared" si="257"/>
        <v>Vti1b_2617</v>
      </c>
      <c r="J8243" s="3">
        <v>0</v>
      </c>
      <c r="K8243" s="3">
        <v>2081</v>
      </c>
      <c r="L8243" s="3">
        <v>536</v>
      </c>
      <c r="M8243" s="3">
        <v>0</v>
      </c>
      <c r="N8243" s="3">
        <v>0</v>
      </c>
    </row>
    <row r="8244" spans="1:14" x14ac:dyDescent="0.2">
      <c r="A8244" s="5" t="str">
        <f>HYPERLINK("http://www.ncbi.nlm.nih.gov/protein/225543183","Vwa5a")</f>
        <v>Vwa5a</v>
      </c>
      <c r="B8244" s="4"/>
      <c r="C8244" s="3">
        <v>2416</v>
      </c>
      <c r="D8244" s="3">
        <v>5434</v>
      </c>
      <c r="E8244" s="3">
        <v>7600</v>
      </c>
      <c r="F8244" s="3">
        <v>22977</v>
      </c>
      <c r="G8244" s="3">
        <v>63090</v>
      </c>
      <c r="H8244" s="2">
        <f t="shared" si="256"/>
        <v>101517</v>
      </c>
      <c r="I8244" t="str">
        <f t="shared" si="257"/>
        <v>Vwa5a_101517</v>
      </c>
      <c r="J8244" s="3">
        <v>2416</v>
      </c>
      <c r="K8244" s="3">
        <v>5434</v>
      </c>
      <c r="L8244" s="3">
        <v>7600</v>
      </c>
      <c r="M8244" s="3">
        <v>22977</v>
      </c>
      <c r="N8244" s="3">
        <v>63090</v>
      </c>
    </row>
    <row r="8245" spans="1:14" x14ac:dyDescent="0.2">
      <c r="A8245" s="5" t="str">
        <f>HYPERLINK("http://www.ncbi.nlm.nih.gov/protein/226958579","Vwa8")</f>
        <v>Vwa8</v>
      </c>
      <c r="B8245" s="4"/>
      <c r="C8245" s="3">
        <v>0</v>
      </c>
      <c r="D8245" s="3">
        <v>2893</v>
      </c>
      <c r="E8245" s="3">
        <v>0</v>
      </c>
      <c r="F8245" s="3">
        <v>0</v>
      </c>
      <c r="G8245" s="3">
        <v>0</v>
      </c>
      <c r="H8245" s="2">
        <f t="shared" si="256"/>
        <v>2893</v>
      </c>
      <c r="I8245" t="str">
        <f t="shared" si="257"/>
        <v>Vwa8_2893</v>
      </c>
      <c r="J8245" s="3">
        <v>0</v>
      </c>
      <c r="K8245" s="3">
        <v>2893</v>
      </c>
      <c r="L8245" s="3">
        <v>0</v>
      </c>
      <c r="M8245" s="3">
        <v>0</v>
      </c>
      <c r="N8245" s="3">
        <v>0</v>
      </c>
    </row>
    <row r="8246" spans="1:14" x14ac:dyDescent="0.2">
      <c r="A8246" s="5" t="str">
        <f>HYPERLINK("http://www.ncbi.nlm.nih.gov/protein/226958581","Vwa8")</f>
        <v>Vwa8</v>
      </c>
      <c r="B8246" s="4"/>
      <c r="C8246" s="3">
        <v>0</v>
      </c>
      <c r="D8246" s="3">
        <v>2292</v>
      </c>
      <c r="E8246" s="3">
        <v>0</v>
      </c>
      <c r="F8246" s="3">
        <v>0</v>
      </c>
      <c r="G8246" s="3">
        <v>0</v>
      </c>
      <c r="H8246" s="2">
        <f t="shared" si="256"/>
        <v>2292</v>
      </c>
      <c r="I8246" t="str">
        <f t="shared" si="257"/>
        <v>Vwa8_2292</v>
      </c>
      <c r="J8246" s="3">
        <v>0</v>
      </c>
      <c r="K8246" s="3">
        <v>2292</v>
      </c>
      <c r="L8246" s="3">
        <v>0</v>
      </c>
      <c r="M8246" s="3">
        <v>0</v>
      </c>
      <c r="N8246" s="3">
        <v>0</v>
      </c>
    </row>
    <row r="8247" spans="1:14" x14ac:dyDescent="0.2">
      <c r="A8247" s="5" t="str">
        <f>HYPERLINK("http://www.ncbi.nlm.nih.gov/protein/117647251","Vwa9")</f>
        <v>Vwa9</v>
      </c>
      <c r="B8247" s="4"/>
      <c r="C8247" s="3">
        <v>0</v>
      </c>
      <c r="D8247" s="3">
        <v>0</v>
      </c>
      <c r="E8247" s="3">
        <v>0</v>
      </c>
      <c r="F8247" s="3">
        <v>434</v>
      </c>
      <c r="G8247" s="3">
        <v>0</v>
      </c>
      <c r="H8247" s="2">
        <f t="shared" si="256"/>
        <v>434</v>
      </c>
      <c r="I8247" t="str">
        <f t="shared" si="257"/>
        <v>Vwa9_434</v>
      </c>
      <c r="J8247" s="3">
        <v>0</v>
      </c>
      <c r="K8247" s="3">
        <v>0</v>
      </c>
      <c r="L8247" s="3">
        <v>0</v>
      </c>
      <c r="M8247" s="3">
        <v>434</v>
      </c>
      <c r="N8247" s="3">
        <v>0</v>
      </c>
    </row>
    <row r="8248" spans="1:14" x14ac:dyDescent="0.2">
      <c r="A8248" s="5" t="str">
        <f>HYPERLINK("http://www.ncbi.nlm.nih.gov/protein/226371681","Wac")</f>
        <v>Wac</v>
      </c>
      <c r="B8248" s="4"/>
      <c r="C8248" s="3">
        <v>0</v>
      </c>
      <c r="D8248" s="3">
        <v>0</v>
      </c>
      <c r="E8248" s="3">
        <v>0</v>
      </c>
      <c r="F8248" s="3">
        <v>24082</v>
      </c>
      <c r="G8248" s="3">
        <v>0</v>
      </c>
      <c r="H8248" s="2">
        <f t="shared" si="256"/>
        <v>24082</v>
      </c>
      <c r="I8248" t="str">
        <f t="shared" si="257"/>
        <v>Wac_24082</v>
      </c>
      <c r="J8248" s="3">
        <v>0</v>
      </c>
      <c r="K8248" s="3">
        <v>0</v>
      </c>
      <c r="L8248" s="3">
        <v>0</v>
      </c>
      <c r="M8248" s="3">
        <v>24082</v>
      </c>
      <c r="N8248" s="3">
        <v>0</v>
      </c>
    </row>
    <row r="8249" spans="1:14" x14ac:dyDescent="0.2">
      <c r="A8249" s="5" t="str">
        <f>HYPERLINK("http://www.ncbi.nlm.nih.gov/protein/256818746","Wars")</f>
        <v>Wars</v>
      </c>
      <c r="B8249" s="4"/>
      <c r="C8249" s="3">
        <v>0</v>
      </c>
      <c r="D8249" s="3">
        <v>10895</v>
      </c>
      <c r="E8249" s="3">
        <v>15399</v>
      </c>
      <c r="F8249" s="3">
        <v>45733</v>
      </c>
      <c r="G8249" s="3">
        <v>119143</v>
      </c>
      <c r="H8249" s="2">
        <f t="shared" si="256"/>
        <v>191170</v>
      </c>
      <c r="I8249" t="str">
        <f t="shared" si="257"/>
        <v>Wars_191170</v>
      </c>
      <c r="J8249" s="3">
        <v>0</v>
      </c>
      <c r="K8249" s="3">
        <v>10895</v>
      </c>
      <c r="L8249" s="3">
        <v>15399</v>
      </c>
      <c r="M8249" s="3">
        <v>45733</v>
      </c>
      <c r="N8249" s="3">
        <v>119143</v>
      </c>
    </row>
    <row r="8250" spans="1:14" x14ac:dyDescent="0.2">
      <c r="A8250" s="5" t="str">
        <f>HYPERLINK("http://www.ncbi.nlm.nih.gov/protein/256818802","Wars")</f>
        <v>Wars</v>
      </c>
      <c r="B8250" s="4"/>
      <c r="C8250" s="3">
        <v>0</v>
      </c>
      <c r="D8250" s="3">
        <v>10895</v>
      </c>
      <c r="E8250" s="3">
        <v>15399</v>
      </c>
      <c r="F8250" s="3">
        <v>45733</v>
      </c>
      <c r="G8250" s="3">
        <v>119143</v>
      </c>
      <c r="H8250" s="2">
        <f t="shared" si="256"/>
        <v>191170</v>
      </c>
      <c r="I8250" t="str">
        <f t="shared" si="257"/>
        <v>Wars_191170</v>
      </c>
      <c r="J8250" s="3">
        <v>0</v>
      </c>
      <c r="K8250" s="3">
        <v>10895</v>
      </c>
      <c r="L8250" s="3">
        <v>15399</v>
      </c>
      <c r="M8250" s="3">
        <v>45733</v>
      </c>
      <c r="N8250" s="3">
        <v>119143</v>
      </c>
    </row>
    <row r="8251" spans="1:14" x14ac:dyDescent="0.2">
      <c r="A8251" s="5" t="str">
        <f>HYPERLINK("http://www.ncbi.nlm.nih.gov/protein/13994209","Wasf1")</f>
        <v>Wasf1</v>
      </c>
      <c r="B8251" s="4"/>
      <c r="C8251" s="3">
        <v>0</v>
      </c>
      <c r="D8251" s="3">
        <v>0</v>
      </c>
      <c r="E8251" s="3">
        <v>0</v>
      </c>
      <c r="F8251" s="3">
        <v>565</v>
      </c>
      <c r="G8251" s="3">
        <v>0</v>
      </c>
      <c r="H8251" s="2">
        <f t="shared" si="256"/>
        <v>565</v>
      </c>
      <c r="I8251" t="str">
        <f t="shared" si="257"/>
        <v>Wasf1_565</v>
      </c>
      <c r="J8251" s="3">
        <v>0</v>
      </c>
      <c r="K8251" s="3">
        <v>0</v>
      </c>
      <c r="L8251" s="3">
        <v>0</v>
      </c>
      <c r="M8251" s="3">
        <v>565</v>
      </c>
      <c r="N8251" s="3">
        <v>0</v>
      </c>
    </row>
    <row r="8252" spans="1:14" x14ac:dyDescent="0.2">
      <c r="A8252" s="5" t="str">
        <f>HYPERLINK("http://www.ncbi.nlm.nih.gov/protein/23510313","Wasf2")</f>
        <v>Wasf2</v>
      </c>
      <c r="B8252" s="4"/>
      <c r="C8252" s="3">
        <v>0</v>
      </c>
      <c r="D8252" s="3">
        <v>1296</v>
      </c>
      <c r="E8252" s="3">
        <v>3819</v>
      </c>
      <c r="F8252" s="3">
        <v>5804</v>
      </c>
      <c r="G8252" s="3">
        <v>942</v>
      </c>
      <c r="H8252" s="2">
        <f t="shared" si="256"/>
        <v>11861</v>
      </c>
      <c r="I8252" t="str">
        <f t="shared" si="257"/>
        <v>Wasf2_11861</v>
      </c>
      <c r="J8252" s="3">
        <v>0</v>
      </c>
      <c r="K8252" s="3">
        <v>1296</v>
      </c>
      <c r="L8252" s="3">
        <v>3819</v>
      </c>
      <c r="M8252" s="3">
        <v>5804</v>
      </c>
      <c r="N8252" s="3">
        <v>942</v>
      </c>
    </row>
    <row r="8253" spans="1:14" x14ac:dyDescent="0.2">
      <c r="A8253" s="5" t="str">
        <f>HYPERLINK("http://www.ncbi.nlm.nih.gov/protein/83649760","Wash")</f>
        <v>Wash</v>
      </c>
      <c r="B8253" s="4"/>
      <c r="C8253" s="3">
        <v>0</v>
      </c>
      <c r="D8253" s="3">
        <v>881</v>
      </c>
      <c r="E8253" s="3">
        <v>1272</v>
      </c>
      <c r="F8253" s="3">
        <v>3020</v>
      </c>
      <c r="G8253" s="3">
        <v>214</v>
      </c>
      <c r="H8253" s="2">
        <f t="shared" si="256"/>
        <v>5387</v>
      </c>
      <c r="I8253" t="str">
        <f t="shared" si="257"/>
        <v>Wash_5387</v>
      </c>
      <c r="J8253" s="3">
        <v>0</v>
      </c>
      <c r="K8253" s="3">
        <v>881</v>
      </c>
      <c r="L8253" s="3">
        <v>1272</v>
      </c>
      <c r="M8253" s="3">
        <v>3020</v>
      </c>
      <c r="N8253" s="3">
        <v>214</v>
      </c>
    </row>
    <row r="8254" spans="1:14" x14ac:dyDescent="0.2">
      <c r="A8254" s="5" t="str">
        <f>HYPERLINK("http://www.ncbi.nlm.nih.gov/protein/268370040","Wasl")</f>
        <v>Wasl</v>
      </c>
      <c r="B8254" s="4"/>
      <c r="C8254" s="3">
        <v>0</v>
      </c>
      <c r="D8254" s="3">
        <v>0</v>
      </c>
      <c r="E8254" s="3">
        <v>1288</v>
      </c>
      <c r="F8254" s="3">
        <v>5632</v>
      </c>
      <c r="G8254" s="3">
        <v>4851</v>
      </c>
      <c r="H8254" s="2">
        <f t="shared" si="256"/>
        <v>11771</v>
      </c>
      <c r="I8254" t="str">
        <f t="shared" si="257"/>
        <v>Wasl_11771</v>
      </c>
      <c r="J8254" s="3">
        <v>0</v>
      </c>
      <c r="K8254" s="3">
        <v>0</v>
      </c>
      <c r="L8254" s="3">
        <v>1288</v>
      </c>
      <c r="M8254" s="3">
        <v>5632</v>
      </c>
      <c r="N8254" s="3">
        <v>4851</v>
      </c>
    </row>
    <row r="8255" spans="1:14" x14ac:dyDescent="0.2">
      <c r="A8255" s="5" t="str">
        <f>HYPERLINK("http://www.ncbi.nlm.nih.gov/protein/268370042","Wasl")</f>
        <v>Wasl</v>
      </c>
      <c r="B8255" s="4"/>
      <c r="C8255" s="3">
        <v>0</v>
      </c>
      <c r="D8255" s="3">
        <v>0</v>
      </c>
      <c r="E8255" s="3">
        <v>132</v>
      </c>
      <c r="F8255" s="3">
        <v>1252</v>
      </c>
      <c r="G8255" s="3">
        <v>1028</v>
      </c>
      <c r="H8255" s="2">
        <f t="shared" si="256"/>
        <v>2412</v>
      </c>
      <c r="I8255" t="str">
        <f t="shared" si="257"/>
        <v>Wasl_2412</v>
      </c>
      <c r="J8255" s="3">
        <v>0</v>
      </c>
      <c r="K8255" s="3">
        <v>0</v>
      </c>
      <c r="L8255" s="3">
        <v>132</v>
      </c>
      <c r="M8255" s="3">
        <v>1252</v>
      </c>
      <c r="N8255" s="3">
        <v>1028</v>
      </c>
    </row>
    <row r="8256" spans="1:14" x14ac:dyDescent="0.2">
      <c r="A8256" s="5" t="str">
        <f>HYPERLINK("http://www.ncbi.nlm.nih.gov/protein/267844920","Wbp11")</f>
        <v>Wbp11</v>
      </c>
      <c r="B8256" s="4"/>
      <c r="C8256" s="3">
        <v>0</v>
      </c>
      <c r="D8256" s="3">
        <v>50</v>
      </c>
      <c r="E8256" s="3">
        <v>91</v>
      </c>
      <c r="F8256" s="3">
        <v>0</v>
      </c>
      <c r="G8256" s="3">
        <v>0</v>
      </c>
      <c r="H8256" s="2">
        <f t="shared" si="256"/>
        <v>141</v>
      </c>
      <c r="I8256" t="str">
        <f t="shared" si="257"/>
        <v>Wbp11_141</v>
      </c>
      <c r="J8256" s="3">
        <v>0</v>
      </c>
      <c r="K8256" s="3">
        <v>50</v>
      </c>
      <c r="L8256" s="3">
        <v>91</v>
      </c>
      <c r="M8256" s="3">
        <v>0</v>
      </c>
      <c r="N8256" s="3">
        <v>0</v>
      </c>
    </row>
    <row r="8257" spans="1:14" x14ac:dyDescent="0.2">
      <c r="A8257" s="5" t="str">
        <f>HYPERLINK("http://www.ncbi.nlm.nih.gov/protein/295317409","Wbp1l")</f>
        <v>Wbp1l</v>
      </c>
      <c r="B8257" s="4"/>
      <c r="C8257" s="3">
        <v>0</v>
      </c>
      <c r="D8257" s="3">
        <v>0</v>
      </c>
      <c r="E8257" s="3">
        <v>503</v>
      </c>
      <c r="F8257" s="3">
        <v>0</v>
      </c>
      <c r="G8257" s="3">
        <v>0</v>
      </c>
      <c r="H8257" s="2">
        <f t="shared" si="256"/>
        <v>503</v>
      </c>
      <c r="I8257" t="str">
        <f t="shared" si="257"/>
        <v>Wbp1l_503</v>
      </c>
      <c r="J8257" s="3">
        <v>0</v>
      </c>
      <c r="K8257" s="3">
        <v>0</v>
      </c>
      <c r="L8257" s="3">
        <v>503</v>
      </c>
      <c r="M8257" s="3">
        <v>0</v>
      </c>
      <c r="N8257" s="3">
        <v>0</v>
      </c>
    </row>
    <row r="8258" spans="1:14" x14ac:dyDescent="0.2">
      <c r="A8258" s="5" t="str">
        <f>HYPERLINK("http://www.ncbi.nlm.nih.gov/protein/295317411","Wbp1l")</f>
        <v>Wbp1l</v>
      </c>
      <c r="B8258" s="4"/>
      <c r="C8258" s="3">
        <v>0</v>
      </c>
      <c r="D8258" s="3">
        <v>0</v>
      </c>
      <c r="E8258" s="3">
        <v>503</v>
      </c>
      <c r="F8258" s="3">
        <v>0</v>
      </c>
      <c r="G8258" s="3">
        <v>0</v>
      </c>
      <c r="H8258" s="2">
        <f t="shared" ref="H8258:H8321" si="258">SUM(C8258:G8258)</f>
        <v>503</v>
      </c>
      <c r="I8258" t="str">
        <f t="shared" ref="I8258:I8321" si="259">A8258&amp;"_"&amp;H8258</f>
        <v>Wbp1l_503</v>
      </c>
      <c r="J8258" s="3">
        <v>0</v>
      </c>
      <c r="K8258" s="3">
        <v>0</v>
      </c>
      <c r="L8258" s="3">
        <v>503</v>
      </c>
      <c r="M8258" s="3">
        <v>0</v>
      </c>
      <c r="N8258" s="3">
        <v>0</v>
      </c>
    </row>
    <row r="8259" spans="1:14" x14ac:dyDescent="0.2">
      <c r="A8259" s="5" t="str">
        <f>HYPERLINK("http://www.ncbi.nlm.nih.gov/protein/295317413","Wbp1l")</f>
        <v>Wbp1l</v>
      </c>
      <c r="B8259" s="4"/>
      <c r="C8259" s="3">
        <v>0</v>
      </c>
      <c r="D8259" s="3">
        <v>0</v>
      </c>
      <c r="E8259" s="3">
        <v>503</v>
      </c>
      <c r="F8259" s="3">
        <v>0</v>
      </c>
      <c r="G8259" s="3">
        <v>0</v>
      </c>
      <c r="H8259" s="2">
        <f t="shared" si="258"/>
        <v>503</v>
      </c>
      <c r="I8259" t="str">
        <f t="shared" si="259"/>
        <v>Wbp1l_503</v>
      </c>
      <c r="J8259" s="3">
        <v>0</v>
      </c>
      <c r="K8259" s="3">
        <v>0</v>
      </c>
      <c r="L8259" s="3">
        <v>503</v>
      </c>
      <c r="M8259" s="3">
        <v>0</v>
      </c>
      <c r="N8259" s="3">
        <v>0</v>
      </c>
    </row>
    <row r="8260" spans="1:14" x14ac:dyDescent="0.2">
      <c r="A8260" s="5" t="str">
        <f>HYPERLINK("http://www.ncbi.nlm.nih.gov/protein/8394539","Wbp2")</f>
        <v>Wbp2</v>
      </c>
      <c r="B8260" s="4"/>
      <c r="C8260" s="3">
        <v>0</v>
      </c>
      <c r="D8260" s="3">
        <v>0</v>
      </c>
      <c r="E8260" s="3">
        <v>609</v>
      </c>
      <c r="F8260" s="3">
        <v>0</v>
      </c>
      <c r="G8260" s="3">
        <v>11256</v>
      </c>
      <c r="H8260" s="2">
        <f t="shared" si="258"/>
        <v>11865</v>
      </c>
      <c r="I8260" t="str">
        <f t="shared" si="259"/>
        <v>Wbp2_11865</v>
      </c>
      <c r="J8260" s="3">
        <v>0</v>
      </c>
      <c r="K8260" s="3">
        <v>0</v>
      </c>
      <c r="L8260" s="3">
        <v>609</v>
      </c>
      <c r="M8260" s="3">
        <v>0</v>
      </c>
      <c r="N8260" s="3">
        <v>11256</v>
      </c>
    </row>
    <row r="8261" spans="1:14" x14ac:dyDescent="0.2">
      <c r="A8261" s="5" t="str">
        <f>HYPERLINK("http://www.ncbi.nlm.nih.gov/protein/33468951","Wbp5")</f>
        <v>Wbp5</v>
      </c>
      <c r="B8261" s="4"/>
      <c r="C8261" s="3">
        <v>0</v>
      </c>
      <c r="D8261" s="3">
        <v>0</v>
      </c>
      <c r="E8261" s="3">
        <v>0</v>
      </c>
      <c r="F8261" s="3">
        <v>344</v>
      </c>
      <c r="G8261" s="3">
        <v>6308</v>
      </c>
      <c r="H8261" s="2">
        <f t="shared" si="258"/>
        <v>6652</v>
      </c>
      <c r="I8261" t="str">
        <f t="shared" si="259"/>
        <v>Wbp5_6652</v>
      </c>
      <c r="J8261" s="3">
        <v>0</v>
      </c>
      <c r="K8261" s="3">
        <v>0</v>
      </c>
      <c r="L8261" s="3">
        <v>0</v>
      </c>
      <c r="M8261" s="3">
        <v>344</v>
      </c>
      <c r="N8261" s="3">
        <v>6308</v>
      </c>
    </row>
    <row r="8262" spans="1:14" x14ac:dyDescent="0.2">
      <c r="A8262" s="5" t="str">
        <f>HYPERLINK("http://www.ncbi.nlm.nih.gov/protein/15809010","Wbscr16")</f>
        <v>Wbscr16</v>
      </c>
      <c r="B8262" s="4"/>
      <c r="C8262" s="3">
        <v>0</v>
      </c>
      <c r="D8262" s="3">
        <v>142</v>
      </c>
      <c r="E8262" s="3">
        <v>0</v>
      </c>
      <c r="F8262" s="3">
        <v>0</v>
      </c>
      <c r="G8262" s="3">
        <v>0</v>
      </c>
      <c r="H8262" s="2">
        <f t="shared" si="258"/>
        <v>142</v>
      </c>
      <c r="I8262" t="str">
        <f t="shared" si="259"/>
        <v>Wbscr16_142</v>
      </c>
      <c r="J8262" s="3">
        <v>0</v>
      </c>
      <c r="K8262" s="3">
        <v>142</v>
      </c>
      <c r="L8262" s="3">
        <v>0</v>
      </c>
      <c r="M8262" s="3">
        <v>0</v>
      </c>
      <c r="N8262" s="3">
        <v>0</v>
      </c>
    </row>
    <row r="8263" spans="1:14" x14ac:dyDescent="0.2">
      <c r="A8263" s="5" t="str">
        <f>HYPERLINK("http://www.ncbi.nlm.nih.gov/protein/125988405","Wbscr22")</f>
        <v>Wbscr22</v>
      </c>
      <c r="B8263" s="4"/>
      <c r="C8263" s="3">
        <v>0</v>
      </c>
      <c r="D8263" s="3">
        <v>0</v>
      </c>
      <c r="E8263" s="3">
        <v>0</v>
      </c>
      <c r="F8263" s="3">
        <v>2112</v>
      </c>
      <c r="G8263" s="3">
        <v>0</v>
      </c>
      <c r="H8263" s="2">
        <f t="shared" si="258"/>
        <v>2112</v>
      </c>
      <c r="I8263" t="str">
        <f t="shared" si="259"/>
        <v>Wbscr22_2112</v>
      </c>
      <c r="J8263" s="3">
        <v>0</v>
      </c>
      <c r="K8263" s="3">
        <v>0</v>
      </c>
      <c r="L8263" s="3">
        <v>0</v>
      </c>
      <c r="M8263" s="3">
        <v>2112</v>
      </c>
      <c r="N8263" s="3">
        <v>0</v>
      </c>
    </row>
    <row r="8264" spans="1:14" x14ac:dyDescent="0.2">
      <c r="A8264" s="5" t="str">
        <f>HYPERLINK("http://www.ncbi.nlm.nih.gov/protein/50355999","Wbscr27")</f>
        <v>Wbscr27</v>
      </c>
      <c r="B8264" s="4"/>
      <c r="C8264" s="3">
        <v>0</v>
      </c>
      <c r="D8264" s="3">
        <v>539</v>
      </c>
      <c r="E8264" s="3">
        <v>389</v>
      </c>
      <c r="F8264" s="3">
        <v>0</v>
      </c>
      <c r="G8264" s="3">
        <v>44627</v>
      </c>
      <c r="H8264" s="2">
        <f t="shared" si="258"/>
        <v>45555</v>
      </c>
      <c r="I8264" t="str">
        <f t="shared" si="259"/>
        <v>Wbscr27_45555</v>
      </c>
      <c r="J8264" s="3">
        <v>0</v>
      </c>
      <c r="K8264" s="3">
        <v>539</v>
      </c>
      <c r="L8264" s="3">
        <v>389</v>
      </c>
      <c r="M8264" s="3">
        <v>0</v>
      </c>
      <c r="N8264" s="3">
        <v>44627</v>
      </c>
    </row>
    <row r="8265" spans="1:14" x14ac:dyDescent="0.2">
      <c r="A8265" s="5" t="str">
        <f>HYPERLINK("http://www.ncbi.nlm.nih.gov/protein/34732713","Wbscr28")</f>
        <v>Wbscr28</v>
      </c>
      <c r="B8265" s="4"/>
      <c r="C8265" s="3">
        <v>0</v>
      </c>
      <c r="D8265" s="3">
        <v>0</v>
      </c>
      <c r="E8265" s="3">
        <v>79</v>
      </c>
      <c r="F8265" s="3">
        <v>0</v>
      </c>
      <c r="G8265" s="3">
        <v>0</v>
      </c>
      <c r="H8265" s="2">
        <f t="shared" si="258"/>
        <v>79</v>
      </c>
      <c r="I8265" t="str">
        <f t="shared" si="259"/>
        <v>Wbscr28_79</v>
      </c>
      <c r="J8265" s="3">
        <v>0</v>
      </c>
      <c r="K8265" s="3">
        <v>0</v>
      </c>
      <c r="L8265" s="3">
        <v>79</v>
      </c>
      <c r="M8265" s="3">
        <v>0</v>
      </c>
      <c r="N8265" s="3">
        <v>0</v>
      </c>
    </row>
    <row r="8266" spans="1:14" x14ac:dyDescent="0.2">
      <c r="A8266" s="5" t="str">
        <f>HYPERLINK("http://www.ncbi.nlm.nih.gov/protein/34732715","Wbscr28")</f>
        <v>Wbscr28</v>
      </c>
      <c r="B8266" s="4"/>
      <c r="C8266" s="3">
        <v>0</v>
      </c>
      <c r="D8266" s="3">
        <v>0</v>
      </c>
      <c r="E8266" s="3">
        <v>79</v>
      </c>
      <c r="F8266" s="3">
        <v>0</v>
      </c>
      <c r="G8266" s="3">
        <v>0</v>
      </c>
      <c r="H8266" s="2">
        <f t="shared" si="258"/>
        <v>79</v>
      </c>
      <c r="I8266" t="str">
        <f t="shared" si="259"/>
        <v>Wbscr28_79</v>
      </c>
      <c r="J8266" s="3">
        <v>0</v>
      </c>
      <c r="K8266" s="3">
        <v>0</v>
      </c>
      <c r="L8266" s="3">
        <v>79</v>
      </c>
      <c r="M8266" s="3">
        <v>0</v>
      </c>
      <c r="N8266" s="3">
        <v>0</v>
      </c>
    </row>
    <row r="8267" spans="1:14" x14ac:dyDescent="0.2">
      <c r="A8267" s="5" t="str">
        <f>HYPERLINK("http://www.ncbi.nlm.nih.gov/protein/162287109","Wdfy1")</f>
        <v>Wdfy1</v>
      </c>
      <c r="B8267" s="4"/>
      <c r="C8267" s="3">
        <v>0</v>
      </c>
      <c r="D8267" s="3">
        <v>219</v>
      </c>
      <c r="E8267" s="3">
        <v>3508</v>
      </c>
      <c r="F8267" s="3">
        <v>0</v>
      </c>
      <c r="G8267" s="3">
        <v>0</v>
      </c>
      <c r="H8267" s="2">
        <f t="shared" si="258"/>
        <v>3727</v>
      </c>
      <c r="I8267" t="str">
        <f t="shared" si="259"/>
        <v>Wdfy1_3727</v>
      </c>
      <c r="J8267" s="3">
        <v>0</v>
      </c>
      <c r="K8267" s="3">
        <v>219</v>
      </c>
      <c r="L8267" s="3">
        <v>3508</v>
      </c>
      <c r="M8267" s="3">
        <v>0</v>
      </c>
      <c r="N8267" s="3">
        <v>0</v>
      </c>
    </row>
    <row r="8268" spans="1:14" x14ac:dyDescent="0.2">
      <c r="A8268" s="5" t="str">
        <f>HYPERLINK("http://www.ncbi.nlm.nih.gov/protein/254540214","Wdfy2")</f>
        <v>Wdfy2</v>
      </c>
      <c r="B8268" s="4"/>
      <c r="C8268" s="3">
        <v>0</v>
      </c>
      <c r="D8268" s="3">
        <v>67</v>
      </c>
      <c r="E8268" s="3">
        <v>101</v>
      </c>
      <c r="F8268" s="3">
        <v>0</v>
      </c>
      <c r="G8268" s="3">
        <v>0</v>
      </c>
      <c r="H8268" s="2">
        <f t="shared" si="258"/>
        <v>168</v>
      </c>
      <c r="I8268" t="str">
        <f t="shared" si="259"/>
        <v>Wdfy2_168</v>
      </c>
      <c r="J8268" s="3">
        <v>0</v>
      </c>
      <c r="K8268" s="3">
        <v>67</v>
      </c>
      <c r="L8268" s="3">
        <v>101</v>
      </c>
      <c r="M8268" s="3">
        <v>0</v>
      </c>
      <c r="N8268" s="3">
        <v>0</v>
      </c>
    </row>
    <row r="8269" spans="1:14" x14ac:dyDescent="0.2">
      <c r="A8269" s="5" t="str">
        <f>HYPERLINK("http://www.ncbi.nlm.nih.gov/protein/39930599","Wdfy3")</f>
        <v>Wdfy3</v>
      </c>
      <c r="B8269" s="4"/>
      <c r="C8269" s="3">
        <v>0</v>
      </c>
      <c r="D8269" s="3">
        <v>290</v>
      </c>
      <c r="E8269" s="3">
        <v>7</v>
      </c>
      <c r="F8269" s="3">
        <v>213</v>
      </c>
      <c r="G8269" s="3">
        <v>0</v>
      </c>
      <c r="H8269" s="2">
        <f t="shared" si="258"/>
        <v>510</v>
      </c>
      <c r="I8269" t="str">
        <f t="shared" si="259"/>
        <v>Wdfy3_510</v>
      </c>
      <c r="J8269" s="3">
        <v>0</v>
      </c>
      <c r="K8269" s="3">
        <v>290</v>
      </c>
      <c r="L8269" s="3">
        <v>7</v>
      </c>
      <c r="M8269" s="3">
        <v>213</v>
      </c>
      <c r="N8269" s="3">
        <v>0</v>
      </c>
    </row>
    <row r="8270" spans="1:14" x14ac:dyDescent="0.2">
      <c r="A8270" s="5" t="str">
        <f>HYPERLINK("http://www.ncbi.nlm.nih.gov/protein/40254224","Wdhd1")</f>
        <v>Wdhd1</v>
      </c>
      <c r="B8270" s="4"/>
      <c r="C8270" s="3">
        <v>403</v>
      </c>
      <c r="D8270" s="3">
        <v>0</v>
      </c>
      <c r="E8270" s="3">
        <v>6</v>
      </c>
      <c r="F8270" s="3">
        <v>0</v>
      </c>
      <c r="G8270" s="3">
        <v>6447</v>
      </c>
      <c r="H8270" s="2">
        <f t="shared" si="258"/>
        <v>6856</v>
      </c>
      <c r="I8270" t="str">
        <f t="shared" si="259"/>
        <v>Wdhd1_6856</v>
      </c>
      <c r="J8270" s="3">
        <v>403</v>
      </c>
      <c r="K8270" s="3">
        <v>0</v>
      </c>
      <c r="L8270" s="3">
        <v>6</v>
      </c>
      <c r="M8270" s="3">
        <v>0</v>
      </c>
      <c r="N8270" s="3">
        <v>6447</v>
      </c>
    </row>
    <row r="8271" spans="1:14" x14ac:dyDescent="0.2">
      <c r="A8271" s="5" t="str">
        <f>HYPERLINK("http://www.ncbi.nlm.nih.gov/protein/31981772","Wdpcp")</f>
        <v>Wdpcp</v>
      </c>
      <c r="B8271" s="4"/>
      <c r="C8271" s="3">
        <v>24622</v>
      </c>
      <c r="D8271" s="3">
        <v>666</v>
      </c>
      <c r="E8271" s="3">
        <v>1756</v>
      </c>
      <c r="F8271" s="3">
        <v>20595</v>
      </c>
      <c r="G8271" s="3">
        <v>4755</v>
      </c>
      <c r="H8271" s="2">
        <f t="shared" si="258"/>
        <v>52394</v>
      </c>
      <c r="I8271" t="str">
        <f t="shared" si="259"/>
        <v>Wdpcp_52394</v>
      </c>
      <c r="J8271" s="3">
        <v>24622</v>
      </c>
      <c r="K8271" s="3">
        <v>666</v>
      </c>
      <c r="L8271" s="3">
        <v>1756</v>
      </c>
      <c r="M8271" s="3">
        <v>20595</v>
      </c>
      <c r="N8271" s="3">
        <v>4755</v>
      </c>
    </row>
    <row r="8272" spans="1:14" x14ac:dyDescent="0.2">
      <c r="A8272" s="5" t="str">
        <f>HYPERLINK("http://www.ncbi.nlm.nih.gov/protein/6755995","Wdr1")</f>
        <v>Wdr1</v>
      </c>
      <c r="B8272" s="4"/>
      <c r="C8272" s="3">
        <v>4302</v>
      </c>
      <c r="D8272" s="3">
        <v>18299</v>
      </c>
      <c r="E8272" s="3">
        <v>34606</v>
      </c>
      <c r="F8272" s="3">
        <v>84148</v>
      </c>
      <c r="G8272" s="3">
        <v>255422</v>
      </c>
      <c r="H8272" s="2">
        <f t="shared" si="258"/>
        <v>396777</v>
      </c>
      <c r="I8272" t="str">
        <f t="shared" si="259"/>
        <v>Wdr1_396777</v>
      </c>
      <c r="J8272" s="3">
        <v>4302</v>
      </c>
      <c r="K8272" s="3">
        <v>18299</v>
      </c>
      <c r="L8272" s="3">
        <v>34606</v>
      </c>
      <c r="M8272" s="3">
        <v>84148</v>
      </c>
      <c r="N8272" s="3">
        <v>255422</v>
      </c>
    </row>
    <row r="8273" spans="1:14" x14ac:dyDescent="0.2">
      <c r="A8273" s="5" t="str">
        <f>HYPERLINK("http://www.ncbi.nlm.nih.gov/protein/227908800","Wdr11")</f>
        <v>Wdr11</v>
      </c>
      <c r="B8273" s="4"/>
      <c r="C8273" s="3">
        <v>55</v>
      </c>
      <c r="D8273" s="3">
        <v>1323</v>
      </c>
      <c r="E8273" s="3">
        <v>5580</v>
      </c>
      <c r="F8273" s="3">
        <v>16036</v>
      </c>
      <c r="G8273" s="3">
        <v>0</v>
      </c>
      <c r="H8273" s="2">
        <f t="shared" si="258"/>
        <v>22994</v>
      </c>
      <c r="I8273" t="str">
        <f t="shared" si="259"/>
        <v>Wdr11_22994</v>
      </c>
      <c r="J8273" s="3">
        <v>55</v>
      </c>
      <c r="K8273" s="3">
        <v>1323</v>
      </c>
      <c r="L8273" s="3">
        <v>5580</v>
      </c>
      <c r="M8273" s="3">
        <v>16036</v>
      </c>
      <c r="N8273" s="3">
        <v>0</v>
      </c>
    </row>
    <row r="8274" spans="1:14" x14ac:dyDescent="0.2">
      <c r="A8274" s="5" t="str">
        <f>HYPERLINK("http://www.ncbi.nlm.nih.gov/protein/10946614;312261271","Wdr12")</f>
        <v>Wdr12</v>
      </c>
      <c r="B8274" s="4"/>
      <c r="C8274" s="3">
        <v>0</v>
      </c>
      <c r="D8274" s="3">
        <v>0</v>
      </c>
      <c r="E8274" s="3">
        <v>353</v>
      </c>
      <c r="F8274" s="3">
        <v>0</v>
      </c>
      <c r="G8274" s="3">
        <v>0</v>
      </c>
      <c r="H8274" s="2">
        <f t="shared" si="258"/>
        <v>353</v>
      </c>
      <c r="I8274" t="str">
        <f t="shared" si="259"/>
        <v>Wdr12_353</v>
      </c>
      <c r="J8274" s="3">
        <v>0</v>
      </c>
      <c r="K8274" s="3">
        <v>0</v>
      </c>
      <c r="L8274" s="3">
        <v>353</v>
      </c>
      <c r="M8274" s="3">
        <v>0</v>
      </c>
      <c r="N8274" s="3">
        <v>0</v>
      </c>
    </row>
    <row r="8275" spans="1:14" x14ac:dyDescent="0.2">
      <c r="A8275" s="5" t="str">
        <f>HYPERLINK("http://www.ncbi.nlm.nih.gov/protein/312261271","Wdr12")</f>
        <v>Wdr12</v>
      </c>
      <c r="B8275" s="4"/>
      <c r="C8275" s="3">
        <v>0</v>
      </c>
      <c r="D8275" s="3">
        <v>0</v>
      </c>
      <c r="E8275" s="3">
        <v>0</v>
      </c>
      <c r="F8275" s="3">
        <v>5574</v>
      </c>
      <c r="G8275" s="3">
        <v>3009</v>
      </c>
      <c r="H8275" s="2">
        <f t="shared" si="258"/>
        <v>8583</v>
      </c>
      <c r="I8275" t="str">
        <f t="shared" si="259"/>
        <v>Wdr12_8583</v>
      </c>
      <c r="J8275" s="3">
        <v>0</v>
      </c>
      <c r="K8275" s="3">
        <v>0</v>
      </c>
      <c r="L8275" s="3">
        <v>0</v>
      </c>
      <c r="M8275" s="3">
        <v>5574</v>
      </c>
      <c r="N8275" s="3">
        <v>3009</v>
      </c>
    </row>
    <row r="8276" spans="1:14" x14ac:dyDescent="0.2">
      <c r="A8276" s="5" t="str">
        <f>HYPERLINK("http://www.ncbi.nlm.nih.gov/protein/261878588","Wdr13")</f>
        <v>Wdr13</v>
      </c>
      <c r="B8276" s="4"/>
      <c r="C8276" s="3">
        <v>0</v>
      </c>
      <c r="D8276" s="3">
        <v>0</v>
      </c>
      <c r="E8276" s="3">
        <v>0</v>
      </c>
      <c r="F8276" s="3">
        <v>663</v>
      </c>
      <c r="G8276" s="3">
        <v>0</v>
      </c>
      <c r="H8276" s="2">
        <f t="shared" si="258"/>
        <v>663</v>
      </c>
      <c r="I8276" t="str">
        <f t="shared" si="259"/>
        <v>Wdr13_663</v>
      </c>
      <c r="J8276" s="3">
        <v>0</v>
      </c>
      <c r="K8276" s="3">
        <v>0</v>
      </c>
      <c r="L8276" s="3">
        <v>0</v>
      </c>
      <c r="M8276" s="3">
        <v>663</v>
      </c>
      <c r="N8276" s="3">
        <v>0</v>
      </c>
    </row>
    <row r="8277" spans="1:14" x14ac:dyDescent="0.2">
      <c r="A8277" s="5" t="str">
        <f>HYPERLINK("http://www.ncbi.nlm.nih.gov/protein/83649741","Wdr18")</f>
        <v>Wdr18</v>
      </c>
      <c r="B8277" s="4"/>
      <c r="C8277" s="3">
        <v>0</v>
      </c>
      <c r="D8277" s="3">
        <v>0</v>
      </c>
      <c r="E8277" s="3">
        <v>2592</v>
      </c>
      <c r="F8277" s="3">
        <v>18254</v>
      </c>
      <c r="G8277" s="3">
        <v>0</v>
      </c>
      <c r="H8277" s="2">
        <f t="shared" si="258"/>
        <v>20846</v>
      </c>
      <c r="I8277" t="str">
        <f t="shared" si="259"/>
        <v>Wdr18_20846</v>
      </c>
      <c r="J8277" s="3">
        <v>0</v>
      </c>
      <c r="K8277" s="3">
        <v>0</v>
      </c>
      <c r="L8277" s="3">
        <v>2592</v>
      </c>
      <c r="M8277" s="3">
        <v>18254</v>
      </c>
      <c r="N8277" s="3">
        <v>0</v>
      </c>
    </row>
    <row r="8278" spans="1:14" x14ac:dyDescent="0.2">
      <c r="A8278" s="5" t="str">
        <f>HYPERLINK("http://www.ncbi.nlm.nih.gov/protein/154240688","Wdr19")</f>
        <v>Wdr19</v>
      </c>
      <c r="B8278" s="4"/>
      <c r="C8278" s="3">
        <v>0</v>
      </c>
      <c r="D8278" s="3">
        <v>0</v>
      </c>
      <c r="E8278" s="3">
        <v>578</v>
      </c>
      <c r="F8278" s="3">
        <v>1621</v>
      </c>
      <c r="G8278" s="3">
        <v>0</v>
      </c>
      <c r="H8278" s="2">
        <f t="shared" si="258"/>
        <v>2199</v>
      </c>
      <c r="I8278" t="str">
        <f t="shared" si="259"/>
        <v>Wdr19_2199</v>
      </c>
      <c r="J8278" s="3">
        <v>0</v>
      </c>
      <c r="K8278" s="3">
        <v>0</v>
      </c>
      <c r="L8278" s="3">
        <v>578</v>
      </c>
      <c r="M8278" s="3">
        <v>1621</v>
      </c>
      <c r="N8278" s="3">
        <v>0</v>
      </c>
    </row>
    <row r="8279" spans="1:14" x14ac:dyDescent="0.2">
      <c r="A8279" s="5" t="str">
        <f>HYPERLINK("http://www.ncbi.nlm.nih.gov/protein/61742804","Wdr20")</f>
        <v>Wdr20</v>
      </c>
      <c r="B8279" s="4"/>
      <c r="C8279" s="3">
        <v>0</v>
      </c>
      <c r="D8279" s="3">
        <v>0</v>
      </c>
      <c r="E8279" s="3">
        <v>417</v>
      </c>
      <c r="F8279" s="3">
        <v>565</v>
      </c>
      <c r="G8279" s="3">
        <v>0</v>
      </c>
      <c r="H8279" s="2">
        <f t="shared" si="258"/>
        <v>982</v>
      </c>
      <c r="I8279" t="str">
        <f t="shared" si="259"/>
        <v>Wdr20_982</v>
      </c>
      <c r="J8279" s="3">
        <v>0</v>
      </c>
      <c r="K8279" s="3">
        <v>0</v>
      </c>
      <c r="L8279" s="3">
        <v>417</v>
      </c>
      <c r="M8279" s="3">
        <v>565</v>
      </c>
      <c r="N8279" s="3">
        <v>0</v>
      </c>
    </row>
    <row r="8280" spans="1:14" x14ac:dyDescent="0.2">
      <c r="A8280" s="5" t="str">
        <f>HYPERLINK("http://www.ncbi.nlm.nih.gov/protein/21735451","Wdr20rt")</f>
        <v>Wdr20rt</v>
      </c>
      <c r="B8280" s="4"/>
      <c r="C8280" s="3">
        <v>0</v>
      </c>
      <c r="D8280" s="3">
        <v>0</v>
      </c>
      <c r="E8280" s="3">
        <v>189</v>
      </c>
      <c r="F8280" s="3">
        <v>565</v>
      </c>
      <c r="G8280" s="3">
        <v>0</v>
      </c>
      <c r="H8280" s="2">
        <f t="shared" si="258"/>
        <v>754</v>
      </c>
      <c r="I8280" t="str">
        <f t="shared" si="259"/>
        <v>Wdr20rt_754</v>
      </c>
      <c r="J8280" s="3">
        <v>0</v>
      </c>
      <c r="K8280" s="3">
        <v>0</v>
      </c>
      <c r="L8280" s="3">
        <v>189</v>
      </c>
      <c r="M8280" s="3">
        <v>565</v>
      </c>
      <c r="N8280" s="3">
        <v>0</v>
      </c>
    </row>
    <row r="8281" spans="1:14" x14ac:dyDescent="0.2">
      <c r="A8281" s="5" t="str">
        <f>HYPERLINK("http://www.ncbi.nlm.nih.gov/protein/264681550","Wdr26")</f>
        <v>Wdr26</v>
      </c>
      <c r="B8281" s="4"/>
      <c r="C8281" s="3">
        <v>0</v>
      </c>
      <c r="D8281" s="3">
        <v>0</v>
      </c>
      <c r="E8281" s="3">
        <v>85</v>
      </c>
      <c r="F8281" s="3">
        <v>13220</v>
      </c>
      <c r="G8281" s="3">
        <v>0</v>
      </c>
      <c r="H8281" s="2">
        <f t="shared" si="258"/>
        <v>13305</v>
      </c>
      <c r="I8281" t="str">
        <f t="shared" si="259"/>
        <v>Wdr26_13305</v>
      </c>
      <c r="J8281" s="3">
        <v>0</v>
      </c>
      <c r="K8281" s="3">
        <v>0</v>
      </c>
      <c r="L8281" s="3">
        <v>85</v>
      </c>
      <c r="M8281" s="3">
        <v>13220</v>
      </c>
      <c r="N8281" s="3">
        <v>0</v>
      </c>
    </row>
    <row r="8282" spans="1:14" x14ac:dyDescent="0.2">
      <c r="A8282" s="5" t="str">
        <f>HYPERLINK("http://www.ncbi.nlm.nih.gov/protein/30425338","Wdr3")</f>
        <v>Wdr3</v>
      </c>
      <c r="B8282" s="4"/>
      <c r="C8282" s="3">
        <v>0</v>
      </c>
      <c r="D8282" s="3">
        <v>0</v>
      </c>
      <c r="E8282" s="3">
        <v>26</v>
      </c>
      <c r="F8282" s="3">
        <v>0</v>
      </c>
      <c r="G8282" s="3">
        <v>0</v>
      </c>
      <c r="H8282" s="2">
        <f t="shared" si="258"/>
        <v>26</v>
      </c>
      <c r="I8282" t="str">
        <f t="shared" si="259"/>
        <v>Wdr3_26</v>
      </c>
      <c r="J8282" s="3">
        <v>0</v>
      </c>
      <c r="K8282" s="3">
        <v>0</v>
      </c>
      <c r="L8282" s="3">
        <v>26</v>
      </c>
      <c r="M8282" s="3">
        <v>0</v>
      </c>
      <c r="N8282" s="3">
        <v>0</v>
      </c>
    </row>
    <row r="8283" spans="1:14" x14ac:dyDescent="0.2">
      <c r="A8283" s="5" t="str">
        <f>HYPERLINK("http://www.ncbi.nlm.nih.gov/protein/21362285","Wdr33")</f>
        <v>Wdr33</v>
      </c>
      <c r="B8283" s="4"/>
      <c r="C8283" s="3">
        <v>2343</v>
      </c>
      <c r="D8283" s="3">
        <v>0</v>
      </c>
      <c r="E8283" s="3">
        <v>0</v>
      </c>
      <c r="F8283" s="3">
        <v>0</v>
      </c>
      <c r="G8283" s="3">
        <v>0</v>
      </c>
      <c r="H8283" s="2">
        <f t="shared" si="258"/>
        <v>2343</v>
      </c>
      <c r="I8283" t="str">
        <f t="shared" si="259"/>
        <v>Wdr33_2343</v>
      </c>
      <c r="J8283" s="3">
        <v>2343</v>
      </c>
      <c r="K8283" s="3">
        <v>0</v>
      </c>
      <c r="L8283" s="3">
        <v>0</v>
      </c>
      <c r="M8283" s="3">
        <v>0</v>
      </c>
      <c r="N8283" s="3">
        <v>0</v>
      </c>
    </row>
    <row r="8284" spans="1:14" x14ac:dyDescent="0.2">
      <c r="A8284" s="5" t="str">
        <f>HYPERLINK("http://www.ncbi.nlm.nih.gov/protein/139948827","Wdr34")</f>
        <v>Wdr34</v>
      </c>
      <c r="B8284" s="4"/>
      <c r="C8284" s="3">
        <v>0</v>
      </c>
      <c r="D8284" s="3">
        <v>2</v>
      </c>
      <c r="E8284" s="3">
        <v>0</v>
      </c>
      <c r="F8284" s="3">
        <v>0</v>
      </c>
      <c r="G8284" s="3">
        <v>0</v>
      </c>
      <c r="H8284" s="2">
        <f t="shared" si="258"/>
        <v>2</v>
      </c>
      <c r="I8284" t="str">
        <f t="shared" si="259"/>
        <v>Wdr34_2</v>
      </c>
      <c r="J8284" s="3">
        <v>0</v>
      </c>
      <c r="K8284" s="3">
        <v>2</v>
      </c>
      <c r="L8284" s="3">
        <v>0</v>
      </c>
      <c r="M8284" s="3">
        <v>0</v>
      </c>
      <c r="N8284" s="3">
        <v>0</v>
      </c>
    </row>
    <row r="8285" spans="1:14" x14ac:dyDescent="0.2">
      <c r="A8285" s="5" t="str">
        <f>HYPERLINK("http://www.ncbi.nlm.nih.gov/protein/226958501","Wdr35")</f>
        <v>Wdr35</v>
      </c>
      <c r="B8285" s="4"/>
      <c r="C8285" s="3">
        <v>0</v>
      </c>
      <c r="D8285" s="3">
        <v>0</v>
      </c>
      <c r="E8285" s="3">
        <v>445</v>
      </c>
      <c r="F8285" s="3">
        <v>123</v>
      </c>
      <c r="G8285" s="3">
        <v>0</v>
      </c>
      <c r="H8285" s="2">
        <f t="shared" si="258"/>
        <v>568</v>
      </c>
      <c r="I8285" t="str">
        <f t="shared" si="259"/>
        <v>Wdr35_568</v>
      </c>
      <c r="J8285" s="3">
        <v>0</v>
      </c>
      <c r="K8285" s="3">
        <v>0</v>
      </c>
      <c r="L8285" s="3">
        <v>445</v>
      </c>
      <c r="M8285" s="3">
        <v>123</v>
      </c>
      <c r="N8285" s="3">
        <v>0</v>
      </c>
    </row>
    <row r="8286" spans="1:14" x14ac:dyDescent="0.2">
      <c r="A8286" s="5" t="str">
        <f>HYPERLINK("http://www.ncbi.nlm.nih.gov/protein/226958503","Wdr35")</f>
        <v>Wdr35</v>
      </c>
      <c r="B8286" s="4"/>
      <c r="C8286" s="3">
        <v>0</v>
      </c>
      <c r="D8286" s="3">
        <v>0</v>
      </c>
      <c r="E8286" s="3">
        <v>445</v>
      </c>
      <c r="F8286" s="3">
        <v>123</v>
      </c>
      <c r="G8286" s="3">
        <v>0</v>
      </c>
      <c r="H8286" s="2">
        <f t="shared" si="258"/>
        <v>568</v>
      </c>
      <c r="I8286" t="str">
        <f t="shared" si="259"/>
        <v>Wdr35_568</v>
      </c>
      <c r="J8286" s="3">
        <v>0</v>
      </c>
      <c r="K8286" s="3">
        <v>0</v>
      </c>
      <c r="L8286" s="3">
        <v>445</v>
      </c>
      <c r="M8286" s="3">
        <v>123</v>
      </c>
      <c r="N8286" s="3">
        <v>0</v>
      </c>
    </row>
    <row r="8287" spans="1:14" x14ac:dyDescent="0.2">
      <c r="A8287" s="5" t="str">
        <f>HYPERLINK("http://www.ncbi.nlm.nih.gov/protein/31542010","Wdr36")</f>
        <v>Wdr36</v>
      </c>
      <c r="B8287" s="4"/>
      <c r="C8287" s="3">
        <v>0</v>
      </c>
      <c r="D8287" s="3">
        <v>0</v>
      </c>
      <c r="E8287" s="3">
        <v>20</v>
      </c>
      <c r="F8287" s="3">
        <v>0</v>
      </c>
      <c r="G8287" s="3">
        <v>0</v>
      </c>
      <c r="H8287" s="2">
        <f t="shared" si="258"/>
        <v>20</v>
      </c>
      <c r="I8287" t="str">
        <f t="shared" si="259"/>
        <v>Wdr36_20</v>
      </c>
      <c r="J8287" s="3">
        <v>0</v>
      </c>
      <c r="K8287" s="3">
        <v>0</v>
      </c>
      <c r="L8287" s="3">
        <v>20</v>
      </c>
      <c r="M8287" s="3">
        <v>0</v>
      </c>
      <c r="N8287" s="3">
        <v>0</v>
      </c>
    </row>
    <row r="8288" spans="1:14" x14ac:dyDescent="0.2">
      <c r="A8288" s="5" t="str">
        <f>HYPERLINK("http://www.ncbi.nlm.nih.gov/protein/158517940","Wdr36")</f>
        <v>Wdr36</v>
      </c>
      <c r="B8288" s="4"/>
      <c r="C8288" s="3">
        <v>0</v>
      </c>
      <c r="D8288" s="3">
        <v>0</v>
      </c>
      <c r="E8288" s="3">
        <v>139</v>
      </c>
      <c r="F8288" s="3">
        <v>0</v>
      </c>
      <c r="G8288" s="3">
        <v>835</v>
      </c>
      <c r="H8288" s="2">
        <f t="shared" si="258"/>
        <v>974</v>
      </c>
      <c r="I8288" t="str">
        <f t="shared" si="259"/>
        <v>Wdr36_974</v>
      </c>
      <c r="J8288" s="3">
        <v>0</v>
      </c>
      <c r="K8288" s="3">
        <v>0</v>
      </c>
      <c r="L8288" s="3">
        <v>139</v>
      </c>
      <c r="M8288" s="3">
        <v>0</v>
      </c>
      <c r="N8288" s="3">
        <v>835</v>
      </c>
    </row>
    <row r="8289" spans="1:14" x14ac:dyDescent="0.2">
      <c r="A8289" s="5" t="str">
        <f>HYPERLINK("http://www.ncbi.nlm.nih.gov/protein/158517942","Wdr36")</f>
        <v>Wdr36</v>
      </c>
      <c r="B8289" s="4"/>
      <c r="C8289" s="3">
        <v>0</v>
      </c>
      <c r="D8289" s="3">
        <v>0</v>
      </c>
      <c r="E8289" s="3">
        <v>139</v>
      </c>
      <c r="F8289" s="3">
        <v>0</v>
      </c>
      <c r="G8289" s="3">
        <v>835</v>
      </c>
      <c r="H8289" s="2">
        <f t="shared" si="258"/>
        <v>974</v>
      </c>
      <c r="I8289" t="str">
        <f t="shared" si="259"/>
        <v>Wdr36_974</v>
      </c>
      <c r="J8289" s="3">
        <v>0</v>
      </c>
      <c r="K8289" s="3">
        <v>0</v>
      </c>
      <c r="L8289" s="3">
        <v>139</v>
      </c>
      <c r="M8289" s="3">
        <v>0</v>
      </c>
      <c r="N8289" s="3">
        <v>835</v>
      </c>
    </row>
    <row r="8290" spans="1:14" x14ac:dyDescent="0.2">
      <c r="A8290" s="5" t="str">
        <f>HYPERLINK("http://www.ncbi.nlm.nih.gov/protein/27369593","Wdr37")</f>
        <v>Wdr37</v>
      </c>
      <c r="B8290" s="4"/>
      <c r="C8290" s="3">
        <v>0</v>
      </c>
      <c r="D8290" s="3">
        <v>0</v>
      </c>
      <c r="E8290" s="3">
        <v>79</v>
      </c>
      <c r="F8290" s="3">
        <v>4772</v>
      </c>
      <c r="G8290" s="3">
        <v>0</v>
      </c>
      <c r="H8290" s="2">
        <f t="shared" si="258"/>
        <v>4851</v>
      </c>
      <c r="I8290" t="str">
        <f t="shared" si="259"/>
        <v>Wdr37_4851</v>
      </c>
      <c r="J8290" s="3">
        <v>0</v>
      </c>
      <c r="K8290" s="3">
        <v>0</v>
      </c>
      <c r="L8290" s="3">
        <v>79</v>
      </c>
      <c r="M8290" s="3">
        <v>4772</v>
      </c>
      <c r="N8290" s="3">
        <v>0</v>
      </c>
    </row>
    <row r="8291" spans="1:14" x14ac:dyDescent="0.2">
      <c r="A8291" s="5" t="str">
        <f>HYPERLINK("http://www.ncbi.nlm.nih.gov/protein/86476061","Wdr37")</f>
        <v>Wdr37</v>
      </c>
      <c r="B8291" s="4"/>
      <c r="C8291" s="3">
        <v>0</v>
      </c>
      <c r="D8291" s="3">
        <v>0</v>
      </c>
      <c r="E8291" s="3">
        <v>79</v>
      </c>
      <c r="F8291" s="3">
        <v>4666</v>
      </c>
      <c r="G8291" s="3">
        <v>0</v>
      </c>
      <c r="H8291" s="2">
        <f t="shared" si="258"/>
        <v>4745</v>
      </c>
      <c r="I8291" t="str">
        <f t="shared" si="259"/>
        <v>Wdr37_4745</v>
      </c>
      <c r="J8291" s="3">
        <v>0</v>
      </c>
      <c r="K8291" s="3">
        <v>0</v>
      </c>
      <c r="L8291" s="3">
        <v>79</v>
      </c>
      <c r="M8291" s="3">
        <v>4666</v>
      </c>
      <c r="N8291" s="3">
        <v>0</v>
      </c>
    </row>
    <row r="8292" spans="1:14" x14ac:dyDescent="0.2">
      <c r="A8292" s="5" t="str">
        <f>HYPERLINK("http://www.ncbi.nlm.nih.gov/protein/255308863","Wdr4")</f>
        <v>Wdr4</v>
      </c>
      <c r="B8292" s="4"/>
      <c r="C8292" s="3">
        <v>0</v>
      </c>
      <c r="D8292" s="3">
        <v>0</v>
      </c>
      <c r="E8292" s="3">
        <v>189</v>
      </c>
      <c r="F8292" s="3">
        <v>0</v>
      </c>
      <c r="G8292" s="3">
        <v>7732</v>
      </c>
      <c r="H8292" s="2">
        <f t="shared" si="258"/>
        <v>7921</v>
      </c>
      <c r="I8292" t="str">
        <f t="shared" si="259"/>
        <v>Wdr4_7921</v>
      </c>
      <c r="J8292" s="3">
        <v>0</v>
      </c>
      <c r="K8292" s="3">
        <v>0</v>
      </c>
      <c r="L8292" s="3">
        <v>189</v>
      </c>
      <c r="M8292" s="3">
        <v>0</v>
      </c>
      <c r="N8292" s="3">
        <v>7732</v>
      </c>
    </row>
    <row r="8293" spans="1:14" x14ac:dyDescent="0.2">
      <c r="A8293" s="5" t="str">
        <f>HYPERLINK("http://www.ncbi.nlm.nih.gov/protein/123702001","Wdr41")</f>
        <v>Wdr41</v>
      </c>
      <c r="B8293" s="4"/>
      <c r="C8293" s="3">
        <v>0</v>
      </c>
      <c r="D8293" s="3">
        <v>0</v>
      </c>
      <c r="E8293" s="3">
        <v>0</v>
      </c>
      <c r="F8293" s="3">
        <v>74</v>
      </c>
      <c r="G8293" s="3">
        <v>0</v>
      </c>
      <c r="H8293" s="2">
        <f t="shared" si="258"/>
        <v>74</v>
      </c>
      <c r="I8293" t="str">
        <f t="shared" si="259"/>
        <v>Wdr41_74</v>
      </c>
      <c r="J8293" s="3">
        <v>0</v>
      </c>
      <c r="K8293" s="3">
        <v>0</v>
      </c>
      <c r="L8293" s="3">
        <v>0</v>
      </c>
      <c r="M8293" s="3">
        <v>74</v>
      </c>
      <c r="N8293" s="3">
        <v>0</v>
      </c>
    </row>
    <row r="8294" spans="1:14" x14ac:dyDescent="0.2">
      <c r="A8294" s="5" t="str">
        <f>HYPERLINK("http://www.ncbi.nlm.nih.gov/protein/124249073","Wdr44")</f>
        <v>Wdr44</v>
      </c>
      <c r="B8294" s="4"/>
      <c r="C8294" s="3">
        <v>0</v>
      </c>
      <c r="D8294" s="3">
        <v>0</v>
      </c>
      <c r="E8294" s="3">
        <v>0</v>
      </c>
      <c r="F8294" s="3">
        <v>1326</v>
      </c>
      <c r="G8294" s="3">
        <v>257</v>
      </c>
      <c r="H8294" s="2">
        <f t="shared" si="258"/>
        <v>1583</v>
      </c>
      <c r="I8294" t="str">
        <f t="shared" si="259"/>
        <v>Wdr44_1583</v>
      </c>
      <c r="J8294" s="3">
        <v>0</v>
      </c>
      <c r="K8294" s="3">
        <v>0</v>
      </c>
      <c r="L8294" s="3">
        <v>0</v>
      </c>
      <c r="M8294" s="3">
        <v>1326</v>
      </c>
      <c r="N8294" s="3">
        <v>257</v>
      </c>
    </row>
    <row r="8295" spans="1:14" x14ac:dyDescent="0.2">
      <c r="A8295" s="5" t="str">
        <f>HYPERLINK("http://www.ncbi.nlm.nih.gov/protein/27363472","Wdr45")</f>
        <v>Wdr45</v>
      </c>
      <c r="B8295" s="4"/>
      <c r="C8295" s="3">
        <v>0</v>
      </c>
      <c r="D8295" s="3">
        <v>484</v>
      </c>
      <c r="E8295" s="3">
        <v>543</v>
      </c>
      <c r="F8295" s="3">
        <v>229</v>
      </c>
      <c r="G8295" s="3">
        <v>2902</v>
      </c>
      <c r="H8295" s="2">
        <f t="shared" si="258"/>
        <v>4158</v>
      </c>
      <c r="I8295" t="str">
        <f t="shared" si="259"/>
        <v>Wdr45_4158</v>
      </c>
      <c r="J8295" s="3">
        <v>0</v>
      </c>
      <c r="K8295" s="3">
        <v>484</v>
      </c>
      <c r="L8295" s="3">
        <v>543</v>
      </c>
      <c r="M8295" s="3">
        <v>229</v>
      </c>
      <c r="N8295" s="3">
        <v>2902</v>
      </c>
    </row>
    <row r="8296" spans="1:14" x14ac:dyDescent="0.2">
      <c r="A8296" s="5" t="str">
        <f>HYPERLINK("http://www.ncbi.nlm.nih.gov/protein/27229002","Wdr45b")</f>
        <v>Wdr45b</v>
      </c>
      <c r="B8296" s="4"/>
      <c r="C8296" s="3">
        <v>0</v>
      </c>
      <c r="D8296" s="3">
        <v>2092</v>
      </c>
      <c r="E8296" s="3">
        <v>675</v>
      </c>
      <c r="F8296" s="3">
        <v>0</v>
      </c>
      <c r="G8296" s="3">
        <v>0</v>
      </c>
      <c r="H8296" s="2">
        <f t="shared" si="258"/>
        <v>2767</v>
      </c>
      <c r="I8296" t="str">
        <f t="shared" si="259"/>
        <v>Wdr45b_2767</v>
      </c>
      <c r="J8296" s="3">
        <v>0</v>
      </c>
      <c r="K8296" s="3">
        <v>2092</v>
      </c>
      <c r="L8296" s="3">
        <v>675</v>
      </c>
      <c r="M8296" s="3">
        <v>0</v>
      </c>
      <c r="N8296" s="3">
        <v>0</v>
      </c>
    </row>
    <row r="8297" spans="1:14" x14ac:dyDescent="0.2">
      <c r="A8297" s="5" t="str">
        <f>HYPERLINK("http://www.ncbi.nlm.nih.gov/protein/10181122","Wdr46")</f>
        <v>Wdr46</v>
      </c>
      <c r="B8297" s="4"/>
      <c r="C8297" s="3">
        <v>2343</v>
      </c>
      <c r="D8297" s="3">
        <v>0</v>
      </c>
      <c r="E8297" s="3">
        <v>15</v>
      </c>
      <c r="F8297" s="3">
        <v>0</v>
      </c>
      <c r="G8297" s="3">
        <v>0</v>
      </c>
      <c r="H8297" s="2">
        <f t="shared" si="258"/>
        <v>2358</v>
      </c>
      <c r="I8297" t="str">
        <f t="shared" si="259"/>
        <v>Wdr46_2358</v>
      </c>
      <c r="J8297" s="3">
        <v>2343</v>
      </c>
      <c r="K8297" s="3">
        <v>0</v>
      </c>
      <c r="L8297" s="3">
        <v>15</v>
      </c>
      <c r="M8297" s="3">
        <v>0</v>
      </c>
      <c r="N8297" s="3">
        <v>0</v>
      </c>
    </row>
    <row r="8298" spans="1:14" x14ac:dyDescent="0.2">
      <c r="A8298" s="5" t="str">
        <f>HYPERLINK("http://www.ncbi.nlm.nih.gov/protein/170172546","Wdr47")</f>
        <v>Wdr47</v>
      </c>
      <c r="B8298" s="4"/>
      <c r="C8298" s="3">
        <v>0</v>
      </c>
      <c r="D8298" s="3">
        <v>0</v>
      </c>
      <c r="E8298" s="3">
        <v>28</v>
      </c>
      <c r="F8298" s="3">
        <v>1203</v>
      </c>
      <c r="G8298" s="3">
        <v>503</v>
      </c>
      <c r="H8298" s="2">
        <f t="shared" si="258"/>
        <v>1734</v>
      </c>
      <c r="I8298" t="str">
        <f t="shared" si="259"/>
        <v>Wdr47_1734</v>
      </c>
      <c r="J8298" s="3">
        <v>0</v>
      </c>
      <c r="K8298" s="3">
        <v>0</v>
      </c>
      <c r="L8298" s="3">
        <v>28</v>
      </c>
      <c r="M8298" s="3">
        <v>1203</v>
      </c>
      <c r="N8298" s="3">
        <v>503</v>
      </c>
    </row>
    <row r="8299" spans="1:14" x14ac:dyDescent="0.2">
      <c r="A8299" s="5" t="str">
        <f>HYPERLINK("http://www.ncbi.nlm.nih.gov/protein/33468987","Wdr48")</f>
        <v>Wdr48</v>
      </c>
      <c r="B8299" s="4"/>
      <c r="C8299" s="3">
        <v>0</v>
      </c>
      <c r="D8299" s="3">
        <v>1618</v>
      </c>
      <c r="E8299" s="3">
        <v>6371</v>
      </c>
      <c r="F8299" s="3">
        <v>434</v>
      </c>
      <c r="G8299" s="3">
        <v>386</v>
      </c>
      <c r="H8299" s="2">
        <f t="shared" si="258"/>
        <v>8809</v>
      </c>
      <c r="I8299" t="str">
        <f t="shared" si="259"/>
        <v>Wdr48_8809</v>
      </c>
      <c r="J8299" s="3">
        <v>0</v>
      </c>
      <c r="K8299" s="3">
        <v>1618</v>
      </c>
      <c r="L8299" s="3">
        <v>6371</v>
      </c>
      <c r="M8299" s="3">
        <v>434</v>
      </c>
      <c r="N8299" s="3">
        <v>386</v>
      </c>
    </row>
    <row r="8300" spans="1:14" x14ac:dyDescent="0.2">
      <c r="A8300" s="5" t="str">
        <f>HYPERLINK("http://www.ncbi.nlm.nih.gov/protein/309264766","Wdr49")</f>
        <v>Wdr49</v>
      </c>
      <c r="B8300" s="4"/>
      <c r="C8300" s="3">
        <v>0</v>
      </c>
      <c r="D8300" s="3">
        <v>0</v>
      </c>
      <c r="E8300" s="3">
        <v>0</v>
      </c>
      <c r="F8300" s="3">
        <v>15061</v>
      </c>
      <c r="G8300" s="3">
        <v>0</v>
      </c>
      <c r="H8300" s="2">
        <f t="shared" si="258"/>
        <v>15061</v>
      </c>
      <c r="I8300" t="str">
        <f t="shared" si="259"/>
        <v>Wdr49_15061</v>
      </c>
      <c r="J8300" s="3">
        <v>0</v>
      </c>
      <c r="K8300" s="3">
        <v>0</v>
      </c>
      <c r="L8300" s="3">
        <v>0</v>
      </c>
      <c r="M8300" s="3">
        <v>15061</v>
      </c>
      <c r="N8300" s="3">
        <v>0</v>
      </c>
    </row>
    <row r="8301" spans="1:14" x14ac:dyDescent="0.2">
      <c r="A8301" s="5" t="str">
        <f>HYPERLINK("http://www.ncbi.nlm.nih.gov/protein/407263036","Wdr49")</f>
        <v>Wdr49</v>
      </c>
      <c r="B8301" s="4"/>
      <c r="C8301" s="3">
        <v>0</v>
      </c>
      <c r="D8301" s="3">
        <v>0</v>
      </c>
      <c r="E8301" s="3">
        <v>0</v>
      </c>
      <c r="F8301" s="3">
        <v>15061</v>
      </c>
      <c r="G8301" s="3">
        <v>0</v>
      </c>
      <c r="H8301" s="2">
        <f t="shared" si="258"/>
        <v>15061</v>
      </c>
      <c r="I8301" t="str">
        <f t="shared" si="259"/>
        <v>Wdr49_15061</v>
      </c>
      <c r="J8301" s="3">
        <v>0</v>
      </c>
      <c r="K8301" s="3">
        <v>0</v>
      </c>
      <c r="L8301" s="3">
        <v>0</v>
      </c>
      <c r="M8301" s="3">
        <v>15061</v>
      </c>
      <c r="N8301" s="3">
        <v>0</v>
      </c>
    </row>
    <row r="8302" spans="1:14" x14ac:dyDescent="0.2">
      <c r="A8302" s="5" t="str">
        <f>HYPERLINK("http://www.ncbi.nlm.nih.gov/protein/18252790","Wdr5")</f>
        <v>Wdr5</v>
      </c>
      <c r="B8302" s="4"/>
      <c r="C8302" s="3">
        <v>3917</v>
      </c>
      <c r="D8302" s="3">
        <v>2622</v>
      </c>
      <c r="E8302" s="3">
        <v>291</v>
      </c>
      <c r="F8302" s="3">
        <v>10633</v>
      </c>
      <c r="G8302" s="3">
        <v>7422</v>
      </c>
      <c r="H8302" s="2">
        <f t="shared" si="258"/>
        <v>24885</v>
      </c>
      <c r="I8302" t="str">
        <f t="shared" si="259"/>
        <v>Wdr5_24885</v>
      </c>
      <c r="J8302" s="3">
        <v>3917</v>
      </c>
      <c r="K8302" s="3">
        <v>2622</v>
      </c>
      <c r="L8302" s="3">
        <v>291</v>
      </c>
      <c r="M8302" s="3">
        <v>10633</v>
      </c>
      <c r="N8302" s="3">
        <v>7422</v>
      </c>
    </row>
    <row r="8303" spans="1:14" x14ac:dyDescent="0.2">
      <c r="A8303" s="5" t="str">
        <f>HYPERLINK("http://www.ncbi.nlm.nih.gov/protein/256818776","Wdr52")</f>
        <v>Wdr52</v>
      </c>
      <c r="B8303" s="4"/>
      <c r="C8303" s="3">
        <v>0</v>
      </c>
      <c r="D8303" s="3">
        <v>378</v>
      </c>
      <c r="E8303" s="3">
        <v>231</v>
      </c>
      <c r="F8303" s="3">
        <v>0</v>
      </c>
      <c r="G8303" s="3">
        <v>0</v>
      </c>
      <c r="H8303" s="2">
        <f t="shared" si="258"/>
        <v>609</v>
      </c>
      <c r="I8303" t="str">
        <f t="shared" si="259"/>
        <v>Wdr52_609</v>
      </c>
      <c r="J8303" s="3">
        <v>0</v>
      </c>
      <c r="K8303" s="3">
        <v>378</v>
      </c>
      <c r="L8303" s="3">
        <v>231</v>
      </c>
      <c r="M8303" s="3">
        <v>0</v>
      </c>
      <c r="N8303" s="3">
        <v>0</v>
      </c>
    </row>
    <row r="8304" spans="1:14" x14ac:dyDescent="0.2">
      <c r="A8304" s="5" t="str">
        <f>HYPERLINK("http://www.ncbi.nlm.nih.gov/protein/12963827","Wdr54")</f>
        <v>Wdr54</v>
      </c>
      <c r="B8304" s="4"/>
      <c r="C8304" s="3">
        <v>0</v>
      </c>
      <c r="D8304" s="3">
        <v>0</v>
      </c>
      <c r="E8304" s="3">
        <v>0</v>
      </c>
      <c r="F8304" s="3">
        <v>0</v>
      </c>
      <c r="G8304" s="3">
        <v>1971</v>
      </c>
      <c r="H8304" s="2">
        <f t="shared" si="258"/>
        <v>1971</v>
      </c>
      <c r="I8304" t="str">
        <f t="shared" si="259"/>
        <v>Wdr54_1971</v>
      </c>
      <c r="J8304" s="3">
        <v>0</v>
      </c>
      <c r="K8304" s="3">
        <v>0</v>
      </c>
      <c r="L8304" s="3">
        <v>0</v>
      </c>
      <c r="M8304" s="3">
        <v>0</v>
      </c>
      <c r="N8304" s="3">
        <v>1971</v>
      </c>
    </row>
    <row r="8305" spans="1:14" x14ac:dyDescent="0.2">
      <c r="A8305" s="5" t="str">
        <f>HYPERLINK("http://www.ncbi.nlm.nih.gov/protein/13878227","Wdr6")</f>
        <v>Wdr6</v>
      </c>
      <c r="B8305" s="4"/>
      <c r="C8305" s="3">
        <v>0</v>
      </c>
      <c r="D8305" s="3">
        <v>0</v>
      </c>
      <c r="E8305" s="3">
        <v>2019</v>
      </c>
      <c r="F8305" s="3">
        <v>0</v>
      </c>
      <c r="G8305" s="3">
        <v>3234</v>
      </c>
      <c r="H8305" s="2">
        <f t="shared" si="258"/>
        <v>5253</v>
      </c>
      <c r="I8305" t="str">
        <f t="shared" si="259"/>
        <v>Wdr6_5253</v>
      </c>
      <c r="J8305" s="3">
        <v>0</v>
      </c>
      <c r="K8305" s="3">
        <v>0</v>
      </c>
      <c r="L8305" s="3">
        <v>2019</v>
      </c>
      <c r="M8305" s="3">
        <v>0</v>
      </c>
      <c r="N8305" s="3">
        <v>3234</v>
      </c>
    </row>
    <row r="8306" spans="1:14" x14ac:dyDescent="0.2">
      <c r="A8306" s="5" t="str">
        <f>HYPERLINK("http://www.ncbi.nlm.nih.gov/protein/70778824","Wdr61")</f>
        <v>Wdr61</v>
      </c>
      <c r="B8306" s="4"/>
      <c r="C8306" s="3">
        <v>0</v>
      </c>
      <c r="D8306" s="3">
        <v>0</v>
      </c>
      <c r="E8306" s="3">
        <v>0</v>
      </c>
      <c r="F8306" s="3">
        <v>4903</v>
      </c>
      <c r="G8306" s="3">
        <v>0</v>
      </c>
      <c r="H8306" s="2">
        <f t="shared" si="258"/>
        <v>4903</v>
      </c>
      <c r="I8306" t="str">
        <f t="shared" si="259"/>
        <v>Wdr61_4903</v>
      </c>
      <c r="J8306" s="3">
        <v>0</v>
      </c>
      <c r="K8306" s="3">
        <v>0</v>
      </c>
      <c r="L8306" s="3">
        <v>0</v>
      </c>
      <c r="M8306" s="3">
        <v>4903</v>
      </c>
      <c r="N8306" s="3">
        <v>0</v>
      </c>
    </row>
    <row r="8307" spans="1:14" x14ac:dyDescent="0.2">
      <c r="A8307" s="5" t="str">
        <f>HYPERLINK("http://www.ncbi.nlm.nih.gov/protein/13277350;70778817","Wdr61")</f>
        <v>Wdr61</v>
      </c>
      <c r="B8307" s="4"/>
      <c r="C8307" s="3">
        <v>641</v>
      </c>
      <c r="D8307" s="3">
        <v>44</v>
      </c>
      <c r="E8307" s="3">
        <v>0</v>
      </c>
      <c r="F8307" s="3">
        <v>5623</v>
      </c>
      <c r="G8307" s="3">
        <v>589</v>
      </c>
      <c r="H8307" s="2">
        <f t="shared" si="258"/>
        <v>6897</v>
      </c>
      <c r="I8307" t="str">
        <f t="shared" si="259"/>
        <v>Wdr61_6897</v>
      </c>
      <c r="J8307" s="3">
        <v>641</v>
      </c>
      <c r="K8307" s="3">
        <v>44</v>
      </c>
      <c r="L8307" s="3">
        <v>0</v>
      </c>
      <c r="M8307" s="3">
        <v>5623</v>
      </c>
      <c r="N8307" s="3">
        <v>589</v>
      </c>
    </row>
    <row r="8308" spans="1:14" x14ac:dyDescent="0.2">
      <c r="A8308" s="5" t="str">
        <f>HYPERLINK("http://www.ncbi.nlm.nih.gov/protein/124487149","Wdr70")</f>
        <v>Wdr70</v>
      </c>
      <c r="B8308" s="4"/>
      <c r="C8308" s="3">
        <v>0</v>
      </c>
      <c r="D8308" s="3">
        <v>113</v>
      </c>
      <c r="E8308" s="3">
        <v>0</v>
      </c>
      <c r="F8308" s="3">
        <v>0</v>
      </c>
      <c r="G8308" s="3">
        <v>1671</v>
      </c>
      <c r="H8308" s="2">
        <f t="shared" si="258"/>
        <v>1784</v>
      </c>
      <c r="I8308" t="str">
        <f t="shared" si="259"/>
        <v>Wdr70_1784</v>
      </c>
      <c r="J8308" s="3">
        <v>0</v>
      </c>
      <c r="K8308" s="3">
        <v>113</v>
      </c>
      <c r="L8308" s="3">
        <v>0</v>
      </c>
      <c r="M8308" s="3">
        <v>0</v>
      </c>
      <c r="N8308" s="3">
        <v>1671</v>
      </c>
    </row>
    <row r="8309" spans="1:14" x14ac:dyDescent="0.2">
      <c r="A8309" s="5" t="str">
        <f>HYPERLINK("http://www.ncbi.nlm.nih.gov/protein/148226059","Wdr72")</f>
        <v>Wdr72</v>
      </c>
      <c r="B8309" s="4"/>
      <c r="C8309" s="3">
        <v>67513</v>
      </c>
      <c r="D8309" s="3">
        <v>829</v>
      </c>
      <c r="E8309" s="3">
        <v>274</v>
      </c>
      <c r="F8309" s="3">
        <v>16420</v>
      </c>
      <c r="G8309" s="3">
        <v>0</v>
      </c>
      <c r="H8309" s="2">
        <f t="shared" si="258"/>
        <v>85036</v>
      </c>
      <c r="I8309" t="str">
        <f t="shared" si="259"/>
        <v>Wdr72_85036</v>
      </c>
      <c r="J8309" s="3">
        <v>67513</v>
      </c>
      <c r="K8309" s="3">
        <v>829</v>
      </c>
      <c r="L8309" s="3">
        <v>274</v>
      </c>
      <c r="M8309" s="3">
        <v>16420</v>
      </c>
      <c r="N8309" s="3">
        <v>0</v>
      </c>
    </row>
    <row r="8310" spans="1:14" x14ac:dyDescent="0.2">
      <c r="A8310" s="5" t="str">
        <f>HYPERLINK("http://www.ncbi.nlm.nih.gov/protein/254910981","Wdr73")</f>
        <v>Wdr73</v>
      </c>
      <c r="B8310" s="4"/>
      <c r="C8310" s="3">
        <v>0</v>
      </c>
      <c r="D8310" s="3">
        <v>0</v>
      </c>
      <c r="E8310" s="3">
        <v>0</v>
      </c>
      <c r="F8310" s="3">
        <v>0</v>
      </c>
      <c r="G8310" s="3">
        <v>814</v>
      </c>
      <c r="H8310" s="2">
        <f t="shared" si="258"/>
        <v>814</v>
      </c>
      <c r="I8310" t="str">
        <f t="shared" si="259"/>
        <v>Wdr73_814</v>
      </c>
      <c r="J8310" s="3">
        <v>0</v>
      </c>
      <c r="K8310" s="3">
        <v>0</v>
      </c>
      <c r="L8310" s="3">
        <v>0</v>
      </c>
      <c r="M8310" s="3">
        <v>0</v>
      </c>
      <c r="N8310" s="3">
        <v>814</v>
      </c>
    </row>
    <row r="8311" spans="1:14" x14ac:dyDescent="0.2">
      <c r="A8311" s="5" t="str">
        <f>HYPERLINK("http://www.ncbi.nlm.nih.gov/protein/19527374","Wdr74")</f>
        <v>Wdr74</v>
      </c>
      <c r="B8311" s="4"/>
      <c r="C8311" s="3">
        <v>0</v>
      </c>
      <c r="D8311" s="3">
        <v>0</v>
      </c>
      <c r="E8311" s="3">
        <v>331</v>
      </c>
      <c r="F8311" s="3">
        <v>0</v>
      </c>
      <c r="G8311" s="3">
        <v>0</v>
      </c>
      <c r="H8311" s="2">
        <f t="shared" si="258"/>
        <v>331</v>
      </c>
      <c r="I8311" t="str">
        <f t="shared" si="259"/>
        <v>Wdr74_331</v>
      </c>
      <c r="J8311" s="3">
        <v>0</v>
      </c>
      <c r="K8311" s="3">
        <v>0</v>
      </c>
      <c r="L8311" s="3">
        <v>331</v>
      </c>
      <c r="M8311" s="3">
        <v>0</v>
      </c>
      <c r="N8311" s="3">
        <v>0</v>
      </c>
    </row>
    <row r="8312" spans="1:14" x14ac:dyDescent="0.2">
      <c r="A8312" s="5" t="str">
        <f>HYPERLINK("http://www.ncbi.nlm.nih.gov/protein/124487321","Wdr76")</f>
        <v>Wdr76</v>
      </c>
      <c r="B8312" s="4"/>
      <c r="C8312" s="3">
        <v>0</v>
      </c>
      <c r="D8312" s="3">
        <v>0</v>
      </c>
      <c r="E8312" s="3">
        <v>0</v>
      </c>
      <c r="F8312" s="3">
        <v>2423</v>
      </c>
      <c r="G8312" s="3">
        <v>0</v>
      </c>
      <c r="H8312" s="2">
        <f t="shared" si="258"/>
        <v>2423</v>
      </c>
      <c r="I8312" t="str">
        <f t="shared" si="259"/>
        <v>Wdr76_2423</v>
      </c>
      <c r="J8312" s="3">
        <v>0</v>
      </c>
      <c r="K8312" s="3">
        <v>0</v>
      </c>
      <c r="L8312" s="3">
        <v>0</v>
      </c>
      <c r="M8312" s="3">
        <v>2423</v>
      </c>
      <c r="N8312" s="3">
        <v>0</v>
      </c>
    </row>
    <row r="8313" spans="1:14" x14ac:dyDescent="0.2">
      <c r="A8313" s="5" t="str">
        <f>HYPERLINK("http://www.ncbi.nlm.nih.gov/protein/19263322","Wdr77")</f>
        <v>Wdr77</v>
      </c>
      <c r="B8313" s="4"/>
      <c r="C8313" s="3">
        <v>0</v>
      </c>
      <c r="D8313" s="3">
        <v>497</v>
      </c>
      <c r="E8313" s="3">
        <v>762</v>
      </c>
      <c r="F8313" s="3">
        <v>52183</v>
      </c>
      <c r="G8313" s="3">
        <v>28691</v>
      </c>
      <c r="H8313" s="2">
        <f t="shared" si="258"/>
        <v>82133</v>
      </c>
      <c r="I8313" t="str">
        <f t="shared" si="259"/>
        <v>Wdr77_82133</v>
      </c>
      <c r="J8313" s="3">
        <v>0</v>
      </c>
      <c r="K8313" s="3">
        <v>497</v>
      </c>
      <c r="L8313" s="3">
        <v>762</v>
      </c>
      <c r="M8313" s="3">
        <v>52183</v>
      </c>
      <c r="N8313" s="3">
        <v>28691</v>
      </c>
    </row>
    <row r="8314" spans="1:14" x14ac:dyDescent="0.2">
      <c r="A8314" s="5" t="str">
        <f>HYPERLINK("http://www.ncbi.nlm.nih.gov/protein/242118003","Wdr81")</f>
        <v>Wdr81</v>
      </c>
      <c r="B8314" s="4"/>
      <c r="C8314" s="3">
        <v>0</v>
      </c>
      <c r="D8314" s="3">
        <v>25</v>
      </c>
      <c r="E8314" s="3">
        <v>47</v>
      </c>
      <c r="F8314" s="3">
        <v>606</v>
      </c>
      <c r="G8314" s="3">
        <v>0</v>
      </c>
      <c r="H8314" s="2">
        <f t="shared" si="258"/>
        <v>678</v>
      </c>
      <c r="I8314" t="str">
        <f t="shared" si="259"/>
        <v>Wdr81_678</v>
      </c>
      <c r="J8314" s="3">
        <v>0</v>
      </c>
      <c r="K8314" s="3">
        <v>25</v>
      </c>
      <c r="L8314" s="3">
        <v>47</v>
      </c>
      <c r="M8314" s="3">
        <v>606</v>
      </c>
      <c r="N8314" s="3">
        <v>0</v>
      </c>
    </row>
    <row r="8315" spans="1:14" x14ac:dyDescent="0.2">
      <c r="A8315" s="5" t="str">
        <f>HYPERLINK("http://www.ncbi.nlm.nih.gov/protein/148223079","Wdr82")</f>
        <v>Wdr82</v>
      </c>
      <c r="B8315" s="4"/>
      <c r="C8315" s="3">
        <v>3185</v>
      </c>
      <c r="D8315" s="3">
        <v>1238</v>
      </c>
      <c r="E8315" s="3">
        <v>960</v>
      </c>
      <c r="F8315" s="3">
        <v>7154</v>
      </c>
      <c r="G8315" s="3">
        <v>664</v>
      </c>
      <c r="H8315" s="2">
        <f t="shared" si="258"/>
        <v>13201</v>
      </c>
      <c r="I8315" t="str">
        <f t="shared" si="259"/>
        <v>Wdr82_13201</v>
      </c>
      <c r="J8315" s="3">
        <v>3185</v>
      </c>
      <c r="K8315" s="3">
        <v>1238</v>
      </c>
      <c r="L8315" s="3">
        <v>960</v>
      </c>
      <c r="M8315" s="3">
        <v>7154</v>
      </c>
      <c r="N8315" s="3">
        <v>664</v>
      </c>
    </row>
    <row r="8316" spans="1:14" x14ac:dyDescent="0.2">
      <c r="A8316" s="5" t="str">
        <f>HYPERLINK("http://www.ncbi.nlm.nih.gov/protein/71067130","Wdr83")</f>
        <v>Wdr83</v>
      </c>
      <c r="B8316" s="4"/>
      <c r="C8316" s="3">
        <v>0</v>
      </c>
      <c r="D8316" s="3">
        <v>38</v>
      </c>
      <c r="E8316" s="3">
        <v>97</v>
      </c>
      <c r="F8316" s="3">
        <v>0</v>
      </c>
      <c r="G8316" s="3">
        <v>0</v>
      </c>
      <c r="H8316" s="2">
        <f t="shared" si="258"/>
        <v>135</v>
      </c>
      <c r="I8316" t="str">
        <f t="shared" si="259"/>
        <v>Wdr83_135</v>
      </c>
      <c r="J8316" s="3">
        <v>0</v>
      </c>
      <c r="K8316" s="3">
        <v>38</v>
      </c>
      <c r="L8316" s="3">
        <v>97</v>
      </c>
      <c r="M8316" s="3">
        <v>0</v>
      </c>
      <c r="N8316" s="3">
        <v>0</v>
      </c>
    </row>
    <row r="8317" spans="1:14" x14ac:dyDescent="0.2">
      <c r="A8317" s="5" t="str">
        <f>HYPERLINK("http://www.ncbi.nlm.nih.gov/protein/61656182","Wdr91")</f>
        <v>Wdr91</v>
      </c>
      <c r="B8317" s="4"/>
      <c r="C8317" s="3">
        <v>0</v>
      </c>
      <c r="D8317" s="3">
        <v>230</v>
      </c>
      <c r="E8317" s="3">
        <v>721</v>
      </c>
      <c r="F8317" s="3">
        <v>2161</v>
      </c>
      <c r="G8317" s="3">
        <v>0</v>
      </c>
      <c r="H8317" s="2">
        <f t="shared" si="258"/>
        <v>3112</v>
      </c>
      <c r="I8317" t="str">
        <f t="shared" si="259"/>
        <v>Wdr91_3112</v>
      </c>
      <c r="J8317" s="3">
        <v>0</v>
      </c>
      <c r="K8317" s="3">
        <v>230</v>
      </c>
      <c r="L8317" s="3">
        <v>721</v>
      </c>
      <c r="M8317" s="3">
        <v>2161</v>
      </c>
      <c r="N8317" s="3">
        <v>0</v>
      </c>
    </row>
    <row r="8318" spans="1:14" x14ac:dyDescent="0.2">
      <c r="A8318" s="5" t="str">
        <f>HYPERLINK("http://www.ncbi.nlm.nih.gov/protein/30725770","Wdr92")</f>
        <v>Wdr92</v>
      </c>
      <c r="B8318" s="4"/>
      <c r="C8318" s="3">
        <v>2343</v>
      </c>
      <c r="D8318" s="3">
        <v>0</v>
      </c>
      <c r="E8318" s="3">
        <v>609</v>
      </c>
      <c r="F8318" s="3">
        <v>13081</v>
      </c>
      <c r="G8318" s="3">
        <v>0</v>
      </c>
      <c r="H8318" s="2">
        <f t="shared" si="258"/>
        <v>16033</v>
      </c>
      <c r="I8318" t="str">
        <f t="shared" si="259"/>
        <v>Wdr92_16033</v>
      </c>
      <c r="J8318" s="3">
        <v>2343</v>
      </c>
      <c r="K8318" s="3">
        <v>0</v>
      </c>
      <c r="L8318" s="3">
        <v>609</v>
      </c>
      <c r="M8318" s="3">
        <v>13081</v>
      </c>
      <c r="N8318" s="3">
        <v>0</v>
      </c>
    </row>
    <row r="8319" spans="1:14" x14ac:dyDescent="0.2">
      <c r="A8319" s="5" t="str">
        <f>HYPERLINK("http://www.ncbi.nlm.nih.gov/protein/227452250","Wdsub1")</f>
        <v>Wdsub1</v>
      </c>
      <c r="B8319" s="4"/>
      <c r="C8319" s="3">
        <v>0</v>
      </c>
      <c r="D8319" s="3">
        <v>0</v>
      </c>
      <c r="E8319" s="3">
        <v>0</v>
      </c>
      <c r="F8319" s="3">
        <v>0</v>
      </c>
      <c r="G8319" s="3">
        <v>203</v>
      </c>
      <c r="H8319" s="2">
        <f t="shared" si="258"/>
        <v>203</v>
      </c>
      <c r="I8319" t="str">
        <f t="shared" si="259"/>
        <v>Wdsub1_203</v>
      </c>
      <c r="J8319" s="3">
        <v>0</v>
      </c>
      <c r="K8319" s="3">
        <v>0</v>
      </c>
      <c r="L8319" s="3">
        <v>0</v>
      </c>
      <c r="M8319" s="3">
        <v>0</v>
      </c>
      <c r="N8319" s="3">
        <v>203</v>
      </c>
    </row>
    <row r="8320" spans="1:14" x14ac:dyDescent="0.2">
      <c r="A8320" s="5" t="str">
        <f>HYPERLINK("http://www.ncbi.nlm.nih.gov/protein/58037281","Wdsub1")</f>
        <v>Wdsub1</v>
      </c>
      <c r="B8320" s="4"/>
      <c r="C8320" s="3">
        <v>0</v>
      </c>
      <c r="D8320" s="3">
        <v>0</v>
      </c>
      <c r="E8320" s="3">
        <v>0</v>
      </c>
      <c r="F8320" s="3">
        <v>0</v>
      </c>
      <c r="G8320" s="3">
        <v>203</v>
      </c>
      <c r="H8320" s="2">
        <f t="shared" si="258"/>
        <v>203</v>
      </c>
      <c r="I8320" t="str">
        <f t="shared" si="259"/>
        <v>Wdsub1_203</v>
      </c>
      <c r="J8320" s="3">
        <v>0</v>
      </c>
      <c r="K8320" s="3">
        <v>0</v>
      </c>
      <c r="L8320" s="3">
        <v>0</v>
      </c>
      <c r="M8320" s="3">
        <v>0</v>
      </c>
      <c r="N8320" s="3">
        <v>203</v>
      </c>
    </row>
    <row r="8321" spans="1:14" x14ac:dyDescent="0.2">
      <c r="A8321" s="5" t="str">
        <f>HYPERLINK("http://www.ncbi.nlm.nih.gov/protein/40556280","Wdtc1")</f>
        <v>Wdtc1</v>
      </c>
      <c r="B8321" s="4"/>
      <c r="C8321" s="3">
        <v>0</v>
      </c>
      <c r="D8321" s="3">
        <v>0</v>
      </c>
      <c r="E8321" s="3">
        <v>0</v>
      </c>
      <c r="F8321" s="3">
        <v>0</v>
      </c>
      <c r="G8321" s="3">
        <v>471</v>
      </c>
      <c r="H8321" s="2">
        <f t="shared" si="258"/>
        <v>471</v>
      </c>
      <c r="I8321" t="str">
        <f t="shared" si="259"/>
        <v>Wdtc1_471</v>
      </c>
      <c r="J8321" s="3">
        <v>0</v>
      </c>
      <c r="K8321" s="3">
        <v>0</v>
      </c>
      <c r="L8321" s="3">
        <v>0</v>
      </c>
      <c r="M8321" s="3">
        <v>0</v>
      </c>
      <c r="N8321" s="3">
        <v>471</v>
      </c>
    </row>
    <row r="8322" spans="1:14" x14ac:dyDescent="0.2">
      <c r="A8322" s="5" t="str">
        <f>HYPERLINK("http://www.ncbi.nlm.nih.gov/protein/58037459","Wdyhv1")</f>
        <v>Wdyhv1</v>
      </c>
      <c r="B8322" s="4"/>
      <c r="C8322" s="3">
        <v>0</v>
      </c>
      <c r="D8322" s="3">
        <v>0</v>
      </c>
      <c r="E8322" s="3">
        <v>0</v>
      </c>
      <c r="F8322" s="3">
        <v>0</v>
      </c>
      <c r="G8322" s="3">
        <v>1189</v>
      </c>
      <c r="H8322" s="2">
        <f t="shared" ref="H8322:H8385" si="260">SUM(C8322:G8322)</f>
        <v>1189</v>
      </c>
      <c r="I8322" t="str">
        <f t="shared" ref="I8322:I8385" si="261">A8322&amp;"_"&amp;H8322</f>
        <v>Wdyhv1_1189</v>
      </c>
      <c r="J8322" s="3">
        <v>0</v>
      </c>
      <c r="K8322" s="3">
        <v>0</v>
      </c>
      <c r="L8322" s="3">
        <v>0</v>
      </c>
      <c r="M8322" s="3">
        <v>0</v>
      </c>
      <c r="N8322" s="3">
        <v>1189</v>
      </c>
    </row>
    <row r="8323" spans="1:14" x14ac:dyDescent="0.2">
      <c r="A8323" s="5" t="str">
        <f>HYPERLINK("http://www.ncbi.nlm.nih.gov/protein/6755997","Wfs1")</f>
        <v>Wfs1</v>
      </c>
      <c r="B8323" s="4"/>
      <c r="C8323" s="3">
        <v>0</v>
      </c>
      <c r="D8323" s="3">
        <v>142</v>
      </c>
      <c r="E8323" s="3">
        <v>1234</v>
      </c>
      <c r="F8323" s="3">
        <v>0</v>
      </c>
      <c r="G8323" s="3">
        <v>0</v>
      </c>
      <c r="H8323" s="2">
        <f t="shared" si="260"/>
        <v>1376</v>
      </c>
      <c r="I8323" t="str">
        <f t="shared" si="261"/>
        <v>Wfs1_1376</v>
      </c>
      <c r="J8323" s="3">
        <v>0</v>
      </c>
      <c r="K8323" s="3">
        <v>142</v>
      </c>
      <c r="L8323" s="3">
        <v>1234</v>
      </c>
      <c r="M8323" s="3">
        <v>0</v>
      </c>
      <c r="N8323" s="3">
        <v>0</v>
      </c>
    </row>
    <row r="8324" spans="1:14" x14ac:dyDescent="0.2">
      <c r="A8324" s="5" t="str">
        <f>HYPERLINK("http://www.ncbi.nlm.nih.gov/protein/358679337","Wibg")</f>
        <v>Wibg</v>
      </c>
      <c r="B8324" s="4"/>
      <c r="C8324" s="3">
        <v>0</v>
      </c>
      <c r="D8324" s="3">
        <v>0</v>
      </c>
      <c r="E8324" s="3">
        <v>38</v>
      </c>
      <c r="F8324" s="3">
        <v>0</v>
      </c>
      <c r="G8324" s="3">
        <v>0</v>
      </c>
      <c r="H8324" s="2">
        <f t="shared" si="260"/>
        <v>38</v>
      </c>
      <c r="I8324" t="str">
        <f t="shared" si="261"/>
        <v>Wibg_38</v>
      </c>
      <c r="J8324" s="3">
        <v>0</v>
      </c>
      <c r="K8324" s="3">
        <v>0</v>
      </c>
      <c r="L8324" s="3">
        <v>38</v>
      </c>
      <c r="M8324" s="3">
        <v>0</v>
      </c>
      <c r="N8324" s="3">
        <v>0</v>
      </c>
    </row>
    <row r="8325" spans="1:14" x14ac:dyDescent="0.2">
      <c r="A8325" s="5" t="str">
        <f>HYPERLINK("http://www.ncbi.nlm.nih.gov/protein/283945598","Wibg")</f>
        <v>Wibg</v>
      </c>
      <c r="B8325" s="4"/>
      <c r="C8325" s="3">
        <v>0</v>
      </c>
      <c r="D8325" s="3">
        <v>954</v>
      </c>
      <c r="E8325" s="3">
        <v>6519</v>
      </c>
      <c r="F8325" s="3">
        <v>10510</v>
      </c>
      <c r="G8325" s="3">
        <v>236</v>
      </c>
      <c r="H8325" s="2">
        <f t="shared" si="260"/>
        <v>18219</v>
      </c>
      <c r="I8325" t="str">
        <f t="shared" si="261"/>
        <v>Wibg_18219</v>
      </c>
      <c r="J8325" s="3">
        <v>0</v>
      </c>
      <c r="K8325" s="3">
        <v>954</v>
      </c>
      <c r="L8325" s="3">
        <v>6519</v>
      </c>
      <c r="M8325" s="3">
        <v>10510</v>
      </c>
      <c r="N8325" s="3">
        <v>236</v>
      </c>
    </row>
    <row r="8326" spans="1:14" x14ac:dyDescent="0.2">
      <c r="A8326" s="5" t="str">
        <f>HYPERLINK("http://www.ncbi.nlm.nih.gov/protein/283945600","Wibg")</f>
        <v>Wibg</v>
      </c>
      <c r="B8326" s="4"/>
      <c r="C8326" s="3">
        <v>0</v>
      </c>
      <c r="D8326" s="3">
        <v>954</v>
      </c>
      <c r="E8326" s="3">
        <v>6519</v>
      </c>
      <c r="F8326" s="3">
        <v>10109</v>
      </c>
      <c r="G8326" s="3">
        <v>236</v>
      </c>
      <c r="H8326" s="2">
        <f t="shared" si="260"/>
        <v>17818</v>
      </c>
      <c r="I8326" t="str">
        <f t="shared" si="261"/>
        <v>Wibg_17818</v>
      </c>
      <c r="J8326" s="3">
        <v>0</v>
      </c>
      <c r="K8326" s="3">
        <v>954</v>
      </c>
      <c r="L8326" s="3">
        <v>6519</v>
      </c>
      <c r="M8326" s="3">
        <v>10109</v>
      </c>
      <c r="N8326" s="3">
        <v>236</v>
      </c>
    </row>
    <row r="8327" spans="1:14" x14ac:dyDescent="0.2">
      <c r="A8327" s="5" t="str">
        <f>HYPERLINK("http://www.ncbi.nlm.nih.gov/protein/98986316","Wls")</f>
        <v>Wls</v>
      </c>
      <c r="B8327" s="4"/>
      <c r="C8327" s="3">
        <v>110</v>
      </c>
      <c r="D8327" s="3">
        <v>1983</v>
      </c>
      <c r="E8327" s="3">
        <v>1248</v>
      </c>
      <c r="F8327" s="3">
        <v>0</v>
      </c>
      <c r="G8327" s="3">
        <v>0</v>
      </c>
      <c r="H8327" s="2">
        <f t="shared" si="260"/>
        <v>3341</v>
      </c>
      <c r="I8327" t="str">
        <f t="shared" si="261"/>
        <v>Wls_3341</v>
      </c>
      <c r="J8327" s="3">
        <v>110</v>
      </c>
      <c r="K8327" s="3">
        <v>1983</v>
      </c>
      <c r="L8327" s="3">
        <v>1248</v>
      </c>
      <c r="M8327" s="3">
        <v>0</v>
      </c>
      <c r="N8327" s="3">
        <v>0</v>
      </c>
    </row>
    <row r="8328" spans="1:14" x14ac:dyDescent="0.2">
      <c r="A8328" s="5" t="str">
        <f>HYPERLINK("http://www.ncbi.nlm.nih.gov/protein/257900530","Wnk1")</f>
        <v>Wnk1</v>
      </c>
      <c r="B8328" s="4"/>
      <c r="C8328" s="3">
        <v>0</v>
      </c>
      <c r="D8328" s="3">
        <v>0</v>
      </c>
      <c r="E8328" s="3">
        <v>124</v>
      </c>
      <c r="F8328" s="3">
        <v>0</v>
      </c>
      <c r="G8328" s="3">
        <v>28916</v>
      </c>
      <c r="H8328" s="2">
        <f t="shared" si="260"/>
        <v>29040</v>
      </c>
      <c r="I8328" t="str">
        <f t="shared" si="261"/>
        <v>Wnk1_29040</v>
      </c>
      <c r="J8328" s="3">
        <v>0</v>
      </c>
      <c r="K8328" s="3">
        <v>0</v>
      </c>
      <c r="L8328" s="3">
        <v>124</v>
      </c>
      <c r="M8328" s="3">
        <v>0</v>
      </c>
      <c r="N8328" s="3">
        <v>28916</v>
      </c>
    </row>
    <row r="8329" spans="1:14" x14ac:dyDescent="0.2">
      <c r="A8329" s="5" t="str">
        <f>HYPERLINK("http://www.ncbi.nlm.nih.gov/protein/297206804","Wnk1")</f>
        <v>Wnk1</v>
      </c>
      <c r="B8329" s="4"/>
      <c r="C8329" s="3">
        <v>0</v>
      </c>
      <c r="D8329" s="3">
        <v>0</v>
      </c>
      <c r="E8329" s="3">
        <v>124</v>
      </c>
      <c r="F8329" s="3">
        <v>0</v>
      </c>
      <c r="G8329" s="3">
        <v>28916</v>
      </c>
      <c r="H8329" s="2">
        <f t="shared" si="260"/>
        <v>29040</v>
      </c>
      <c r="I8329" t="str">
        <f t="shared" si="261"/>
        <v>Wnk1_29040</v>
      </c>
      <c r="J8329" s="3">
        <v>0</v>
      </c>
      <c r="K8329" s="3">
        <v>0</v>
      </c>
      <c r="L8329" s="3">
        <v>124</v>
      </c>
      <c r="M8329" s="3">
        <v>0</v>
      </c>
      <c r="N8329" s="3">
        <v>28916</v>
      </c>
    </row>
    <row r="8330" spans="1:14" x14ac:dyDescent="0.2">
      <c r="A8330" s="5" t="str">
        <f>HYPERLINK("http://www.ncbi.nlm.nih.gov/protein/297206806","Wnk1")</f>
        <v>Wnk1</v>
      </c>
      <c r="B8330" s="4"/>
      <c r="C8330" s="3">
        <v>0</v>
      </c>
      <c r="D8330" s="3">
        <v>0</v>
      </c>
      <c r="E8330" s="3">
        <v>124</v>
      </c>
      <c r="F8330" s="3">
        <v>0</v>
      </c>
      <c r="G8330" s="3">
        <v>28916</v>
      </c>
      <c r="H8330" s="2">
        <f t="shared" si="260"/>
        <v>29040</v>
      </c>
      <c r="I8330" t="str">
        <f t="shared" si="261"/>
        <v>Wnk1_29040</v>
      </c>
      <c r="J8330" s="3">
        <v>0</v>
      </c>
      <c r="K8330" s="3">
        <v>0</v>
      </c>
      <c r="L8330" s="3">
        <v>124</v>
      </c>
      <c r="M8330" s="3">
        <v>0</v>
      </c>
      <c r="N8330" s="3">
        <v>28916</v>
      </c>
    </row>
    <row r="8331" spans="1:14" x14ac:dyDescent="0.2">
      <c r="A8331" s="5" t="str">
        <f>HYPERLINK("http://www.ncbi.nlm.nih.gov/protein/312283629","Wnk1")</f>
        <v>Wnk1</v>
      </c>
      <c r="B8331" s="4"/>
      <c r="C8331" s="3">
        <v>0</v>
      </c>
      <c r="D8331" s="3">
        <v>0</v>
      </c>
      <c r="E8331" s="3">
        <v>124</v>
      </c>
      <c r="F8331" s="3">
        <v>0</v>
      </c>
      <c r="G8331" s="3">
        <v>28916</v>
      </c>
      <c r="H8331" s="2">
        <f t="shared" si="260"/>
        <v>29040</v>
      </c>
      <c r="I8331" t="str">
        <f t="shared" si="261"/>
        <v>Wnk1_29040</v>
      </c>
      <c r="J8331" s="3">
        <v>0</v>
      </c>
      <c r="K8331" s="3">
        <v>0</v>
      </c>
      <c r="L8331" s="3">
        <v>124</v>
      </c>
      <c r="M8331" s="3">
        <v>0</v>
      </c>
      <c r="N8331" s="3">
        <v>28916</v>
      </c>
    </row>
    <row r="8332" spans="1:14" x14ac:dyDescent="0.2">
      <c r="A8332" s="5" t="str">
        <f>HYPERLINK("http://www.ncbi.nlm.nih.gov/protein/312283631","Wnk1")</f>
        <v>Wnk1</v>
      </c>
      <c r="B8332" s="4"/>
      <c r="C8332" s="3">
        <v>0</v>
      </c>
      <c r="D8332" s="3">
        <v>0</v>
      </c>
      <c r="E8332" s="3">
        <v>124</v>
      </c>
      <c r="F8332" s="3">
        <v>0</v>
      </c>
      <c r="G8332" s="3">
        <v>28916</v>
      </c>
      <c r="H8332" s="2">
        <f t="shared" si="260"/>
        <v>29040</v>
      </c>
      <c r="I8332" t="str">
        <f t="shared" si="261"/>
        <v>Wnk1_29040</v>
      </c>
      <c r="J8332" s="3">
        <v>0</v>
      </c>
      <c r="K8332" s="3">
        <v>0</v>
      </c>
      <c r="L8332" s="3">
        <v>124</v>
      </c>
      <c r="M8332" s="3">
        <v>0</v>
      </c>
      <c r="N8332" s="3">
        <v>28916</v>
      </c>
    </row>
    <row r="8333" spans="1:14" x14ac:dyDescent="0.2">
      <c r="A8333" s="5" t="str">
        <f>HYPERLINK("http://www.ncbi.nlm.nih.gov/protein/157057176","Wnk2")</f>
        <v>Wnk2</v>
      </c>
      <c r="B8333" s="4"/>
      <c r="C8333" s="3">
        <v>0</v>
      </c>
      <c r="D8333" s="3">
        <v>0</v>
      </c>
      <c r="E8333" s="3">
        <v>0</v>
      </c>
      <c r="F8333" s="3">
        <v>0</v>
      </c>
      <c r="G8333" s="3">
        <v>5001</v>
      </c>
      <c r="H8333" s="2">
        <f t="shared" si="260"/>
        <v>5001</v>
      </c>
      <c r="I8333" t="str">
        <f t="shared" si="261"/>
        <v>Wnk2_5001</v>
      </c>
      <c r="J8333" s="3">
        <v>0</v>
      </c>
      <c r="K8333" s="3">
        <v>0</v>
      </c>
      <c r="L8333" s="3">
        <v>0</v>
      </c>
      <c r="M8333" s="3">
        <v>0</v>
      </c>
      <c r="N8333" s="3">
        <v>5001</v>
      </c>
    </row>
    <row r="8334" spans="1:14" x14ac:dyDescent="0.2">
      <c r="A8334" s="5" t="str">
        <f>HYPERLINK("http://www.ncbi.nlm.nih.gov/protein/28316732","Wnk4")</f>
        <v>Wnk4</v>
      </c>
      <c r="B8334" s="4"/>
      <c r="C8334" s="3">
        <v>0</v>
      </c>
      <c r="D8334" s="3">
        <v>0</v>
      </c>
      <c r="E8334" s="3">
        <v>0</v>
      </c>
      <c r="F8334" s="3">
        <v>123</v>
      </c>
      <c r="G8334" s="3">
        <v>11052</v>
      </c>
      <c r="H8334" s="2">
        <f t="shared" si="260"/>
        <v>11175</v>
      </c>
      <c r="I8334" t="str">
        <f t="shared" si="261"/>
        <v>Wnk4_11175</v>
      </c>
      <c r="J8334" s="3">
        <v>0</v>
      </c>
      <c r="K8334" s="3">
        <v>0</v>
      </c>
      <c r="L8334" s="3">
        <v>0</v>
      </c>
      <c r="M8334" s="3">
        <v>123</v>
      </c>
      <c r="N8334" s="3">
        <v>11052</v>
      </c>
    </row>
    <row r="8335" spans="1:14" x14ac:dyDescent="0.2">
      <c r="A8335" s="5" t="str">
        <f>HYPERLINK("http://www.ncbi.nlm.nih.gov/protein/170763502","Wrn")</f>
        <v>Wrn</v>
      </c>
      <c r="B8335" s="4"/>
      <c r="C8335" s="3">
        <v>0</v>
      </c>
      <c r="D8335" s="3">
        <v>0</v>
      </c>
      <c r="E8335" s="3">
        <v>287</v>
      </c>
      <c r="F8335" s="3">
        <v>0</v>
      </c>
      <c r="G8335" s="3">
        <v>0</v>
      </c>
      <c r="H8335" s="2">
        <f t="shared" si="260"/>
        <v>287</v>
      </c>
      <c r="I8335" t="str">
        <f t="shared" si="261"/>
        <v>Wrn_287</v>
      </c>
      <c r="J8335" s="3">
        <v>0</v>
      </c>
      <c r="K8335" s="3">
        <v>0</v>
      </c>
      <c r="L8335" s="3">
        <v>287</v>
      </c>
      <c r="M8335" s="3">
        <v>0</v>
      </c>
      <c r="N8335" s="3">
        <v>0</v>
      </c>
    </row>
    <row r="8336" spans="1:14" x14ac:dyDescent="0.2">
      <c r="A8336" s="5" t="str">
        <f>HYPERLINK("http://www.ncbi.nlm.nih.gov/protein/407261615","Wrn")</f>
        <v>Wrn</v>
      </c>
      <c r="B8336" s="4"/>
      <c r="C8336" s="3">
        <v>0</v>
      </c>
      <c r="D8336" s="3">
        <v>0</v>
      </c>
      <c r="E8336" s="3">
        <v>287</v>
      </c>
      <c r="F8336" s="3">
        <v>0</v>
      </c>
      <c r="G8336" s="3">
        <v>0</v>
      </c>
      <c r="H8336" s="2">
        <f t="shared" si="260"/>
        <v>287</v>
      </c>
      <c r="I8336" t="str">
        <f t="shared" si="261"/>
        <v>Wrn_287</v>
      </c>
      <c r="J8336" s="3">
        <v>0</v>
      </c>
      <c r="K8336" s="3">
        <v>0</v>
      </c>
      <c r="L8336" s="3">
        <v>287</v>
      </c>
      <c r="M8336" s="3">
        <v>0</v>
      </c>
      <c r="N8336" s="3">
        <v>0</v>
      </c>
    </row>
    <row r="8337" spans="1:14" x14ac:dyDescent="0.2">
      <c r="A8337" s="5" t="str">
        <f>HYPERLINK("http://www.ncbi.nlm.nih.gov/protein/254540120","Wrnip1")</f>
        <v>Wrnip1</v>
      </c>
      <c r="B8337" s="4"/>
      <c r="C8337" s="3">
        <v>0</v>
      </c>
      <c r="D8337" s="3">
        <v>0</v>
      </c>
      <c r="E8337" s="3">
        <v>0</v>
      </c>
      <c r="F8337" s="3">
        <v>327</v>
      </c>
      <c r="G8337" s="3">
        <v>0</v>
      </c>
      <c r="H8337" s="2">
        <f t="shared" si="260"/>
        <v>327</v>
      </c>
      <c r="I8337" t="str">
        <f t="shared" si="261"/>
        <v>Wrnip1_327</v>
      </c>
      <c r="J8337" s="3">
        <v>0</v>
      </c>
      <c r="K8337" s="3">
        <v>0</v>
      </c>
      <c r="L8337" s="3">
        <v>0</v>
      </c>
      <c r="M8337" s="3">
        <v>327</v>
      </c>
      <c r="N8337" s="3">
        <v>0</v>
      </c>
    </row>
    <row r="8338" spans="1:14" x14ac:dyDescent="0.2">
      <c r="A8338" s="5" t="str">
        <f>HYPERLINK("http://www.ncbi.nlm.nih.gov/protein/165377291","Wtap")</f>
        <v>Wtap</v>
      </c>
      <c r="B8338" s="4"/>
      <c r="C8338" s="3">
        <v>0</v>
      </c>
      <c r="D8338" s="3">
        <v>0</v>
      </c>
      <c r="E8338" s="3">
        <v>0</v>
      </c>
      <c r="F8338" s="3">
        <v>516</v>
      </c>
      <c r="G8338" s="3">
        <v>182</v>
      </c>
      <c r="H8338" s="2">
        <f t="shared" si="260"/>
        <v>698</v>
      </c>
      <c r="I8338" t="str">
        <f t="shared" si="261"/>
        <v>Wtap_698</v>
      </c>
      <c r="J8338" s="3">
        <v>0</v>
      </c>
      <c r="K8338" s="3">
        <v>0</v>
      </c>
      <c r="L8338" s="3">
        <v>0</v>
      </c>
      <c r="M8338" s="3">
        <v>516</v>
      </c>
      <c r="N8338" s="3">
        <v>182</v>
      </c>
    </row>
    <row r="8339" spans="1:14" x14ac:dyDescent="0.2">
      <c r="A8339" s="5" t="str">
        <f>HYPERLINK("http://www.ncbi.nlm.nih.gov/protein/82524278","Wwc1")</f>
        <v>Wwc1</v>
      </c>
      <c r="B8339" s="4"/>
      <c r="C8339" s="3">
        <v>0</v>
      </c>
      <c r="D8339" s="3">
        <v>0</v>
      </c>
      <c r="E8339" s="3">
        <v>0</v>
      </c>
      <c r="F8339" s="3">
        <v>819</v>
      </c>
      <c r="G8339" s="3">
        <v>4776</v>
      </c>
      <c r="H8339" s="2">
        <f t="shared" si="260"/>
        <v>5595</v>
      </c>
      <c r="I8339" t="str">
        <f t="shared" si="261"/>
        <v>Wwc1_5595</v>
      </c>
      <c r="J8339" s="3">
        <v>0</v>
      </c>
      <c r="K8339" s="3">
        <v>0</v>
      </c>
      <c r="L8339" s="3">
        <v>0</v>
      </c>
      <c r="M8339" s="3">
        <v>819</v>
      </c>
      <c r="N8339" s="3">
        <v>4776</v>
      </c>
    </row>
    <row r="8340" spans="1:14" x14ac:dyDescent="0.2">
      <c r="A8340" s="5" t="str">
        <f>HYPERLINK("http://www.ncbi.nlm.nih.gov/protein/46575912","Wwc2")</f>
        <v>Wwc2</v>
      </c>
      <c r="B8340" s="4"/>
      <c r="C8340" s="3">
        <v>0</v>
      </c>
      <c r="D8340" s="3">
        <v>0</v>
      </c>
      <c r="E8340" s="3">
        <v>0</v>
      </c>
      <c r="F8340" s="3">
        <v>0</v>
      </c>
      <c r="G8340" s="3">
        <v>4530</v>
      </c>
      <c r="H8340" s="2">
        <f t="shared" si="260"/>
        <v>4530</v>
      </c>
      <c r="I8340" t="str">
        <f t="shared" si="261"/>
        <v>Wwc2_4530</v>
      </c>
      <c r="J8340" s="3">
        <v>0</v>
      </c>
      <c r="K8340" s="3">
        <v>0</v>
      </c>
      <c r="L8340" s="3">
        <v>0</v>
      </c>
      <c r="M8340" s="3">
        <v>0</v>
      </c>
      <c r="N8340" s="3">
        <v>4530</v>
      </c>
    </row>
    <row r="8341" spans="1:14" x14ac:dyDescent="0.2">
      <c r="A8341" s="5" t="str">
        <f>HYPERLINK("http://www.ncbi.nlm.nih.gov/protein/31980962","Wwox")</f>
        <v>Wwox</v>
      </c>
      <c r="B8341" s="4"/>
      <c r="C8341" s="3">
        <v>0</v>
      </c>
      <c r="D8341" s="3">
        <v>0</v>
      </c>
      <c r="E8341" s="3">
        <v>19</v>
      </c>
      <c r="F8341" s="3">
        <v>0</v>
      </c>
      <c r="G8341" s="3">
        <v>0</v>
      </c>
      <c r="H8341" s="2">
        <f t="shared" si="260"/>
        <v>19</v>
      </c>
      <c r="I8341" t="str">
        <f t="shared" si="261"/>
        <v>Wwox_19</v>
      </c>
      <c r="J8341" s="3">
        <v>0</v>
      </c>
      <c r="K8341" s="3">
        <v>0</v>
      </c>
      <c r="L8341" s="3">
        <v>19</v>
      </c>
      <c r="M8341" s="3">
        <v>0</v>
      </c>
      <c r="N8341" s="3">
        <v>0</v>
      </c>
    </row>
    <row r="8342" spans="1:14" x14ac:dyDescent="0.2">
      <c r="A8342" s="5" t="str">
        <f>HYPERLINK("http://www.ncbi.nlm.nih.gov/protein/112734836","Wwp1")</f>
        <v>Wwp1</v>
      </c>
      <c r="B8342" s="4"/>
      <c r="C8342" s="3">
        <v>0</v>
      </c>
      <c r="D8342" s="3">
        <v>173</v>
      </c>
      <c r="E8342" s="3">
        <v>1766</v>
      </c>
      <c r="F8342" s="3">
        <v>0</v>
      </c>
      <c r="G8342" s="3">
        <v>0</v>
      </c>
      <c r="H8342" s="2">
        <f t="shared" si="260"/>
        <v>1939</v>
      </c>
      <c r="I8342" t="str">
        <f t="shared" si="261"/>
        <v>Wwp1_1939</v>
      </c>
      <c r="J8342" s="3">
        <v>0</v>
      </c>
      <c r="K8342" s="3">
        <v>173</v>
      </c>
      <c r="L8342" s="3">
        <v>1766</v>
      </c>
      <c r="M8342" s="3">
        <v>0</v>
      </c>
      <c r="N8342" s="3">
        <v>0</v>
      </c>
    </row>
    <row r="8343" spans="1:14" x14ac:dyDescent="0.2">
      <c r="A8343" s="5" t="str">
        <f>HYPERLINK("http://www.ncbi.nlm.nih.gov/protein/443906717","Wwp1")</f>
        <v>Wwp1</v>
      </c>
      <c r="B8343" s="4"/>
      <c r="C8343" s="3">
        <v>0</v>
      </c>
      <c r="D8343" s="3">
        <v>173</v>
      </c>
      <c r="E8343" s="3">
        <v>1766</v>
      </c>
      <c r="F8343" s="3">
        <v>0</v>
      </c>
      <c r="G8343" s="3">
        <v>0</v>
      </c>
      <c r="H8343" s="2">
        <f t="shared" si="260"/>
        <v>1939</v>
      </c>
      <c r="I8343" t="str">
        <f t="shared" si="261"/>
        <v>Wwp1_1939</v>
      </c>
      <c r="J8343" s="3">
        <v>0</v>
      </c>
      <c r="K8343" s="3">
        <v>173</v>
      </c>
      <c r="L8343" s="3">
        <v>1766</v>
      </c>
      <c r="M8343" s="3">
        <v>0</v>
      </c>
      <c r="N8343" s="3">
        <v>0</v>
      </c>
    </row>
    <row r="8344" spans="1:14" x14ac:dyDescent="0.2">
      <c r="A8344" s="5" t="str">
        <f>HYPERLINK("http://www.ncbi.nlm.nih.gov/protein/13385304","Wwp2")</f>
        <v>Wwp2</v>
      </c>
      <c r="B8344" s="4"/>
      <c r="C8344" s="3">
        <v>0</v>
      </c>
      <c r="D8344" s="3">
        <v>0</v>
      </c>
      <c r="E8344" s="3">
        <v>1592</v>
      </c>
      <c r="F8344" s="3">
        <v>0</v>
      </c>
      <c r="G8344" s="3">
        <v>0</v>
      </c>
      <c r="H8344" s="2">
        <f t="shared" si="260"/>
        <v>1592</v>
      </c>
      <c r="I8344" t="str">
        <f t="shared" si="261"/>
        <v>Wwp2_1592</v>
      </c>
      <c r="J8344" s="3">
        <v>0</v>
      </c>
      <c r="K8344" s="3">
        <v>0</v>
      </c>
      <c r="L8344" s="3">
        <v>1592</v>
      </c>
      <c r="M8344" s="3">
        <v>0</v>
      </c>
      <c r="N8344" s="3">
        <v>0</v>
      </c>
    </row>
    <row r="8345" spans="1:14" x14ac:dyDescent="0.2">
      <c r="A8345" s="5" t="str">
        <f>HYPERLINK("http://www.ncbi.nlm.nih.gov/protein/13385660","Xab2")</f>
        <v>Xab2</v>
      </c>
      <c r="B8345" s="4"/>
      <c r="C8345" s="3">
        <v>531</v>
      </c>
      <c r="D8345" s="3">
        <v>0</v>
      </c>
      <c r="E8345" s="3">
        <v>0</v>
      </c>
      <c r="F8345" s="3">
        <v>0</v>
      </c>
      <c r="G8345" s="3">
        <v>0</v>
      </c>
      <c r="H8345" s="2">
        <f t="shared" si="260"/>
        <v>531</v>
      </c>
      <c r="I8345" t="str">
        <f t="shared" si="261"/>
        <v>Xab2_531</v>
      </c>
      <c r="J8345" s="3">
        <v>531</v>
      </c>
      <c r="K8345" s="3">
        <v>0</v>
      </c>
      <c r="L8345" s="3">
        <v>0</v>
      </c>
      <c r="M8345" s="3">
        <v>0</v>
      </c>
      <c r="N8345" s="3">
        <v>0</v>
      </c>
    </row>
    <row r="8346" spans="1:14" x14ac:dyDescent="0.2">
      <c r="A8346" s="5" t="str">
        <f>HYPERLINK("http://www.ncbi.nlm.nih.gov/protein/157951674","Xiap")</f>
        <v>Xiap</v>
      </c>
      <c r="B8346" s="4"/>
      <c r="C8346" s="3">
        <v>0</v>
      </c>
      <c r="D8346" s="3">
        <v>0</v>
      </c>
      <c r="E8346" s="3">
        <v>0</v>
      </c>
      <c r="F8346" s="3">
        <v>0</v>
      </c>
      <c r="G8346" s="3">
        <v>407</v>
      </c>
      <c r="H8346" s="2">
        <f t="shared" si="260"/>
        <v>407</v>
      </c>
      <c r="I8346" t="str">
        <f t="shared" si="261"/>
        <v>Xiap_407</v>
      </c>
      <c r="J8346" s="3">
        <v>0</v>
      </c>
      <c r="K8346" s="3">
        <v>0</v>
      </c>
      <c r="L8346" s="3">
        <v>0</v>
      </c>
      <c r="M8346" s="3">
        <v>0</v>
      </c>
      <c r="N8346" s="3">
        <v>407</v>
      </c>
    </row>
    <row r="8347" spans="1:14" x14ac:dyDescent="0.2">
      <c r="A8347" s="5" t="str">
        <f>HYPERLINK("http://www.ncbi.nlm.nih.gov/protein/406855427","Xpnpep1")</f>
        <v>Xpnpep1</v>
      </c>
      <c r="B8347" s="4"/>
      <c r="C8347" s="3">
        <v>5949</v>
      </c>
      <c r="D8347" s="3">
        <v>7002</v>
      </c>
      <c r="E8347" s="3">
        <v>6421</v>
      </c>
      <c r="F8347" s="3">
        <v>18573</v>
      </c>
      <c r="G8347" s="3">
        <v>115352</v>
      </c>
      <c r="H8347" s="2">
        <f t="shared" si="260"/>
        <v>153297</v>
      </c>
      <c r="I8347" t="str">
        <f t="shared" si="261"/>
        <v>Xpnpep1_153297</v>
      </c>
      <c r="J8347" s="3">
        <v>5949</v>
      </c>
      <c r="K8347" s="3">
        <v>7002</v>
      </c>
      <c r="L8347" s="3">
        <v>6421</v>
      </c>
      <c r="M8347" s="3">
        <v>18573</v>
      </c>
      <c r="N8347" s="3">
        <v>115352</v>
      </c>
    </row>
    <row r="8348" spans="1:14" x14ac:dyDescent="0.2">
      <c r="A8348" s="5" t="str">
        <f>HYPERLINK("http://www.ncbi.nlm.nih.gov/protein/28893421","Xpnpep3")</f>
        <v>Xpnpep3</v>
      </c>
      <c r="B8348" s="4"/>
      <c r="C8348" s="3">
        <v>494</v>
      </c>
      <c r="D8348" s="3">
        <v>1273</v>
      </c>
      <c r="E8348" s="3">
        <v>0</v>
      </c>
      <c r="F8348" s="3">
        <v>0</v>
      </c>
      <c r="G8348" s="3">
        <v>0</v>
      </c>
      <c r="H8348" s="2">
        <f t="shared" si="260"/>
        <v>1767</v>
      </c>
      <c r="I8348" t="str">
        <f t="shared" si="261"/>
        <v>Xpnpep3_1767</v>
      </c>
      <c r="J8348" s="3">
        <v>494</v>
      </c>
      <c r="K8348" s="3">
        <v>1273</v>
      </c>
      <c r="L8348" s="3">
        <v>0</v>
      </c>
      <c r="M8348" s="3">
        <v>0</v>
      </c>
      <c r="N8348" s="3">
        <v>0</v>
      </c>
    </row>
    <row r="8349" spans="1:14" x14ac:dyDescent="0.2">
      <c r="A8349" s="5" t="str">
        <f>HYPERLINK("http://www.ncbi.nlm.nih.gov/protein/38604071","Xpo1")</f>
        <v>Xpo1</v>
      </c>
      <c r="B8349" s="4"/>
      <c r="C8349" s="3">
        <v>17903</v>
      </c>
      <c r="D8349" s="3">
        <v>261</v>
      </c>
      <c r="E8349" s="3">
        <v>18442</v>
      </c>
      <c r="F8349" s="3">
        <v>104333</v>
      </c>
      <c r="G8349" s="3">
        <v>153242</v>
      </c>
      <c r="H8349" s="2">
        <f t="shared" si="260"/>
        <v>294181</v>
      </c>
      <c r="I8349" t="str">
        <f t="shared" si="261"/>
        <v>Xpo1_294181</v>
      </c>
      <c r="J8349" s="3">
        <v>17903</v>
      </c>
      <c r="K8349" s="3">
        <v>261</v>
      </c>
      <c r="L8349" s="3">
        <v>18442</v>
      </c>
      <c r="M8349" s="3">
        <v>104333</v>
      </c>
      <c r="N8349" s="3">
        <v>153242</v>
      </c>
    </row>
    <row r="8350" spans="1:14" x14ac:dyDescent="0.2">
      <c r="A8350" s="5" t="str">
        <f>HYPERLINK("http://www.ncbi.nlm.nih.gov/protein/10048438","Xpo4")</f>
        <v>Xpo4</v>
      </c>
      <c r="B8350" s="4"/>
      <c r="C8350" s="3">
        <v>0</v>
      </c>
      <c r="D8350" s="3">
        <v>0</v>
      </c>
      <c r="E8350" s="3">
        <v>222</v>
      </c>
      <c r="F8350" s="3">
        <v>0</v>
      </c>
      <c r="G8350" s="3">
        <v>5055</v>
      </c>
      <c r="H8350" s="2">
        <f t="shared" si="260"/>
        <v>5277</v>
      </c>
      <c r="I8350" t="str">
        <f t="shared" si="261"/>
        <v>Xpo4_5277</v>
      </c>
      <c r="J8350" s="3">
        <v>0</v>
      </c>
      <c r="K8350" s="3">
        <v>0</v>
      </c>
      <c r="L8350" s="3">
        <v>222</v>
      </c>
      <c r="M8350" s="3">
        <v>0</v>
      </c>
      <c r="N8350" s="3">
        <v>5055</v>
      </c>
    </row>
    <row r="8351" spans="1:14" x14ac:dyDescent="0.2">
      <c r="A8351" s="5" t="str">
        <f>HYPERLINK("http://www.ncbi.nlm.nih.gov/protein/24429570","Xpo5")</f>
        <v>Xpo5</v>
      </c>
      <c r="B8351" s="4"/>
      <c r="C8351" s="3">
        <v>238</v>
      </c>
      <c r="D8351" s="3">
        <v>2726</v>
      </c>
      <c r="E8351" s="3">
        <v>8729</v>
      </c>
      <c r="F8351" s="3">
        <v>43956</v>
      </c>
      <c r="G8351" s="3">
        <v>58313</v>
      </c>
      <c r="H8351" s="2">
        <f t="shared" si="260"/>
        <v>113962</v>
      </c>
      <c r="I8351" t="str">
        <f t="shared" si="261"/>
        <v>Xpo5_113962</v>
      </c>
      <c r="J8351" s="3">
        <v>238</v>
      </c>
      <c r="K8351" s="3">
        <v>2726</v>
      </c>
      <c r="L8351" s="3">
        <v>8729</v>
      </c>
      <c r="M8351" s="3">
        <v>43956</v>
      </c>
      <c r="N8351" s="3">
        <v>58313</v>
      </c>
    </row>
    <row r="8352" spans="1:14" x14ac:dyDescent="0.2">
      <c r="A8352" s="5" t="str">
        <f>HYPERLINK("http://www.ncbi.nlm.nih.gov/protein/12746422","Xpo7")</f>
        <v>Xpo7</v>
      </c>
      <c r="B8352" s="4"/>
      <c r="C8352" s="3">
        <v>0</v>
      </c>
      <c r="D8352" s="3">
        <v>58</v>
      </c>
      <c r="E8352" s="3">
        <v>3395</v>
      </c>
      <c r="F8352" s="3">
        <v>21831</v>
      </c>
      <c r="G8352" s="3">
        <v>28284</v>
      </c>
      <c r="H8352" s="2">
        <f t="shared" si="260"/>
        <v>53568</v>
      </c>
      <c r="I8352" t="str">
        <f t="shared" si="261"/>
        <v>Xpo7_53568</v>
      </c>
      <c r="J8352" s="3">
        <v>0</v>
      </c>
      <c r="K8352" s="3">
        <v>58</v>
      </c>
      <c r="L8352" s="3">
        <v>3395</v>
      </c>
      <c r="M8352" s="3">
        <v>21831</v>
      </c>
      <c r="N8352" s="3">
        <v>28284</v>
      </c>
    </row>
    <row r="8353" spans="1:14" x14ac:dyDescent="0.2">
      <c r="A8353" s="5" t="str">
        <f>HYPERLINK("http://www.ncbi.nlm.nih.gov/protein/124486686","Xpot")</f>
        <v>Xpot</v>
      </c>
      <c r="B8353" s="4"/>
      <c r="C8353" s="3">
        <v>0</v>
      </c>
      <c r="D8353" s="3">
        <v>305</v>
      </c>
      <c r="E8353" s="3">
        <v>382</v>
      </c>
      <c r="F8353" s="3">
        <v>1809</v>
      </c>
      <c r="G8353" s="3">
        <v>14479</v>
      </c>
      <c r="H8353" s="2">
        <f t="shared" si="260"/>
        <v>16975</v>
      </c>
      <c r="I8353" t="str">
        <f t="shared" si="261"/>
        <v>Xpot_16975</v>
      </c>
      <c r="J8353" s="3">
        <v>0</v>
      </c>
      <c r="K8353" s="3">
        <v>305</v>
      </c>
      <c r="L8353" s="3">
        <v>382</v>
      </c>
      <c r="M8353" s="3">
        <v>1809</v>
      </c>
      <c r="N8353" s="3">
        <v>14479</v>
      </c>
    </row>
    <row r="8354" spans="1:14" x14ac:dyDescent="0.2">
      <c r="A8354" s="5" t="str">
        <f>HYPERLINK("http://www.ncbi.nlm.nih.gov/protein/170295844","Xrcc1")</f>
        <v>Xrcc1</v>
      </c>
      <c r="B8354" s="4"/>
      <c r="C8354" s="3">
        <v>1501</v>
      </c>
      <c r="D8354" s="3">
        <v>0</v>
      </c>
      <c r="E8354" s="3">
        <v>42</v>
      </c>
      <c r="F8354" s="3">
        <v>4559</v>
      </c>
      <c r="G8354" s="3">
        <v>0</v>
      </c>
      <c r="H8354" s="2">
        <f t="shared" si="260"/>
        <v>6102</v>
      </c>
      <c r="I8354" t="str">
        <f t="shared" si="261"/>
        <v>Xrcc1_6102</v>
      </c>
      <c r="J8354" s="3">
        <v>1501</v>
      </c>
      <c r="K8354" s="3">
        <v>0</v>
      </c>
      <c r="L8354" s="3">
        <v>42</v>
      </c>
      <c r="M8354" s="3">
        <v>4559</v>
      </c>
      <c r="N8354" s="3">
        <v>0</v>
      </c>
    </row>
    <row r="8355" spans="1:14" x14ac:dyDescent="0.2">
      <c r="A8355" s="5" t="str">
        <f>HYPERLINK("http://www.ncbi.nlm.nih.gov/protein/160333605","Xrcc5")</f>
        <v>Xrcc5</v>
      </c>
      <c r="B8355" s="4"/>
      <c r="C8355" s="3">
        <v>0</v>
      </c>
      <c r="D8355" s="3">
        <v>1488</v>
      </c>
      <c r="E8355" s="3">
        <v>4909</v>
      </c>
      <c r="F8355" s="3">
        <v>80914</v>
      </c>
      <c r="G8355" s="3">
        <v>22083</v>
      </c>
      <c r="H8355" s="2">
        <f t="shared" si="260"/>
        <v>109394</v>
      </c>
      <c r="I8355" t="str">
        <f t="shared" si="261"/>
        <v>Xrcc5_109394</v>
      </c>
      <c r="J8355" s="3">
        <v>0</v>
      </c>
      <c r="K8355" s="3">
        <v>1488</v>
      </c>
      <c r="L8355" s="3">
        <v>4909</v>
      </c>
      <c r="M8355" s="3">
        <v>80914</v>
      </c>
      <c r="N8355" s="3">
        <v>22083</v>
      </c>
    </row>
    <row r="8356" spans="1:14" x14ac:dyDescent="0.2">
      <c r="A8356" s="5" t="str">
        <f>HYPERLINK("http://www.ncbi.nlm.nih.gov/protein/145587104","Xrcc6")</f>
        <v>Xrcc6</v>
      </c>
      <c r="B8356" s="4"/>
      <c r="C8356" s="3">
        <v>1098</v>
      </c>
      <c r="D8356" s="3">
        <v>1795</v>
      </c>
      <c r="E8356" s="3">
        <v>4348</v>
      </c>
      <c r="F8356" s="3">
        <v>73506</v>
      </c>
      <c r="G8356" s="3">
        <v>3288</v>
      </c>
      <c r="H8356" s="2">
        <f t="shared" si="260"/>
        <v>84035</v>
      </c>
      <c r="I8356" t="str">
        <f t="shared" si="261"/>
        <v>Xrcc6_84035</v>
      </c>
      <c r="J8356" s="3">
        <v>1098</v>
      </c>
      <c r="K8356" s="3">
        <v>1795</v>
      </c>
      <c r="L8356" s="3">
        <v>4348</v>
      </c>
      <c r="M8356" s="3">
        <v>73506</v>
      </c>
      <c r="N8356" s="3">
        <v>3288</v>
      </c>
    </row>
    <row r="8357" spans="1:14" x14ac:dyDescent="0.2">
      <c r="A8357" s="5" t="str">
        <f>HYPERLINK("http://www.ncbi.nlm.nih.gov/protein/227116360","Xrcc6bp1")</f>
        <v>Xrcc6bp1</v>
      </c>
      <c r="B8357" s="4"/>
      <c r="C8357" s="3">
        <v>0</v>
      </c>
      <c r="D8357" s="3">
        <v>90</v>
      </c>
      <c r="E8357" s="3">
        <v>0</v>
      </c>
      <c r="F8357" s="3">
        <v>0</v>
      </c>
      <c r="G8357" s="3">
        <v>0</v>
      </c>
      <c r="H8357" s="2">
        <f t="shared" si="260"/>
        <v>90</v>
      </c>
      <c r="I8357" t="str">
        <f t="shared" si="261"/>
        <v>Xrcc6bp1_90</v>
      </c>
      <c r="J8357" s="3">
        <v>0</v>
      </c>
      <c r="K8357" s="3">
        <v>90</v>
      </c>
      <c r="L8357" s="3">
        <v>0</v>
      </c>
      <c r="M8357" s="3">
        <v>0</v>
      </c>
      <c r="N8357" s="3">
        <v>0</v>
      </c>
    </row>
    <row r="8358" spans="1:14" x14ac:dyDescent="0.2">
      <c r="A8358" s="5" t="str">
        <f>HYPERLINK("http://www.ncbi.nlm.nih.gov/protein/115495455","Xrn1")</f>
        <v>Xrn1</v>
      </c>
      <c r="B8358" s="4"/>
      <c r="C8358" s="3">
        <v>0</v>
      </c>
      <c r="D8358" s="3">
        <v>0</v>
      </c>
      <c r="E8358" s="3">
        <v>718</v>
      </c>
      <c r="F8358" s="3">
        <v>0</v>
      </c>
      <c r="G8358" s="3">
        <v>0</v>
      </c>
      <c r="H8358" s="2">
        <f t="shared" si="260"/>
        <v>718</v>
      </c>
      <c r="I8358" t="str">
        <f t="shared" si="261"/>
        <v>Xrn1_718</v>
      </c>
      <c r="J8358" s="3">
        <v>0</v>
      </c>
      <c r="K8358" s="3">
        <v>0</v>
      </c>
      <c r="L8358" s="3">
        <v>718</v>
      </c>
      <c r="M8358" s="3">
        <v>0</v>
      </c>
      <c r="N8358" s="3">
        <v>0</v>
      </c>
    </row>
    <row r="8359" spans="1:14" x14ac:dyDescent="0.2">
      <c r="A8359" s="5" t="str">
        <f>HYPERLINK("http://www.ncbi.nlm.nih.gov/protein/117606214","Xrn2")</f>
        <v>Xrn2</v>
      </c>
      <c r="B8359" s="4"/>
      <c r="C8359" s="3">
        <v>15560</v>
      </c>
      <c r="D8359" s="3">
        <v>10</v>
      </c>
      <c r="E8359" s="3">
        <v>1443</v>
      </c>
      <c r="F8359" s="3">
        <v>3282</v>
      </c>
      <c r="G8359" s="3">
        <v>771</v>
      </c>
      <c r="H8359" s="2">
        <f t="shared" si="260"/>
        <v>21066</v>
      </c>
      <c r="I8359" t="str">
        <f t="shared" si="261"/>
        <v>Xrn2_21066</v>
      </c>
      <c r="J8359" s="3">
        <v>15560</v>
      </c>
      <c r="K8359" s="3">
        <v>10</v>
      </c>
      <c r="L8359" s="3">
        <v>1443</v>
      </c>
      <c r="M8359" s="3">
        <v>3282</v>
      </c>
      <c r="N8359" s="3">
        <v>771</v>
      </c>
    </row>
    <row r="8360" spans="1:14" x14ac:dyDescent="0.2">
      <c r="A8360" s="5" t="str">
        <f>HYPERLINK("http://www.ncbi.nlm.nih.gov/protein/256000811","Xrra1")</f>
        <v>Xrra1</v>
      </c>
      <c r="B8360" s="4"/>
      <c r="C8360" s="3">
        <v>1501</v>
      </c>
      <c r="D8360" s="3">
        <v>0</v>
      </c>
      <c r="E8360" s="3">
        <v>0</v>
      </c>
      <c r="F8360" s="3">
        <v>0</v>
      </c>
      <c r="G8360" s="3">
        <v>0</v>
      </c>
      <c r="H8360" s="2">
        <f t="shared" si="260"/>
        <v>1501</v>
      </c>
      <c r="I8360" t="str">
        <f t="shared" si="261"/>
        <v>Xrra1_1501</v>
      </c>
      <c r="J8360" s="3">
        <v>1501</v>
      </c>
      <c r="K8360" s="3">
        <v>0</v>
      </c>
      <c r="L8360" s="3">
        <v>0</v>
      </c>
      <c r="M8360" s="3">
        <v>0</v>
      </c>
      <c r="N8360" s="3">
        <v>0</v>
      </c>
    </row>
    <row r="8361" spans="1:14" x14ac:dyDescent="0.2">
      <c r="A8361" s="5" t="str">
        <f>HYPERLINK("http://www.ncbi.nlm.nih.gov/protein/313760620","Xylb")</f>
        <v>Xylb</v>
      </c>
      <c r="B8361" s="4"/>
      <c r="C8361" s="3">
        <v>0</v>
      </c>
      <c r="D8361" s="3">
        <v>403</v>
      </c>
      <c r="E8361" s="3">
        <v>730</v>
      </c>
      <c r="F8361" s="3">
        <v>0</v>
      </c>
      <c r="G8361" s="3">
        <v>28991</v>
      </c>
      <c r="H8361" s="2">
        <f t="shared" si="260"/>
        <v>30124</v>
      </c>
      <c r="I8361" t="str">
        <f t="shared" si="261"/>
        <v>Xylb_30124</v>
      </c>
      <c r="J8361" s="3">
        <v>0</v>
      </c>
      <c r="K8361" s="3">
        <v>403</v>
      </c>
      <c r="L8361" s="3">
        <v>730</v>
      </c>
      <c r="M8361" s="3">
        <v>0</v>
      </c>
      <c r="N8361" s="3">
        <v>28991</v>
      </c>
    </row>
    <row r="8362" spans="1:14" x14ac:dyDescent="0.2">
      <c r="A8362" s="5" t="str">
        <f>HYPERLINK("http://www.ncbi.nlm.nih.gov/protein/84794607","Xylb")</f>
        <v>Xylb</v>
      </c>
      <c r="B8362" s="4"/>
      <c r="C8362" s="3">
        <v>0</v>
      </c>
      <c r="D8362" s="3">
        <v>403</v>
      </c>
      <c r="E8362" s="3">
        <v>730</v>
      </c>
      <c r="F8362" s="3">
        <v>0</v>
      </c>
      <c r="G8362" s="3">
        <v>29944</v>
      </c>
      <c r="H8362" s="2">
        <f t="shared" si="260"/>
        <v>31077</v>
      </c>
      <c r="I8362" t="str">
        <f t="shared" si="261"/>
        <v>Xylb_31077</v>
      </c>
      <c r="J8362" s="3">
        <v>0</v>
      </c>
      <c r="K8362" s="3">
        <v>403</v>
      </c>
      <c r="L8362" s="3">
        <v>730</v>
      </c>
      <c r="M8362" s="3">
        <v>0</v>
      </c>
      <c r="N8362" s="3">
        <v>29944</v>
      </c>
    </row>
    <row r="8363" spans="1:14" x14ac:dyDescent="0.2">
      <c r="A8363" s="5" t="str">
        <f>HYPERLINK("http://www.ncbi.nlm.nih.gov/protein/40254385","Yaf2")</f>
        <v>Yaf2</v>
      </c>
      <c r="B8363" s="4"/>
      <c r="C8363" s="3">
        <v>18</v>
      </c>
      <c r="D8363" s="3">
        <v>0</v>
      </c>
      <c r="E8363" s="3">
        <v>0</v>
      </c>
      <c r="F8363" s="3">
        <v>25</v>
      </c>
      <c r="G8363" s="3">
        <v>0</v>
      </c>
      <c r="H8363" s="2">
        <f t="shared" si="260"/>
        <v>43</v>
      </c>
      <c r="I8363" t="str">
        <f t="shared" si="261"/>
        <v>Yaf2_43</v>
      </c>
      <c r="J8363" s="3">
        <v>18</v>
      </c>
      <c r="K8363" s="3">
        <v>0</v>
      </c>
      <c r="L8363" s="3">
        <v>0</v>
      </c>
      <c r="M8363" s="3">
        <v>25</v>
      </c>
      <c r="N8363" s="3">
        <v>0</v>
      </c>
    </row>
    <row r="8364" spans="1:14" x14ac:dyDescent="0.2">
      <c r="A8364" s="5" t="str">
        <f>HYPERLINK("http://www.ncbi.nlm.nih.gov/protein/283945493","Yap1")</f>
        <v>Yap1</v>
      </c>
      <c r="B8364" s="4"/>
      <c r="C8364" s="3">
        <v>0</v>
      </c>
      <c r="D8364" s="3">
        <v>0</v>
      </c>
      <c r="E8364" s="3">
        <v>0</v>
      </c>
      <c r="F8364" s="3">
        <v>0</v>
      </c>
      <c r="G8364" s="3">
        <v>225</v>
      </c>
      <c r="H8364" s="2">
        <f t="shared" si="260"/>
        <v>225</v>
      </c>
      <c r="I8364" t="str">
        <f t="shared" si="261"/>
        <v>Yap1_225</v>
      </c>
      <c r="J8364" s="3">
        <v>0</v>
      </c>
      <c r="K8364" s="3">
        <v>0</v>
      </c>
      <c r="L8364" s="3">
        <v>0</v>
      </c>
      <c r="M8364" s="3">
        <v>0</v>
      </c>
      <c r="N8364" s="3">
        <v>225</v>
      </c>
    </row>
    <row r="8365" spans="1:14" x14ac:dyDescent="0.2">
      <c r="A8365" s="5" t="str">
        <f>HYPERLINK("http://www.ncbi.nlm.nih.gov/protein/6678615","Yap1")</f>
        <v>Yap1</v>
      </c>
      <c r="B8365" s="4"/>
      <c r="C8365" s="3">
        <v>0</v>
      </c>
      <c r="D8365" s="3">
        <v>0</v>
      </c>
      <c r="E8365" s="3">
        <v>0</v>
      </c>
      <c r="F8365" s="3">
        <v>0</v>
      </c>
      <c r="G8365" s="3">
        <v>225</v>
      </c>
      <c r="H8365" s="2">
        <f t="shared" si="260"/>
        <v>225</v>
      </c>
      <c r="I8365" t="str">
        <f t="shared" si="261"/>
        <v>Yap1_225</v>
      </c>
      <c r="J8365" s="3">
        <v>0</v>
      </c>
      <c r="K8365" s="3">
        <v>0</v>
      </c>
      <c r="L8365" s="3">
        <v>0</v>
      </c>
      <c r="M8365" s="3">
        <v>0</v>
      </c>
      <c r="N8365" s="3">
        <v>225</v>
      </c>
    </row>
    <row r="8366" spans="1:14" x14ac:dyDescent="0.2">
      <c r="A8366" s="5" t="str">
        <f>HYPERLINK("http://www.ncbi.nlm.nih.gov/protein/411147387","Yars")</f>
        <v>Yars</v>
      </c>
      <c r="B8366" s="4"/>
      <c r="C8366" s="3">
        <v>0</v>
      </c>
      <c r="D8366" s="3">
        <v>891</v>
      </c>
      <c r="E8366" s="3">
        <v>9608</v>
      </c>
      <c r="F8366" s="3">
        <v>52625</v>
      </c>
      <c r="G8366" s="3">
        <v>34131</v>
      </c>
      <c r="H8366" s="2">
        <f t="shared" si="260"/>
        <v>97255</v>
      </c>
      <c r="I8366" t="str">
        <f t="shared" si="261"/>
        <v>Yars_97255</v>
      </c>
      <c r="J8366" s="3">
        <v>0</v>
      </c>
      <c r="K8366" s="3">
        <v>891</v>
      </c>
      <c r="L8366" s="3">
        <v>9608</v>
      </c>
      <c r="M8366" s="3">
        <v>52625</v>
      </c>
      <c r="N8366" s="3">
        <v>34131</v>
      </c>
    </row>
    <row r="8367" spans="1:14" x14ac:dyDescent="0.2">
      <c r="A8367" s="5" t="str">
        <f>HYPERLINK("http://www.ncbi.nlm.nih.gov/protein/39930579","Yars2")</f>
        <v>Yars2</v>
      </c>
      <c r="B8367" s="4"/>
      <c r="C8367" s="3">
        <v>0</v>
      </c>
      <c r="D8367" s="3">
        <v>664</v>
      </c>
      <c r="E8367" s="3">
        <v>0</v>
      </c>
      <c r="F8367" s="3">
        <v>0</v>
      </c>
      <c r="G8367" s="3">
        <v>0</v>
      </c>
      <c r="H8367" s="2">
        <f t="shared" si="260"/>
        <v>664</v>
      </c>
      <c r="I8367" t="str">
        <f t="shared" si="261"/>
        <v>Yars2_664</v>
      </c>
      <c r="J8367" s="3">
        <v>0</v>
      </c>
      <c r="K8367" s="3">
        <v>664</v>
      </c>
      <c r="L8367" s="3">
        <v>0</v>
      </c>
      <c r="M8367" s="3">
        <v>0</v>
      </c>
      <c r="N8367" s="3">
        <v>0</v>
      </c>
    </row>
    <row r="8368" spans="1:14" x14ac:dyDescent="0.2">
      <c r="A8368" s="5" t="str">
        <f>HYPERLINK("http://www.ncbi.nlm.nih.gov/protein/54607131","Ybey")</f>
        <v>Ybey</v>
      </c>
      <c r="B8368" s="4"/>
      <c r="C8368" s="3">
        <v>0</v>
      </c>
      <c r="D8368" s="3">
        <v>167</v>
      </c>
      <c r="E8368" s="3">
        <v>0</v>
      </c>
      <c r="F8368" s="3">
        <v>0</v>
      </c>
      <c r="G8368" s="3">
        <v>0</v>
      </c>
      <c r="H8368" s="2">
        <f t="shared" si="260"/>
        <v>167</v>
      </c>
      <c r="I8368" t="str">
        <f t="shared" si="261"/>
        <v>Ybey_167</v>
      </c>
      <c r="J8368" s="3">
        <v>0</v>
      </c>
      <c r="K8368" s="3">
        <v>167</v>
      </c>
      <c r="L8368" s="3">
        <v>0</v>
      </c>
      <c r="M8368" s="3">
        <v>0</v>
      </c>
      <c r="N8368" s="3">
        <v>0</v>
      </c>
    </row>
    <row r="8369" spans="1:14" x14ac:dyDescent="0.2">
      <c r="A8369" s="5" t="str">
        <f>HYPERLINK("http://www.ncbi.nlm.nih.gov/protein/113205059","Ybx1")</f>
        <v>Ybx1</v>
      </c>
      <c r="B8369" s="4"/>
      <c r="C8369" s="3">
        <v>113095</v>
      </c>
      <c r="D8369" s="3">
        <v>15379</v>
      </c>
      <c r="E8369" s="3">
        <v>110563</v>
      </c>
      <c r="F8369" s="3">
        <v>256192</v>
      </c>
      <c r="G8369" s="3">
        <v>7465</v>
      </c>
      <c r="H8369" s="2">
        <f t="shared" si="260"/>
        <v>502694</v>
      </c>
      <c r="I8369" t="str">
        <f t="shared" si="261"/>
        <v>Ybx1_502694</v>
      </c>
      <c r="J8369" s="3">
        <v>113095</v>
      </c>
      <c r="K8369" s="3">
        <v>15379</v>
      </c>
      <c r="L8369" s="3">
        <v>110563</v>
      </c>
      <c r="M8369" s="3">
        <v>256192</v>
      </c>
      <c r="N8369" s="3">
        <v>7465</v>
      </c>
    </row>
    <row r="8370" spans="1:14" x14ac:dyDescent="0.2">
      <c r="A8370" s="5" t="str">
        <f>HYPERLINK("http://www.ncbi.nlm.nih.gov/protein/117956377","Ybx2")</f>
        <v>Ybx2</v>
      </c>
      <c r="B8370" s="4"/>
      <c r="C8370" s="3">
        <v>13308</v>
      </c>
      <c r="D8370" s="3">
        <v>8573</v>
      </c>
      <c r="E8370" s="3">
        <v>83384</v>
      </c>
      <c r="F8370" s="3">
        <v>167403</v>
      </c>
      <c r="G8370" s="3">
        <v>0</v>
      </c>
      <c r="H8370" s="2">
        <f t="shared" si="260"/>
        <v>272668</v>
      </c>
      <c r="I8370" t="str">
        <f t="shared" si="261"/>
        <v>Ybx2_272668</v>
      </c>
      <c r="J8370" s="3">
        <v>13308</v>
      </c>
      <c r="K8370" s="3">
        <v>8573</v>
      </c>
      <c r="L8370" s="3">
        <v>83384</v>
      </c>
      <c r="M8370" s="3">
        <v>167403</v>
      </c>
      <c r="N8370" s="3">
        <v>0</v>
      </c>
    </row>
    <row r="8371" spans="1:14" x14ac:dyDescent="0.2">
      <c r="A8371" s="5" t="str">
        <f>HYPERLINK("http://www.ncbi.nlm.nih.gov/protein/20806532","Ybx3")</f>
        <v>Ybx3</v>
      </c>
      <c r="B8371" s="4"/>
      <c r="C8371" s="3">
        <v>15981</v>
      </c>
      <c r="D8371" s="3">
        <v>11813</v>
      </c>
      <c r="E8371" s="3">
        <v>121375</v>
      </c>
      <c r="F8371" s="3">
        <v>208364</v>
      </c>
      <c r="G8371" s="3">
        <v>7861</v>
      </c>
      <c r="H8371" s="2">
        <f t="shared" si="260"/>
        <v>365394</v>
      </c>
      <c r="I8371" t="str">
        <f t="shared" si="261"/>
        <v>Ybx3_365394</v>
      </c>
      <c r="J8371" s="3">
        <v>15981</v>
      </c>
      <c r="K8371" s="3">
        <v>11813</v>
      </c>
      <c r="L8371" s="3">
        <v>121375</v>
      </c>
      <c r="M8371" s="3">
        <v>208364</v>
      </c>
      <c r="N8371" s="3">
        <v>7861</v>
      </c>
    </row>
    <row r="8372" spans="1:14" x14ac:dyDescent="0.2">
      <c r="A8372" s="5" t="str">
        <f>HYPERLINK("http://www.ncbi.nlm.nih.gov/protein/47059495","Ybx3")</f>
        <v>Ybx3</v>
      </c>
      <c r="B8372" s="4"/>
      <c r="C8372" s="3">
        <v>15981</v>
      </c>
      <c r="D8372" s="3">
        <v>11813</v>
      </c>
      <c r="E8372" s="3">
        <v>121576</v>
      </c>
      <c r="F8372" s="3">
        <v>208658</v>
      </c>
      <c r="G8372" s="3">
        <v>7861</v>
      </c>
      <c r="H8372" s="2">
        <f t="shared" si="260"/>
        <v>365889</v>
      </c>
      <c r="I8372" t="str">
        <f t="shared" si="261"/>
        <v>Ybx3_365889</v>
      </c>
      <c r="J8372" s="3">
        <v>15981</v>
      </c>
      <c r="K8372" s="3">
        <v>11813</v>
      </c>
      <c r="L8372" s="3">
        <v>121576</v>
      </c>
      <c r="M8372" s="3">
        <v>208658</v>
      </c>
      <c r="N8372" s="3">
        <v>7861</v>
      </c>
    </row>
    <row r="8373" spans="1:14" x14ac:dyDescent="0.2">
      <c r="A8373" s="5" t="str">
        <f>HYPERLINK("http://www.ncbi.nlm.nih.gov/protein/326806988","Yes1")</f>
        <v>Yes1</v>
      </c>
      <c r="B8373" s="4"/>
      <c r="C8373" s="3">
        <v>2691</v>
      </c>
      <c r="D8373" s="3">
        <v>6453</v>
      </c>
      <c r="E8373" s="3">
        <v>12020</v>
      </c>
      <c r="F8373" s="3">
        <v>10936</v>
      </c>
      <c r="G8373" s="3">
        <v>44016</v>
      </c>
      <c r="H8373" s="2">
        <f t="shared" si="260"/>
        <v>76116</v>
      </c>
      <c r="I8373" t="str">
        <f t="shared" si="261"/>
        <v>Yes1_76116</v>
      </c>
      <c r="J8373" s="3">
        <v>2691</v>
      </c>
      <c r="K8373" s="3">
        <v>6453</v>
      </c>
      <c r="L8373" s="3">
        <v>12020</v>
      </c>
      <c r="M8373" s="3">
        <v>10936</v>
      </c>
      <c r="N8373" s="3">
        <v>44016</v>
      </c>
    </row>
    <row r="8374" spans="1:14" x14ac:dyDescent="0.2">
      <c r="A8374" s="5" t="str">
        <f>HYPERLINK("http://www.ncbi.nlm.nih.gov/protein/25282409","Yif1a")</f>
        <v>Yif1a</v>
      </c>
      <c r="B8374" s="4"/>
      <c r="C8374" s="3">
        <v>0</v>
      </c>
      <c r="D8374" s="3">
        <v>106</v>
      </c>
      <c r="E8374" s="3">
        <v>1138</v>
      </c>
      <c r="F8374" s="3">
        <v>655</v>
      </c>
      <c r="G8374" s="3">
        <v>0</v>
      </c>
      <c r="H8374" s="2">
        <f t="shared" si="260"/>
        <v>1899</v>
      </c>
      <c r="I8374" t="str">
        <f t="shared" si="261"/>
        <v>Yif1a_1899</v>
      </c>
      <c r="J8374" s="3">
        <v>0</v>
      </c>
      <c r="K8374" s="3">
        <v>106</v>
      </c>
      <c r="L8374" s="3">
        <v>1138</v>
      </c>
      <c r="M8374" s="3">
        <v>655</v>
      </c>
      <c r="N8374" s="3">
        <v>0</v>
      </c>
    </row>
    <row r="8375" spans="1:14" x14ac:dyDescent="0.2">
      <c r="A8375" s="5" t="str">
        <f>HYPERLINK("http://www.ncbi.nlm.nih.gov/protein/158937258","Yif1b")</f>
        <v>Yif1b</v>
      </c>
      <c r="B8375" s="4"/>
      <c r="C8375" s="3">
        <v>0</v>
      </c>
      <c r="D8375" s="3">
        <v>392</v>
      </c>
      <c r="E8375" s="3">
        <v>237</v>
      </c>
      <c r="F8375" s="3">
        <v>0</v>
      </c>
      <c r="G8375" s="3">
        <v>0</v>
      </c>
      <c r="H8375" s="2">
        <f t="shared" si="260"/>
        <v>629</v>
      </c>
      <c r="I8375" t="str">
        <f t="shared" si="261"/>
        <v>Yif1b_629</v>
      </c>
      <c r="J8375" s="3">
        <v>0</v>
      </c>
      <c r="K8375" s="3">
        <v>392</v>
      </c>
      <c r="L8375" s="3">
        <v>237</v>
      </c>
      <c r="M8375" s="3">
        <v>0</v>
      </c>
      <c r="N8375" s="3">
        <v>0</v>
      </c>
    </row>
    <row r="8376" spans="1:14" x14ac:dyDescent="0.2">
      <c r="A8376" s="5" t="str">
        <f>HYPERLINK("http://www.ncbi.nlm.nih.gov/protein/158937260","Yif1b")</f>
        <v>Yif1b</v>
      </c>
      <c r="B8376" s="4"/>
      <c r="C8376" s="3">
        <v>0</v>
      </c>
      <c r="D8376" s="3">
        <v>392</v>
      </c>
      <c r="E8376" s="3">
        <v>237</v>
      </c>
      <c r="F8376" s="3">
        <v>0</v>
      </c>
      <c r="G8376" s="3">
        <v>0</v>
      </c>
      <c r="H8376" s="2">
        <f t="shared" si="260"/>
        <v>629</v>
      </c>
      <c r="I8376" t="str">
        <f t="shared" si="261"/>
        <v>Yif1b_629</v>
      </c>
      <c r="J8376" s="3">
        <v>0</v>
      </c>
      <c r="K8376" s="3">
        <v>392</v>
      </c>
      <c r="L8376" s="3">
        <v>237</v>
      </c>
      <c r="M8376" s="3">
        <v>0</v>
      </c>
      <c r="N8376" s="3">
        <v>0</v>
      </c>
    </row>
    <row r="8377" spans="1:14" x14ac:dyDescent="0.2">
      <c r="A8377" s="5" t="str">
        <f>HYPERLINK("http://www.ncbi.nlm.nih.gov/protein/247269773","Yipf3")</f>
        <v>Yipf3</v>
      </c>
      <c r="B8377" s="4"/>
      <c r="C8377" s="3">
        <v>0</v>
      </c>
      <c r="D8377" s="3">
        <v>2534</v>
      </c>
      <c r="E8377" s="3">
        <v>0</v>
      </c>
      <c r="F8377" s="3">
        <v>0</v>
      </c>
      <c r="G8377" s="3">
        <v>0</v>
      </c>
      <c r="H8377" s="2">
        <f t="shared" si="260"/>
        <v>2534</v>
      </c>
      <c r="I8377" t="str">
        <f t="shared" si="261"/>
        <v>Yipf3_2534</v>
      </c>
      <c r="J8377" s="3">
        <v>0</v>
      </c>
      <c r="K8377" s="3">
        <v>2534</v>
      </c>
      <c r="L8377" s="3">
        <v>0</v>
      </c>
      <c r="M8377" s="3">
        <v>0</v>
      </c>
      <c r="N8377" s="3">
        <v>0</v>
      </c>
    </row>
    <row r="8378" spans="1:14" x14ac:dyDescent="0.2">
      <c r="A8378" s="5" t="str">
        <f>HYPERLINK("http://www.ncbi.nlm.nih.gov/protein/28076889","Yipf4")</f>
        <v>Yipf4</v>
      </c>
      <c r="B8378" s="4"/>
      <c r="C8378" s="3">
        <v>0</v>
      </c>
      <c r="D8378" s="3">
        <v>678</v>
      </c>
      <c r="E8378" s="3">
        <v>543</v>
      </c>
      <c r="F8378" s="3">
        <v>0</v>
      </c>
      <c r="G8378" s="3">
        <v>0</v>
      </c>
      <c r="H8378" s="2">
        <f t="shared" si="260"/>
        <v>1221</v>
      </c>
      <c r="I8378" t="str">
        <f t="shared" si="261"/>
        <v>Yipf4_1221</v>
      </c>
      <c r="J8378" s="3">
        <v>0</v>
      </c>
      <c r="K8378" s="3">
        <v>678</v>
      </c>
      <c r="L8378" s="3">
        <v>543</v>
      </c>
      <c r="M8378" s="3">
        <v>0</v>
      </c>
      <c r="N8378" s="3">
        <v>0</v>
      </c>
    </row>
    <row r="8379" spans="1:14" x14ac:dyDescent="0.2">
      <c r="A8379" s="5" t="str">
        <f>HYPERLINK("http://www.ncbi.nlm.nih.gov/protein/12963631","Yipf5")</f>
        <v>Yipf5</v>
      </c>
      <c r="B8379" s="4"/>
      <c r="C8379" s="3">
        <v>0</v>
      </c>
      <c r="D8379" s="3">
        <v>19</v>
      </c>
      <c r="E8379" s="3">
        <v>54</v>
      </c>
      <c r="F8379" s="3">
        <v>0</v>
      </c>
      <c r="G8379" s="3">
        <v>64</v>
      </c>
      <c r="H8379" s="2">
        <f t="shared" si="260"/>
        <v>137</v>
      </c>
      <c r="I8379" t="str">
        <f t="shared" si="261"/>
        <v>Yipf5_137</v>
      </c>
      <c r="J8379" s="3">
        <v>0</v>
      </c>
      <c r="K8379" s="3">
        <v>19</v>
      </c>
      <c r="L8379" s="3">
        <v>54</v>
      </c>
      <c r="M8379" s="3">
        <v>0</v>
      </c>
      <c r="N8379" s="3">
        <v>64</v>
      </c>
    </row>
    <row r="8380" spans="1:14" x14ac:dyDescent="0.2">
      <c r="A8380" s="5" t="str">
        <f>HYPERLINK("http://www.ncbi.nlm.nih.gov/protein/46519049","Yipf6")</f>
        <v>Yipf6</v>
      </c>
      <c r="B8380" s="4"/>
      <c r="C8380" s="3">
        <v>0</v>
      </c>
      <c r="D8380" s="3">
        <v>0</v>
      </c>
      <c r="E8380" s="3">
        <v>23</v>
      </c>
      <c r="F8380" s="3">
        <v>286</v>
      </c>
      <c r="G8380" s="3">
        <v>0</v>
      </c>
      <c r="H8380" s="2">
        <f t="shared" si="260"/>
        <v>309</v>
      </c>
      <c r="I8380" t="str">
        <f t="shared" si="261"/>
        <v>Yipf6_309</v>
      </c>
      <c r="J8380" s="3">
        <v>0</v>
      </c>
      <c r="K8380" s="3">
        <v>0</v>
      </c>
      <c r="L8380" s="3">
        <v>23</v>
      </c>
      <c r="M8380" s="3">
        <v>286</v>
      </c>
      <c r="N8380" s="3">
        <v>0</v>
      </c>
    </row>
    <row r="8381" spans="1:14" x14ac:dyDescent="0.2">
      <c r="A8381" s="5" t="str">
        <f>HYPERLINK("http://www.ncbi.nlm.nih.gov/protein/31543971","Ykt6")</f>
        <v>Ykt6</v>
      </c>
      <c r="B8381" s="4"/>
      <c r="C8381" s="3">
        <v>0</v>
      </c>
      <c r="D8381" s="3">
        <v>4551</v>
      </c>
      <c r="E8381" s="3">
        <v>2179</v>
      </c>
      <c r="F8381" s="3">
        <v>5697</v>
      </c>
      <c r="G8381" s="3">
        <v>10988</v>
      </c>
      <c r="H8381" s="2">
        <f t="shared" si="260"/>
        <v>23415</v>
      </c>
      <c r="I8381" t="str">
        <f t="shared" si="261"/>
        <v>Ykt6_23415</v>
      </c>
      <c r="J8381" s="3">
        <v>0</v>
      </c>
      <c r="K8381" s="3">
        <v>4551</v>
      </c>
      <c r="L8381" s="3">
        <v>2179</v>
      </c>
      <c r="M8381" s="3">
        <v>5697</v>
      </c>
      <c r="N8381" s="3">
        <v>10988</v>
      </c>
    </row>
    <row r="8382" spans="1:14" x14ac:dyDescent="0.2">
      <c r="A8382" s="5" t="str">
        <f>HYPERLINK("http://www.ncbi.nlm.nih.gov/protein/7305635","Yme1l1")</f>
        <v>Yme1l1</v>
      </c>
      <c r="B8382" s="4"/>
      <c r="C8382" s="3">
        <v>311</v>
      </c>
      <c r="D8382" s="3">
        <v>2950</v>
      </c>
      <c r="E8382" s="3">
        <v>37</v>
      </c>
      <c r="F8382" s="3">
        <v>0</v>
      </c>
      <c r="G8382" s="3">
        <v>0</v>
      </c>
      <c r="H8382" s="2">
        <f t="shared" si="260"/>
        <v>3298</v>
      </c>
      <c r="I8382" t="str">
        <f t="shared" si="261"/>
        <v>Yme1l1_3298</v>
      </c>
      <c r="J8382" s="3">
        <v>311</v>
      </c>
      <c r="K8382" s="3">
        <v>2950</v>
      </c>
      <c r="L8382" s="3">
        <v>37</v>
      </c>
      <c r="M8382" s="3">
        <v>0</v>
      </c>
      <c r="N8382" s="3">
        <v>0</v>
      </c>
    </row>
    <row r="8383" spans="1:14" x14ac:dyDescent="0.2">
      <c r="A8383" s="5" t="str">
        <f>HYPERLINK("http://www.ncbi.nlm.nih.gov/protein/47059139","Ypel5")</f>
        <v>Ypel5</v>
      </c>
      <c r="B8383" s="4"/>
      <c r="C8383" s="3">
        <v>0</v>
      </c>
      <c r="D8383" s="3">
        <v>182</v>
      </c>
      <c r="E8383" s="3">
        <v>22</v>
      </c>
      <c r="F8383" s="3">
        <v>12458</v>
      </c>
      <c r="G8383" s="3">
        <v>782</v>
      </c>
      <c r="H8383" s="2">
        <f t="shared" si="260"/>
        <v>13444</v>
      </c>
      <c r="I8383" t="str">
        <f t="shared" si="261"/>
        <v>Ypel5_13444</v>
      </c>
      <c r="J8383" s="3">
        <v>0</v>
      </c>
      <c r="K8383" s="3">
        <v>182</v>
      </c>
      <c r="L8383" s="3">
        <v>22</v>
      </c>
      <c r="M8383" s="3">
        <v>12458</v>
      </c>
      <c r="N8383" s="3">
        <v>782</v>
      </c>
    </row>
    <row r="8384" spans="1:14" x14ac:dyDescent="0.2">
      <c r="A8384" s="5" t="str">
        <f>HYPERLINK("http://www.ncbi.nlm.nih.gov/protein/247494089","Yrdc")</f>
        <v>Yrdc</v>
      </c>
      <c r="B8384" s="4"/>
      <c r="C8384" s="3">
        <v>0</v>
      </c>
      <c r="D8384" s="3">
        <v>0</v>
      </c>
      <c r="E8384" s="3">
        <v>0</v>
      </c>
      <c r="F8384" s="3">
        <v>0</v>
      </c>
      <c r="G8384" s="3">
        <v>1639</v>
      </c>
      <c r="H8384" s="2">
        <f t="shared" si="260"/>
        <v>1639</v>
      </c>
      <c r="I8384" t="str">
        <f t="shared" si="261"/>
        <v>Yrdc_1639</v>
      </c>
      <c r="J8384" s="3">
        <v>0</v>
      </c>
      <c r="K8384" s="3">
        <v>0</v>
      </c>
      <c r="L8384" s="3">
        <v>0</v>
      </c>
      <c r="M8384" s="3">
        <v>0</v>
      </c>
      <c r="N8384" s="3">
        <v>1639</v>
      </c>
    </row>
    <row r="8385" spans="1:14" x14ac:dyDescent="0.2">
      <c r="A8385" s="5" t="str">
        <f>HYPERLINK("http://www.ncbi.nlm.nih.gov/protein/30424609","Ythdf1")</f>
        <v>Ythdf1</v>
      </c>
      <c r="B8385" s="4"/>
      <c r="C8385" s="3">
        <v>0</v>
      </c>
      <c r="D8385" s="3">
        <v>190</v>
      </c>
      <c r="E8385" s="3">
        <v>4561</v>
      </c>
      <c r="F8385" s="3">
        <v>704</v>
      </c>
      <c r="G8385" s="3">
        <v>0</v>
      </c>
      <c r="H8385" s="2">
        <f t="shared" si="260"/>
        <v>5455</v>
      </c>
      <c r="I8385" t="str">
        <f t="shared" si="261"/>
        <v>Ythdf1_5455</v>
      </c>
      <c r="J8385" s="3">
        <v>0</v>
      </c>
      <c r="K8385" s="3">
        <v>190</v>
      </c>
      <c r="L8385" s="3">
        <v>4561</v>
      </c>
      <c r="M8385" s="3">
        <v>704</v>
      </c>
      <c r="N8385" s="3">
        <v>0</v>
      </c>
    </row>
    <row r="8386" spans="1:14" x14ac:dyDescent="0.2">
      <c r="A8386" s="5" t="str">
        <f>HYPERLINK("http://www.ncbi.nlm.nih.gov/protein/225543110","Ythdf2")</f>
        <v>Ythdf2</v>
      </c>
      <c r="B8386" s="4"/>
      <c r="C8386" s="3">
        <v>0</v>
      </c>
      <c r="D8386" s="3">
        <v>215</v>
      </c>
      <c r="E8386" s="3">
        <v>5825</v>
      </c>
      <c r="F8386" s="3">
        <v>729</v>
      </c>
      <c r="G8386" s="3">
        <v>0</v>
      </c>
      <c r="H8386" s="2">
        <f t="shared" ref="H8386:H8449" si="262">SUM(C8386:G8386)</f>
        <v>6769</v>
      </c>
      <c r="I8386" t="str">
        <f t="shared" ref="I8386:I8449" si="263">A8386&amp;"_"&amp;H8386</f>
        <v>Ythdf2_6769</v>
      </c>
      <c r="J8386" s="3">
        <v>0</v>
      </c>
      <c r="K8386" s="3">
        <v>215</v>
      </c>
      <c r="L8386" s="3">
        <v>5825</v>
      </c>
      <c r="M8386" s="3">
        <v>729</v>
      </c>
      <c r="N8386" s="3">
        <v>0</v>
      </c>
    </row>
    <row r="8387" spans="1:14" x14ac:dyDescent="0.2">
      <c r="A8387" s="5" t="str">
        <f>HYPERLINK("http://www.ncbi.nlm.nih.gov/protein/225543495","Ythdf3")</f>
        <v>Ythdf3</v>
      </c>
      <c r="B8387" s="4"/>
      <c r="C8387" s="3">
        <v>0</v>
      </c>
      <c r="D8387" s="3">
        <v>2025</v>
      </c>
      <c r="E8387" s="3">
        <v>21351</v>
      </c>
      <c r="F8387" s="3">
        <v>5222</v>
      </c>
      <c r="G8387" s="3">
        <v>0</v>
      </c>
      <c r="H8387" s="2">
        <f t="shared" si="262"/>
        <v>28598</v>
      </c>
      <c r="I8387" t="str">
        <f t="shared" si="263"/>
        <v>Ythdf3_28598</v>
      </c>
      <c r="J8387" s="3">
        <v>0</v>
      </c>
      <c r="K8387" s="3">
        <v>2025</v>
      </c>
      <c r="L8387" s="3">
        <v>21351</v>
      </c>
      <c r="M8387" s="3">
        <v>5222</v>
      </c>
      <c r="N8387" s="3">
        <v>0</v>
      </c>
    </row>
    <row r="8388" spans="1:14" x14ac:dyDescent="0.2">
      <c r="A8388" s="5" t="str">
        <f>HYPERLINK("http://www.ncbi.nlm.nih.gov/protein/225543497","Ythdf3")</f>
        <v>Ythdf3</v>
      </c>
      <c r="B8388" s="4"/>
      <c r="C8388" s="3">
        <v>0</v>
      </c>
      <c r="D8388" s="3">
        <v>2025</v>
      </c>
      <c r="E8388" s="3">
        <v>21351</v>
      </c>
      <c r="F8388" s="3">
        <v>5222</v>
      </c>
      <c r="G8388" s="3">
        <v>0</v>
      </c>
      <c r="H8388" s="2">
        <f t="shared" si="262"/>
        <v>28598</v>
      </c>
      <c r="I8388" t="str">
        <f t="shared" si="263"/>
        <v>Ythdf3_28598</v>
      </c>
      <c r="J8388" s="3">
        <v>0</v>
      </c>
      <c r="K8388" s="3">
        <v>2025</v>
      </c>
      <c r="L8388" s="3">
        <v>21351</v>
      </c>
      <c r="M8388" s="3">
        <v>5222</v>
      </c>
      <c r="N8388" s="3">
        <v>0</v>
      </c>
    </row>
    <row r="8389" spans="1:14" x14ac:dyDescent="0.2">
      <c r="A8389" s="5" t="str">
        <f>HYPERLINK("http://www.ncbi.nlm.nih.gov/protein/31543974","Ywhab")</f>
        <v>Ywhab</v>
      </c>
      <c r="B8389" s="4"/>
      <c r="C8389" s="3">
        <v>486665</v>
      </c>
      <c r="D8389" s="3">
        <v>67859</v>
      </c>
      <c r="E8389" s="3">
        <v>122833</v>
      </c>
      <c r="F8389" s="3">
        <v>325196</v>
      </c>
      <c r="G8389" s="3">
        <v>496182</v>
      </c>
      <c r="H8389" s="2">
        <f t="shared" si="262"/>
        <v>1498735</v>
      </c>
      <c r="I8389" t="str">
        <f t="shared" si="263"/>
        <v>Ywhab_1498735</v>
      </c>
      <c r="J8389" s="3">
        <v>486665</v>
      </c>
      <c r="K8389" s="3">
        <v>67859</v>
      </c>
      <c r="L8389" s="3">
        <v>122833</v>
      </c>
      <c r="M8389" s="3">
        <v>325196</v>
      </c>
      <c r="N8389" s="3">
        <v>496182</v>
      </c>
    </row>
    <row r="8390" spans="1:14" x14ac:dyDescent="0.2">
      <c r="A8390" s="5" t="str">
        <f>HYPERLINK("http://www.ncbi.nlm.nih.gov/protein/226874906","Ywhae")</f>
        <v>Ywhae</v>
      </c>
      <c r="B8390" s="4"/>
      <c r="C8390" s="3">
        <v>553299</v>
      </c>
      <c r="D8390" s="3">
        <v>84559</v>
      </c>
      <c r="E8390" s="3">
        <v>144367</v>
      </c>
      <c r="F8390" s="3">
        <v>377559</v>
      </c>
      <c r="G8390" s="3">
        <v>843855</v>
      </c>
      <c r="H8390" s="2">
        <f t="shared" si="262"/>
        <v>2003639</v>
      </c>
      <c r="I8390" t="str">
        <f t="shared" si="263"/>
        <v>Ywhae_2003639</v>
      </c>
      <c r="J8390" s="3">
        <v>553299</v>
      </c>
      <c r="K8390" s="3">
        <v>84559</v>
      </c>
      <c r="L8390" s="3">
        <v>144367</v>
      </c>
      <c r="M8390" s="3">
        <v>377559</v>
      </c>
      <c r="N8390" s="3">
        <v>843855</v>
      </c>
    </row>
    <row r="8391" spans="1:14" x14ac:dyDescent="0.2">
      <c r="A8391" s="5" t="str">
        <f>HYPERLINK("http://www.ncbi.nlm.nih.gov/protein/31543976","Ywhag")</f>
        <v>Ywhag</v>
      </c>
      <c r="B8391" s="4"/>
      <c r="C8391" s="3">
        <v>364033</v>
      </c>
      <c r="D8391" s="3">
        <v>60638</v>
      </c>
      <c r="E8391" s="3">
        <v>89517</v>
      </c>
      <c r="F8391" s="3">
        <v>240893</v>
      </c>
      <c r="G8391" s="3">
        <v>544107</v>
      </c>
      <c r="H8391" s="2">
        <f t="shared" si="262"/>
        <v>1299188</v>
      </c>
      <c r="I8391" t="str">
        <f t="shared" si="263"/>
        <v>Ywhag_1299188</v>
      </c>
      <c r="J8391" s="3">
        <v>364033</v>
      </c>
      <c r="K8391" s="3">
        <v>60638</v>
      </c>
      <c r="L8391" s="3">
        <v>89517</v>
      </c>
      <c r="M8391" s="3">
        <v>240893</v>
      </c>
      <c r="N8391" s="3">
        <v>544107</v>
      </c>
    </row>
    <row r="8392" spans="1:14" x14ac:dyDescent="0.2">
      <c r="A8392" s="5" t="str">
        <f>HYPERLINK("http://www.ncbi.nlm.nih.gov/protein/6756037","Ywhah")</f>
        <v>Ywhah</v>
      </c>
      <c r="B8392" s="4"/>
      <c r="C8392" s="3">
        <v>384884</v>
      </c>
      <c r="D8392" s="3">
        <v>68673</v>
      </c>
      <c r="E8392" s="3">
        <v>117739</v>
      </c>
      <c r="F8392" s="3">
        <v>341403</v>
      </c>
      <c r="G8392" s="3">
        <v>1201039</v>
      </c>
      <c r="H8392" s="2">
        <f t="shared" si="262"/>
        <v>2113738</v>
      </c>
      <c r="I8392" t="str">
        <f t="shared" si="263"/>
        <v>Ywhah_2113738</v>
      </c>
      <c r="J8392" s="3">
        <v>384884</v>
      </c>
      <c r="K8392" s="3">
        <v>68673</v>
      </c>
      <c r="L8392" s="3">
        <v>117739</v>
      </c>
      <c r="M8392" s="3">
        <v>341403</v>
      </c>
      <c r="N8392" s="3">
        <v>1201039</v>
      </c>
    </row>
    <row r="8393" spans="1:14" x14ac:dyDescent="0.2">
      <c r="A8393" s="5" t="str">
        <f>HYPERLINK("http://www.ncbi.nlm.nih.gov/protein/6756039","Ywhaq")</f>
        <v>Ywhaq</v>
      </c>
      <c r="B8393" s="4"/>
      <c r="C8393" s="3">
        <v>599650</v>
      </c>
      <c r="D8393" s="3">
        <v>73046</v>
      </c>
      <c r="E8393" s="3">
        <v>191816</v>
      </c>
      <c r="F8393" s="3">
        <v>359232</v>
      </c>
      <c r="G8393" s="3">
        <v>625788</v>
      </c>
      <c r="H8393" s="2">
        <f t="shared" si="262"/>
        <v>1849532</v>
      </c>
      <c r="I8393" t="str">
        <f t="shared" si="263"/>
        <v>Ywhaq_1849532</v>
      </c>
      <c r="J8393" s="3">
        <v>599650</v>
      </c>
      <c r="K8393" s="3">
        <v>73046</v>
      </c>
      <c r="L8393" s="3">
        <v>191816</v>
      </c>
      <c r="M8393" s="3">
        <v>359232</v>
      </c>
      <c r="N8393" s="3">
        <v>625788</v>
      </c>
    </row>
    <row r="8394" spans="1:14" x14ac:dyDescent="0.2">
      <c r="A8394" s="5" t="str">
        <f>HYPERLINK("http://www.ncbi.nlm.nih.gov/protein/6756041;359385698","Ywhaz")</f>
        <v>Ywhaz</v>
      </c>
      <c r="B8394" s="4"/>
      <c r="C8394" s="3">
        <v>890368</v>
      </c>
      <c r="D8394" s="3">
        <v>0</v>
      </c>
      <c r="E8394" s="3">
        <v>0</v>
      </c>
      <c r="F8394" s="3">
        <v>0</v>
      </c>
      <c r="G8394" s="3">
        <v>0</v>
      </c>
      <c r="H8394" s="2">
        <f t="shared" si="262"/>
        <v>890368</v>
      </c>
      <c r="I8394" t="str">
        <f t="shared" si="263"/>
        <v>Ywhaz_890368</v>
      </c>
      <c r="J8394" s="3">
        <v>890368</v>
      </c>
      <c r="K8394" s="3">
        <v>0</v>
      </c>
      <c r="L8394" s="3">
        <v>0</v>
      </c>
      <c r="M8394" s="3">
        <v>0</v>
      </c>
      <c r="N8394" s="3">
        <v>0</v>
      </c>
    </row>
    <row r="8395" spans="1:14" x14ac:dyDescent="0.2">
      <c r="A8395" s="5" t="str">
        <f>HYPERLINK("http://www.ncbi.nlm.nih.gov/protein/359385696;359385698","Ywhaz")</f>
        <v>Ywhaz</v>
      </c>
      <c r="B8395" s="4"/>
      <c r="C8395" s="3">
        <v>0</v>
      </c>
      <c r="D8395" s="3">
        <v>127871</v>
      </c>
      <c r="E8395" s="3">
        <v>300449</v>
      </c>
      <c r="F8395" s="3">
        <v>616226</v>
      </c>
      <c r="G8395" s="3">
        <v>1152150</v>
      </c>
      <c r="H8395" s="2">
        <f t="shared" si="262"/>
        <v>2196696</v>
      </c>
      <c r="I8395" t="str">
        <f t="shared" si="263"/>
        <v>Ywhaz_2196696</v>
      </c>
      <c r="J8395" s="3">
        <v>0</v>
      </c>
      <c r="K8395" s="3">
        <v>127871</v>
      </c>
      <c r="L8395" s="3">
        <v>300449</v>
      </c>
      <c r="M8395" s="3">
        <v>616226</v>
      </c>
      <c r="N8395" s="3">
        <v>1152150</v>
      </c>
    </row>
    <row r="8396" spans="1:14" x14ac:dyDescent="0.2">
      <c r="A8396" s="5" t="str">
        <f>HYPERLINK("http://www.ncbi.nlm.nih.gov/protein/359385700","Ywhaz")</f>
        <v>Ywhaz</v>
      </c>
      <c r="B8396" s="4"/>
      <c r="C8396" s="3">
        <v>886011</v>
      </c>
      <c r="D8396" s="3">
        <v>129102</v>
      </c>
      <c r="E8396" s="3">
        <v>279607</v>
      </c>
      <c r="F8396" s="3">
        <v>605011</v>
      </c>
      <c r="G8396" s="3">
        <v>1310104</v>
      </c>
      <c r="H8396" s="2">
        <f t="shared" si="262"/>
        <v>3209835</v>
      </c>
      <c r="I8396" t="str">
        <f t="shared" si="263"/>
        <v>Ywhaz_3209835</v>
      </c>
      <c r="J8396" s="3">
        <v>886011</v>
      </c>
      <c r="K8396" s="3">
        <v>129102</v>
      </c>
      <c r="L8396" s="3">
        <v>279607</v>
      </c>
      <c r="M8396" s="3">
        <v>605011</v>
      </c>
      <c r="N8396" s="3">
        <v>1310104</v>
      </c>
    </row>
    <row r="8397" spans="1:14" x14ac:dyDescent="0.2">
      <c r="A8397" s="5" t="str">
        <f>HYPERLINK("http://www.ncbi.nlm.nih.gov/protein/31982421","Yy1")</f>
        <v>Yy1</v>
      </c>
      <c r="B8397" s="4"/>
      <c r="C8397" s="3">
        <v>0</v>
      </c>
      <c r="D8397" s="3">
        <v>0</v>
      </c>
      <c r="E8397" s="3">
        <v>0</v>
      </c>
      <c r="F8397" s="3">
        <v>90</v>
      </c>
      <c r="G8397" s="3">
        <v>0</v>
      </c>
      <c r="H8397" s="2">
        <f t="shared" si="262"/>
        <v>90</v>
      </c>
      <c r="I8397" t="str">
        <f t="shared" si="263"/>
        <v>Yy1_90</v>
      </c>
      <c r="J8397" s="3">
        <v>0</v>
      </c>
      <c r="K8397" s="3">
        <v>0</v>
      </c>
      <c r="L8397" s="3">
        <v>0</v>
      </c>
      <c r="M8397" s="3">
        <v>90</v>
      </c>
      <c r="N8397" s="3">
        <v>0</v>
      </c>
    </row>
    <row r="8398" spans="1:14" x14ac:dyDescent="0.2">
      <c r="A8398" s="5" t="str">
        <f>HYPERLINK("http://www.ncbi.nlm.nih.gov/protein/31559926","Zadh2")</f>
        <v>Zadh2</v>
      </c>
      <c r="B8398" s="4"/>
      <c r="C8398" s="3">
        <v>0</v>
      </c>
      <c r="D8398" s="3">
        <v>75</v>
      </c>
      <c r="E8398" s="3">
        <v>40</v>
      </c>
      <c r="F8398" s="3">
        <v>0</v>
      </c>
      <c r="G8398" s="3">
        <v>0</v>
      </c>
      <c r="H8398" s="2">
        <f t="shared" si="262"/>
        <v>115</v>
      </c>
      <c r="I8398" t="str">
        <f t="shared" si="263"/>
        <v>Zadh2_115</v>
      </c>
      <c r="J8398" s="3">
        <v>0</v>
      </c>
      <c r="K8398" s="3">
        <v>75</v>
      </c>
      <c r="L8398" s="3">
        <v>40</v>
      </c>
      <c r="M8398" s="3">
        <v>0</v>
      </c>
      <c r="N8398" s="3">
        <v>0</v>
      </c>
    </row>
    <row r="8399" spans="1:14" x14ac:dyDescent="0.2">
      <c r="A8399" s="5" t="str">
        <f>HYPERLINK("http://www.ncbi.nlm.nih.gov/protein/12746436","Zak")</f>
        <v>Zak</v>
      </c>
      <c r="B8399" s="4"/>
      <c r="C8399" s="3">
        <v>0</v>
      </c>
      <c r="D8399" s="3">
        <v>0</v>
      </c>
      <c r="E8399" s="3">
        <v>1004</v>
      </c>
      <c r="F8399" s="3">
        <v>0</v>
      </c>
      <c r="G8399" s="3">
        <v>0</v>
      </c>
      <c r="H8399" s="2">
        <f t="shared" si="262"/>
        <v>1004</v>
      </c>
      <c r="I8399" t="str">
        <f t="shared" si="263"/>
        <v>Zak_1004</v>
      </c>
      <c r="J8399" s="3">
        <v>0</v>
      </c>
      <c r="K8399" s="3">
        <v>0</v>
      </c>
      <c r="L8399" s="3">
        <v>1004</v>
      </c>
      <c r="M8399" s="3">
        <v>0</v>
      </c>
      <c r="N8399" s="3">
        <v>0</v>
      </c>
    </row>
    <row r="8400" spans="1:14" x14ac:dyDescent="0.2">
      <c r="A8400" s="5" t="str">
        <f>HYPERLINK("http://www.ncbi.nlm.nih.gov/protein/256665241","Zan")</f>
        <v>Zan</v>
      </c>
      <c r="B8400" s="4"/>
      <c r="C8400" s="3">
        <v>3661</v>
      </c>
      <c r="D8400" s="3">
        <v>0</v>
      </c>
      <c r="E8400" s="3">
        <v>2919</v>
      </c>
      <c r="F8400" s="3">
        <v>5984</v>
      </c>
      <c r="G8400" s="3">
        <v>0</v>
      </c>
      <c r="H8400" s="2">
        <f t="shared" si="262"/>
        <v>12564</v>
      </c>
      <c r="I8400" t="str">
        <f t="shared" si="263"/>
        <v>Zan_12564</v>
      </c>
      <c r="J8400" s="3">
        <v>3661</v>
      </c>
      <c r="K8400" s="3">
        <v>0</v>
      </c>
      <c r="L8400" s="3">
        <v>2919</v>
      </c>
      <c r="M8400" s="3">
        <v>5984</v>
      </c>
      <c r="N8400" s="3">
        <v>0</v>
      </c>
    </row>
    <row r="8401" spans="1:14" x14ac:dyDescent="0.2">
      <c r="A8401" s="5" t="str">
        <f>HYPERLINK("http://www.ncbi.nlm.nih.gov/protein/31088890","Zbed4")</f>
        <v>Zbed4</v>
      </c>
      <c r="B8401" s="4"/>
      <c r="C8401" s="3">
        <v>0</v>
      </c>
      <c r="D8401" s="3">
        <v>0</v>
      </c>
      <c r="E8401" s="3">
        <v>111</v>
      </c>
      <c r="F8401" s="3">
        <v>3233</v>
      </c>
      <c r="G8401" s="3">
        <v>0</v>
      </c>
      <c r="H8401" s="2">
        <f t="shared" si="262"/>
        <v>3344</v>
      </c>
      <c r="I8401" t="str">
        <f t="shared" si="263"/>
        <v>Zbed4_3344</v>
      </c>
      <c r="J8401" s="3">
        <v>0</v>
      </c>
      <c r="K8401" s="3">
        <v>0</v>
      </c>
      <c r="L8401" s="3">
        <v>111</v>
      </c>
      <c r="M8401" s="3">
        <v>3233</v>
      </c>
      <c r="N8401" s="3">
        <v>0</v>
      </c>
    </row>
    <row r="8402" spans="1:14" x14ac:dyDescent="0.2">
      <c r="A8402" s="5" t="str">
        <f>HYPERLINK("http://www.ncbi.nlm.nih.gov/protein/258645088","Zbtb11")</f>
        <v>Zbtb11</v>
      </c>
      <c r="B8402" s="4"/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2">
        <f t="shared" si="262"/>
        <v>0</v>
      </c>
      <c r="I8402" t="str">
        <f t="shared" si="263"/>
        <v>Zbtb11_0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</row>
    <row r="8403" spans="1:14" x14ac:dyDescent="0.2">
      <c r="A8403" s="5" t="str">
        <f>HYPERLINK("http://www.ncbi.nlm.nih.gov/protein/21746142","Zbtb8os")</f>
        <v>Zbtb8os</v>
      </c>
      <c r="B8403" s="4"/>
      <c r="C8403" s="3">
        <v>0</v>
      </c>
      <c r="D8403" s="3">
        <v>121</v>
      </c>
      <c r="E8403" s="3">
        <v>290</v>
      </c>
      <c r="F8403" s="3">
        <v>0</v>
      </c>
      <c r="G8403" s="3">
        <v>1253</v>
      </c>
      <c r="H8403" s="2">
        <f t="shared" si="262"/>
        <v>1664</v>
      </c>
      <c r="I8403" t="str">
        <f t="shared" si="263"/>
        <v>Zbtb8os_1664</v>
      </c>
      <c r="J8403" s="3">
        <v>0</v>
      </c>
      <c r="K8403" s="3">
        <v>121</v>
      </c>
      <c r="L8403" s="3">
        <v>290</v>
      </c>
      <c r="M8403" s="3">
        <v>0</v>
      </c>
      <c r="N8403" s="3">
        <v>1253</v>
      </c>
    </row>
    <row r="8404" spans="1:14" x14ac:dyDescent="0.2">
      <c r="A8404" s="5" t="str">
        <f>HYPERLINK("http://www.ncbi.nlm.nih.gov/protein/27502351","Zc2hc1a")</f>
        <v>Zc2hc1a</v>
      </c>
      <c r="B8404" s="4"/>
      <c r="C8404" s="3">
        <v>0</v>
      </c>
      <c r="D8404" s="3">
        <v>0</v>
      </c>
      <c r="E8404" s="3">
        <v>0</v>
      </c>
      <c r="F8404" s="3">
        <v>0</v>
      </c>
      <c r="G8404" s="3">
        <v>96</v>
      </c>
      <c r="H8404" s="2">
        <f t="shared" si="262"/>
        <v>96</v>
      </c>
      <c r="I8404" t="str">
        <f t="shared" si="263"/>
        <v>Zc2hc1a_96</v>
      </c>
      <c r="J8404" s="3">
        <v>0</v>
      </c>
      <c r="K8404" s="3">
        <v>0</v>
      </c>
      <c r="L8404" s="3">
        <v>0</v>
      </c>
      <c r="M8404" s="3">
        <v>0</v>
      </c>
      <c r="N8404" s="3">
        <v>96</v>
      </c>
    </row>
    <row r="8405" spans="1:14" x14ac:dyDescent="0.2">
      <c r="A8405" s="5" t="str">
        <f>HYPERLINK("http://www.ncbi.nlm.nih.gov/protein/115270986","Zc3h11a")</f>
        <v>Zc3h11a</v>
      </c>
      <c r="B8405" s="4"/>
      <c r="C8405" s="3">
        <v>769</v>
      </c>
      <c r="D8405" s="3">
        <v>0</v>
      </c>
      <c r="E8405" s="3">
        <v>26</v>
      </c>
      <c r="F8405" s="3">
        <v>0</v>
      </c>
      <c r="G8405" s="3">
        <v>0</v>
      </c>
      <c r="H8405" s="2">
        <f t="shared" si="262"/>
        <v>795</v>
      </c>
      <c r="I8405" t="str">
        <f t="shared" si="263"/>
        <v>Zc3h11a_795</v>
      </c>
      <c r="J8405" s="3">
        <v>769</v>
      </c>
      <c r="K8405" s="3">
        <v>0</v>
      </c>
      <c r="L8405" s="3">
        <v>26</v>
      </c>
      <c r="M8405" s="3">
        <v>0</v>
      </c>
      <c r="N8405" s="3">
        <v>0</v>
      </c>
    </row>
    <row r="8406" spans="1:14" x14ac:dyDescent="0.2">
      <c r="A8406" s="5" t="str">
        <f>HYPERLINK("http://www.ncbi.nlm.nih.gov/protein/231570586","Zc3h14")</f>
        <v>Zc3h14</v>
      </c>
      <c r="B8406" s="4"/>
      <c r="C8406" s="3">
        <v>1501</v>
      </c>
      <c r="D8406" s="3">
        <v>0</v>
      </c>
      <c r="E8406" s="3">
        <v>0</v>
      </c>
      <c r="F8406" s="3">
        <v>0</v>
      </c>
      <c r="G8406" s="3">
        <v>0</v>
      </c>
      <c r="H8406" s="2">
        <f t="shared" si="262"/>
        <v>1501</v>
      </c>
      <c r="I8406" t="str">
        <f t="shared" si="263"/>
        <v>Zc3h14_1501</v>
      </c>
      <c r="J8406" s="3">
        <v>1501</v>
      </c>
      <c r="K8406" s="3">
        <v>0</v>
      </c>
      <c r="L8406" s="3">
        <v>0</v>
      </c>
      <c r="M8406" s="3">
        <v>0</v>
      </c>
      <c r="N8406" s="3">
        <v>0</v>
      </c>
    </row>
    <row r="8407" spans="1:14" x14ac:dyDescent="0.2">
      <c r="A8407" s="5" t="str">
        <f>HYPERLINK("http://www.ncbi.nlm.nih.gov/protein/34368584","Zc3h15")</f>
        <v>Zc3h15</v>
      </c>
      <c r="B8407" s="4"/>
      <c r="C8407" s="3">
        <v>0</v>
      </c>
      <c r="D8407" s="3">
        <v>113</v>
      </c>
      <c r="E8407" s="3">
        <v>9272</v>
      </c>
      <c r="F8407" s="3">
        <v>33037</v>
      </c>
      <c r="G8407" s="3">
        <v>54</v>
      </c>
      <c r="H8407" s="2">
        <f t="shared" si="262"/>
        <v>42476</v>
      </c>
      <c r="I8407" t="str">
        <f t="shared" si="263"/>
        <v>Zc3h15_42476</v>
      </c>
      <c r="J8407" s="3">
        <v>0</v>
      </c>
      <c r="K8407" s="3">
        <v>113</v>
      </c>
      <c r="L8407" s="3">
        <v>9272</v>
      </c>
      <c r="M8407" s="3">
        <v>33037</v>
      </c>
      <c r="N8407" s="3">
        <v>54</v>
      </c>
    </row>
    <row r="8408" spans="1:14" x14ac:dyDescent="0.2">
      <c r="A8408" s="5" t="str">
        <f>HYPERLINK("http://www.ncbi.nlm.nih.gov/protein/71725355","Zc3h18")</f>
        <v>Zc3h18</v>
      </c>
      <c r="B8408" s="4"/>
      <c r="C8408" s="3">
        <v>915</v>
      </c>
      <c r="D8408" s="3">
        <v>294</v>
      </c>
      <c r="E8408" s="3">
        <v>0</v>
      </c>
      <c r="F8408" s="3">
        <v>1809</v>
      </c>
      <c r="G8408" s="3">
        <v>0</v>
      </c>
      <c r="H8408" s="2">
        <f t="shared" si="262"/>
        <v>3018</v>
      </c>
      <c r="I8408" t="str">
        <f t="shared" si="263"/>
        <v>Zc3h18_3018</v>
      </c>
      <c r="J8408" s="3">
        <v>915</v>
      </c>
      <c r="K8408" s="3">
        <v>294</v>
      </c>
      <c r="L8408" s="3">
        <v>0</v>
      </c>
      <c r="M8408" s="3">
        <v>1809</v>
      </c>
      <c r="N8408" s="3">
        <v>0</v>
      </c>
    </row>
    <row r="8409" spans="1:14" x14ac:dyDescent="0.2">
      <c r="A8409" s="5" t="str">
        <f>HYPERLINK("http://www.ncbi.nlm.nih.gov/protein/71979671","Zc3h18")</f>
        <v>Zc3h18</v>
      </c>
      <c r="B8409" s="4"/>
      <c r="C8409" s="3">
        <v>915</v>
      </c>
      <c r="D8409" s="3">
        <v>294</v>
      </c>
      <c r="E8409" s="3">
        <v>0</v>
      </c>
      <c r="F8409" s="3">
        <v>1809</v>
      </c>
      <c r="G8409" s="3">
        <v>0</v>
      </c>
      <c r="H8409" s="2">
        <f t="shared" si="262"/>
        <v>3018</v>
      </c>
      <c r="I8409" t="str">
        <f t="shared" si="263"/>
        <v>Zc3h18_3018</v>
      </c>
      <c r="J8409" s="3">
        <v>915</v>
      </c>
      <c r="K8409" s="3">
        <v>294</v>
      </c>
      <c r="L8409" s="3">
        <v>0</v>
      </c>
      <c r="M8409" s="3">
        <v>1809</v>
      </c>
      <c r="N8409" s="3">
        <v>0</v>
      </c>
    </row>
    <row r="8410" spans="1:14" x14ac:dyDescent="0.2">
      <c r="A8410" s="5" t="str">
        <f>HYPERLINK("http://www.ncbi.nlm.nih.gov/protein/156717216","Zc3h6")</f>
        <v>Zc3h6</v>
      </c>
      <c r="B8410" s="4"/>
      <c r="C8410" s="3">
        <v>0</v>
      </c>
      <c r="D8410" s="3">
        <v>0</v>
      </c>
      <c r="E8410" s="3">
        <v>0</v>
      </c>
      <c r="F8410" s="3">
        <v>8</v>
      </c>
      <c r="G8410" s="3">
        <v>0</v>
      </c>
      <c r="H8410" s="2">
        <f t="shared" si="262"/>
        <v>8</v>
      </c>
      <c r="I8410" t="str">
        <f t="shared" si="263"/>
        <v>Zc3h6_8</v>
      </c>
      <c r="J8410" s="3">
        <v>0</v>
      </c>
      <c r="K8410" s="3">
        <v>0</v>
      </c>
      <c r="L8410" s="3">
        <v>0</v>
      </c>
      <c r="M8410" s="3">
        <v>8</v>
      </c>
      <c r="N8410" s="3">
        <v>0</v>
      </c>
    </row>
    <row r="8411" spans="1:14" x14ac:dyDescent="0.2">
      <c r="A8411" s="5" t="str">
        <f>HYPERLINK("http://www.ncbi.nlm.nih.gov/protein/226958485","Zc3h7a")</f>
        <v>Zc3h7a</v>
      </c>
      <c r="B8411" s="4"/>
      <c r="C8411" s="3">
        <v>0</v>
      </c>
      <c r="D8411" s="3">
        <v>0</v>
      </c>
      <c r="E8411" s="3">
        <v>1220</v>
      </c>
      <c r="F8411" s="3">
        <v>0</v>
      </c>
      <c r="G8411" s="3">
        <v>0</v>
      </c>
      <c r="H8411" s="2">
        <f t="shared" si="262"/>
        <v>1220</v>
      </c>
      <c r="I8411" t="str">
        <f t="shared" si="263"/>
        <v>Zc3h7a_1220</v>
      </c>
      <c r="J8411" s="3">
        <v>0</v>
      </c>
      <c r="K8411" s="3">
        <v>0</v>
      </c>
      <c r="L8411" s="3">
        <v>1220</v>
      </c>
      <c r="M8411" s="3">
        <v>0</v>
      </c>
      <c r="N8411" s="3">
        <v>0</v>
      </c>
    </row>
    <row r="8412" spans="1:14" x14ac:dyDescent="0.2">
      <c r="A8412" s="5" t="str">
        <f>HYPERLINK("http://www.ncbi.nlm.nih.gov/protein/124486616","Zc3h7b")</f>
        <v>Zc3h7b</v>
      </c>
      <c r="B8412" s="4"/>
      <c r="C8412" s="3">
        <v>0</v>
      </c>
      <c r="D8412" s="3">
        <v>0</v>
      </c>
      <c r="E8412" s="3">
        <v>6370</v>
      </c>
      <c r="F8412" s="3">
        <v>33</v>
      </c>
      <c r="G8412" s="3">
        <v>0</v>
      </c>
      <c r="H8412" s="2">
        <f t="shared" si="262"/>
        <v>6403</v>
      </c>
      <c r="I8412" t="str">
        <f t="shared" si="263"/>
        <v>Zc3h7b_6403</v>
      </c>
      <c r="J8412" s="3">
        <v>0</v>
      </c>
      <c r="K8412" s="3">
        <v>0</v>
      </c>
      <c r="L8412" s="3">
        <v>6370</v>
      </c>
      <c r="M8412" s="3">
        <v>33</v>
      </c>
      <c r="N8412" s="3">
        <v>0</v>
      </c>
    </row>
    <row r="8413" spans="1:14" x14ac:dyDescent="0.2">
      <c r="A8413" s="5" t="str">
        <f>HYPERLINK("http://www.ncbi.nlm.nih.gov/protein/85719326","Zc3h8")</f>
        <v>Zc3h8</v>
      </c>
      <c r="B8413" s="4"/>
      <c r="C8413" s="3">
        <v>0</v>
      </c>
      <c r="D8413" s="3">
        <v>0</v>
      </c>
      <c r="E8413" s="3">
        <v>417</v>
      </c>
      <c r="F8413" s="3">
        <v>0</v>
      </c>
      <c r="G8413" s="3">
        <v>0</v>
      </c>
      <c r="H8413" s="2">
        <f t="shared" si="262"/>
        <v>417</v>
      </c>
      <c r="I8413" t="str">
        <f t="shared" si="263"/>
        <v>Zc3h8_417</v>
      </c>
      <c r="J8413" s="3">
        <v>0</v>
      </c>
      <c r="K8413" s="3">
        <v>0</v>
      </c>
      <c r="L8413" s="3">
        <v>417</v>
      </c>
      <c r="M8413" s="3">
        <v>0</v>
      </c>
      <c r="N8413" s="3">
        <v>0</v>
      </c>
    </row>
    <row r="8414" spans="1:14" x14ac:dyDescent="0.2">
      <c r="A8414" s="5" t="str">
        <f>HYPERLINK("http://www.ncbi.nlm.nih.gov/protein/21746169","Zc3hav1")</f>
        <v>Zc3hav1</v>
      </c>
      <c r="B8414" s="4"/>
      <c r="C8414" s="3">
        <v>0</v>
      </c>
      <c r="D8414" s="3">
        <v>0</v>
      </c>
      <c r="E8414" s="3">
        <v>274</v>
      </c>
      <c r="F8414" s="3">
        <v>0</v>
      </c>
      <c r="G8414" s="3">
        <v>0</v>
      </c>
      <c r="H8414" s="2">
        <f t="shared" si="262"/>
        <v>274</v>
      </c>
      <c r="I8414" t="str">
        <f t="shared" si="263"/>
        <v>Zc3hav1_274</v>
      </c>
      <c r="J8414" s="3">
        <v>0</v>
      </c>
      <c r="K8414" s="3">
        <v>0</v>
      </c>
      <c r="L8414" s="3">
        <v>274</v>
      </c>
      <c r="M8414" s="3">
        <v>0</v>
      </c>
      <c r="N8414" s="3">
        <v>0</v>
      </c>
    </row>
    <row r="8415" spans="1:14" x14ac:dyDescent="0.2">
      <c r="A8415" s="5" t="str">
        <f>HYPERLINK("http://www.ncbi.nlm.nih.gov/protein/227116322","Zc3hav1")</f>
        <v>Zc3hav1</v>
      </c>
      <c r="B8415" s="4"/>
      <c r="C8415" s="3">
        <v>0</v>
      </c>
      <c r="D8415" s="3">
        <v>0</v>
      </c>
      <c r="E8415" s="3">
        <v>274</v>
      </c>
      <c r="F8415" s="3">
        <v>0</v>
      </c>
      <c r="G8415" s="3">
        <v>0</v>
      </c>
      <c r="H8415" s="2">
        <f t="shared" si="262"/>
        <v>274</v>
      </c>
      <c r="I8415" t="str">
        <f t="shared" si="263"/>
        <v>Zc3hav1_274</v>
      </c>
      <c r="J8415" s="3">
        <v>0</v>
      </c>
      <c r="K8415" s="3">
        <v>0</v>
      </c>
      <c r="L8415" s="3">
        <v>274</v>
      </c>
      <c r="M8415" s="3">
        <v>0</v>
      </c>
      <c r="N8415" s="3">
        <v>0</v>
      </c>
    </row>
    <row r="8416" spans="1:14" x14ac:dyDescent="0.2">
      <c r="A8416" s="5" t="str">
        <f>HYPERLINK("http://www.ncbi.nlm.nih.gov/protein/27754058","Zcchc10")</f>
        <v>Zcchc10</v>
      </c>
      <c r="B8416" s="4"/>
      <c r="C8416" s="3">
        <v>0</v>
      </c>
      <c r="D8416" s="3">
        <v>44</v>
      </c>
      <c r="E8416" s="3">
        <v>0</v>
      </c>
      <c r="F8416" s="3">
        <v>0</v>
      </c>
      <c r="G8416" s="3">
        <v>0</v>
      </c>
      <c r="H8416" s="2">
        <f t="shared" si="262"/>
        <v>44</v>
      </c>
      <c r="I8416" t="str">
        <f t="shared" si="263"/>
        <v>Zcchc10_44</v>
      </c>
      <c r="J8416" s="3">
        <v>0</v>
      </c>
      <c r="K8416" s="3">
        <v>44</v>
      </c>
      <c r="L8416" s="3">
        <v>0</v>
      </c>
      <c r="M8416" s="3">
        <v>0</v>
      </c>
      <c r="N8416" s="3">
        <v>0</v>
      </c>
    </row>
    <row r="8417" spans="1:14" x14ac:dyDescent="0.2">
      <c r="A8417" s="5" t="str">
        <f>HYPERLINK("http://www.ncbi.nlm.nih.gov/protein/55925630","Zcchc13")</f>
        <v>Zcchc13</v>
      </c>
      <c r="B8417" s="4"/>
      <c r="C8417" s="3">
        <v>0</v>
      </c>
      <c r="D8417" s="3">
        <v>0</v>
      </c>
      <c r="E8417" s="3">
        <v>1</v>
      </c>
      <c r="F8417" s="3">
        <v>0</v>
      </c>
      <c r="G8417" s="3">
        <v>0</v>
      </c>
      <c r="H8417" s="2">
        <f t="shared" si="262"/>
        <v>1</v>
      </c>
      <c r="I8417" t="str">
        <f t="shared" si="263"/>
        <v>Zcchc13_1</v>
      </c>
      <c r="J8417" s="3">
        <v>0</v>
      </c>
      <c r="K8417" s="3">
        <v>0</v>
      </c>
      <c r="L8417" s="3">
        <v>1</v>
      </c>
      <c r="M8417" s="3">
        <v>0</v>
      </c>
      <c r="N8417" s="3">
        <v>0</v>
      </c>
    </row>
    <row r="8418" spans="1:14" x14ac:dyDescent="0.2">
      <c r="A8418" s="5" t="str">
        <f>HYPERLINK("http://www.ncbi.nlm.nih.gov/protein/23346607","Zcchc17")</f>
        <v>Zcchc17</v>
      </c>
      <c r="B8418" s="4"/>
      <c r="C8418" s="3">
        <v>0</v>
      </c>
      <c r="D8418" s="3">
        <v>336</v>
      </c>
      <c r="E8418" s="3">
        <v>0</v>
      </c>
      <c r="F8418" s="3">
        <v>0</v>
      </c>
      <c r="G8418" s="3">
        <v>0</v>
      </c>
      <c r="H8418" s="2">
        <f t="shared" si="262"/>
        <v>336</v>
      </c>
      <c r="I8418" t="str">
        <f t="shared" si="263"/>
        <v>Zcchc17_336</v>
      </c>
      <c r="J8418" s="3">
        <v>0</v>
      </c>
      <c r="K8418" s="3">
        <v>336</v>
      </c>
      <c r="L8418" s="3">
        <v>0</v>
      </c>
      <c r="M8418" s="3">
        <v>0</v>
      </c>
      <c r="N8418" s="3">
        <v>0</v>
      </c>
    </row>
    <row r="8419" spans="1:14" x14ac:dyDescent="0.2">
      <c r="A8419" s="5" t="str">
        <f>HYPERLINK("http://www.ncbi.nlm.nih.gov/protein/124249222","Zcchc4")</f>
        <v>Zcchc4</v>
      </c>
      <c r="B8419" s="4"/>
      <c r="C8419" s="3">
        <v>0</v>
      </c>
      <c r="D8419" s="3">
        <v>0</v>
      </c>
      <c r="E8419" s="3">
        <v>41</v>
      </c>
      <c r="F8419" s="3">
        <v>0</v>
      </c>
      <c r="G8419" s="3">
        <v>0</v>
      </c>
      <c r="H8419" s="2">
        <f t="shared" si="262"/>
        <v>41</v>
      </c>
      <c r="I8419" t="str">
        <f t="shared" si="263"/>
        <v>Zcchc4_41</v>
      </c>
      <c r="J8419" s="3">
        <v>0</v>
      </c>
      <c r="K8419" s="3">
        <v>0</v>
      </c>
      <c r="L8419" s="3">
        <v>41</v>
      </c>
      <c r="M8419" s="3">
        <v>0</v>
      </c>
      <c r="N8419" s="3">
        <v>0</v>
      </c>
    </row>
    <row r="8420" spans="1:14" x14ac:dyDescent="0.2">
      <c r="A8420" s="5" t="str">
        <f>HYPERLINK("http://www.ncbi.nlm.nih.gov/protein/254588108","Zcchc6")</f>
        <v>Zcchc6</v>
      </c>
      <c r="B8420" s="4"/>
      <c r="C8420" s="3">
        <v>0</v>
      </c>
      <c r="D8420" s="3">
        <v>4</v>
      </c>
      <c r="E8420" s="3">
        <v>0</v>
      </c>
      <c r="F8420" s="3">
        <v>1784</v>
      </c>
      <c r="G8420" s="3">
        <v>0</v>
      </c>
      <c r="H8420" s="2">
        <f t="shared" si="262"/>
        <v>1788</v>
      </c>
      <c r="I8420" t="str">
        <f t="shared" si="263"/>
        <v>Zcchc6_1788</v>
      </c>
      <c r="J8420" s="3">
        <v>0</v>
      </c>
      <c r="K8420" s="3">
        <v>4</v>
      </c>
      <c r="L8420" s="3">
        <v>0</v>
      </c>
      <c r="M8420" s="3">
        <v>1784</v>
      </c>
      <c r="N8420" s="3">
        <v>0</v>
      </c>
    </row>
    <row r="8421" spans="1:14" x14ac:dyDescent="0.2">
      <c r="A8421" s="5" t="str">
        <f>HYPERLINK("http://www.ncbi.nlm.nih.gov/protein/169808385","Zcchc8")</f>
        <v>Zcchc8</v>
      </c>
      <c r="B8421" s="4"/>
      <c r="C8421" s="3">
        <v>0</v>
      </c>
      <c r="D8421" s="3">
        <v>0</v>
      </c>
      <c r="E8421" s="3">
        <v>0</v>
      </c>
      <c r="F8421" s="3">
        <v>2439</v>
      </c>
      <c r="G8421" s="3">
        <v>0</v>
      </c>
      <c r="H8421" s="2">
        <f t="shared" si="262"/>
        <v>2439</v>
      </c>
      <c r="I8421" t="str">
        <f t="shared" si="263"/>
        <v>Zcchc8_2439</v>
      </c>
      <c r="J8421" s="3">
        <v>0</v>
      </c>
      <c r="K8421" s="3">
        <v>0</v>
      </c>
      <c r="L8421" s="3">
        <v>0</v>
      </c>
      <c r="M8421" s="3">
        <v>2439</v>
      </c>
      <c r="N8421" s="3">
        <v>0</v>
      </c>
    </row>
    <row r="8422" spans="1:14" x14ac:dyDescent="0.2">
      <c r="A8422" s="5" t="str">
        <f>HYPERLINK("http://www.ncbi.nlm.nih.gov/protein/21450253","Zdhhc5")</f>
        <v>Zdhhc5</v>
      </c>
      <c r="B8422" s="4"/>
      <c r="C8422" s="3">
        <v>0</v>
      </c>
      <c r="D8422" s="3">
        <v>0</v>
      </c>
      <c r="E8422" s="3">
        <v>1</v>
      </c>
      <c r="F8422" s="3">
        <v>0</v>
      </c>
      <c r="G8422" s="3">
        <v>0</v>
      </c>
      <c r="H8422" s="2">
        <f t="shared" si="262"/>
        <v>1</v>
      </c>
      <c r="I8422" t="str">
        <f t="shared" si="263"/>
        <v>Zdhhc5_1</v>
      </c>
      <c r="J8422" s="3">
        <v>0</v>
      </c>
      <c r="K8422" s="3">
        <v>0</v>
      </c>
      <c r="L8422" s="3">
        <v>1</v>
      </c>
      <c r="M8422" s="3">
        <v>0</v>
      </c>
      <c r="N8422" s="3">
        <v>0</v>
      </c>
    </row>
    <row r="8423" spans="1:14" x14ac:dyDescent="0.2">
      <c r="A8423" s="5" t="str">
        <f>HYPERLINK("http://www.ncbi.nlm.nih.gov/protein/31542271","Zer1")</f>
        <v>Zer1</v>
      </c>
      <c r="B8423" s="4"/>
      <c r="C8423" s="3">
        <v>0</v>
      </c>
      <c r="D8423" s="3">
        <v>0</v>
      </c>
      <c r="E8423" s="3">
        <v>0</v>
      </c>
      <c r="F8423" s="3">
        <v>1383</v>
      </c>
      <c r="G8423" s="3">
        <v>0</v>
      </c>
      <c r="H8423" s="2">
        <f t="shared" si="262"/>
        <v>1383</v>
      </c>
      <c r="I8423" t="str">
        <f t="shared" si="263"/>
        <v>Zer1_1383</v>
      </c>
      <c r="J8423" s="3">
        <v>0</v>
      </c>
      <c r="K8423" s="3">
        <v>0</v>
      </c>
      <c r="L8423" s="3">
        <v>0</v>
      </c>
      <c r="M8423" s="3">
        <v>1383</v>
      </c>
      <c r="N8423" s="3">
        <v>0</v>
      </c>
    </row>
    <row r="8424" spans="1:14" x14ac:dyDescent="0.2">
      <c r="A8424" s="5" t="str">
        <f>HYPERLINK("http://www.ncbi.nlm.nih.gov/protein/31982674","Zfand1")</f>
        <v>Zfand1</v>
      </c>
      <c r="B8424" s="4"/>
      <c r="C8424" s="3">
        <v>0</v>
      </c>
      <c r="D8424" s="3">
        <v>681</v>
      </c>
      <c r="E8424" s="3">
        <v>170</v>
      </c>
      <c r="F8424" s="3">
        <v>3397</v>
      </c>
      <c r="G8424" s="3">
        <v>3041</v>
      </c>
      <c r="H8424" s="2">
        <f t="shared" si="262"/>
        <v>7289</v>
      </c>
      <c r="I8424" t="str">
        <f t="shared" si="263"/>
        <v>Zfand1_7289</v>
      </c>
      <c r="J8424" s="3">
        <v>0</v>
      </c>
      <c r="K8424" s="3">
        <v>681</v>
      </c>
      <c r="L8424" s="3">
        <v>170</v>
      </c>
      <c r="M8424" s="3">
        <v>3397</v>
      </c>
      <c r="N8424" s="3">
        <v>3041</v>
      </c>
    </row>
    <row r="8425" spans="1:14" x14ac:dyDescent="0.2">
      <c r="A8425" s="5" t="str">
        <f>HYPERLINK("http://www.ncbi.nlm.nih.gov/protein/229577434;229577442","Zfand2b")</f>
        <v>Zfand2b</v>
      </c>
      <c r="B8425" s="4"/>
      <c r="C8425" s="3">
        <v>0</v>
      </c>
      <c r="D8425" s="3">
        <v>0</v>
      </c>
      <c r="E8425" s="3">
        <v>0</v>
      </c>
      <c r="F8425" s="3">
        <v>0</v>
      </c>
      <c r="G8425" s="3">
        <v>1692</v>
      </c>
      <c r="H8425" s="2">
        <f t="shared" si="262"/>
        <v>1692</v>
      </c>
      <c r="I8425" t="str">
        <f t="shared" si="263"/>
        <v>Zfand2b_1692</v>
      </c>
      <c r="J8425" s="3">
        <v>0</v>
      </c>
      <c r="K8425" s="3">
        <v>0</v>
      </c>
      <c r="L8425" s="3">
        <v>0</v>
      </c>
      <c r="M8425" s="3">
        <v>0</v>
      </c>
      <c r="N8425" s="3">
        <v>1692</v>
      </c>
    </row>
    <row r="8426" spans="1:14" x14ac:dyDescent="0.2">
      <c r="A8426" s="5" t="str">
        <f>HYPERLINK("http://www.ncbi.nlm.nih.gov/protein/22507321","Zfand3")</f>
        <v>Zfand3</v>
      </c>
      <c r="B8426" s="4"/>
      <c r="C8426" s="3">
        <v>0</v>
      </c>
      <c r="D8426" s="3">
        <v>0</v>
      </c>
      <c r="E8426" s="3">
        <v>0</v>
      </c>
      <c r="F8426" s="3">
        <v>0</v>
      </c>
      <c r="G8426" s="3">
        <v>2067</v>
      </c>
      <c r="H8426" s="2">
        <f t="shared" si="262"/>
        <v>2067</v>
      </c>
      <c r="I8426" t="str">
        <f t="shared" si="263"/>
        <v>Zfand3_2067</v>
      </c>
      <c r="J8426" s="3">
        <v>0</v>
      </c>
      <c r="K8426" s="3">
        <v>0</v>
      </c>
      <c r="L8426" s="3">
        <v>0</v>
      </c>
      <c r="M8426" s="3">
        <v>0</v>
      </c>
      <c r="N8426" s="3">
        <v>2067</v>
      </c>
    </row>
    <row r="8427" spans="1:14" x14ac:dyDescent="0.2">
      <c r="A8427" s="5" t="str">
        <f>HYPERLINK("http://www.ncbi.nlm.nih.gov/protein/6677605","Zfand5")</f>
        <v>Zfand5</v>
      </c>
      <c r="B8427" s="4"/>
      <c r="C8427" s="3">
        <v>0</v>
      </c>
      <c r="D8427" s="3">
        <v>0</v>
      </c>
      <c r="E8427" s="3">
        <v>16</v>
      </c>
      <c r="F8427" s="3">
        <v>188</v>
      </c>
      <c r="G8427" s="3">
        <v>129</v>
      </c>
      <c r="H8427" s="2">
        <f t="shared" si="262"/>
        <v>333</v>
      </c>
      <c r="I8427" t="str">
        <f t="shared" si="263"/>
        <v>Zfand5_333</v>
      </c>
      <c r="J8427" s="3">
        <v>0</v>
      </c>
      <c r="K8427" s="3">
        <v>0</v>
      </c>
      <c r="L8427" s="3">
        <v>16</v>
      </c>
      <c r="M8427" s="3">
        <v>188</v>
      </c>
      <c r="N8427" s="3">
        <v>129</v>
      </c>
    </row>
    <row r="8428" spans="1:14" x14ac:dyDescent="0.2">
      <c r="A8428" s="5" t="str">
        <f>HYPERLINK("http://www.ncbi.nlm.nih.gov/protein/15805026","Zfand6")</f>
        <v>Zfand6</v>
      </c>
      <c r="B8428" s="4"/>
      <c r="C8428" s="3">
        <v>0</v>
      </c>
      <c r="D8428" s="3">
        <v>0</v>
      </c>
      <c r="E8428" s="3">
        <v>0</v>
      </c>
      <c r="F8428" s="3">
        <v>2226</v>
      </c>
      <c r="G8428" s="3">
        <v>5494</v>
      </c>
      <c r="H8428" s="2">
        <f t="shared" si="262"/>
        <v>7720</v>
      </c>
      <c r="I8428" t="str">
        <f t="shared" si="263"/>
        <v>Zfand6_7720</v>
      </c>
      <c r="J8428" s="3">
        <v>0</v>
      </c>
      <c r="K8428" s="3">
        <v>0</v>
      </c>
      <c r="L8428" s="3">
        <v>0</v>
      </c>
      <c r="M8428" s="3">
        <v>2226</v>
      </c>
      <c r="N8428" s="3">
        <v>5494</v>
      </c>
    </row>
    <row r="8429" spans="1:14" x14ac:dyDescent="0.2">
      <c r="A8429" s="5" t="str">
        <f>HYPERLINK("http://www.ncbi.nlm.nih.gov/protein/90991706","Zfc3h1")</f>
        <v>Zfc3h1</v>
      </c>
      <c r="B8429" s="4"/>
      <c r="C8429" s="3">
        <v>0</v>
      </c>
      <c r="D8429" s="3">
        <v>0</v>
      </c>
      <c r="E8429" s="3">
        <v>31</v>
      </c>
      <c r="F8429" s="3">
        <v>0</v>
      </c>
      <c r="G8429" s="3">
        <v>0</v>
      </c>
      <c r="H8429" s="2">
        <f t="shared" si="262"/>
        <v>31</v>
      </c>
      <c r="I8429" t="str">
        <f t="shared" si="263"/>
        <v>Zfc3h1_31</v>
      </c>
      <c r="J8429" s="3">
        <v>0</v>
      </c>
      <c r="K8429" s="3">
        <v>0</v>
      </c>
      <c r="L8429" s="3">
        <v>31</v>
      </c>
      <c r="M8429" s="3">
        <v>0</v>
      </c>
      <c r="N8429" s="3">
        <v>0</v>
      </c>
    </row>
    <row r="8430" spans="1:14" x14ac:dyDescent="0.2">
      <c r="A8430" s="5" t="str">
        <f>HYPERLINK("http://www.ncbi.nlm.nih.gov/protein/110225364","Zfhx3")</f>
        <v>Zfhx3</v>
      </c>
      <c r="B8430" s="4"/>
      <c r="C8430" s="3">
        <v>0</v>
      </c>
      <c r="D8430" s="3">
        <v>0</v>
      </c>
      <c r="E8430" s="3">
        <v>0</v>
      </c>
      <c r="F8430" s="3">
        <v>0</v>
      </c>
      <c r="G8430" s="3">
        <v>514</v>
      </c>
      <c r="H8430" s="2">
        <f t="shared" si="262"/>
        <v>514</v>
      </c>
      <c r="I8430" t="str">
        <f t="shared" si="263"/>
        <v>Zfhx3_514</v>
      </c>
      <c r="J8430" s="3">
        <v>0</v>
      </c>
      <c r="K8430" s="3">
        <v>0</v>
      </c>
      <c r="L8430" s="3">
        <v>0</v>
      </c>
      <c r="M8430" s="3">
        <v>0</v>
      </c>
      <c r="N8430" s="3">
        <v>514</v>
      </c>
    </row>
    <row r="8431" spans="1:14" x14ac:dyDescent="0.2">
      <c r="A8431" s="5" t="str">
        <f>HYPERLINK("http://www.ncbi.nlm.nih.gov/protein/261823966","Zfml")</f>
        <v>Zfml</v>
      </c>
      <c r="B8431" s="4"/>
      <c r="C8431" s="3">
        <v>0</v>
      </c>
      <c r="D8431" s="3">
        <v>340</v>
      </c>
      <c r="E8431" s="3">
        <v>0</v>
      </c>
      <c r="F8431" s="3">
        <v>0</v>
      </c>
      <c r="G8431" s="3">
        <v>0</v>
      </c>
      <c r="H8431" s="2">
        <f t="shared" si="262"/>
        <v>340</v>
      </c>
      <c r="I8431" t="str">
        <f t="shared" si="263"/>
        <v>Zfml_340</v>
      </c>
      <c r="J8431" s="3">
        <v>0</v>
      </c>
      <c r="K8431" s="3">
        <v>340</v>
      </c>
      <c r="L8431" s="3">
        <v>0</v>
      </c>
      <c r="M8431" s="3">
        <v>0</v>
      </c>
      <c r="N8431" s="3">
        <v>0</v>
      </c>
    </row>
    <row r="8432" spans="1:14" x14ac:dyDescent="0.2">
      <c r="A8432" s="5" t="str">
        <f>HYPERLINK("http://www.ncbi.nlm.nih.gov/protein/110626083","Zfp142")</f>
        <v>Zfp142</v>
      </c>
      <c r="B8432" s="4"/>
      <c r="C8432" s="3">
        <v>0</v>
      </c>
      <c r="D8432" s="3">
        <v>376</v>
      </c>
      <c r="E8432" s="3">
        <v>0</v>
      </c>
      <c r="F8432" s="3">
        <v>0</v>
      </c>
      <c r="G8432" s="3">
        <v>0</v>
      </c>
      <c r="H8432" s="2">
        <f t="shared" si="262"/>
        <v>376</v>
      </c>
      <c r="I8432" t="str">
        <f t="shared" si="263"/>
        <v>Zfp142_376</v>
      </c>
      <c r="J8432" s="3">
        <v>0</v>
      </c>
      <c r="K8432" s="3">
        <v>376</v>
      </c>
      <c r="L8432" s="3">
        <v>0</v>
      </c>
      <c r="M8432" s="3">
        <v>0</v>
      </c>
      <c r="N8432" s="3">
        <v>0</v>
      </c>
    </row>
    <row r="8433" spans="1:14" x14ac:dyDescent="0.2">
      <c r="A8433" s="5" t="str">
        <f>HYPERLINK("http://www.ncbi.nlm.nih.gov/protein/157823829","Zfp185")</f>
        <v>Zfp185</v>
      </c>
      <c r="B8433" s="4"/>
      <c r="C8433" s="3">
        <v>0</v>
      </c>
      <c r="D8433" s="3">
        <v>0</v>
      </c>
      <c r="E8433" s="3">
        <v>119</v>
      </c>
      <c r="F8433" s="3">
        <v>0</v>
      </c>
      <c r="G8433" s="3">
        <v>0</v>
      </c>
      <c r="H8433" s="2">
        <f t="shared" si="262"/>
        <v>119</v>
      </c>
      <c r="I8433" t="str">
        <f t="shared" si="263"/>
        <v>Zfp185_119</v>
      </c>
      <c r="J8433" s="3">
        <v>0</v>
      </c>
      <c r="K8433" s="3">
        <v>0</v>
      </c>
      <c r="L8433" s="3">
        <v>119</v>
      </c>
      <c r="M8433" s="3">
        <v>0</v>
      </c>
      <c r="N8433" s="3">
        <v>0</v>
      </c>
    </row>
    <row r="8434" spans="1:14" x14ac:dyDescent="0.2">
      <c r="A8434" s="5" t="str">
        <f>HYPERLINK("http://www.ncbi.nlm.nih.gov/protein/157823865","Zfp185")</f>
        <v>Zfp185</v>
      </c>
      <c r="B8434" s="4"/>
      <c r="C8434" s="3">
        <v>0</v>
      </c>
      <c r="D8434" s="3">
        <v>0</v>
      </c>
      <c r="E8434" s="3">
        <v>119</v>
      </c>
      <c r="F8434" s="3">
        <v>0</v>
      </c>
      <c r="G8434" s="3">
        <v>0</v>
      </c>
      <c r="H8434" s="2">
        <f t="shared" si="262"/>
        <v>119</v>
      </c>
      <c r="I8434" t="str">
        <f t="shared" si="263"/>
        <v>Zfp185_119</v>
      </c>
      <c r="J8434" s="3">
        <v>0</v>
      </c>
      <c r="K8434" s="3">
        <v>0</v>
      </c>
      <c r="L8434" s="3">
        <v>119</v>
      </c>
      <c r="M8434" s="3">
        <v>0</v>
      </c>
      <c r="N8434" s="3">
        <v>0</v>
      </c>
    </row>
    <row r="8435" spans="1:14" x14ac:dyDescent="0.2">
      <c r="A8435" s="5" t="str">
        <f>HYPERLINK("http://www.ncbi.nlm.nih.gov/protein/161760658","Zfp189")</f>
        <v>Zfp189</v>
      </c>
      <c r="B8435" s="4"/>
      <c r="C8435" s="3">
        <v>0</v>
      </c>
      <c r="D8435" s="3">
        <v>71</v>
      </c>
      <c r="E8435" s="3">
        <v>0</v>
      </c>
      <c r="F8435" s="3">
        <v>0</v>
      </c>
      <c r="G8435" s="3">
        <v>0</v>
      </c>
      <c r="H8435" s="2">
        <f t="shared" si="262"/>
        <v>71</v>
      </c>
      <c r="I8435" t="str">
        <f t="shared" si="263"/>
        <v>Zfp189_71</v>
      </c>
      <c r="J8435" s="3">
        <v>0</v>
      </c>
      <c r="K8435" s="3">
        <v>71</v>
      </c>
      <c r="L8435" s="3">
        <v>0</v>
      </c>
      <c r="M8435" s="3">
        <v>0</v>
      </c>
      <c r="N8435" s="3">
        <v>0</v>
      </c>
    </row>
    <row r="8436" spans="1:14" x14ac:dyDescent="0.2">
      <c r="A8436" s="5" t="str">
        <f>HYPERLINK("http://www.ncbi.nlm.nih.gov/protein/194328715","Zfp207")</f>
        <v>Zfp207</v>
      </c>
      <c r="B8436" s="4"/>
      <c r="C8436" s="3">
        <v>0</v>
      </c>
      <c r="D8436" s="3">
        <v>0</v>
      </c>
      <c r="E8436" s="3">
        <v>3225</v>
      </c>
      <c r="F8436" s="3">
        <v>0</v>
      </c>
      <c r="G8436" s="3">
        <v>0</v>
      </c>
      <c r="H8436" s="2">
        <f t="shared" si="262"/>
        <v>3225</v>
      </c>
      <c r="I8436" t="str">
        <f t="shared" si="263"/>
        <v>Zfp207_3225</v>
      </c>
      <c r="J8436" s="3">
        <v>0</v>
      </c>
      <c r="K8436" s="3">
        <v>0</v>
      </c>
      <c r="L8436" s="3">
        <v>3225</v>
      </c>
      <c r="M8436" s="3">
        <v>0</v>
      </c>
      <c r="N8436" s="3">
        <v>0</v>
      </c>
    </row>
    <row r="8437" spans="1:14" x14ac:dyDescent="0.2">
      <c r="A8437" s="5" t="str">
        <f>HYPERLINK("http://www.ncbi.nlm.nih.gov/protein/194328717","Zfp207")</f>
        <v>Zfp207</v>
      </c>
      <c r="B8437" s="4"/>
      <c r="C8437" s="3">
        <v>0</v>
      </c>
      <c r="D8437" s="3">
        <v>0</v>
      </c>
      <c r="E8437" s="3">
        <v>3225</v>
      </c>
      <c r="F8437" s="3">
        <v>0</v>
      </c>
      <c r="G8437" s="3">
        <v>0</v>
      </c>
      <c r="H8437" s="2">
        <f t="shared" si="262"/>
        <v>3225</v>
      </c>
      <c r="I8437" t="str">
        <f t="shared" si="263"/>
        <v>Zfp207_3225</v>
      </c>
      <c r="J8437" s="3">
        <v>0</v>
      </c>
      <c r="K8437" s="3">
        <v>0</v>
      </c>
      <c r="L8437" s="3">
        <v>3225</v>
      </c>
      <c r="M8437" s="3">
        <v>0</v>
      </c>
      <c r="N8437" s="3">
        <v>0</v>
      </c>
    </row>
    <row r="8438" spans="1:14" x14ac:dyDescent="0.2">
      <c r="A8438" s="5" t="str">
        <f>HYPERLINK("http://www.ncbi.nlm.nih.gov/protein/194328719","Zfp207")</f>
        <v>Zfp207</v>
      </c>
      <c r="B8438" s="4"/>
      <c r="C8438" s="3">
        <v>0</v>
      </c>
      <c r="D8438" s="3">
        <v>0</v>
      </c>
      <c r="E8438" s="3">
        <v>3225</v>
      </c>
      <c r="F8438" s="3">
        <v>0</v>
      </c>
      <c r="G8438" s="3">
        <v>0</v>
      </c>
      <c r="H8438" s="2">
        <f t="shared" si="262"/>
        <v>3225</v>
      </c>
      <c r="I8438" t="str">
        <f t="shared" si="263"/>
        <v>Zfp207_3225</v>
      </c>
      <c r="J8438" s="3">
        <v>0</v>
      </c>
      <c r="K8438" s="3">
        <v>0</v>
      </c>
      <c r="L8438" s="3">
        <v>3225</v>
      </c>
      <c r="M8438" s="3">
        <v>0</v>
      </c>
      <c r="N8438" s="3">
        <v>0</v>
      </c>
    </row>
    <row r="8439" spans="1:14" x14ac:dyDescent="0.2">
      <c r="A8439" s="5" t="str">
        <f>HYPERLINK("http://www.ncbi.nlm.nih.gov/protein/6756051","Zfp207")</f>
        <v>Zfp207</v>
      </c>
      <c r="B8439" s="4"/>
      <c r="C8439" s="3">
        <v>0</v>
      </c>
      <c r="D8439" s="3">
        <v>0</v>
      </c>
      <c r="E8439" s="3">
        <v>3225</v>
      </c>
      <c r="F8439" s="3">
        <v>0</v>
      </c>
      <c r="G8439" s="3">
        <v>0</v>
      </c>
      <c r="H8439" s="2">
        <f t="shared" si="262"/>
        <v>3225</v>
      </c>
      <c r="I8439" t="str">
        <f t="shared" si="263"/>
        <v>Zfp207_3225</v>
      </c>
      <c r="J8439" s="3">
        <v>0</v>
      </c>
      <c r="K8439" s="3">
        <v>0</v>
      </c>
      <c r="L8439" s="3">
        <v>3225</v>
      </c>
      <c r="M8439" s="3">
        <v>0</v>
      </c>
      <c r="N8439" s="3">
        <v>0</v>
      </c>
    </row>
    <row r="8440" spans="1:14" x14ac:dyDescent="0.2">
      <c r="A8440" s="5" t="str">
        <f>HYPERLINK("http://www.ncbi.nlm.nih.gov/protein/254939702","Zfp236")</f>
        <v>Zfp236</v>
      </c>
      <c r="B8440" s="4"/>
      <c r="C8440" s="3">
        <v>0</v>
      </c>
      <c r="D8440" s="3">
        <v>0</v>
      </c>
      <c r="E8440" s="3">
        <v>1545</v>
      </c>
      <c r="F8440" s="3">
        <v>0</v>
      </c>
      <c r="G8440" s="3">
        <v>0</v>
      </c>
      <c r="H8440" s="2">
        <f t="shared" si="262"/>
        <v>1545</v>
      </c>
      <c r="I8440" t="str">
        <f t="shared" si="263"/>
        <v>Zfp236_1545</v>
      </c>
      <c r="J8440" s="3">
        <v>0</v>
      </c>
      <c r="K8440" s="3">
        <v>0</v>
      </c>
      <c r="L8440" s="3">
        <v>1545</v>
      </c>
      <c r="M8440" s="3">
        <v>0</v>
      </c>
      <c r="N8440" s="3">
        <v>0</v>
      </c>
    </row>
    <row r="8441" spans="1:14" x14ac:dyDescent="0.2">
      <c r="A8441" s="5" t="str">
        <f>HYPERLINK("http://www.ncbi.nlm.nih.gov/protein/58037307","Zfp248")</f>
        <v>Zfp248</v>
      </c>
      <c r="B8441" s="4"/>
      <c r="C8441" s="3">
        <v>1501</v>
      </c>
      <c r="D8441" s="3">
        <v>0</v>
      </c>
      <c r="E8441" s="3">
        <v>0</v>
      </c>
      <c r="F8441" s="3">
        <v>0</v>
      </c>
      <c r="G8441" s="3">
        <v>0</v>
      </c>
      <c r="H8441" s="2">
        <f t="shared" si="262"/>
        <v>1501</v>
      </c>
      <c r="I8441" t="str">
        <f t="shared" si="263"/>
        <v>Zfp248_1501</v>
      </c>
      <c r="J8441" s="3">
        <v>1501</v>
      </c>
      <c r="K8441" s="3">
        <v>0</v>
      </c>
      <c r="L8441" s="3">
        <v>0</v>
      </c>
      <c r="M8441" s="3">
        <v>0</v>
      </c>
      <c r="N8441" s="3">
        <v>0</v>
      </c>
    </row>
    <row r="8442" spans="1:14" x14ac:dyDescent="0.2">
      <c r="A8442" s="5" t="str">
        <f>HYPERLINK("http://www.ncbi.nlm.nih.gov/protein/6756053","Zfp259")</f>
        <v>Zfp259</v>
      </c>
      <c r="B8442" s="4"/>
      <c r="C8442" s="3">
        <v>0</v>
      </c>
      <c r="D8442" s="3">
        <v>23</v>
      </c>
      <c r="E8442" s="3">
        <v>76</v>
      </c>
      <c r="F8442" s="3">
        <v>0</v>
      </c>
      <c r="G8442" s="3">
        <v>28220</v>
      </c>
      <c r="H8442" s="2">
        <f t="shared" si="262"/>
        <v>28319</v>
      </c>
      <c r="I8442" t="str">
        <f t="shared" si="263"/>
        <v>Zfp259_28319</v>
      </c>
      <c r="J8442" s="3">
        <v>0</v>
      </c>
      <c r="K8442" s="3">
        <v>23</v>
      </c>
      <c r="L8442" s="3">
        <v>76</v>
      </c>
      <c r="M8442" s="3">
        <v>0</v>
      </c>
      <c r="N8442" s="3">
        <v>28220</v>
      </c>
    </row>
    <row r="8443" spans="1:14" x14ac:dyDescent="0.2">
      <c r="A8443" s="5" t="str">
        <f>HYPERLINK("http://www.ncbi.nlm.nih.gov/protein/169234810","Zfp292")</f>
        <v>Zfp292</v>
      </c>
      <c r="B8443" s="4"/>
      <c r="C8443" s="3">
        <v>0</v>
      </c>
      <c r="D8443" s="3">
        <v>0</v>
      </c>
      <c r="E8443" s="3">
        <v>0</v>
      </c>
      <c r="F8443" s="3">
        <v>0</v>
      </c>
      <c r="G8443" s="3">
        <v>18538</v>
      </c>
      <c r="H8443" s="2">
        <f t="shared" si="262"/>
        <v>18538</v>
      </c>
      <c r="I8443" t="str">
        <f t="shared" si="263"/>
        <v>Zfp292_18538</v>
      </c>
      <c r="J8443" s="3">
        <v>0</v>
      </c>
      <c r="K8443" s="3">
        <v>0</v>
      </c>
      <c r="L8443" s="3">
        <v>0</v>
      </c>
      <c r="M8443" s="3">
        <v>0</v>
      </c>
      <c r="N8443" s="3">
        <v>18538</v>
      </c>
    </row>
    <row r="8444" spans="1:14" x14ac:dyDescent="0.2">
      <c r="A8444" s="5" t="str">
        <f>HYPERLINK("http://www.ncbi.nlm.nih.gov/protein/56118256","Zfp324")</f>
        <v>Zfp324</v>
      </c>
      <c r="B8444" s="4"/>
      <c r="C8444" s="3">
        <v>0</v>
      </c>
      <c r="D8444" s="3">
        <v>0</v>
      </c>
      <c r="E8444" s="3">
        <v>0</v>
      </c>
      <c r="F8444" s="3">
        <v>0</v>
      </c>
      <c r="G8444" s="3">
        <v>332</v>
      </c>
      <c r="H8444" s="2">
        <f t="shared" si="262"/>
        <v>332</v>
      </c>
      <c r="I8444" t="str">
        <f t="shared" si="263"/>
        <v>Zfp324_332</v>
      </c>
      <c r="J8444" s="3">
        <v>0</v>
      </c>
      <c r="K8444" s="3">
        <v>0</v>
      </c>
      <c r="L8444" s="3">
        <v>0</v>
      </c>
      <c r="M8444" s="3">
        <v>0</v>
      </c>
      <c r="N8444" s="3">
        <v>332</v>
      </c>
    </row>
    <row r="8445" spans="1:14" x14ac:dyDescent="0.2">
      <c r="A8445" s="5" t="str">
        <f>HYPERLINK("http://www.ncbi.nlm.nih.gov/protein/269784644","Zfp326")</f>
        <v>Zfp326</v>
      </c>
      <c r="B8445" s="4"/>
      <c r="C8445" s="3">
        <v>4833</v>
      </c>
      <c r="D8445" s="3">
        <v>0</v>
      </c>
      <c r="E8445" s="3">
        <v>78</v>
      </c>
      <c r="F8445" s="3">
        <v>0</v>
      </c>
      <c r="G8445" s="3">
        <v>0</v>
      </c>
      <c r="H8445" s="2">
        <f t="shared" si="262"/>
        <v>4911</v>
      </c>
      <c r="I8445" t="str">
        <f t="shared" si="263"/>
        <v>Zfp326_4911</v>
      </c>
      <c r="J8445" s="3">
        <v>4833</v>
      </c>
      <c r="K8445" s="3">
        <v>0</v>
      </c>
      <c r="L8445" s="3">
        <v>78</v>
      </c>
      <c r="M8445" s="3">
        <v>0</v>
      </c>
      <c r="N8445" s="3">
        <v>0</v>
      </c>
    </row>
    <row r="8446" spans="1:14" x14ac:dyDescent="0.2">
      <c r="A8446" s="5" t="str">
        <f>HYPERLINK("http://www.ncbi.nlm.nih.gov/protein/6754396","Zfp346")</f>
        <v>Zfp346</v>
      </c>
      <c r="B8446" s="4"/>
      <c r="C8446" s="3">
        <v>0</v>
      </c>
      <c r="D8446" s="3">
        <v>0</v>
      </c>
      <c r="E8446" s="3">
        <v>212</v>
      </c>
      <c r="F8446" s="3">
        <v>0</v>
      </c>
      <c r="G8446" s="3">
        <v>0</v>
      </c>
      <c r="H8446" s="2">
        <f t="shared" si="262"/>
        <v>212</v>
      </c>
      <c r="I8446" t="str">
        <f t="shared" si="263"/>
        <v>Zfp346_212</v>
      </c>
      <c r="J8446" s="3">
        <v>0</v>
      </c>
      <c r="K8446" s="3">
        <v>0</v>
      </c>
      <c r="L8446" s="3">
        <v>212</v>
      </c>
      <c r="M8446" s="3">
        <v>0</v>
      </c>
      <c r="N8446" s="3">
        <v>0</v>
      </c>
    </row>
    <row r="8447" spans="1:14" x14ac:dyDescent="0.2">
      <c r="A8447" s="5" t="str">
        <f>HYPERLINK("http://www.ncbi.nlm.nih.gov/protein/238018076","Zfp428")</f>
        <v>Zfp428</v>
      </c>
      <c r="B8447" s="4"/>
      <c r="C8447" s="3">
        <v>0</v>
      </c>
      <c r="D8447" s="3">
        <v>0</v>
      </c>
      <c r="E8447" s="3">
        <v>0</v>
      </c>
      <c r="F8447" s="3">
        <v>0</v>
      </c>
      <c r="G8447" s="3">
        <v>1981</v>
      </c>
      <c r="H8447" s="2">
        <f t="shared" si="262"/>
        <v>1981</v>
      </c>
      <c r="I8447" t="str">
        <f t="shared" si="263"/>
        <v>Zfp428_1981</v>
      </c>
      <c r="J8447" s="3">
        <v>0</v>
      </c>
      <c r="K8447" s="3">
        <v>0</v>
      </c>
      <c r="L8447" s="3">
        <v>0</v>
      </c>
      <c r="M8447" s="3">
        <v>0</v>
      </c>
      <c r="N8447" s="3">
        <v>1981</v>
      </c>
    </row>
    <row r="8448" spans="1:14" x14ac:dyDescent="0.2">
      <c r="A8448" s="5" t="str">
        <f>HYPERLINK("http://www.ncbi.nlm.nih.gov/protein/226437661","Zfp511")</f>
        <v>Zfp511</v>
      </c>
      <c r="B8448" s="4"/>
      <c r="C8448" s="3">
        <v>0</v>
      </c>
      <c r="D8448" s="3">
        <v>0</v>
      </c>
      <c r="E8448" s="3">
        <v>0</v>
      </c>
      <c r="F8448" s="3">
        <v>0</v>
      </c>
      <c r="G8448" s="3">
        <v>1435</v>
      </c>
      <c r="H8448" s="2">
        <f t="shared" si="262"/>
        <v>1435</v>
      </c>
      <c r="I8448" t="str">
        <f t="shared" si="263"/>
        <v>Zfp511_1435</v>
      </c>
      <c r="J8448" s="3">
        <v>0</v>
      </c>
      <c r="K8448" s="3">
        <v>0</v>
      </c>
      <c r="L8448" s="3">
        <v>0</v>
      </c>
      <c r="M8448" s="3">
        <v>0</v>
      </c>
      <c r="N8448" s="3">
        <v>1435</v>
      </c>
    </row>
    <row r="8449" spans="1:14" x14ac:dyDescent="0.2">
      <c r="A8449" s="5" t="str">
        <f>HYPERLINK("http://www.ncbi.nlm.nih.gov/protein/254553392","Zfp512")</f>
        <v>Zfp512</v>
      </c>
      <c r="B8449" s="4"/>
      <c r="C8449" s="3">
        <v>2032</v>
      </c>
      <c r="D8449" s="3">
        <v>0</v>
      </c>
      <c r="E8449" s="3">
        <v>0</v>
      </c>
      <c r="F8449" s="3">
        <v>0</v>
      </c>
      <c r="G8449" s="3">
        <v>0</v>
      </c>
      <c r="H8449" s="2">
        <f t="shared" si="262"/>
        <v>2032</v>
      </c>
      <c r="I8449" t="str">
        <f t="shared" si="263"/>
        <v>Zfp512_2032</v>
      </c>
      <c r="J8449" s="3">
        <v>2032</v>
      </c>
      <c r="K8449" s="3">
        <v>0</v>
      </c>
      <c r="L8449" s="3">
        <v>0</v>
      </c>
      <c r="M8449" s="3">
        <v>0</v>
      </c>
      <c r="N8449" s="3">
        <v>0</v>
      </c>
    </row>
    <row r="8450" spans="1:14" x14ac:dyDescent="0.2">
      <c r="A8450" s="5" t="str">
        <f>HYPERLINK("http://www.ncbi.nlm.nih.gov/protein/154759288","Zfp593")</f>
        <v>Zfp593</v>
      </c>
      <c r="B8450" s="4"/>
      <c r="C8450" s="3">
        <v>0</v>
      </c>
      <c r="D8450" s="3">
        <v>46</v>
      </c>
      <c r="E8450" s="3">
        <v>0</v>
      </c>
      <c r="F8450" s="3">
        <v>3724</v>
      </c>
      <c r="G8450" s="3">
        <v>0</v>
      </c>
      <c r="H8450" s="2">
        <f t="shared" ref="H8450:H8513" si="264">SUM(C8450:G8450)</f>
        <v>3770</v>
      </c>
      <c r="I8450" t="str">
        <f t="shared" ref="I8450:I8513" si="265">A8450&amp;"_"&amp;H8450</f>
        <v>Zfp593_3770</v>
      </c>
      <c r="J8450" s="3">
        <v>0</v>
      </c>
      <c r="K8450" s="3">
        <v>46</v>
      </c>
      <c r="L8450" s="3">
        <v>0</v>
      </c>
      <c r="M8450" s="3">
        <v>3724</v>
      </c>
      <c r="N8450" s="3">
        <v>0</v>
      </c>
    </row>
    <row r="8451" spans="1:14" x14ac:dyDescent="0.2">
      <c r="A8451" s="5" t="str">
        <f>HYPERLINK("http://www.ncbi.nlm.nih.gov/protein/34147169","Zfp598")</f>
        <v>Zfp598</v>
      </c>
      <c r="B8451" s="4"/>
      <c r="C8451" s="3">
        <v>0</v>
      </c>
      <c r="D8451" s="3">
        <v>0</v>
      </c>
      <c r="E8451" s="3">
        <v>634</v>
      </c>
      <c r="F8451" s="3">
        <v>8</v>
      </c>
      <c r="G8451" s="3">
        <v>0</v>
      </c>
      <c r="H8451" s="2">
        <f t="shared" si="264"/>
        <v>642</v>
      </c>
      <c r="I8451" t="str">
        <f t="shared" si="265"/>
        <v>Zfp598_642</v>
      </c>
      <c r="J8451" s="3">
        <v>0</v>
      </c>
      <c r="K8451" s="3">
        <v>0</v>
      </c>
      <c r="L8451" s="3">
        <v>634</v>
      </c>
      <c r="M8451" s="3">
        <v>8</v>
      </c>
      <c r="N8451" s="3">
        <v>0</v>
      </c>
    </row>
    <row r="8452" spans="1:14" x14ac:dyDescent="0.2">
      <c r="A8452" s="5" t="str">
        <f>HYPERLINK("http://www.ncbi.nlm.nih.gov/protein/255683357","Zfp605")</f>
        <v>Zfp605</v>
      </c>
      <c r="B8452" s="4"/>
      <c r="C8452" s="3">
        <v>0</v>
      </c>
      <c r="D8452" s="3">
        <v>708</v>
      </c>
      <c r="E8452" s="3">
        <v>3673</v>
      </c>
      <c r="F8452" s="3">
        <v>0</v>
      </c>
      <c r="G8452" s="3">
        <v>0</v>
      </c>
      <c r="H8452" s="2">
        <f t="shared" si="264"/>
        <v>4381</v>
      </c>
      <c r="I8452" t="str">
        <f t="shared" si="265"/>
        <v>Zfp605_4381</v>
      </c>
      <c r="J8452" s="3">
        <v>0</v>
      </c>
      <c r="K8452" s="3">
        <v>708</v>
      </c>
      <c r="L8452" s="3">
        <v>3673</v>
      </c>
      <c r="M8452" s="3">
        <v>0</v>
      </c>
      <c r="N8452" s="3">
        <v>0</v>
      </c>
    </row>
    <row r="8453" spans="1:14" x14ac:dyDescent="0.2">
      <c r="A8453" s="5" t="str">
        <f>HYPERLINK("http://www.ncbi.nlm.nih.gov/protein/121247404","Zfp61")</f>
        <v>Zfp61</v>
      </c>
      <c r="B8453" s="4"/>
      <c r="C8453" s="3">
        <v>0</v>
      </c>
      <c r="D8453" s="3">
        <v>0</v>
      </c>
      <c r="E8453" s="3">
        <v>70</v>
      </c>
      <c r="F8453" s="3">
        <v>0</v>
      </c>
      <c r="G8453" s="3">
        <v>0</v>
      </c>
      <c r="H8453" s="2">
        <f t="shared" si="264"/>
        <v>70</v>
      </c>
      <c r="I8453" t="str">
        <f t="shared" si="265"/>
        <v>Zfp61_70</v>
      </c>
      <c r="J8453" s="3">
        <v>0</v>
      </c>
      <c r="K8453" s="3">
        <v>0</v>
      </c>
      <c r="L8453" s="3">
        <v>70</v>
      </c>
      <c r="M8453" s="3">
        <v>0</v>
      </c>
      <c r="N8453" s="3">
        <v>0</v>
      </c>
    </row>
    <row r="8454" spans="1:14" x14ac:dyDescent="0.2">
      <c r="A8454" s="5" t="str">
        <f>HYPERLINK("http://www.ncbi.nlm.nih.gov/protein/283837868","Zfp612")</f>
        <v>Zfp612</v>
      </c>
      <c r="B8454" s="4"/>
      <c r="C8454" s="3">
        <v>0</v>
      </c>
      <c r="D8454" s="3">
        <v>0</v>
      </c>
      <c r="E8454" s="3">
        <v>0</v>
      </c>
      <c r="F8454" s="3">
        <v>1645</v>
      </c>
      <c r="G8454" s="3">
        <v>0</v>
      </c>
      <c r="H8454" s="2">
        <f t="shared" si="264"/>
        <v>1645</v>
      </c>
      <c r="I8454" t="str">
        <f t="shared" si="265"/>
        <v>Zfp612_1645</v>
      </c>
      <c r="J8454" s="3">
        <v>0</v>
      </c>
      <c r="K8454" s="3">
        <v>0</v>
      </c>
      <c r="L8454" s="3">
        <v>0</v>
      </c>
      <c r="M8454" s="3">
        <v>1645</v>
      </c>
      <c r="N8454" s="3">
        <v>0</v>
      </c>
    </row>
    <row r="8455" spans="1:14" x14ac:dyDescent="0.2">
      <c r="A8455" s="5" t="str">
        <f>HYPERLINK("http://www.ncbi.nlm.nih.gov/protein/21362307","Zfp622")</f>
        <v>Zfp622</v>
      </c>
      <c r="B8455" s="4"/>
      <c r="C8455" s="3">
        <v>0</v>
      </c>
      <c r="D8455" s="3">
        <v>0</v>
      </c>
      <c r="E8455" s="3">
        <v>146</v>
      </c>
      <c r="F8455" s="3">
        <v>10281</v>
      </c>
      <c r="G8455" s="3">
        <v>0</v>
      </c>
      <c r="H8455" s="2">
        <f t="shared" si="264"/>
        <v>10427</v>
      </c>
      <c r="I8455" t="str">
        <f t="shared" si="265"/>
        <v>Zfp622_10427</v>
      </c>
      <c r="J8455" s="3">
        <v>0</v>
      </c>
      <c r="K8455" s="3">
        <v>0</v>
      </c>
      <c r="L8455" s="3">
        <v>146</v>
      </c>
      <c r="M8455" s="3">
        <v>10281</v>
      </c>
      <c r="N8455" s="3">
        <v>0</v>
      </c>
    </row>
    <row r="8456" spans="1:14" x14ac:dyDescent="0.2">
      <c r="A8456" s="5" t="str">
        <f>HYPERLINK("http://www.ncbi.nlm.nih.gov/protein/148276994","Zfp628")</f>
        <v>Zfp628</v>
      </c>
      <c r="B8456" s="4"/>
      <c r="C8456" s="3">
        <v>3661</v>
      </c>
      <c r="D8456" s="3">
        <v>0</v>
      </c>
      <c r="E8456" s="3">
        <v>2919</v>
      </c>
      <c r="F8456" s="3">
        <v>5984</v>
      </c>
      <c r="G8456" s="3">
        <v>0</v>
      </c>
      <c r="H8456" s="2">
        <f t="shared" si="264"/>
        <v>12564</v>
      </c>
      <c r="I8456" t="str">
        <f t="shared" si="265"/>
        <v>Zfp628_12564</v>
      </c>
      <c r="J8456" s="3">
        <v>3661</v>
      </c>
      <c r="K8456" s="3">
        <v>0</v>
      </c>
      <c r="L8456" s="3">
        <v>2919</v>
      </c>
      <c r="M8456" s="3">
        <v>5984</v>
      </c>
      <c r="N8456" s="3">
        <v>0</v>
      </c>
    </row>
    <row r="8457" spans="1:14" x14ac:dyDescent="0.2">
      <c r="A8457" s="5" t="str">
        <f>HYPERLINK("http://www.ncbi.nlm.nih.gov/protein/18875370","Zfp704")</f>
        <v>Zfp704</v>
      </c>
      <c r="B8457" s="4"/>
      <c r="C8457" s="3">
        <v>0</v>
      </c>
      <c r="D8457" s="3">
        <v>0</v>
      </c>
      <c r="E8457" s="3">
        <v>0</v>
      </c>
      <c r="F8457" s="3">
        <v>0</v>
      </c>
      <c r="G8457" s="3">
        <v>375</v>
      </c>
      <c r="H8457" s="2">
        <f t="shared" si="264"/>
        <v>375</v>
      </c>
      <c r="I8457" t="str">
        <f t="shared" si="265"/>
        <v>Zfp704_375</v>
      </c>
      <c r="J8457" s="3">
        <v>0</v>
      </c>
      <c r="K8457" s="3">
        <v>0</v>
      </c>
      <c r="L8457" s="3">
        <v>0</v>
      </c>
      <c r="M8457" s="3">
        <v>0</v>
      </c>
      <c r="N8457" s="3">
        <v>375</v>
      </c>
    </row>
    <row r="8458" spans="1:14" x14ac:dyDescent="0.2">
      <c r="A8458" s="5" t="str">
        <f>HYPERLINK("http://www.ncbi.nlm.nih.gov/protein/21312658","Zfp706")</f>
        <v>Zfp706</v>
      </c>
      <c r="B8458" s="4"/>
      <c r="C8458" s="3">
        <v>0</v>
      </c>
      <c r="D8458" s="3">
        <v>0</v>
      </c>
      <c r="E8458" s="3">
        <v>2918</v>
      </c>
      <c r="F8458" s="3">
        <v>475</v>
      </c>
      <c r="G8458" s="3">
        <v>2859</v>
      </c>
      <c r="H8458" s="2">
        <f t="shared" si="264"/>
        <v>6252</v>
      </c>
      <c r="I8458" t="str">
        <f t="shared" si="265"/>
        <v>Zfp706_6252</v>
      </c>
      <c r="J8458" s="3">
        <v>0</v>
      </c>
      <c r="K8458" s="3">
        <v>0</v>
      </c>
      <c r="L8458" s="3">
        <v>2918</v>
      </c>
      <c r="M8458" s="3">
        <v>475</v>
      </c>
      <c r="N8458" s="3">
        <v>2859</v>
      </c>
    </row>
    <row r="8459" spans="1:14" x14ac:dyDescent="0.2">
      <c r="A8459" s="5" t="str">
        <f>HYPERLINK("http://www.ncbi.nlm.nih.gov/protein/28893511","Zfp771")</f>
        <v>Zfp771</v>
      </c>
      <c r="B8459" s="4"/>
      <c r="C8459" s="3">
        <v>0</v>
      </c>
      <c r="D8459" s="3">
        <v>0</v>
      </c>
      <c r="E8459" s="3">
        <v>0</v>
      </c>
      <c r="F8459" s="3">
        <v>2447</v>
      </c>
      <c r="G8459" s="3">
        <v>0</v>
      </c>
      <c r="H8459" s="2">
        <f t="shared" si="264"/>
        <v>2447</v>
      </c>
      <c r="I8459" t="str">
        <f t="shared" si="265"/>
        <v>Zfp771_2447</v>
      </c>
      <c r="J8459" s="3">
        <v>0</v>
      </c>
      <c r="K8459" s="3">
        <v>0</v>
      </c>
      <c r="L8459" s="3">
        <v>0</v>
      </c>
      <c r="M8459" s="3">
        <v>2447</v>
      </c>
      <c r="N8459" s="3">
        <v>0</v>
      </c>
    </row>
    <row r="8460" spans="1:14" x14ac:dyDescent="0.2">
      <c r="A8460" s="5" t="str">
        <f>HYPERLINK("http://www.ncbi.nlm.nih.gov/protein/124430545","Zfp804a")</f>
        <v>Zfp804a</v>
      </c>
      <c r="B8460" s="4"/>
      <c r="C8460" s="3">
        <v>0</v>
      </c>
      <c r="D8460" s="3">
        <v>0</v>
      </c>
      <c r="E8460" s="3">
        <v>29</v>
      </c>
      <c r="F8460" s="3">
        <v>0</v>
      </c>
      <c r="G8460" s="3">
        <v>0</v>
      </c>
      <c r="H8460" s="2">
        <f t="shared" si="264"/>
        <v>29</v>
      </c>
      <c r="I8460" t="str">
        <f t="shared" si="265"/>
        <v>Zfp804a_29</v>
      </c>
      <c r="J8460" s="3">
        <v>0</v>
      </c>
      <c r="K8460" s="3">
        <v>0</v>
      </c>
      <c r="L8460" s="3">
        <v>29</v>
      </c>
      <c r="M8460" s="3">
        <v>0</v>
      </c>
      <c r="N8460" s="3">
        <v>0</v>
      </c>
    </row>
    <row r="8461" spans="1:14" x14ac:dyDescent="0.2">
      <c r="A8461" s="5" t="str">
        <f>HYPERLINK("http://www.ncbi.nlm.nih.gov/protein/253735674","Zfp804b")</f>
        <v>Zfp804b</v>
      </c>
      <c r="B8461" s="4"/>
      <c r="C8461" s="3">
        <v>0</v>
      </c>
      <c r="D8461" s="3">
        <v>0</v>
      </c>
      <c r="E8461" s="3">
        <v>29</v>
      </c>
      <c r="F8461" s="3">
        <v>0</v>
      </c>
      <c r="G8461" s="3">
        <v>0</v>
      </c>
      <c r="H8461" s="2">
        <f t="shared" si="264"/>
        <v>29</v>
      </c>
      <c r="I8461" t="str">
        <f t="shared" si="265"/>
        <v>Zfp804b_29</v>
      </c>
      <c r="J8461" s="3">
        <v>0</v>
      </c>
      <c r="K8461" s="3">
        <v>0</v>
      </c>
      <c r="L8461" s="3">
        <v>29</v>
      </c>
      <c r="M8461" s="3">
        <v>0</v>
      </c>
      <c r="N8461" s="3">
        <v>0</v>
      </c>
    </row>
    <row r="8462" spans="1:14" x14ac:dyDescent="0.2">
      <c r="A8462" s="5" t="str">
        <f>HYPERLINK("http://www.ncbi.nlm.nih.gov/protein/31560213","Zfp830")</f>
        <v>Zfp830</v>
      </c>
      <c r="B8462" s="4"/>
      <c r="C8462" s="3">
        <v>0</v>
      </c>
      <c r="D8462" s="3">
        <v>0</v>
      </c>
      <c r="E8462" s="3">
        <v>7</v>
      </c>
      <c r="F8462" s="3">
        <v>0</v>
      </c>
      <c r="G8462" s="3">
        <v>0</v>
      </c>
      <c r="H8462" s="2">
        <f t="shared" si="264"/>
        <v>7</v>
      </c>
      <c r="I8462" t="str">
        <f t="shared" si="265"/>
        <v>Zfp830_7</v>
      </c>
      <c r="J8462" s="3">
        <v>0</v>
      </c>
      <c r="K8462" s="3">
        <v>0</v>
      </c>
      <c r="L8462" s="3">
        <v>7</v>
      </c>
      <c r="M8462" s="3">
        <v>0</v>
      </c>
      <c r="N8462" s="3">
        <v>0</v>
      </c>
    </row>
    <row r="8463" spans="1:14" x14ac:dyDescent="0.2">
      <c r="A8463" s="5" t="str">
        <f>HYPERLINK("http://www.ncbi.nlm.nih.gov/protein/75677466","Zfp865")</f>
        <v>Zfp865</v>
      </c>
      <c r="B8463" s="4"/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2">
        <f t="shared" si="264"/>
        <v>0</v>
      </c>
      <c r="I8463" t="str">
        <f t="shared" si="265"/>
        <v>Zfp865_0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</row>
    <row r="8464" spans="1:14" x14ac:dyDescent="0.2">
      <c r="A8464" s="5" t="str">
        <f>HYPERLINK("http://www.ncbi.nlm.nih.gov/protein/90669983","Zfp91")</f>
        <v>Zfp91</v>
      </c>
      <c r="B8464" s="4"/>
      <c r="C8464" s="3">
        <v>0</v>
      </c>
      <c r="D8464" s="3">
        <v>0</v>
      </c>
      <c r="E8464" s="3">
        <v>0</v>
      </c>
      <c r="F8464" s="3">
        <v>2046</v>
      </c>
      <c r="G8464" s="3">
        <v>0</v>
      </c>
      <c r="H8464" s="2">
        <f t="shared" si="264"/>
        <v>2046</v>
      </c>
      <c r="I8464" t="str">
        <f t="shared" si="265"/>
        <v>Zfp91_2046</v>
      </c>
      <c r="J8464" s="3">
        <v>0</v>
      </c>
      <c r="K8464" s="3">
        <v>0</v>
      </c>
      <c r="L8464" s="3">
        <v>0</v>
      </c>
      <c r="M8464" s="3">
        <v>2046</v>
      </c>
      <c r="N8464" s="3">
        <v>0</v>
      </c>
    </row>
    <row r="8465" spans="1:14" x14ac:dyDescent="0.2">
      <c r="A8465" s="5" t="str">
        <f>HYPERLINK("http://www.ncbi.nlm.nih.gov/protein/13195658","Zfpl1")</f>
        <v>Zfpl1</v>
      </c>
      <c r="B8465" s="4"/>
      <c r="C8465" s="3">
        <v>5583</v>
      </c>
      <c r="D8465" s="3">
        <v>1023</v>
      </c>
      <c r="E8465" s="3">
        <v>230</v>
      </c>
      <c r="F8465" s="3">
        <v>8</v>
      </c>
      <c r="G8465" s="3">
        <v>0</v>
      </c>
      <c r="H8465" s="2">
        <f t="shared" si="264"/>
        <v>6844</v>
      </c>
      <c r="I8465" t="str">
        <f t="shared" si="265"/>
        <v>Zfpl1_6844</v>
      </c>
      <c r="J8465" s="3">
        <v>5583</v>
      </c>
      <c r="K8465" s="3">
        <v>1023</v>
      </c>
      <c r="L8465" s="3">
        <v>230</v>
      </c>
      <c r="M8465" s="3">
        <v>8</v>
      </c>
      <c r="N8465" s="3">
        <v>0</v>
      </c>
    </row>
    <row r="8466" spans="1:14" x14ac:dyDescent="0.2">
      <c r="A8466" s="5" t="str">
        <f>HYPERLINK("http://www.ncbi.nlm.nih.gov/protein/168480106","Zfr")</f>
        <v>Zfr</v>
      </c>
      <c r="B8466" s="4"/>
      <c r="C8466" s="3">
        <v>0</v>
      </c>
      <c r="D8466" s="3">
        <v>0</v>
      </c>
      <c r="E8466" s="3">
        <v>2044</v>
      </c>
      <c r="F8466" s="3">
        <v>917</v>
      </c>
      <c r="G8466" s="3">
        <v>0</v>
      </c>
      <c r="H8466" s="2">
        <f t="shared" si="264"/>
        <v>2961</v>
      </c>
      <c r="I8466" t="str">
        <f t="shared" si="265"/>
        <v>Zfr_2961</v>
      </c>
      <c r="J8466" s="3">
        <v>0</v>
      </c>
      <c r="K8466" s="3">
        <v>0</v>
      </c>
      <c r="L8466" s="3">
        <v>2044</v>
      </c>
      <c r="M8466" s="3">
        <v>917</v>
      </c>
      <c r="N8466" s="3">
        <v>0</v>
      </c>
    </row>
    <row r="8467" spans="1:14" x14ac:dyDescent="0.2">
      <c r="A8467" s="5" t="str">
        <f>HYPERLINK("http://www.ncbi.nlm.nih.gov/protein/110625853","Zfyve1")</f>
        <v>Zfyve1</v>
      </c>
      <c r="B8467" s="4"/>
      <c r="C8467" s="3">
        <v>0</v>
      </c>
      <c r="D8467" s="3">
        <v>211</v>
      </c>
      <c r="E8467" s="3">
        <v>61</v>
      </c>
      <c r="F8467" s="3">
        <v>0</v>
      </c>
      <c r="G8467" s="3">
        <v>54</v>
      </c>
      <c r="H8467" s="2">
        <f t="shared" si="264"/>
        <v>326</v>
      </c>
      <c r="I8467" t="str">
        <f t="shared" si="265"/>
        <v>Zfyve1_326</v>
      </c>
      <c r="J8467" s="3">
        <v>0</v>
      </c>
      <c r="K8467" s="3">
        <v>211</v>
      </c>
      <c r="L8467" s="3">
        <v>61</v>
      </c>
      <c r="M8467" s="3">
        <v>0</v>
      </c>
      <c r="N8467" s="3">
        <v>54</v>
      </c>
    </row>
    <row r="8468" spans="1:14" x14ac:dyDescent="0.2">
      <c r="A8468" s="5" t="str">
        <f>HYPERLINK("http://www.ncbi.nlm.nih.gov/protein/258679475","Zfyve19")</f>
        <v>Zfyve19</v>
      </c>
      <c r="B8468" s="4"/>
      <c r="C8468" s="3">
        <v>567</v>
      </c>
      <c r="D8468" s="3">
        <v>0</v>
      </c>
      <c r="E8468" s="3">
        <v>0</v>
      </c>
      <c r="F8468" s="3">
        <v>0</v>
      </c>
      <c r="G8468" s="3">
        <v>2388</v>
      </c>
      <c r="H8468" s="2">
        <f t="shared" si="264"/>
        <v>2955</v>
      </c>
      <c r="I8468" t="str">
        <f t="shared" si="265"/>
        <v>Zfyve19_2955</v>
      </c>
      <c r="J8468" s="3">
        <v>567</v>
      </c>
      <c r="K8468" s="3">
        <v>0</v>
      </c>
      <c r="L8468" s="3">
        <v>0</v>
      </c>
      <c r="M8468" s="3">
        <v>0</v>
      </c>
      <c r="N8468" s="3">
        <v>2388</v>
      </c>
    </row>
    <row r="8469" spans="1:14" x14ac:dyDescent="0.2">
      <c r="A8469" s="5" t="str">
        <f>HYPERLINK("http://www.ncbi.nlm.nih.gov/protein/258679477","Zfyve19")</f>
        <v>Zfyve19</v>
      </c>
      <c r="B8469" s="4"/>
      <c r="C8469" s="3">
        <v>567</v>
      </c>
      <c r="D8469" s="3">
        <v>0</v>
      </c>
      <c r="E8469" s="3">
        <v>0</v>
      </c>
      <c r="F8469" s="3">
        <v>0</v>
      </c>
      <c r="G8469" s="3">
        <v>2388</v>
      </c>
      <c r="H8469" s="2">
        <f t="shared" si="264"/>
        <v>2955</v>
      </c>
      <c r="I8469" t="str">
        <f t="shared" si="265"/>
        <v>Zfyve19_2955</v>
      </c>
      <c r="J8469" s="3">
        <v>567</v>
      </c>
      <c r="K8469" s="3">
        <v>0</v>
      </c>
      <c r="L8469" s="3">
        <v>0</v>
      </c>
      <c r="M8469" s="3">
        <v>0</v>
      </c>
      <c r="N8469" s="3">
        <v>2388</v>
      </c>
    </row>
    <row r="8470" spans="1:14" x14ac:dyDescent="0.2">
      <c r="A8470" s="5" t="str">
        <f>HYPERLINK("http://www.ncbi.nlm.nih.gov/protein/31541996","Zfyve20")</f>
        <v>Zfyve20</v>
      </c>
      <c r="B8470" s="4"/>
      <c r="C8470" s="3">
        <v>0</v>
      </c>
      <c r="D8470" s="3">
        <v>0</v>
      </c>
      <c r="E8470" s="3">
        <v>0</v>
      </c>
      <c r="F8470" s="3">
        <v>0</v>
      </c>
      <c r="G8470" s="3">
        <v>803</v>
      </c>
      <c r="H8470" s="2">
        <f t="shared" si="264"/>
        <v>803</v>
      </c>
      <c r="I8470" t="str">
        <f t="shared" si="265"/>
        <v>Zfyve20_803</v>
      </c>
      <c r="J8470" s="3">
        <v>0</v>
      </c>
      <c r="K8470" s="3">
        <v>0</v>
      </c>
      <c r="L8470" s="3">
        <v>0</v>
      </c>
      <c r="M8470" s="3">
        <v>0</v>
      </c>
      <c r="N8470" s="3">
        <v>803</v>
      </c>
    </row>
    <row r="8471" spans="1:14" x14ac:dyDescent="0.2">
      <c r="A8471" s="5" t="str">
        <f>HYPERLINK("http://www.ncbi.nlm.nih.gov/protein/112818584","Zfyve26")</f>
        <v>Zfyve26</v>
      </c>
      <c r="B8471" s="4"/>
      <c r="C8471" s="3">
        <v>0</v>
      </c>
      <c r="D8471" s="3">
        <v>0</v>
      </c>
      <c r="E8471" s="3">
        <v>138</v>
      </c>
      <c r="F8471" s="3">
        <v>0</v>
      </c>
      <c r="G8471" s="3">
        <v>0</v>
      </c>
      <c r="H8471" s="2">
        <f t="shared" si="264"/>
        <v>138</v>
      </c>
      <c r="I8471" t="str">
        <f t="shared" si="265"/>
        <v>Zfyve26_138</v>
      </c>
      <c r="J8471" s="3">
        <v>0</v>
      </c>
      <c r="K8471" s="3">
        <v>0</v>
      </c>
      <c r="L8471" s="3">
        <v>138</v>
      </c>
      <c r="M8471" s="3">
        <v>0</v>
      </c>
      <c r="N8471" s="3">
        <v>0</v>
      </c>
    </row>
    <row r="8472" spans="1:14" x14ac:dyDescent="0.2">
      <c r="A8472" s="5" t="str">
        <f>HYPERLINK("http://www.ncbi.nlm.nih.gov/protein/40254321","Zhx3")</f>
        <v>Zhx3</v>
      </c>
      <c r="B8472" s="4"/>
      <c r="C8472" s="3">
        <v>0</v>
      </c>
      <c r="D8472" s="3">
        <v>0</v>
      </c>
      <c r="E8472" s="3">
        <v>0</v>
      </c>
      <c r="F8472" s="3">
        <v>0</v>
      </c>
      <c r="G8472" s="3">
        <v>1896</v>
      </c>
      <c r="H8472" s="2">
        <f t="shared" si="264"/>
        <v>1896</v>
      </c>
      <c r="I8472" t="str">
        <f t="shared" si="265"/>
        <v>Zhx3_1896</v>
      </c>
      <c r="J8472" s="3">
        <v>0</v>
      </c>
      <c r="K8472" s="3">
        <v>0</v>
      </c>
      <c r="L8472" s="3">
        <v>0</v>
      </c>
      <c r="M8472" s="3">
        <v>0</v>
      </c>
      <c r="N8472" s="3">
        <v>1896</v>
      </c>
    </row>
    <row r="8473" spans="1:14" x14ac:dyDescent="0.2">
      <c r="A8473" s="5" t="str">
        <f>HYPERLINK("http://www.ncbi.nlm.nih.gov/protein/41053864","Zmiz1")</f>
        <v>Zmiz1</v>
      </c>
      <c r="B8473" s="4"/>
      <c r="C8473" s="3">
        <v>3661</v>
      </c>
      <c r="D8473" s="3">
        <v>0</v>
      </c>
      <c r="E8473" s="3">
        <v>2919</v>
      </c>
      <c r="F8473" s="3">
        <v>5984</v>
      </c>
      <c r="G8473" s="3">
        <v>0</v>
      </c>
      <c r="H8473" s="2">
        <f t="shared" si="264"/>
        <v>12564</v>
      </c>
      <c r="I8473" t="str">
        <f t="shared" si="265"/>
        <v>Zmiz1_12564</v>
      </c>
      <c r="J8473" s="3">
        <v>3661</v>
      </c>
      <c r="K8473" s="3">
        <v>0</v>
      </c>
      <c r="L8473" s="3">
        <v>2919</v>
      </c>
      <c r="M8473" s="3">
        <v>5984</v>
      </c>
      <c r="N8473" s="3">
        <v>0</v>
      </c>
    </row>
    <row r="8474" spans="1:14" x14ac:dyDescent="0.2">
      <c r="A8474" s="5" t="str">
        <f>HYPERLINK("http://www.ncbi.nlm.nih.gov/protein/27370012","Zmpste24")</f>
        <v>Zmpste24</v>
      </c>
      <c r="B8474" s="4"/>
      <c r="C8474" s="3">
        <v>0</v>
      </c>
      <c r="D8474" s="3">
        <v>635</v>
      </c>
      <c r="E8474" s="3">
        <v>222</v>
      </c>
      <c r="F8474" s="3">
        <v>0</v>
      </c>
      <c r="G8474" s="3">
        <v>0</v>
      </c>
      <c r="H8474" s="2">
        <f t="shared" si="264"/>
        <v>857</v>
      </c>
      <c r="I8474" t="str">
        <f t="shared" si="265"/>
        <v>Zmpste24_857</v>
      </c>
      <c r="J8474" s="3">
        <v>0</v>
      </c>
      <c r="K8474" s="3">
        <v>635</v>
      </c>
      <c r="L8474" s="3">
        <v>222</v>
      </c>
      <c r="M8474" s="3">
        <v>0</v>
      </c>
      <c r="N8474" s="3">
        <v>0</v>
      </c>
    </row>
    <row r="8475" spans="1:14" x14ac:dyDescent="0.2">
      <c r="A8475" s="5" t="str">
        <f>HYPERLINK("http://www.ncbi.nlm.nih.gov/protein/37595742","Zmym2")</f>
        <v>Zmym2</v>
      </c>
      <c r="B8475" s="4"/>
      <c r="C8475" s="3">
        <v>0</v>
      </c>
      <c r="D8475" s="3">
        <v>0</v>
      </c>
      <c r="E8475" s="3">
        <v>0</v>
      </c>
      <c r="F8475" s="3">
        <v>278</v>
      </c>
      <c r="G8475" s="3">
        <v>246</v>
      </c>
      <c r="H8475" s="2">
        <f t="shared" si="264"/>
        <v>524</v>
      </c>
      <c r="I8475" t="str">
        <f t="shared" si="265"/>
        <v>Zmym2_524</v>
      </c>
      <c r="J8475" s="3">
        <v>0</v>
      </c>
      <c r="K8475" s="3">
        <v>0</v>
      </c>
      <c r="L8475" s="3">
        <v>0</v>
      </c>
      <c r="M8475" s="3">
        <v>278</v>
      </c>
      <c r="N8475" s="3">
        <v>246</v>
      </c>
    </row>
    <row r="8476" spans="1:14" x14ac:dyDescent="0.2">
      <c r="A8476" s="5" t="str">
        <f>HYPERLINK("http://www.ncbi.nlm.nih.gov/protein/359279940","Zmym5")</f>
        <v>Zmym5</v>
      </c>
      <c r="B8476" s="4"/>
      <c r="C8476" s="3">
        <v>0</v>
      </c>
      <c r="D8476" s="3">
        <v>0</v>
      </c>
      <c r="E8476" s="3">
        <v>0</v>
      </c>
      <c r="F8476" s="3">
        <v>884</v>
      </c>
      <c r="G8476" s="3">
        <v>0</v>
      </c>
      <c r="H8476" s="2">
        <f t="shared" si="264"/>
        <v>884</v>
      </c>
      <c r="I8476" t="str">
        <f t="shared" si="265"/>
        <v>Zmym5_884</v>
      </c>
      <c r="J8476" s="3">
        <v>0</v>
      </c>
      <c r="K8476" s="3">
        <v>0</v>
      </c>
      <c r="L8476" s="3">
        <v>0</v>
      </c>
      <c r="M8476" s="3">
        <v>884</v>
      </c>
      <c r="N8476" s="3">
        <v>0</v>
      </c>
    </row>
    <row r="8477" spans="1:14" x14ac:dyDescent="0.2">
      <c r="A8477" s="5" t="str">
        <f>HYPERLINK("http://www.ncbi.nlm.nih.gov/protein/124487311","Znfx1")</f>
        <v>Znfx1</v>
      </c>
      <c r="B8477" s="4"/>
      <c r="C8477" s="3">
        <v>0</v>
      </c>
      <c r="D8477" s="3">
        <v>54</v>
      </c>
      <c r="E8477" s="3">
        <v>198</v>
      </c>
      <c r="F8477" s="3">
        <v>401</v>
      </c>
      <c r="G8477" s="3">
        <v>900</v>
      </c>
      <c r="H8477" s="2">
        <f t="shared" si="264"/>
        <v>1553</v>
      </c>
      <c r="I8477" t="str">
        <f t="shared" si="265"/>
        <v>Znfx1_1553</v>
      </c>
      <c r="J8477" s="3">
        <v>0</v>
      </c>
      <c r="K8477" s="3">
        <v>54</v>
      </c>
      <c r="L8477" s="3">
        <v>198</v>
      </c>
      <c r="M8477" s="3">
        <v>401</v>
      </c>
      <c r="N8477" s="3">
        <v>900</v>
      </c>
    </row>
    <row r="8478" spans="1:14" x14ac:dyDescent="0.2">
      <c r="A8478" s="5" t="str">
        <f>HYPERLINK("http://www.ncbi.nlm.nih.gov/protein/124487366","Znhit6")</f>
        <v>Znhit6</v>
      </c>
      <c r="B8478" s="4"/>
      <c r="C8478" s="3">
        <v>0</v>
      </c>
      <c r="D8478" s="3">
        <v>0</v>
      </c>
      <c r="E8478" s="3">
        <v>0</v>
      </c>
      <c r="F8478" s="3">
        <v>810</v>
      </c>
      <c r="G8478" s="3">
        <v>139</v>
      </c>
      <c r="H8478" s="2">
        <f t="shared" si="264"/>
        <v>949</v>
      </c>
      <c r="I8478" t="str">
        <f t="shared" si="265"/>
        <v>Znhit6_949</v>
      </c>
      <c r="J8478" s="3">
        <v>0</v>
      </c>
      <c r="K8478" s="3">
        <v>0</v>
      </c>
      <c r="L8478" s="3">
        <v>0</v>
      </c>
      <c r="M8478" s="3">
        <v>810</v>
      </c>
      <c r="N8478" s="3">
        <v>139</v>
      </c>
    </row>
    <row r="8479" spans="1:14" x14ac:dyDescent="0.2">
      <c r="A8479" s="5" t="str">
        <f>HYPERLINK("http://www.ncbi.nlm.nih.gov/protein/74315981","Zranb2")</f>
        <v>Zranb2</v>
      </c>
      <c r="B8479" s="4"/>
      <c r="C8479" s="3">
        <v>0</v>
      </c>
      <c r="D8479" s="3">
        <v>12114</v>
      </c>
      <c r="E8479" s="3">
        <v>6324</v>
      </c>
      <c r="F8479" s="3">
        <v>18819</v>
      </c>
      <c r="G8479" s="3">
        <v>0</v>
      </c>
      <c r="H8479" s="2">
        <f t="shared" si="264"/>
        <v>37257</v>
      </c>
      <c r="I8479" t="str">
        <f t="shared" si="265"/>
        <v>Zranb2_37257</v>
      </c>
      <c r="J8479" s="3">
        <v>0</v>
      </c>
      <c r="K8479" s="3">
        <v>12114</v>
      </c>
      <c r="L8479" s="3">
        <v>6324</v>
      </c>
      <c r="M8479" s="3">
        <v>18819</v>
      </c>
      <c r="N8479" s="3">
        <v>0</v>
      </c>
    </row>
    <row r="8480" spans="1:14" x14ac:dyDescent="0.2">
      <c r="A8480" s="5" t="str">
        <f>HYPERLINK("http://www.ncbi.nlm.nih.gov/protein/124430705","Zranb3")</f>
        <v>Zranb3</v>
      </c>
      <c r="B8480" s="4"/>
      <c r="C8480" s="3">
        <v>0</v>
      </c>
      <c r="D8480" s="3">
        <v>0</v>
      </c>
      <c r="E8480" s="3">
        <v>3</v>
      </c>
      <c r="F8480" s="3">
        <v>0</v>
      </c>
      <c r="G8480" s="3">
        <v>0</v>
      </c>
      <c r="H8480" s="2">
        <f t="shared" si="264"/>
        <v>3</v>
      </c>
      <c r="I8480" t="str">
        <f t="shared" si="265"/>
        <v>Zranb3_3</v>
      </c>
      <c r="J8480" s="3">
        <v>0</v>
      </c>
      <c r="K8480" s="3">
        <v>0</v>
      </c>
      <c r="L8480" s="3">
        <v>3</v>
      </c>
      <c r="M8480" s="3">
        <v>0</v>
      </c>
      <c r="N8480" s="3">
        <v>0</v>
      </c>
    </row>
    <row r="8481" spans="1:14" x14ac:dyDescent="0.2">
      <c r="A8481" s="5" t="str">
        <f>HYPERLINK("http://www.ncbi.nlm.nih.gov/protein/124430709","Zswim8")</f>
        <v>Zswim8</v>
      </c>
      <c r="B8481" s="4"/>
      <c r="C8481" s="3">
        <v>0</v>
      </c>
      <c r="D8481" s="3">
        <v>0</v>
      </c>
      <c r="E8481" s="3">
        <v>9</v>
      </c>
      <c r="F8481" s="3">
        <v>0</v>
      </c>
      <c r="G8481" s="3">
        <v>0</v>
      </c>
      <c r="H8481" s="2">
        <f t="shared" si="264"/>
        <v>9</v>
      </c>
      <c r="I8481" t="str">
        <f t="shared" si="265"/>
        <v>Zswim8_9</v>
      </c>
      <c r="J8481" s="3">
        <v>0</v>
      </c>
      <c r="K8481" s="3">
        <v>0</v>
      </c>
      <c r="L8481" s="3">
        <v>9</v>
      </c>
      <c r="M8481" s="3">
        <v>0</v>
      </c>
      <c r="N8481" s="3">
        <v>0</v>
      </c>
    </row>
    <row r="8482" spans="1:14" x14ac:dyDescent="0.2">
      <c r="A8482" s="5" t="str">
        <f>HYPERLINK("http://www.ncbi.nlm.nih.gov/protein/355390253","Zswim8")</f>
        <v>Zswim8</v>
      </c>
      <c r="B8482" s="4"/>
      <c r="C8482" s="3">
        <v>0</v>
      </c>
      <c r="D8482" s="3">
        <v>0</v>
      </c>
      <c r="E8482" s="3">
        <v>9</v>
      </c>
      <c r="F8482" s="3">
        <v>0</v>
      </c>
      <c r="G8482" s="3">
        <v>0</v>
      </c>
      <c r="H8482" s="2">
        <f t="shared" si="264"/>
        <v>9</v>
      </c>
      <c r="I8482" t="str">
        <f t="shared" si="265"/>
        <v>Zswim8_9</v>
      </c>
      <c r="J8482" s="3">
        <v>0</v>
      </c>
      <c r="K8482" s="3">
        <v>0</v>
      </c>
      <c r="L8482" s="3">
        <v>9</v>
      </c>
      <c r="M8482" s="3">
        <v>0</v>
      </c>
      <c r="N8482" s="3">
        <v>0</v>
      </c>
    </row>
    <row r="8483" spans="1:14" x14ac:dyDescent="0.2">
      <c r="A8483" s="5" t="str">
        <f>HYPERLINK("http://www.ncbi.nlm.nih.gov/protein/355390255","Zswim8")</f>
        <v>Zswim8</v>
      </c>
      <c r="B8483" s="4"/>
      <c r="C8483" s="3">
        <v>0</v>
      </c>
      <c r="D8483" s="3">
        <v>0</v>
      </c>
      <c r="E8483" s="3">
        <v>9</v>
      </c>
      <c r="F8483" s="3">
        <v>0</v>
      </c>
      <c r="G8483" s="3">
        <v>0</v>
      </c>
      <c r="H8483" s="2">
        <f t="shared" si="264"/>
        <v>9</v>
      </c>
      <c r="I8483" t="str">
        <f t="shared" si="265"/>
        <v>Zswim8_9</v>
      </c>
      <c r="J8483" s="3">
        <v>0</v>
      </c>
      <c r="K8483" s="3">
        <v>0</v>
      </c>
      <c r="L8483" s="3">
        <v>9</v>
      </c>
      <c r="M8483" s="3">
        <v>0</v>
      </c>
      <c r="N8483" s="3">
        <v>0</v>
      </c>
    </row>
    <row r="8484" spans="1:14" x14ac:dyDescent="0.2">
      <c r="A8484" s="5" t="str">
        <f>HYPERLINK("http://www.ncbi.nlm.nih.gov/protein/22165349","Zw10")</f>
        <v>Zw10</v>
      </c>
      <c r="B8484" s="4"/>
      <c r="C8484" s="3">
        <v>110</v>
      </c>
      <c r="D8484" s="3">
        <v>0</v>
      </c>
      <c r="E8484" s="3">
        <v>260</v>
      </c>
      <c r="F8484" s="3">
        <v>2325</v>
      </c>
      <c r="G8484" s="3">
        <v>525</v>
      </c>
      <c r="H8484" s="2">
        <f t="shared" si="264"/>
        <v>3220</v>
      </c>
      <c r="I8484" t="str">
        <f t="shared" si="265"/>
        <v>Zw10_3220</v>
      </c>
      <c r="J8484" s="3">
        <v>110</v>
      </c>
      <c r="K8484" s="3">
        <v>0</v>
      </c>
      <c r="L8484" s="3">
        <v>260</v>
      </c>
      <c r="M8484" s="3">
        <v>2325</v>
      </c>
      <c r="N8484" s="3">
        <v>525</v>
      </c>
    </row>
    <row r="8485" spans="1:14" x14ac:dyDescent="0.2">
      <c r="A8485" s="5" t="str">
        <f>HYPERLINK("http://www.ncbi.nlm.nih.gov/protein/257153357","Zwilch")</f>
        <v>Zwilch</v>
      </c>
      <c r="B8485" s="4"/>
      <c r="C8485" s="3">
        <v>0</v>
      </c>
      <c r="D8485" s="3">
        <v>0</v>
      </c>
      <c r="E8485" s="3">
        <v>0</v>
      </c>
      <c r="F8485" s="3">
        <v>6540</v>
      </c>
      <c r="G8485" s="3">
        <v>0</v>
      </c>
      <c r="H8485" s="2">
        <f t="shared" si="264"/>
        <v>6540</v>
      </c>
      <c r="I8485" t="str">
        <f t="shared" si="265"/>
        <v>Zwilch_6540</v>
      </c>
      <c r="J8485" s="3">
        <v>0</v>
      </c>
      <c r="K8485" s="3">
        <v>0</v>
      </c>
      <c r="L8485" s="3">
        <v>0</v>
      </c>
      <c r="M8485" s="3">
        <v>6540</v>
      </c>
      <c r="N8485" s="3">
        <v>0</v>
      </c>
    </row>
    <row r="8486" spans="1:14" x14ac:dyDescent="0.2">
      <c r="A8486" s="5" t="str">
        <f>HYPERLINK("http://www.ncbi.nlm.nih.gov/protein/21326440","Zwint")</f>
        <v>Zwint</v>
      </c>
      <c r="B8486" s="4"/>
      <c r="C8486" s="3">
        <v>0</v>
      </c>
      <c r="D8486" s="3">
        <v>0</v>
      </c>
      <c r="E8486" s="3">
        <v>0</v>
      </c>
      <c r="F8486" s="3">
        <v>2652</v>
      </c>
      <c r="G8486" s="3">
        <v>0</v>
      </c>
      <c r="H8486" s="2">
        <f t="shared" si="264"/>
        <v>2652</v>
      </c>
      <c r="I8486" t="str">
        <f t="shared" si="265"/>
        <v>Zwint_2652</v>
      </c>
      <c r="J8486" s="3">
        <v>0</v>
      </c>
      <c r="K8486" s="3">
        <v>0</v>
      </c>
      <c r="L8486" s="3">
        <v>0</v>
      </c>
      <c r="M8486" s="3">
        <v>2652</v>
      </c>
      <c r="N8486" s="3">
        <v>0</v>
      </c>
    </row>
    <row r="8487" spans="1:14" x14ac:dyDescent="0.2">
      <c r="A8487" s="5" t="str">
        <f>HYPERLINK("http://www.ncbi.nlm.nih.gov/protein/125490365","Zxdb")</f>
        <v>Zxdb</v>
      </c>
      <c r="B8487" s="4"/>
      <c r="C8487" s="3">
        <v>3661</v>
      </c>
      <c r="D8487" s="3">
        <v>0</v>
      </c>
      <c r="E8487" s="3">
        <v>2919</v>
      </c>
      <c r="F8487" s="3">
        <v>5984</v>
      </c>
      <c r="G8487" s="3">
        <v>0</v>
      </c>
      <c r="H8487" s="2">
        <f t="shared" si="264"/>
        <v>12564</v>
      </c>
      <c r="I8487" t="str">
        <f t="shared" si="265"/>
        <v>Zxdb_12564</v>
      </c>
      <c r="J8487" s="3">
        <v>3661</v>
      </c>
      <c r="K8487" s="3">
        <v>0</v>
      </c>
      <c r="L8487" s="3">
        <v>2919</v>
      </c>
      <c r="M8487" s="3">
        <v>5984</v>
      </c>
      <c r="N8487" s="3">
        <v>0</v>
      </c>
    </row>
    <row r="8488" spans="1:14" x14ac:dyDescent="0.2">
      <c r="A8488" s="5" t="str">
        <f>HYPERLINK("http://www.ncbi.nlm.nih.gov/protein/158937319","Zxdc")</f>
        <v>Zxdc</v>
      </c>
      <c r="B8488" s="4"/>
      <c r="C8488" s="3">
        <v>3661</v>
      </c>
      <c r="D8488" s="3">
        <v>0</v>
      </c>
      <c r="E8488" s="3">
        <v>2919</v>
      </c>
      <c r="F8488" s="3">
        <v>5984</v>
      </c>
      <c r="G8488" s="3">
        <v>0</v>
      </c>
      <c r="H8488" s="2">
        <f t="shared" si="264"/>
        <v>12564</v>
      </c>
      <c r="I8488" t="str">
        <f t="shared" si="265"/>
        <v>Zxdc_12564</v>
      </c>
      <c r="J8488" s="3">
        <v>3661</v>
      </c>
      <c r="K8488" s="3">
        <v>0</v>
      </c>
      <c r="L8488" s="3">
        <v>2919</v>
      </c>
      <c r="M8488" s="3">
        <v>5984</v>
      </c>
      <c r="N8488" s="3">
        <v>0</v>
      </c>
    </row>
    <row r="8489" spans="1:14" x14ac:dyDescent="0.2">
      <c r="A8489" s="5" t="str">
        <f>HYPERLINK("http://www.ncbi.nlm.nih.gov/protein/27370506","Zxdc")</f>
        <v>Zxdc</v>
      </c>
      <c r="B8489" s="4"/>
      <c r="C8489" s="3">
        <v>3661</v>
      </c>
      <c r="D8489" s="3">
        <v>0</v>
      </c>
      <c r="E8489" s="3">
        <v>2919</v>
      </c>
      <c r="F8489" s="3">
        <v>5984</v>
      </c>
      <c r="G8489" s="3">
        <v>0</v>
      </c>
      <c r="H8489" s="2">
        <f t="shared" si="264"/>
        <v>12564</v>
      </c>
      <c r="I8489" t="str">
        <f t="shared" si="265"/>
        <v>Zxdc_12564</v>
      </c>
      <c r="J8489" s="3">
        <v>3661</v>
      </c>
      <c r="K8489" s="3">
        <v>0</v>
      </c>
      <c r="L8489" s="3">
        <v>2919</v>
      </c>
      <c r="M8489" s="3">
        <v>5984</v>
      </c>
      <c r="N8489" s="3">
        <v>0</v>
      </c>
    </row>
    <row r="8490" spans="1:14" x14ac:dyDescent="0.2">
      <c r="A8490" s="5" t="str">
        <f>HYPERLINK("http://www.ncbi.nlm.nih.gov/protein/6756085","Zyx")</f>
        <v>Zyx</v>
      </c>
      <c r="B8490" s="4"/>
      <c r="C8490" s="3">
        <v>0</v>
      </c>
      <c r="D8490" s="3">
        <v>29</v>
      </c>
      <c r="E8490" s="3">
        <v>56</v>
      </c>
      <c r="F8490" s="3">
        <v>0</v>
      </c>
      <c r="G8490" s="3">
        <v>28712</v>
      </c>
      <c r="H8490" s="2">
        <f t="shared" si="264"/>
        <v>28797</v>
      </c>
      <c r="I8490" t="str">
        <f t="shared" si="265"/>
        <v>Zyx_28797</v>
      </c>
      <c r="J8490" s="3">
        <v>0</v>
      </c>
      <c r="K8490" s="3">
        <v>29</v>
      </c>
      <c r="L8490" s="3">
        <v>56</v>
      </c>
      <c r="M8490" s="3">
        <v>0</v>
      </c>
      <c r="N8490" s="3">
        <v>28712</v>
      </c>
    </row>
    <row r="8491" spans="1:14" x14ac:dyDescent="0.2">
      <c r="A8491" s="5" t="str">
        <f>HYPERLINK("http://www.ncbi.nlm.nih.gov/protein/113865905","Zzef1")</f>
        <v>Zzef1</v>
      </c>
      <c r="B8491" s="4"/>
      <c r="C8491" s="3">
        <v>0</v>
      </c>
      <c r="D8491" s="3">
        <v>0</v>
      </c>
      <c r="E8491" s="3">
        <v>0</v>
      </c>
      <c r="F8491" s="3">
        <v>4780</v>
      </c>
      <c r="G8491" s="3">
        <v>43</v>
      </c>
      <c r="H8491" s="2">
        <f t="shared" si="264"/>
        <v>4823</v>
      </c>
      <c r="I8491" t="str">
        <f t="shared" si="265"/>
        <v>Zzef1_4823</v>
      </c>
      <c r="J8491" s="3">
        <v>0</v>
      </c>
      <c r="K8491" s="3">
        <v>0</v>
      </c>
      <c r="L8491" s="3">
        <v>0</v>
      </c>
      <c r="M8491" s="3">
        <v>4780</v>
      </c>
      <c r="N8491" s="3">
        <v>43</v>
      </c>
    </row>
    <row r="8492" spans="1:14" x14ac:dyDescent="0.2">
      <c r="A8492" s="5" t="str">
        <f>HYPERLINK("http://www.ncbi.nlm.nih.gov/protein/126090572","A230046K03Rik")</f>
        <v>A230046K03Rik</v>
      </c>
      <c r="B8492" s="4"/>
      <c r="C8492" s="3">
        <v>73</v>
      </c>
      <c r="D8492" s="3">
        <v>616</v>
      </c>
      <c r="E8492" s="3">
        <v>1333</v>
      </c>
      <c r="F8492" s="3">
        <v>9184</v>
      </c>
      <c r="G8492" s="3">
        <v>3020</v>
      </c>
      <c r="H8492" s="2">
        <f t="shared" si="264"/>
        <v>14226</v>
      </c>
      <c r="I8492" t="str">
        <f t="shared" si="265"/>
        <v>A230046K03Rik_14226</v>
      </c>
      <c r="J8492" s="3">
        <v>73</v>
      </c>
      <c r="K8492" s="3">
        <v>616</v>
      </c>
      <c r="L8492" s="3">
        <v>1333</v>
      </c>
      <c r="M8492" s="3">
        <v>9184</v>
      </c>
      <c r="N8492" s="3">
        <v>3020</v>
      </c>
    </row>
    <row r="8493" spans="1:14" x14ac:dyDescent="0.2">
      <c r="A8493" s="5" t="str">
        <f>HYPERLINK("http://www.ncbi.nlm.nih.gov/protein/25072201","A630007B06Rik")</f>
        <v>A630007B06Rik</v>
      </c>
      <c r="B8493" s="4"/>
      <c r="C8493" s="3">
        <v>0</v>
      </c>
      <c r="D8493" s="3">
        <v>0</v>
      </c>
      <c r="E8493" s="3">
        <v>0</v>
      </c>
      <c r="F8493" s="3">
        <v>0</v>
      </c>
      <c r="G8493" s="3">
        <v>8728</v>
      </c>
      <c r="H8493" s="2">
        <f t="shared" si="264"/>
        <v>8728</v>
      </c>
      <c r="I8493" t="str">
        <f t="shared" si="265"/>
        <v>A630007B06Rik_8728</v>
      </c>
      <c r="J8493" s="3">
        <v>0</v>
      </c>
      <c r="K8493" s="3">
        <v>0</v>
      </c>
      <c r="L8493" s="3">
        <v>0</v>
      </c>
      <c r="M8493" s="3">
        <v>0</v>
      </c>
      <c r="N8493" s="3">
        <v>8728</v>
      </c>
    </row>
    <row r="8494" spans="1:14" x14ac:dyDescent="0.2">
      <c r="A8494" s="5" t="str">
        <f>HYPERLINK("http://www.ncbi.nlm.nih.gov/protein/440546392","AA414768")</f>
        <v>AA414768</v>
      </c>
      <c r="B8494" s="4"/>
      <c r="C8494" s="3">
        <v>0</v>
      </c>
      <c r="D8494" s="3">
        <v>0</v>
      </c>
      <c r="E8494" s="3">
        <v>9</v>
      </c>
      <c r="F8494" s="3">
        <v>0</v>
      </c>
      <c r="G8494" s="3">
        <v>2752</v>
      </c>
      <c r="H8494" s="2">
        <f t="shared" si="264"/>
        <v>2761</v>
      </c>
      <c r="I8494" t="str">
        <f t="shared" si="265"/>
        <v>AA414768_2761</v>
      </c>
      <c r="J8494" s="3">
        <v>0</v>
      </c>
      <c r="K8494" s="3">
        <v>0</v>
      </c>
      <c r="L8494" s="3">
        <v>9</v>
      </c>
      <c r="M8494" s="3">
        <v>0</v>
      </c>
      <c r="N8494" s="3">
        <v>2752</v>
      </c>
    </row>
    <row r="8495" spans="1:14" x14ac:dyDescent="0.2">
      <c r="A8495" s="5" t="str">
        <f>HYPERLINK("http://www.ncbi.nlm.nih.gov/protein/162417980","AA986860")</f>
        <v>AA986860</v>
      </c>
      <c r="B8495" s="4"/>
      <c r="C8495" s="3">
        <v>0</v>
      </c>
      <c r="D8495" s="3">
        <v>0</v>
      </c>
      <c r="E8495" s="3">
        <v>1125</v>
      </c>
      <c r="F8495" s="3">
        <v>0</v>
      </c>
      <c r="G8495" s="3">
        <v>0</v>
      </c>
      <c r="H8495" s="2">
        <f t="shared" si="264"/>
        <v>1125</v>
      </c>
      <c r="I8495" t="str">
        <f t="shared" si="265"/>
        <v>AA986860_1125</v>
      </c>
      <c r="J8495" s="3">
        <v>0</v>
      </c>
      <c r="K8495" s="3">
        <v>0</v>
      </c>
      <c r="L8495" s="3">
        <v>1125</v>
      </c>
      <c r="M8495" s="3">
        <v>0</v>
      </c>
      <c r="N8495" s="3">
        <v>0</v>
      </c>
    </row>
    <row r="8496" spans="1:14" x14ac:dyDescent="0.2">
      <c r="A8496" s="5" t="str">
        <f>HYPERLINK("http://www.ncbi.nlm.nih.gov/protein/10946822","0610007P14Rik")</f>
        <v>0610007P14Rik</v>
      </c>
      <c r="B8496" s="4"/>
      <c r="C8496" s="3">
        <v>5492</v>
      </c>
      <c r="D8496" s="3">
        <v>2292</v>
      </c>
      <c r="E8496" s="3">
        <v>1220</v>
      </c>
      <c r="F8496" s="3">
        <v>0</v>
      </c>
      <c r="G8496" s="3">
        <v>0</v>
      </c>
      <c r="H8496" s="2">
        <f t="shared" si="264"/>
        <v>9004</v>
      </c>
      <c r="I8496" t="str">
        <f t="shared" si="265"/>
        <v>0610007P14Rik_9004</v>
      </c>
      <c r="J8496" s="3">
        <v>5492</v>
      </c>
      <c r="K8496" s="3">
        <v>2292</v>
      </c>
      <c r="L8496" s="3">
        <v>1220</v>
      </c>
      <c r="M8496" s="3">
        <v>0</v>
      </c>
      <c r="N8496" s="3">
        <v>0</v>
      </c>
    </row>
    <row r="8497" spans="1:14" x14ac:dyDescent="0.2">
      <c r="A8497" s="5" t="str">
        <f>HYPERLINK("http://www.ncbi.nlm.nih.gov/protein/13384686","0610009B22Rik")</f>
        <v>0610009B22Rik</v>
      </c>
      <c r="B8497" s="4"/>
      <c r="C8497" s="3">
        <v>0</v>
      </c>
      <c r="D8497" s="3">
        <v>75</v>
      </c>
      <c r="E8497" s="3">
        <v>309</v>
      </c>
      <c r="F8497" s="3">
        <v>6409</v>
      </c>
      <c r="G8497" s="3">
        <v>54</v>
      </c>
      <c r="H8497" s="2">
        <f t="shared" si="264"/>
        <v>6847</v>
      </c>
      <c r="I8497" t="str">
        <f t="shared" si="265"/>
        <v>0610009B22Rik_6847</v>
      </c>
      <c r="J8497" s="3">
        <v>0</v>
      </c>
      <c r="K8497" s="3">
        <v>75</v>
      </c>
      <c r="L8497" s="3">
        <v>309</v>
      </c>
      <c r="M8497" s="3">
        <v>6409</v>
      </c>
      <c r="N8497" s="3">
        <v>54</v>
      </c>
    </row>
    <row r="8498" spans="1:14" x14ac:dyDescent="0.2">
      <c r="A8498" s="5" t="str">
        <f>HYPERLINK("http://www.ncbi.nlm.nih.gov/protein/13384692","0610009D07Rik")</f>
        <v>0610009D07Rik</v>
      </c>
      <c r="B8498" s="4"/>
      <c r="C8498" s="3">
        <v>7377</v>
      </c>
      <c r="D8498" s="3">
        <v>526</v>
      </c>
      <c r="E8498" s="3">
        <v>1351</v>
      </c>
      <c r="F8498" s="3">
        <v>11566</v>
      </c>
      <c r="G8498" s="3">
        <v>0</v>
      </c>
      <c r="H8498" s="2">
        <f t="shared" si="264"/>
        <v>20820</v>
      </c>
      <c r="I8498" t="str">
        <f t="shared" si="265"/>
        <v>0610009D07Rik_20820</v>
      </c>
      <c r="J8498" s="3">
        <v>7377</v>
      </c>
      <c r="K8498" s="3">
        <v>526</v>
      </c>
      <c r="L8498" s="3">
        <v>1351</v>
      </c>
      <c r="M8498" s="3">
        <v>11566</v>
      </c>
      <c r="N8498" s="3">
        <v>0</v>
      </c>
    </row>
    <row r="8499" spans="1:14" x14ac:dyDescent="0.2">
      <c r="A8499" s="5" t="str">
        <f>HYPERLINK("http://www.ncbi.nlm.nih.gov/protein/117956375","0610010F05Rik")</f>
        <v>0610010F05Rik</v>
      </c>
      <c r="B8499" s="4"/>
      <c r="C8499" s="3">
        <v>0</v>
      </c>
      <c r="D8499" s="3">
        <v>0</v>
      </c>
      <c r="E8499" s="3">
        <v>80</v>
      </c>
      <c r="F8499" s="3">
        <v>0</v>
      </c>
      <c r="G8499" s="3">
        <v>0</v>
      </c>
      <c r="H8499" s="2">
        <f t="shared" si="264"/>
        <v>80</v>
      </c>
      <c r="I8499" t="str">
        <f t="shared" si="265"/>
        <v>0610010F05Rik_80</v>
      </c>
      <c r="J8499" s="3">
        <v>0</v>
      </c>
      <c r="K8499" s="3">
        <v>0</v>
      </c>
      <c r="L8499" s="3">
        <v>80</v>
      </c>
      <c r="M8499" s="3">
        <v>0</v>
      </c>
      <c r="N8499" s="3">
        <v>0</v>
      </c>
    </row>
    <row r="8500" spans="1:14" x14ac:dyDescent="0.2">
      <c r="A8500" s="5" t="str">
        <f>HYPERLINK("http://www.ncbi.nlm.nih.gov/protein/21389318","0610010K14Rik")</f>
        <v>0610010K14Rik</v>
      </c>
      <c r="B8500" s="4"/>
      <c r="C8500" s="3">
        <v>0</v>
      </c>
      <c r="D8500" s="3">
        <v>0</v>
      </c>
      <c r="E8500" s="3">
        <v>0</v>
      </c>
      <c r="F8500" s="3">
        <v>65</v>
      </c>
      <c r="G8500" s="3">
        <v>1917</v>
      </c>
      <c r="H8500" s="2">
        <f t="shared" si="264"/>
        <v>1982</v>
      </c>
      <c r="I8500" t="str">
        <f t="shared" si="265"/>
        <v>0610010K14Rik_1982</v>
      </c>
      <c r="J8500" s="3">
        <v>0</v>
      </c>
      <c r="K8500" s="3">
        <v>0</v>
      </c>
      <c r="L8500" s="3">
        <v>0</v>
      </c>
      <c r="M8500" s="3">
        <v>65</v>
      </c>
      <c r="N8500" s="3">
        <v>1917</v>
      </c>
    </row>
    <row r="8501" spans="1:14" x14ac:dyDescent="0.2">
      <c r="A8501" s="5" t="str">
        <f>HYPERLINK("http://www.ncbi.nlm.nih.gov/protein/294862278","0610010K14Rik")</f>
        <v>0610010K14Rik</v>
      </c>
      <c r="B8501" s="4"/>
      <c r="C8501" s="3">
        <v>0</v>
      </c>
      <c r="D8501" s="3">
        <v>0</v>
      </c>
      <c r="E8501" s="3">
        <v>0</v>
      </c>
      <c r="F8501" s="3">
        <v>65</v>
      </c>
      <c r="G8501" s="3">
        <v>1917</v>
      </c>
      <c r="H8501" s="2">
        <f t="shared" si="264"/>
        <v>1982</v>
      </c>
      <c r="I8501" t="str">
        <f t="shared" si="265"/>
        <v>0610010K14Rik_1982</v>
      </c>
      <c r="J8501" s="3">
        <v>0</v>
      </c>
      <c r="K8501" s="3">
        <v>0</v>
      </c>
      <c r="L8501" s="3">
        <v>0</v>
      </c>
      <c r="M8501" s="3">
        <v>65</v>
      </c>
      <c r="N8501" s="3">
        <v>1917</v>
      </c>
    </row>
    <row r="8502" spans="1:14" x14ac:dyDescent="0.2">
      <c r="A8502" s="5" t="str">
        <f>HYPERLINK("http://www.ncbi.nlm.nih.gov/protein/294862282","0610010K14Rik")</f>
        <v>0610010K14Rik</v>
      </c>
      <c r="B8502" s="4"/>
      <c r="C8502" s="3">
        <v>0</v>
      </c>
      <c r="D8502" s="3">
        <v>0</v>
      </c>
      <c r="E8502" s="3">
        <v>0</v>
      </c>
      <c r="F8502" s="3">
        <v>65</v>
      </c>
      <c r="G8502" s="3">
        <v>1917</v>
      </c>
      <c r="H8502" s="2">
        <f t="shared" si="264"/>
        <v>1982</v>
      </c>
      <c r="I8502" t="str">
        <f t="shared" si="265"/>
        <v>0610010K14Rik_1982</v>
      </c>
      <c r="J8502" s="3">
        <v>0</v>
      </c>
      <c r="K8502" s="3">
        <v>0</v>
      </c>
      <c r="L8502" s="3">
        <v>0</v>
      </c>
      <c r="M8502" s="3">
        <v>65</v>
      </c>
      <c r="N8502" s="3">
        <v>1917</v>
      </c>
    </row>
    <row r="8503" spans="1:14" x14ac:dyDescent="0.2">
      <c r="A8503" s="5" t="str">
        <f>HYPERLINK("http://www.ncbi.nlm.nih.gov/protein/294862289","0610010K14Rik")</f>
        <v>0610010K14Rik</v>
      </c>
      <c r="B8503" s="4"/>
      <c r="C8503" s="3">
        <v>0</v>
      </c>
      <c r="D8503" s="3">
        <v>0</v>
      </c>
      <c r="E8503" s="3">
        <v>0</v>
      </c>
      <c r="F8503" s="3">
        <v>65</v>
      </c>
      <c r="G8503" s="3">
        <v>1917</v>
      </c>
      <c r="H8503" s="2">
        <f t="shared" si="264"/>
        <v>1982</v>
      </c>
      <c r="I8503" t="str">
        <f t="shared" si="265"/>
        <v>0610010K14Rik_1982</v>
      </c>
      <c r="J8503" s="3">
        <v>0</v>
      </c>
      <c r="K8503" s="3">
        <v>0</v>
      </c>
      <c r="L8503" s="3">
        <v>0</v>
      </c>
      <c r="M8503" s="3">
        <v>65</v>
      </c>
      <c r="N8503" s="3">
        <v>1917</v>
      </c>
    </row>
    <row r="8504" spans="1:14" x14ac:dyDescent="0.2">
      <c r="A8504" s="5" t="str">
        <f>HYPERLINK("http://www.ncbi.nlm.nih.gov/protein/294862292","0610010K14Rik")</f>
        <v>0610010K14Rik</v>
      </c>
      <c r="B8504" s="4"/>
      <c r="C8504" s="3">
        <v>0</v>
      </c>
      <c r="D8504" s="3">
        <v>0</v>
      </c>
      <c r="E8504" s="3">
        <v>0</v>
      </c>
      <c r="F8504" s="3">
        <v>65</v>
      </c>
      <c r="G8504" s="3">
        <v>1917</v>
      </c>
      <c r="H8504" s="2">
        <f t="shared" si="264"/>
        <v>1982</v>
      </c>
      <c r="I8504" t="str">
        <f t="shared" si="265"/>
        <v>0610010K14Rik_1982</v>
      </c>
      <c r="J8504" s="3">
        <v>0</v>
      </c>
      <c r="K8504" s="3">
        <v>0</v>
      </c>
      <c r="L8504" s="3">
        <v>0</v>
      </c>
      <c r="M8504" s="3">
        <v>65</v>
      </c>
      <c r="N8504" s="3">
        <v>1917</v>
      </c>
    </row>
    <row r="8505" spans="1:14" x14ac:dyDescent="0.2">
      <c r="A8505" s="5" t="str">
        <f>HYPERLINK("http://www.ncbi.nlm.nih.gov/protein/295054298","0610010K14Rik")</f>
        <v>0610010K14Rik</v>
      </c>
      <c r="B8505" s="4"/>
      <c r="C8505" s="3">
        <v>0</v>
      </c>
      <c r="D8505" s="3">
        <v>0</v>
      </c>
      <c r="E8505" s="3">
        <v>0</v>
      </c>
      <c r="F8505" s="3">
        <v>65</v>
      </c>
      <c r="G8505" s="3">
        <v>1917</v>
      </c>
      <c r="H8505" s="2">
        <f t="shared" si="264"/>
        <v>1982</v>
      </c>
      <c r="I8505" t="str">
        <f t="shared" si="265"/>
        <v>0610010K14Rik_1982</v>
      </c>
      <c r="J8505" s="3">
        <v>0</v>
      </c>
      <c r="K8505" s="3">
        <v>0</v>
      </c>
      <c r="L8505" s="3">
        <v>0</v>
      </c>
      <c r="M8505" s="3">
        <v>65</v>
      </c>
      <c r="N8505" s="3">
        <v>1917</v>
      </c>
    </row>
    <row r="8506" spans="1:14" x14ac:dyDescent="0.2">
      <c r="A8506" s="5" t="str">
        <f>HYPERLINK("http://www.ncbi.nlm.nih.gov/protein/58037115","0610011F06Rik")</f>
        <v>0610011F06Rik</v>
      </c>
      <c r="B8506" s="4"/>
      <c r="C8506" s="3">
        <v>0</v>
      </c>
      <c r="D8506" s="3">
        <v>1355</v>
      </c>
      <c r="E8506" s="3">
        <v>919</v>
      </c>
      <c r="F8506" s="3">
        <v>966</v>
      </c>
      <c r="G8506" s="3">
        <v>10142</v>
      </c>
      <c r="H8506" s="2">
        <f t="shared" si="264"/>
        <v>13382</v>
      </c>
      <c r="I8506" t="str">
        <f t="shared" si="265"/>
        <v>0610011F06Rik_13382</v>
      </c>
      <c r="J8506" s="3">
        <v>0</v>
      </c>
      <c r="K8506" s="3">
        <v>1355</v>
      </c>
      <c r="L8506" s="3">
        <v>919</v>
      </c>
      <c r="M8506" s="3">
        <v>966</v>
      </c>
      <c r="N8506" s="3">
        <v>10142</v>
      </c>
    </row>
    <row r="8507" spans="1:14" x14ac:dyDescent="0.2">
      <c r="A8507" s="5" t="str">
        <f>HYPERLINK("http://www.ncbi.nlm.nih.gov/protein/9910458","0610031J06Rik")</f>
        <v>0610031J06Rik</v>
      </c>
      <c r="B8507" s="4"/>
      <c r="C8507" s="3">
        <v>0</v>
      </c>
      <c r="D8507" s="3">
        <v>319</v>
      </c>
      <c r="E8507" s="3">
        <v>0</v>
      </c>
      <c r="F8507" s="3">
        <v>0</v>
      </c>
      <c r="G8507" s="3">
        <v>0</v>
      </c>
      <c r="H8507" s="2">
        <f t="shared" si="264"/>
        <v>319</v>
      </c>
      <c r="I8507" t="str">
        <f t="shared" si="265"/>
        <v>0610031J06Rik_319</v>
      </c>
      <c r="J8507" s="3">
        <v>0</v>
      </c>
      <c r="K8507" s="3">
        <v>319</v>
      </c>
      <c r="L8507" s="3">
        <v>0</v>
      </c>
      <c r="M8507" s="3">
        <v>0</v>
      </c>
      <c r="N8507" s="3">
        <v>0</v>
      </c>
    </row>
    <row r="8508" spans="1:14" x14ac:dyDescent="0.2">
      <c r="A8508" s="5" t="str">
        <f>HYPERLINK("http://www.ncbi.nlm.nih.gov/protein/21539639","0610037L13Rik")</f>
        <v>0610037L13Rik</v>
      </c>
      <c r="B8508" s="4"/>
      <c r="C8508" s="3">
        <v>0</v>
      </c>
      <c r="D8508" s="3">
        <v>0</v>
      </c>
      <c r="E8508" s="3">
        <v>718</v>
      </c>
      <c r="F8508" s="3">
        <v>1236</v>
      </c>
      <c r="G8508" s="3">
        <v>17264</v>
      </c>
      <c r="H8508" s="2">
        <f t="shared" si="264"/>
        <v>19218</v>
      </c>
      <c r="I8508" t="str">
        <f t="shared" si="265"/>
        <v>0610037L13Rik_19218</v>
      </c>
      <c r="J8508" s="3">
        <v>0</v>
      </c>
      <c r="K8508" s="3">
        <v>0</v>
      </c>
      <c r="L8508" s="3">
        <v>718</v>
      </c>
      <c r="M8508" s="3">
        <v>1236</v>
      </c>
      <c r="N8508" s="3">
        <v>17264</v>
      </c>
    </row>
    <row r="8509" spans="1:14" x14ac:dyDescent="0.2">
      <c r="A8509" s="5" t="str">
        <f>HYPERLINK("http://www.ncbi.nlm.nih.gov/protein/294345426","1110001A16Rik")</f>
        <v>1110001A16Rik</v>
      </c>
      <c r="B8509" s="4"/>
      <c r="C8509" s="3">
        <v>0</v>
      </c>
      <c r="D8509" s="3">
        <v>232</v>
      </c>
      <c r="E8509" s="3">
        <v>0</v>
      </c>
      <c r="F8509" s="3">
        <v>0</v>
      </c>
      <c r="G8509" s="3">
        <v>0</v>
      </c>
      <c r="H8509" s="2">
        <f t="shared" si="264"/>
        <v>232</v>
      </c>
      <c r="I8509" t="str">
        <f t="shared" si="265"/>
        <v>1110001A16Rik_232</v>
      </c>
      <c r="J8509" s="3">
        <v>0</v>
      </c>
      <c r="K8509" s="3">
        <v>232</v>
      </c>
      <c r="L8509" s="3">
        <v>0</v>
      </c>
      <c r="M8509" s="3">
        <v>0</v>
      </c>
      <c r="N8509" s="3">
        <v>0</v>
      </c>
    </row>
    <row r="8510" spans="1:14" x14ac:dyDescent="0.2">
      <c r="A8510" s="5" t="str">
        <f>HYPERLINK("http://www.ncbi.nlm.nih.gov/protein/13384728","1110001J03Rik")</f>
        <v>1110001J03Rik</v>
      </c>
      <c r="B8510" s="4"/>
      <c r="C8510" s="3">
        <v>0</v>
      </c>
      <c r="D8510" s="3">
        <v>236</v>
      </c>
      <c r="E8510" s="3">
        <v>0</v>
      </c>
      <c r="F8510" s="3">
        <v>0</v>
      </c>
      <c r="G8510" s="3">
        <v>0</v>
      </c>
      <c r="H8510" s="2">
        <f t="shared" si="264"/>
        <v>236</v>
      </c>
      <c r="I8510" t="str">
        <f t="shared" si="265"/>
        <v>1110001J03Rik_236</v>
      </c>
      <c r="J8510" s="3">
        <v>0</v>
      </c>
      <c r="K8510" s="3">
        <v>236</v>
      </c>
      <c r="L8510" s="3">
        <v>0</v>
      </c>
      <c r="M8510" s="3">
        <v>0</v>
      </c>
      <c r="N8510" s="3">
        <v>0</v>
      </c>
    </row>
    <row r="8511" spans="1:14" x14ac:dyDescent="0.2">
      <c r="A8511" s="5" t="str">
        <f>HYPERLINK("http://www.ncbi.nlm.nih.gov/protein/9790217","1110004F10Rik")</f>
        <v>1110004F10Rik</v>
      </c>
      <c r="B8511" s="4"/>
      <c r="C8511" s="3">
        <v>0</v>
      </c>
      <c r="D8511" s="3">
        <v>0</v>
      </c>
      <c r="E8511" s="3">
        <v>0</v>
      </c>
      <c r="F8511" s="3">
        <v>1973</v>
      </c>
      <c r="G8511" s="3">
        <v>19930</v>
      </c>
      <c r="H8511" s="2">
        <f t="shared" si="264"/>
        <v>21903</v>
      </c>
      <c r="I8511" t="str">
        <f t="shared" si="265"/>
        <v>1110004F10Rik_21903</v>
      </c>
      <c r="J8511" s="3">
        <v>0</v>
      </c>
      <c r="K8511" s="3">
        <v>0</v>
      </c>
      <c r="L8511" s="3">
        <v>0</v>
      </c>
      <c r="M8511" s="3">
        <v>1973</v>
      </c>
      <c r="N8511" s="3">
        <v>19930</v>
      </c>
    </row>
    <row r="8512" spans="1:14" x14ac:dyDescent="0.2">
      <c r="A8512" s="5" t="str">
        <f>HYPERLINK("http://www.ncbi.nlm.nih.gov/protein/21312030","1110007C09Rik")</f>
        <v>1110007C09Rik</v>
      </c>
      <c r="B8512" s="4"/>
      <c r="C8512" s="3">
        <v>37</v>
      </c>
      <c r="D8512" s="3">
        <v>1244</v>
      </c>
      <c r="E8512" s="3">
        <v>23</v>
      </c>
      <c r="F8512" s="3">
        <v>0</v>
      </c>
      <c r="G8512" s="3">
        <v>0</v>
      </c>
      <c r="H8512" s="2">
        <f t="shared" si="264"/>
        <v>1304</v>
      </c>
      <c r="I8512" t="str">
        <f t="shared" si="265"/>
        <v>1110007C09Rik_1304</v>
      </c>
      <c r="J8512" s="3">
        <v>37</v>
      </c>
      <c r="K8512" s="3">
        <v>1244</v>
      </c>
      <c r="L8512" s="3">
        <v>23</v>
      </c>
      <c r="M8512" s="3">
        <v>0</v>
      </c>
      <c r="N8512" s="3">
        <v>0</v>
      </c>
    </row>
    <row r="8513" spans="1:14" x14ac:dyDescent="0.2">
      <c r="A8513" s="5" t="str">
        <f>HYPERLINK("http://www.ncbi.nlm.nih.gov/protein/13385630","1110008F13Rik")</f>
        <v>1110008F13Rik</v>
      </c>
      <c r="B8513" s="4"/>
      <c r="C8513" s="3">
        <v>0</v>
      </c>
      <c r="D8513" s="3">
        <v>161</v>
      </c>
      <c r="E8513" s="3">
        <v>0</v>
      </c>
      <c r="F8513" s="3">
        <v>0</v>
      </c>
      <c r="G8513" s="3">
        <v>0</v>
      </c>
      <c r="H8513" s="2">
        <f t="shared" si="264"/>
        <v>161</v>
      </c>
      <c r="I8513" t="str">
        <f t="shared" si="265"/>
        <v>1110008F13Rik_161</v>
      </c>
      <c r="J8513" s="3">
        <v>0</v>
      </c>
      <c r="K8513" s="3">
        <v>161</v>
      </c>
      <c r="L8513" s="3">
        <v>0</v>
      </c>
      <c r="M8513" s="3">
        <v>0</v>
      </c>
      <c r="N8513" s="3">
        <v>0</v>
      </c>
    </row>
    <row r="8514" spans="1:14" x14ac:dyDescent="0.2">
      <c r="A8514" s="5" t="str">
        <f>HYPERLINK("http://www.ncbi.nlm.nih.gov/protein/227908787","1110008L16Rik")</f>
        <v>1110008L16Rik</v>
      </c>
      <c r="B8514" s="4"/>
      <c r="C8514" s="3">
        <v>0</v>
      </c>
      <c r="D8514" s="3">
        <v>397</v>
      </c>
      <c r="E8514" s="3">
        <v>0</v>
      </c>
      <c r="F8514" s="3">
        <v>0</v>
      </c>
      <c r="G8514" s="3">
        <v>0</v>
      </c>
      <c r="H8514" s="2">
        <f t="shared" ref="H8514:H8577" si="266">SUM(C8514:G8514)</f>
        <v>397</v>
      </c>
      <c r="I8514" t="str">
        <f t="shared" ref="I8514:I8577" si="267">A8514&amp;"_"&amp;H8514</f>
        <v>1110008L16Rik_397</v>
      </c>
      <c r="J8514" s="3">
        <v>0</v>
      </c>
      <c r="K8514" s="3">
        <v>397</v>
      </c>
      <c r="L8514" s="3">
        <v>0</v>
      </c>
      <c r="M8514" s="3">
        <v>0</v>
      </c>
      <c r="N8514" s="3">
        <v>0</v>
      </c>
    </row>
    <row r="8515" spans="1:14" x14ac:dyDescent="0.2">
      <c r="A8515" s="5" t="str">
        <f>HYPERLINK("http://www.ncbi.nlm.nih.gov/protein/21312070","1110012L19Rik")</f>
        <v>1110012L19Rik</v>
      </c>
      <c r="B8515" s="4"/>
      <c r="C8515" s="3">
        <v>0</v>
      </c>
      <c r="D8515" s="3">
        <v>0</v>
      </c>
      <c r="E8515" s="3">
        <v>0</v>
      </c>
      <c r="F8515" s="3">
        <v>0</v>
      </c>
      <c r="G8515" s="3">
        <v>439</v>
      </c>
      <c r="H8515" s="2">
        <f t="shared" si="266"/>
        <v>439</v>
      </c>
      <c r="I8515" t="str">
        <f t="shared" si="267"/>
        <v>1110012L19Rik_439</v>
      </c>
      <c r="J8515" s="3">
        <v>0</v>
      </c>
      <c r="K8515" s="3">
        <v>0</v>
      </c>
      <c r="L8515" s="3">
        <v>0</v>
      </c>
      <c r="M8515" s="3">
        <v>0</v>
      </c>
      <c r="N8515" s="3">
        <v>439</v>
      </c>
    </row>
    <row r="8516" spans="1:14" x14ac:dyDescent="0.2">
      <c r="A8516" s="5" t="str">
        <f>HYPERLINK("http://www.ncbi.nlm.nih.gov/protein/268370114","1110057K04Rik")</f>
        <v>1110057K04Rik</v>
      </c>
      <c r="B8516" s="4"/>
      <c r="C8516" s="3">
        <v>21601</v>
      </c>
      <c r="D8516" s="3">
        <v>5749</v>
      </c>
      <c r="E8516" s="3">
        <v>4959</v>
      </c>
      <c r="F8516" s="3">
        <v>0</v>
      </c>
      <c r="G8516" s="3">
        <v>0</v>
      </c>
      <c r="H8516" s="2">
        <f t="shared" si="266"/>
        <v>32309</v>
      </c>
      <c r="I8516" t="str">
        <f t="shared" si="267"/>
        <v>1110057K04Rik_32309</v>
      </c>
      <c r="J8516" s="3">
        <v>21601</v>
      </c>
      <c r="K8516" s="3">
        <v>5749</v>
      </c>
      <c r="L8516" s="3">
        <v>4959</v>
      </c>
      <c r="M8516" s="3">
        <v>0</v>
      </c>
      <c r="N8516" s="3">
        <v>0</v>
      </c>
    </row>
    <row r="8517" spans="1:14" x14ac:dyDescent="0.2">
      <c r="A8517" s="5" t="str">
        <f>HYPERLINK("http://www.ncbi.nlm.nih.gov/protein/268370116","1110057K04Rik")</f>
        <v>1110057K04Rik</v>
      </c>
      <c r="B8517" s="4"/>
      <c r="C8517" s="3">
        <v>21601</v>
      </c>
      <c r="D8517" s="3">
        <v>5749</v>
      </c>
      <c r="E8517" s="3">
        <v>4984</v>
      </c>
      <c r="F8517" s="3">
        <v>0</v>
      </c>
      <c r="G8517" s="3">
        <v>0</v>
      </c>
      <c r="H8517" s="2">
        <f t="shared" si="266"/>
        <v>32334</v>
      </c>
      <c r="I8517" t="str">
        <f t="shared" si="267"/>
        <v>1110057K04Rik_32334</v>
      </c>
      <c r="J8517" s="3">
        <v>21601</v>
      </c>
      <c r="K8517" s="3">
        <v>5749</v>
      </c>
      <c r="L8517" s="3">
        <v>4984</v>
      </c>
      <c r="M8517" s="3">
        <v>0</v>
      </c>
      <c r="N8517" s="3">
        <v>0</v>
      </c>
    </row>
    <row r="8518" spans="1:14" x14ac:dyDescent="0.2">
      <c r="A8518" s="5" t="str">
        <f>HYPERLINK("http://www.ncbi.nlm.nih.gov/protein/269995975","1110057K04Rik")</f>
        <v>1110057K04Rik</v>
      </c>
      <c r="B8518" s="4"/>
      <c r="C8518" s="3">
        <v>21601</v>
      </c>
      <c r="D8518" s="3">
        <v>7523</v>
      </c>
      <c r="E8518" s="3">
        <v>4984</v>
      </c>
      <c r="F8518" s="3">
        <v>0</v>
      </c>
      <c r="G8518" s="3">
        <v>0</v>
      </c>
      <c r="H8518" s="2">
        <f t="shared" si="266"/>
        <v>34108</v>
      </c>
      <c r="I8518" t="str">
        <f t="shared" si="267"/>
        <v>1110057K04Rik_34108</v>
      </c>
      <c r="J8518" s="3">
        <v>21601</v>
      </c>
      <c r="K8518" s="3">
        <v>7523</v>
      </c>
      <c r="L8518" s="3">
        <v>4984</v>
      </c>
      <c r="M8518" s="3">
        <v>0</v>
      </c>
      <c r="N8518" s="3">
        <v>0</v>
      </c>
    </row>
    <row r="8519" spans="1:14" x14ac:dyDescent="0.2">
      <c r="A8519" s="5" t="str">
        <f>HYPERLINK("http://www.ncbi.nlm.nih.gov/protein/229577372","1110058L19Rik")</f>
        <v>1110058L19Rik</v>
      </c>
      <c r="B8519" s="4"/>
      <c r="C8519" s="3">
        <v>0</v>
      </c>
      <c r="D8519" s="3">
        <v>56</v>
      </c>
      <c r="E8519" s="3">
        <v>0</v>
      </c>
      <c r="F8519" s="3">
        <v>0</v>
      </c>
      <c r="G8519" s="3">
        <v>0</v>
      </c>
      <c r="H8519" s="2">
        <f t="shared" si="266"/>
        <v>56</v>
      </c>
      <c r="I8519" t="str">
        <f t="shared" si="267"/>
        <v>1110058L19Rik_56</v>
      </c>
      <c r="J8519" s="3">
        <v>0</v>
      </c>
      <c r="K8519" s="3">
        <v>56</v>
      </c>
      <c r="L8519" s="3">
        <v>0</v>
      </c>
      <c r="M8519" s="3">
        <v>0</v>
      </c>
      <c r="N8519" s="3">
        <v>0</v>
      </c>
    </row>
    <row r="8520" spans="1:14" x14ac:dyDescent="0.2">
      <c r="A8520" s="5" t="str">
        <f>HYPERLINK("http://www.ncbi.nlm.nih.gov/protein/21312338","1600014C10Rik")</f>
        <v>1600014C10Rik</v>
      </c>
      <c r="B8520" s="4"/>
      <c r="C8520" s="3">
        <v>0</v>
      </c>
      <c r="D8520" s="3">
        <v>0</v>
      </c>
      <c r="E8520" s="3">
        <v>0</v>
      </c>
      <c r="F8520" s="3">
        <v>0</v>
      </c>
      <c r="G8520" s="3">
        <v>2313</v>
      </c>
      <c r="H8520" s="2">
        <f t="shared" si="266"/>
        <v>2313</v>
      </c>
      <c r="I8520" t="str">
        <f t="shared" si="267"/>
        <v>1600014C10Rik_2313</v>
      </c>
      <c r="J8520" s="3">
        <v>0</v>
      </c>
      <c r="K8520" s="3">
        <v>0</v>
      </c>
      <c r="L8520" s="3">
        <v>0</v>
      </c>
      <c r="M8520" s="3">
        <v>0</v>
      </c>
      <c r="N8520" s="3">
        <v>2313</v>
      </c>
    </row>
    <row r="8521" spans="1:14" x14ac:dyDescent="0.2">
      <c r="A8521" s="5" t="str">
        <f>HYPERLINK("http://www.ncbi.nlm.nih.gov/protein/253735769","1600015I10Rik")</f>
        <v>1600015I10Rik</v>
      </c>
      <c r="B8521" s="4"/>
      <c r="C8521" s="3">
        <v>0</v>
      </c>
      <c r="D8521" s="3">
        <v>0</v>
      </c>
      <c r="E8521" s="3">
        <v>1117</v>
      </c>
      <c r="F8521" s="3">
        <v>0</v>
      </c>
      <c r="G8521" s="3">
        <v>0</v>
      </c>
      <c r="H8521" s="2">
        <f t="shared" si="266"/>
        <v>1117</v>
      </c>
      <c r="I8521" t="str">
        <f t="shared" si="267"/>
        <v>1600015I10Rik_1117</v>
      </c>
      <c r="J8521" s="3">
        <v>0</v>
      </c>
      <c r="K8521" s="3">
        <v>0</v>
      </c>
      <c r="L8521" s="3">
        <v>1117</v>
      </c>
      <c r="M8521" s="3">
        <v>0</v>
      </c>
      <c r="N8521" s="3">
        <v>0</v>
      </c>
    </row>
    <row r="8522" spans="1:14" x14ac:dyDescent="0.2">
      <c r="A8522" s="5" t="str">
        <f>HYPERLINK("http://www.ncbi.nlm.nih.gov/protein/124487358","1700009N14Rik")</f>
        <v>1700009N14Rik</v>
      </c>
      <c r="B8522" s="4"/>
      <c r="C8522" s="3">
        <v>325298</v>
      </c>
      <c r="D8522" s="3">
        <v>54394</v>
      </c>
      <c r="E8522" s="3">
        <v>67014</v>
      </c>
      <c r="F8522" s="3">
        <v>127032</v>
      </c>
      <c r="G8522" s="3">
        <v>1182190</v>
      </c>
      <c r="H8522" s="2">
        <f t="shared" si="266"/>
        <v>1755928</v>
      </c>
      <c r="I8522" t="str">
        <f t="shared" si="267"/>
        <v>1700009N14Rik_1755928</v>
      </c>
      <c r="J8522" s="3">
        <v>325298</v>
      </c>
      <c r="K8522" s="3">
        <v>54394</v>
      </c>
      <c r="L8522" s="3">
        <v>67014</v>
      </c>
      <c r="M8522" s="3">
        <v>127032</v>
      </c>
      <c r="N8522" s="3">
        <v>1182190</v>
      </c>
    </row>
    <row r="8523" spans="1:14" x14ac:dyDescent="0.2">
      <c r="A8523" s="5" t="str">
        <f>HYPERLINK("http://www.ncbi.nlm.nih.gov/protein/254675147","1700011E24Rik")</f>
        <v>1700011E24Rik</v>
      </c>
      <c r="B8523" s="4"/>
      <c r="C8523" s="3">
        <v>0</v>
      </c>
      <c r="D8523" s="3">
        <v>0</v>
      </c>
      <c r="E8523" s="3">
        <v>3108</v>
      </c>
      <c r="F8523" s="3">
        <v>5975</v>
      </c>
      <c r="G8523" s="3">
        <v>0</v>
      </c>
      <c r="H8523" s="2">
        <f t="shared" si="266"/>
        <v>9083</v>
      </c>
      <c r="I8523" t="str">
        <f t="shared" si="267"/>
        <v>1700011E24Rik_9083</v>
      </c>
      <c r="J8523" s="3">
        <v>0</v>
      </c>
      <c r="K8523" s="3">
        <v>0</v>
      </c>
      <c r="L8523" s="3">
        <v>3108</v>
      </c>
      <c r="M8523" s="3">
        <v>5975</v>
      </c>
      <c r="N8523" s="3">
        <v>0</v>
      </c>
    </row>
    <row r="8524" spans="1:14" x14ac:dyDescent="0.2">
      <c r="A8524" s="5" t="str">
        <f>HYPERLINK("http://www.ncbi.nlm.nih.gov/protein/241982748","1700011I03Rik")</f>
        <v>1700011I03Rik</v>
      </c>
      <c r="B8524" s="4"/>
      <c r="C8524" s="3">
        <v>0</v>
      </c>
      <c r="D8524" s="3">
        <v>113</v>
      </c>
      <c r="E8524" s="3">
        <v>0</v>
      </c>
      <c r="F8524" s="3">
        <v>0</v>
      </c>
      <c r="G8524" s="3">
        <v>0</v>
      </c>
      <c r="H8524" s="2">
        <f t="shared" si="266"/>
        <v>113</v>
      </c>
      <c r="I8524" t="str">
        <f t="shared" si="267"/>
        <v>1700011I03Rik_113</v>
      </c>
      <c r="J8524" s="3">
        <v>0</v>
      </c>
      <c r="K8524" s="3">
        <v>113</v>
      </c>
      <c r="L8524" s="3">
        <v>0</v>
      </c>
      <c r="M8524" s="3">
        <v>0</v>
      </c>
      <c r="N8524" s="3">
        <v>0</v>
      </c>
    </row>
    <row r="8525" spans="1:14" x14ac:dyDescent="0.2">
      <c r="A8525" s="5" t="str">
        <f>HYPERLINK("http://www.ncbi.nlm.nih.gov/protein/21450635","1700019D03Rik")</f>
        <v>1700019D03Rik</v>
      </c>
      <c r="B8525" s="4"/>
      <c r="C8525" s="3">
        <v>0</v>
      </c>
      <c r="D8525" s="3">
        <v>46</v>
      </c>
      <c r="E8525" s="3">
        <v>209</v>
      </c>
      <c r="F8525" s="3">
        <v>0</v>
      </c>
      <c r="G8525" s="3">
        <v>0</v>
      </c>
      <c r="H8525" s="2">
        <f t="shared" si="266"/>
        <v>255</v>
      </c>
      <c r="I8525" t="str">
        <f t="shared" si="267"/>
        <v>1700019D03Rik_255</v>
      </c>
      <c r="J8525" s="3">
        <v>0</v>
      </c>
      <c r="K8525" s="3">
        <v>46</v>
      </c>
      <c r="L8525" s="3">
        <v>209</v>
      </c>
      <c r="M8525" s="3">
        <v>0</v>
      </c>
      <c r="N8525" s="3">
        <v>0</v>
      </c>
    </row>
    <row r="8526" spans="1:14" x14ac:dyDescent="0.2">
      <c r="A8526" s="5" t="str">
        <f>HYPERLINK("http://www.ncbi.nlm.nih.gov/protein/268607534","1700020D05Rik")</f>
        <v>1700020D05Rik</v>
      </c>
      <c r="B8526" s="4"/>
      <c r="C8526" s="3">
        <v>330</v>
      </c>
      <c r="D8526" s="3">
        <v>50</v>
      </c>
      <c r="E8526" s="3">
        <v>0</v>
      </c>
      <c r="F8526" s="3">
        <v>0</v>
      </c>
      <c r="G8526" s="3">
        <v>0</v>
      </c>
      <c r="H8526" s="2">
        <f t="shared" si="266"/>
        <v>380</v>
      </c>
      <c r="I8526" t="str">
        <f t="shared" si="267"/>
        <v>1700020D05Rik_380</v>
      </c>
      <c r="J8526" s="3">
        <v>330</v>
      </c>
      <c r="K8526" s="3">
        <v>50</v>
      </c>
      <c r="L8526" s="3">
        <v>0</v>
      </c>
      <c r="M8526" s="3">
        <v>0</v>
      </c>
      <c r="N8526" s="3">
        <v>0</v>
      </c>
    </row>
    <row r="8527" spans="1:14" x14ac:dyDescent="0.2">
      <c r="A8527" s="5" t="str">
        <f>HYPERLINK("http://www.ncbi.nlm.nih.gov/protein/13385904","1700021F05Rik")</f>
        <v>1700021F05Rik</v>
      </c>
      <c r="B8527" s="4"/>
      <c r="C8527" s="3">
        <v>1519</v>
      </c>
      <c r="D8527" s="3">
        <v>129</v>
      </c>
      <c r="E8527" s="3">
        <v>0</v>
      </c>
      <c r="F8527" s="3">
        <v>327</v>
      </c>
      <c r="G8527" s="3">
        <v>0</v>
      </c>
      <c r="H8527" s="2">
        <f t="shared" si="266"/>
        <v>1975</v>
      </c>
      <c r="I8527" t="str">
        <f t="shared" si="267"/>
        <v>1700021F05Rik_1975</v>
      </c>
      <c r="J8527" s="3">
        <v>1519</v>
      </c>
      <c r="K8527" s="3">
        <v>129</v>
      </c>
      <c r="L8527" s="3">
        <v>0</v>
      </c>
      <c r="M8527" s="3">
        <v>327</v>
      </c>
      <c r="N8527" s="3">
        <v>0</v>
      </c>
    </row>
    <row r="8528" spans="1:14" x14ac:dyDescent="0.2">
      <c r="A8528" s="5" t="str">
        <f>HYPERLINK("http://www.ncbi.nlm.nih.gov/protein/13385590","1700037H04Rik")</f>
        <v>1700037H04Rik</v>
      </c>
      <c r="B8528" s="4"/>
      <c r="C8528" s="3">
        <v>220</v>
      </c>
      <c r="D8528" s="3">
        <v>2108</v>
      </c>
      <c r="E8528" s="3">
        <v>915</v>
      </c>
      <c r="F8528" s="3">
        <v>1613</v>
      </c>
      <c r="G8528" s="3">
        <v>11041</v>
      </c>
      <c r="H8528" s="2">
        <f t="shared" si="266"/>
        <v>15897</v>
      </c>
      <c r="I8528" t="str">
        <f t="shared" si="267"/>
        <v>1700037H04Rik_15897</v>
      </c>
      <c r="J8528" s="3">
        <v>220</v>
      </c>
      <c r="K8528" s="3">
        <v>2108</v>
      </c>
      <c r="L8528" s="3">
        <v>915</v>
      </c>
      <c r="M8528" s="3">
        <v>1613</v>
      </c>
      <c r="N8528" s="3">
        <v>11041</v>
      </c>
    </row>
    <row r="8529" spans="1:14" x14ac:dyDescent="0.2">
      <c r="A8529" s="5" t="str">
        <f>HYPERLINK("http://www.ncbi.nlm.nih.gov/protein/90093343","1700052N19Rik")</f>
        <v>1700052N19Rik</v>
      </c>
      <c r="B8529" s="4"/>
      <c r="C8529" s="3">
        <v>0</v>
      </c>
      <c r="D8529" s="3">
        <v>0</v>
      </c>
      <c r="E8529" s="3">
        <v>0</v>
      </c>
      <c r="F8529" s="3">
        <v>0</v>
      </c>
      <c r="G8529" s="3">
        <v>9221</v>
      </c>
      <c r="H8529" s="2">
        <f t="shared" si="266"/>
        <v>9221</v>
      </c>
      <c r="I8529" t="str">
        <f t="shared" si="267"/>
        <v>1700052N19Rik_9221</v>
      </c>
      <c r="J8529" s="3">
        <v>0</v>
      </c>
      <c r="K8529" s="3">
        <v>0</v>
      </c>
      <c r="L8529" s="3">
        <v>0</v>
      </c>
      <c r="M8529" s="3">
        <v>0</v>
      </c>
      <c r="N8529" s="3">
        <v>9221</v>
      </c>
    </row>
    <row r="8530" spans="1:14" x14ac:dyDescent="0.2">
      <c r="A8530" s="5" t="str">
        <f>HYPERLINK("http://www.ncbi.nlm.nih.gov/protein/343098457","1700055N04Rik")</f>
        <v>1700055N04Rik</v>
      </c>
      <c r="B8530" s="4"/>
      <c r="C8530" s="3">
        <v>696</v>
      </c>
      <c r="D8530" s="3">
        <v>14865</v>
      </c>
      <c r="E8530" s="3">
        <v>21828</v>
      </c>
      <c r="F8530" s="3">
        <v>5132</v>
      </c>
      <c r="G8530" s="3">
        <v>1349</v>
      </c>
      <c r="H8530" s="2">
        <f t="shared" si="266"/>
        <v>43870</v>
      </c>
      <c r="I8530" t="str">
        <f t="shared" si="267"/>
        <v>1700055N04Rik_43870</v>
      </c>
      <c r="J8530" s="3">
        <v>696</v>
      </c>
      <c r="K8530" s="3">
        <v>14865</v>
      </c>
      <c r="L8530" s="3">
        <v>21828</v>
      </c>
      <c r="M8530" s="3">
        <v>5132</v>
      </c>
      <c r="N8530" s="3">
        <v>1349</v>
      </c>
    </row>
    <row r="8531" spans="1:14" x14ac:dyDescent="0.2">
      <c r="A8531" s="5" t="str">
        <f>HYPERLINK("http://www.ncbi.nlm.nih.gov/protein/85702063","1700071K01Rik")</f>
        <v>1700071K01Rik</v>
      </c>
      <c r="B8531" s="4"/>
      <c r="C8531" s="3">
        <v>201769</v>
      </c>
      <c r="D8531" s="3">
        <v>15938</v>
      </c>
      <c r="E8531" s="3">
        <v>9343</v>
      </c>
      <c r="F8531" s="3">
        <v>753</v>
      </c>
      <c r="G8531" s="3">
        <v>0</v>
      </c>
      <c r="H8531" s="2">
        <f t="shared" si="266"/>
        <v>227803</v>
      </c>
      <c r="I8531" t="str">
        <f t="shared" si="267"/>
        <v>1700071K01Rik_227803</v>
      </c>
      <c r="J8531" s="3">
        <v>201769</v>
      </c>
      <c r="K8531" s="3">
        <v>15938</v>
      </c>
      <c r="L8531" s="3">
        <v>9343</v>
      </c>
      <c r="M8531" s="3">
        <v>753</v>
      </c>
      <c r="N8531" s="3">
        <v>0</v>
      </c>
    </row>
    <row r="8532" spans="1:14" x14ac:dyDescent="0.2">
      <c r="A8532" s="5" t="str">
        <f>HYPERLINK("http://www.ncbi.nlm.nih.gov/protein/227500514","1700080E11Rik")</f>
        <v>1700080E11Rik</v>
      </c>
      <c r="B8532" s="4"/>
      <c r="C8532" s="3">
        <v>0</v>
      </c>
      <c r="D8532" s="3">
        <v>0</v>
      </c>
      <c r="E8532" s="3">
        <v>19</v>
      </c>
      <c r="F8532" s="3">
        <v>0</v>
      </c>
      <c r="G8532" s="3">
        <v>0</v>
      </c>
      <c r="H8532" s="2">
        <f t="shared" si="266"/>
        <v>19</v>
      </c>
      <c r="I8532" t="str">
        <f t="shared" si="267"/>
        <v>1700080E11Rik_19</v>
      </c>
      <c r="J8532" s="3">
        <v>0</v>
      </c>
      <c r="K8532" s="3">
        <v>0</v>
      </c>
      <c r="L8532" s="3">
        <v>19</v>
      </c>
      <c r="M8532" s="3">
        <v>0</v>
      </c>
      <c r="N8532" s="3">
        <v>0</v>
      </c>
    </row>
    <row r="8533" spans="1:14" x14ac:dyDescent="0.2">
      <c r="A8533" s="5" t="str">
        <f>HYPERLINK("http://www.ncbi.nlm.nih.gov/protein/13384876","1810009A15Rik")</f>
        <v>1810009A15Rik</v>
      </c>
      <c r="B8533" s="4"/>
      <c r="C8533" s="3">
        <v>0</v>
      </c>
      <c r="D8533" s="3">
        <v>628</v>
      </c>
      <c r="E8533" s="3">
        <v>4592</v>
      </c>
      <c r="F8533" s="3">
        <v>10928</v>
      </c>
      <c r="G8533" s="3">
        <v>0</v>
      </c>
      <c r="H8533" s="2">
        <f t="shared" si="266"/>
        <v>16148</v>
      </c>
      <c r="I8533" t="str">
        <f t="shared" si="267"/>
        <v>1810009A15Rik_16148</v>
      </c>
      <c r="J8533" s="3">
        <v>0</v>
      </c>
      <c r="K8533" s="3">
        <v>628</v>
      </c>
      <c r="L8533" s="3">
        <v>4592</v>
      </c>
      <c r="M8533" s="3">
        <v>10928</v>
      </c>
      <c r="N8533" s="3">
        <v>0</v>
      </c>
    </row>
    <row r="8534" spans="1:14" x14ac:dyDescent="0.2">
      <c r="A8534" s="5" t="str">
        <f>HYPERLINK("http://www.ncbi.nlm.nih.gov/protein/21729757","1810009N02Rik")</f>
        <v>1810009N02Rik</v>
      </c>
      <c r="B8534" s="4"/>
      <c r="C8534" s="3">
        <v>0</v>
      </c>
      <c r="D8534" s="3">
        <v>0</v>
      </c>
      <c r="E8534" s="3">
        <v>0</v>
      </c>
      <c r="F8534" s="3">
        <v>0</v>
      </c>
      <c r="G8534" s="3">
        <v>3309</v>
      </c>
      <c r="H8534" s="2">
        <f t="shared" si="266"/>
        <v>3309</v>
      </c>
      <c r="I8534" t="str">
        <f t="shared" si="267"/>
        <v>1810009N02Rik_3309</v>
      </c>
      <c r="J8534" s="3">
        <v>0</v>
      </c>
      <c r="K8534" s="3">
        <v>0</v>
      </c>
      <c r="L8534" s="3">
        <v>0</v>
      </c>
      <c r="M8534" s="3">
        <v>0</v>
      </c>
      <c r="N8534" s="3">
        <v>3309</v>
      </c>
    </row>
    <row r="8535" spans="1:14" x14ac:dyDescent="0.2">
      <c r="A8535" s="5" t="str">
        <f>HYPERLINK("http://www.ncbi.nlm.nih.gov/protein/153791234","1810022K09Rik")</f>
        <v>1810022K09Rik</v>
      </c>
      <c r="B8535" s="4"/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2">
        <f t="shared" si="266"/>
        <v>0</v>
      </c>
      <c r="I8535" t="str">
        <f t="shared" si="267"/>
        <v>1810022K09Rik_0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</row>
    <row r="8536" spans="1:14" x14ac:dyDescent="0.2">
      <c r="A8536" s="5" t="str">
        <f>HYPERLINK("http://www.ncbi.nlm.nih.gov/protein/30519953","1810026J23Rik")</f>
        <v>1810026J23Rik</v>
      </c>
      <c r="B8536" s="4"/>
      <c r="C8536" s="3">
        <v>0</v>
      </c>
      <c r="D8536" s="3">
        <v>1428</v>
      </c>
      <c r="E8536" s="3">
        <v>0</v>
      </c>
      <c r="F8536" s="3">
        <v>0</v>
      </c>
      <c r="G8536" s="3">
        <v>0</v>
      </c>
      <c r="H8536" s="2">
        <f t="shared" si="266"/>
        <v>1428</v>
      </c>
      <c r="I8536" t="str">
        <f t="shared" si="267"/>
        <v>1810026J23Rik_1428</v>
      </c>
      <c r="J8536" s="3">
        <v>0</v>
      </c>
      <c r="K8536" s="3">
        <v>1428</v>
      </c>
      <c r="L8536" s="3">
        <v>0</v>
      </c>
      <c r="M8536" s="3">
        <v>0</v>
      </c>
      <c r="N8536" s="3">
        <v>0</v>
      </c>
    </row>
    <row r="8537" spans="1:14" x14ac:dyDescent="0.2">
      <c r="A8537" s="5" t="str">
        <f>HYPERLINK("http://www.ncbi.nlm.nih.gov/protein/21313570","1810037I17Rik")</f>
        <v>1810037I17Rik</v>
      </c>
      <c r="B8537" s="4"/>
      <c r="C8537" s="3">
        <v>0</v>
      </c>
      <c r="D8537" s="3">
        <v>720</v>
      </c>
      <c r="E8537" s="3">
        <v>218</v>
      </c>
      <c r="F8537" s="3">
        <v>115</v>
      </c>
      <c r="G8537" s="3">
        <v>0</v>
      </c>
      <c r="H8537" s="2">
        <f t="shared" si="266"/>
        <v>1053</v>
      </c>
      <c r="I8537" t="str">
        <f t="shared" si="267"/>
        <v>1810037I17Rik_1053</v>
      </c>
      <c r="J8537" s="3">
        <v>0</v>
      </c>
      <c r="K8537" s="3">
        <v>720</v>
      </c>
      <c r="L8537" s="3">
        <v>218</v>
      </c>
      <c r="M8537" s="3">
        <v>115</v>
      </c>
      <c r="N8537" s="3">
        <v>0</v>
      </c>
    </row>
    <row r="8538" spans="1:14" x14ac:dyDescent="0.2">
      <c r="A8538" s="5" t="str">
        <f>HYPERLINK("http://www.ncbi.nlm.nih.gov/protein/74315955","2010002M12Rik")</f>
        <v>2010002M12Rik</v>
      </c>
      <c r="B8538" s="4"/>
      <c r="C8538" s="3">
        <v>0</v>
      </c>
      <c r="D8538" s="3">
        <v>328</v>
      </c>
      <c r="E8538" s="3">
        <v>907</v>
      </c>
      <c r="F8538" s="3">
        <v>417</v>
      </c>
      <c r="G8538" s="3">
        <v>0</v>
      </c>
      <c r="H8538" s="2">
        <f t="shared" si="266"/>
        <v>1652</v>
      </c>
      <c r="I8538" t="str">
        <f t="shared" si="267"/>
        <v>2010002M12Rik_1652</v>
      </c>
      <c r="J8538" s="3">
        <v>0</v>
      </c>
      <c r="K8538" s="3">
        <v>328</v>
      </c>
      <c r="L8538" s="3">
        <v>907</v>
      </c>
      <c r="M8538" s="3">
        <v>417</v>
      </c>
      <c r="N8538" s="3">
        <v>0</v>
      </c>
    </row>
    <row r="8539" spans="1:14" x14ac:dyDescent="0.2">
      <c r="A8539" s="5" t="str">
        <f>HYPERLINK("http://www.ncbi.nlm.nih.gov/protein/13385000","2010012O05Rik")</f>
        <v>2010012O05Rik</v>
      </c>
      <c r="B8539" s="4"/>
      <c r="C8539" s="3">
        <v>0</v>
      </c>
      <c r="D8539" s="3">
        <v>0</v>
      </c>
      <c r="E8539" s="3">
        <v>0</v>
      </c>
      <c r="F8539" s="3">
        <v>0</v>
      </c>
      <c r="G8539" s="3">
        <v>139</v>
      </c>
      <c r="H8539" s="2">
        <f t="shared" si="266"/>
        <v>139</v>
      </c>
      <c r="I8539" t="str">
        <f t="shared" si="267"/>
        <v>2010012O05Rik_139</v>
      </c>
      <c r="J8539" s="3">
        <v>0</v>
      </c>
      <c r="K8539" s="3">
        <v>0</v>
      </c>
      <c r="L8539" s="3">
        <v>0</v>
      </c>
      <c r="M8539" s="3">
        <v>0</v>
      </c>
      <c r="N8539" s="3">
        <v>139</v>
      </c>
    </row>
    <row r="8540" spans="1:14" x14ac:dyDescent="0.2">
      <c r="A8540" s="5" t="str">
        <f>HYPERLINK("http://www.ncbi.nlm.nih.gov/protein/21312554","2010107E04Rik")</f>
        <v>2010107E04Rik</v>
      </c>
      <c r="B8540" s="4"/>
      <c r="C8540" s="3">
        <v>0</v>
      </c>
      <c r="D8540" s="3">
        <v>3257</v>
      </c>
      <c r="E8540" s="3">
        <v>354</v>
      </c>
      <c r="F8540" s="3">
        <v>0</v>
      </c>
      <c r="G8540" s="3">
        <v>0</v>
      </c>
      <c r="H8540" s="2">
        <f t="shared" si="266"/>
        <v>3611</v>
      </c>
      <c r="I8540" t="str">
        <f t="shared" si="267"/>
        <v>2010107E04Rik_3611</v>
      </c>
      <c r="J8540" s="3">
        <v>0</v>
      </c>
      <c r="K8540" s="3">
        <v>3257</v>
      </c>
      <c r="L8540" s="3">
        <v>354</v>
      </c>
      <c r="M8540" s="3">
        <v>0</v>
      </c>
      <c r="N8540" s="3">
        <v>0</v>
      </c>
    </row>
    <row r="8541" spans="1:14" x14ac:dyDescent="0.2">
      <c r="A8541" s="5" t="str">
        <f>HYPERLINK("http://www.ncbi.nlm.nih.gov/protein/21312460","2010107G23Rik")</f>
        <v>2010107G23Rik</v>
      </c>
      <c r="B8541" s="4"/>
      <c r="C8541" s="3">
        <v>1721</v>
      </c>
      <c r="D8541" s="3">
        <v>1678</v>
      </c>
      <c r="E8541" s="3">
        <v>565</v>
      </c>
      <c r="F8541" s="3">
        <v>827</v>
      </c>
      <c r="G8541" s="3">
        <v>0</v>
      </c>
      <c r="H8541" s="2">
        <f t="shared" si="266"/>
        <v>4791</v>
      </c>
      <c r="I8541" t="str">
        <f t="shared" si="267"/>
        <v>2010107G23Rik_4791</v>
      </c>
      <c r="J8541" s="3">
        <v>1721</v>
      </c>
      <c r="K8541" s="3">
        <v>1678</v>
      </c>
      <c r="L8541" s="3">
        <v>565</v>
      </c>
      <c r="M8541" s="3">
        <v>827</v>
      </c>
      <c r="N8541" s="3">
        <v>0</v>
      </c>
    </row>
    <row r="8542" spans="1:14" x14ac:dyDescent="0.2">
      <c r="A8542" s="5" t="str">
        <f>HYPERLINK("http://www.ncbi.nlm.nih.gov/protein/254675126","2010300C02Rik")</f>
        <v>2010300C02Rik</v>
      </c>
      <c r="B8542" s="4"/>
      <c r="C8542" s="3">
        <v>0</v>
      </c>
      <c r="D8542" s="3">
        <v>56576</v>
      </c>
      <c r="E8542" s="3">
        <v>0</v>
      </c>
      <c r="F8542" s="3">
        <v>0</v>
      </c>
      <c r="G8542" s="3">
        <v>0</v>
      </c>
      <c r="H8542" s="2">
        <f t="shared" si="266"/>
        <v>56576</v>
      </c>
      <c r="I8542" t="str">
        <f t="shared" si="267"/>
        <v>2010300C02Rik_56576</v>
      </c>
      <c r="J8542" s="3">
        <v>0</v>
      </c>
      <c r="K8542" s="3">
        <v>56576</v>
      </c>
      <c r="L8542" s="3">
        <v>0</v>
      </c>
      <c r="M8542" s="3">
        <v>0</v>
      </c>
      <c r="N8542" s="3">
        <v>0</v>
      </c>
    </row>
    <row r="8543" spans="1:14" x14ac:dyDescent="0.2">
      <c r="A8543" s="5" t="str">
        <f>HYPERLINK("http://www.ncbi.nlm.nih.gov/protein/82918901","2210011C24Rik")</f>
        <v>2210011C24Rik</v>
      </c>
      <c r="B8543" s="4"/>
      <c r="C8543" s="3">
        <v>0</v>
      </c>
      <c r="D8543" s="3">
        <v>0</v>
      </c>
      <c r="E8543" s="3">
        <v>310</v>
      </c>
      <c r="F8543" s="3">
        <v>0</v>
      </c>
      <c r="G8543" s="3">
        <v>0</v>
      </c>
      <c r="H8543" s="2">
        <f t="shared" si="266"/>
        <v>310</v>
      </c>
      <c r="I8543" t="str">
        <f t="shared" si="267"/>
        <v>2210011C24Rik_310</v>
      </c>
      <c r="J8543" s="3">
        <v>0</v>
      </c>
      <c r="K8543" s="3">
        <v>0</v>
      </c>
      <c r="L8543" s="3">
        <v>310</v>
      </c>
      <c r="M8543" s="3">
        <v>0</v>
      </c>
      <c r="N8543" s="3">
        <v>0</v>
      </c>
    </row>
    <row r="8544" spans="1:14" x14ac:dyDescent="0.2">
      <c r="A8544" s="5" t="str">
        <f>HYPERLINK("http://www.ncbi.nlm.nih.gov/protein/39930441","2210016L21Rik")</f>
        <v>2210016L21Rik</v>
      </c>
      <c r="B8544" s="4"/>
      <c r="C8544" s="3">
        <v>0</v>
      </c>
      <c r="D8544" s="3">
        <v>637</v>
      </c>
      <c r="E8544" s="3">
        <v>0</v>
      </c>
      <c r="F8544" s="3">
        <v>0</v>
      </c>
      <c r="G8544" s="3">
        <v>246</v>
      </c>
      <c r="H8544" s="2">
        <f t="shared" si="266"/>
        <v>883</v>
      </c>
      <c r="I8544" t="str">
        <f t="shared" si="267"/>
        <v>2210016L21Rik_883</v>
      </c>
      <c r="J8544" s="3">
        <v>0</v>
      </c>
      <c r="K8544" s="3">
        <v>637</v>
      </c>
      <c r="L8544" s="3">
        <v>0</v>
      </c>
      <c r="M8544" s="3">
        <v>0</v>
      </c>
      <c r="N8544" s="3">
        <v>246</v>
      </c>
    </row>
    <row r="8545" spans="1:14" x14ac:dyDescent="0.2">
      <c r="A8545" s="5" t="str">
        <f>HYPERLINK("http://www.ncbi.nlm.nih.gov/protein/229576965","2310007B03Rik")</f>
        <v>2310007B03Rik</v>
      </c>
      <c r="B8545" s="4"/>
      <c r="C8545" s="3">
        <v>0</v>
      </c>
      <c r="D8545" s="3">
        <v>0</v>
      </c>
      <c r="E8545" s="3">
        <v>3</v>
      </c>
      <c r="F8545" s="3">
        <v>0</v>
      </c>
      <c r="G8545" s="3">
        <v>0</v>
      </c>
      <c r="H8545" s="2">
        <f t="shared" si="266"/>
        <v>3</v>
      </c>
      <c r="I8545" t="str">
        <f t="shared" si="267"/>
        <v>2310007B03Rik_3</v>
      </c>
      <c r="J8545" s="3">
        <v>0</v>
      </c>
      <c r="K8545" s="3">
        <v>0</v>
      </c>
      <c r="L8545" s="3">
        <v>3</v>
      </c>
      <c r="M8545" s="3">
        <v>0</v>
      </c>
      <c r="N8545" s="3">
        <v>0</v>
      </c>
    </row>
    <row r="8546" spans="1:14" x14ac:dyDescent="0.2">
      <c r="A8546" s="5" t="str">
        <f>HYPERLINK("http://www.ncbi.nlm.nih.gov/protein/21313500","2310011J03Rik")</f>
        <v>2310011J03Rik</v>
      </c>
      <c r="B8546" s="4"/>
      <c r="C8546" s="3">
        <v>0</v>
      </c>
      <c r="D8546" s="3">
        <v>0</v>
      </c>
      <c r="E8546" s="3">
        <v>0</v>
      </c>
      <c r="F8546" s="3">
        <v>0</v>
      </c>
      <c r="G8546" s="3">
        <v>1917</v>
      </c>
      <c r="H8546" s="2">
        <f t="shared" si="266"/>
        <v>1917</v>
      </c>
      <c r="I8546" t="str">
        <f t="shared" si="267"/>
        <v>2310011J03Rik_1917</v>
      </c>
      <c r="J8546" s="3">
        <v>0</v>
      </c>
      <c r="K8546" s="3">
        <v>0</v>
      </c>
      <c r="L8546" s="3">
        <v>0</v>
      </c>
      <c r="M8546" s="3">
        <v>0</v>
      </c>
      <c r="N8546" s="3">
        <v>1917</v>
      </c>
    </row>
    <row r="8547" spans="1:14" x14ac:dyDescent="0.2">
      <c r="A8547" s="5" t="str">
        <f>HYPERLINK("http://www.ncbi.nlm.nih.gov/protein/13259376","2310033P09Rik")</f>
        <v>2310033P09Rik</v>
      </c>
      <c r="B8547" s="4"/>
      <c r="C8547" s="3">
        <v>0</v>
      </c>
      <c r="D8547" s="3">
        <v>1680</v>
      </c>
      <c r="E8547" s="3">
        <v>1974</v>
      </c>
      <c r="F8547" s="3">
        <v>1956</v>
      </c>
      <c r="G8547" s="3">
        <v>0</v>
      </c>
      <c r="H8547" s="2">
        <f t="shared" si="266"/>
        <v>5610</v>
      </c>
      <c r="I8547" t="str">
        <f t="shared" si="267"/>
        <v>2310033P09Rik_5610</v>
      </c>
      <c r="J8547" s="3">
        <v>0</v>
      </c>
      <c r="K8547" s="3">
        <v>1680</v>
      </c>
      <c r="L8547" s="3">
        <v>1974</v>
      </c>
      <c r="M8547" s="3">
        <v>1956</v>
      </c>
      <c r="N8547" s="3">
        <v>0</v>
      </c>
    </row>
    <row r="8548" spans="1:14" x14ac:dyDescent="0.2">
      <c r="A8548" s="5" t="str">
        <f>HYPERLINK("http://www.ncbi.nlm.nih.gov/protein/170014744","2310035C23Rik")</f>
        <v>2310035C23Rik</v>
      </c>
      <c r="B8548" s="4"/>
      <c r="C8548" s="3">
        <v>0</v>
      </c>
      <c r="D8548" s="3">
        <v>0</v>
      </c>
      <c r="E8548" s="3">
        <v>0</v>
      </c>
      <c r="F8548" s="3">
        <v>4011</v>
      </c>
      <c r="G8548" s="3">
        <v>3898</v>
      </c>
      <c r="H8548" s="2">
        <f t="shared" si="266"/>
        <v>7909</v>
      </c>
      <c r="I8548" t="str">
        <f t="shared" si="267"/>
        <v>2310035C23Rik_7909</v>
      </c>
      <c r="J8548" s="3">
        <v>0</v>
      </c>
      <c r="K8548" s="3">
        <v>0</v>
      </c>
      <c r="L8548" s="3">
        <v>0</v>
      </c>
      <c r="M8548" s="3">
        <v>4011</v>
      </c>
      <c r="N8548" s="3">
        <v>3898</v>
      </c>
    </row>
    <row r="8549" spans="1:14" x14ac:dyDescent="0.2">
      <c r="A8549" s="5" t="str">
        <f>HYPERLINK("http://www.ncbi.nlm.nih.gov/protein/170014746","2310035C23Rik")</f>
        <v>2310035C23Rik</v>
      </c>
      <c r="B8549" s="4"/>
      <c r="C8549" s="3">
        <v>0</v>
      </c>
      <c r="D8549" s="3">
        <v>0</v>
      </c>
      <c r="E8549" s="3">
        <v>0</v>
      </c>
      <c r="F8549" s="3">
        <v>4011</v>
      </c>
      <c r="G8549" s="3">
        <v>3898</v>
      </c>
      <c r="H8549" s="2">
        <f t="shared" si="266"/>
        <v>7909</v>
      </c>
      <c r="I8549" t="str">
        <f t="shared" si="267"/>
        <v>2310035C23Rik_7909</v>
      </c>
      <c r="J8549" s="3">
        <v>0</v>
      </c>
      <c r="K8549" s="3">
        <v>0</v>
      </c>
      <c r="L8549" s="3">
        <v>0</v>
      </c>
      <c r="M8549" s="3">
        <v>4011</v>
      </c>
      <c r="N8549" s="3">
        <v>3898</v>
      </c>
    </row>
    <row r="8550" spans="1:14" x14ac:dyDescent="0.2">
      <c r="A8550" s="5" t="str">
        <f>HYPERLINK("http://www.ncbi.nlm.nih.gov/protein/85362708","2310036O22Rik")</f>
        <v>2310036O22Rik</v>
      </c>
      <c r="B8550" s="4"/>
      <c r="C8550" s="3">
        <v>0</v>
      </c>
      <c r="D8550" s="3">
        <v>328</v>
      </c>
      <c r="E8550" s="3">
        <v>91</v>
      </c>
      <c r="F8550" s="3">
        <v>1531</v>
      </c>
      <c r="G8550" s="3">
        <v>2345</v>
      </c>
      <c r="H8550" s="2">
        <f t="shared" si="266"/>
        <v>4295</v>
      </c>
      <c r="I8550" t="str">
        <f t="shared" si="267"/>
        <v>2310036O22Rik_4295</v>
      </c>
      <c r="J8550" s="3">
        <v>0</v>
      </c>
      <c r="K8550" s="3">
        <v>328</v>
      </c>
      <c r="L8550" s="3">
        <v>91</v>
      </c>
      <c r="M8550" s="3">
        <v>1531</v>
      </c>
      <c r="N8550" s="3">
        <v>2345</v>
      </c>
    </row>
    <row r="8551" spans="1:14" x14ac:dyDescent="0.2">
      <c r="A8551" s="5" t="str">
        <f>HYPERLINK("http://www.ncbi.nlm.nih.gov/protein/13385462","2310039H08Rik")</f>
        <v>2310039H08Rik</v>
      </c>
      <c r="B8551" s="4"/>
      <c r="C8551" s="3">
        <v>0</v>
      </c>
      <c r="D8551" s="3">
        <v>0</v>
      </c>
      <c r="E8551" s="3">
        <v>0</v>
      </c>
      <c r="F8551" s="3">
        <v>0</v>
      </c>
      <c r="G8551" s="3">
        <v>900</v>
      </c>
      <c r="H8551" s="2">
        <f t="shared" si="266"/>
        <v>900</v>
      </c>
      <c r="I8551" t="str">
        <f t="shared" si="267"/>
        <v>2310039H08Rik_900</v>
      </c>
      <c r="J8551" s="3">
        <v>0</v>
      </c>
      <c r="K8551" s="3">
        <v>0</v>
      </c>
      <c r="L8551" s="3">
        <v>0</v>
      </c>
      <c r="M8551" s="3">
        <v>0</v>
      </c>
      <c r="N8551" s="3">
        <v>900</v>
      </c>
    </row>
    <row r="8552" spans="1:14" x14ac:dyDescent="0.2">
      <c r="A8552" s="5" t="str">
        <f>HYPERLINK("http://www.ncbi.nlm.nih.gov/protein/120952555","2310047M10Rik")</f>
        <v>2310047M10Rik</v>
      </c>
      <c r="B8552" s="4"/>
      <c r="C8552" s="3">
        <v>0</v>
      </c>
      <c r="D8552" s="3">
        <v>0</v>
      </c>
      <c r="E8552" s="3">
        <v>32</v>
      </c>
      <c r="F8552" s="3">
        <v>0</v>
      </c>
      <c r="G8552" s="3">
        <v>0</v>
      </c>
      <c r="H8552" s="2">
        <f t="shared" si="266"/>
        <v>32</v>
      </c>
      <c r="I8552" t="str">
        <f t="shared" si="267"/>
        <v>2310047M10Rik_32</v>
      </c>
      <c r="J8552" s="3">
        <v>0</v>
      </c>
      <c r="K8552" s="3">
        <v>0</v>
      </c>
      <c r="L8552" s="3">
        <v>32</v>
      </c>
      <c r="M8552" s="3">
        <v>0</v>
      </c>
      <c r="N8552" s="3">
        <v>0</v>
      </c>
    </row>
    <row r="8553" spans="1:14" x14ac:dyDescent="0.2">
      <c r="A8553" s="5" t="str">
        <f>HYPERLINK("http://www.ncbi.nlm.nih.gov/protein/262072980","2410002F23Rik")</f>
        <v>2410002F23Rik</v>
      </c>
      <c r="B8553" s="4"/>
      <c r="C8553" s="3">
        <v>0</v>
      </c>
      <c r="D8553" s="3">
        <v>73</v>
      </c>
      <c r="E8553" s="3">
        <v>3</v>
      </c>
      <c r="F8553" s="3">
        <v>720</v>
      </c>
      <c r="G8553" s="3">
        <v>0</v>
      </c>
      <c r="H8553" s="2">
        <f t="shared" si="266"/>
        <v>796</v>
      </c>
      <c r="I8553" t="str">
        <f t="shared" si="267"/>
        <v>2410002F23Rik_796</v>
      </c>
      <c r="J8553" s="3">
        <v>0</v>
      </c>
      <c r="K8553" s="3">
        <v>73</v>
      </c>
      <c r="L8553" s="3">
        <v>3</v>
      </c>
      <c r="M8553" s="3">
        <v>720</v>
      </c>
      <c r="N8553" s="3">
        <v>0</v>
      </c>
    </row>
    <row r="8554" spans="1:14" x14ac:dyDescent="0.2">
      <c r="A8554" s="5" t="str">
        <f>HYPERLINK("http://www.ncbi.nlm.nih.gov/protein/13384984","2410004B18Rik")</f>
        <v>2410004B18Rik</v>
      </c>
      <c r="B8554" s="4"/>
      <c r="C8554" s="3">
        <v>0</v>
      </c>
      <c r="D8554" s="3">
        <v>0</v>
      </c>
      <c r="E8554" s="3">
        <v>0</v>
      </c>
      <c r="F8554" s="3">
        <v>0</v>
      </c>
      <c r="G8554" s="3">
        <v>2431</v>
      </c>
      <c r="H8554" s="2">
        <f t="shared" si="266"/>
        <v>2431</v>
      </c>
      <c r="I8554" t="str">
        <f t="shared" si="267"/>
        <v>2410004B18Rik_2431</v>
      </c>
      <c r="J8554" s="3">
        <v>0</v>
      </c>
      <c r="K8554" s="3">
        <v>0</v>
      </c>
      <c r="L8554" s="3">
        <v>0</v>
      </c>
      <c r="M8554" s="3">
        <v>0</v>
      </c>
      <c r="N8554" s="3">
        <v>2431</v>
      </c>
    </row>
    <row r="8555" spans="1:14" x14ac:dyDescent="0.2">
      <c r="A8555" s="5" t="str">
        <f>HYPERLINK("http://www.ncbi.nlm.nih.gov/protein/134053873","2410018M08Rik")</f>
        <v>2410018M08Rik</v>
      </c>
      <c r="B8555" s="4"/>
      <c r="C8555" s="3">
        <v>256</v>
      </c>
      <c r="D8555" s="3">
        <v>3092</v>
      </c>
      <c r="E8555" s="3">
        <v>0</v>
      </c>
      <c r="F8555" s="3">
        <v>0</v>
      </c>
      <c r="G8555" s="3">
        <v>2752</v>
      </c>
      <c r="H8555" s="2">
        <f t="shared" si="266"/>
        <v>6100</v>
      </c>
      <c r="I8555" t="str">
        <f t="shared" si="267"/>
        <v>2410018M08Rik_6100</v>
      </c>
      <c r="J8555" s="3">
        <v>256</v>
      </c>
      <c r="K8555" s="3">
        <v>3092</v>
      </c>
      <c r="L8555" s="3">
        <v>0</v>
      </c>
      <c r="M8555" s="3">
        <v>0</v>
      </c>
      <c r="N8555" s="3">
        <v>2752</v>
      </c>
    </row>
    <row r="8556" spans="1:14" x14ac:dyDescent="0.2">
      <c r="A8556" s="5" t="str">
        <f>HYPERLINK("http://www.ncbi.nlm.nih.gov/protein/407262392","2410127L17Rik")</f>
        <v>2410127L17Rik</v>
      </c>
      <c r="B8556" s="4"/>
      <c r="C8556" s="3">
        <v>0</v>
      </c>
      <c r="D8556" s="3">
        <v>0</v>
      </c>
      <c r="E8556" s="3">
        <v>214</v>
      </c>
      <c r="F8556" s="3">
        <v>876</v>
      </c>
      <c r="G8556" s="3">
        <v>685</v>
      </c>
      <c r="H8556" s="2">
        <f t="shared" si="266"/>
        <v>1775</v>
      </c>
      <c r="I8556" t="str">
        <f t="shared" si="267"/>
        <v>2410127L17Rik_1775</v>
      </c>
      <c r="J8556" s="3">
        <v>0</v>
      </c>
      <c r="K8556" s="3">
        <v>0</v>
      </c>
      <c r="L8556" s="3">
        <v>214</v>
      </c>
      <c r="M8556" s="3">
        <v>876</v>
      </c>
      <c r="N8556" s="3">
        <v>685</v>
      </c>
    </row>
    <row r="8557" spans="1:14" x14ac:dyDescent="0.2">
      <c r="A8557" s="5" t="str">
        <f>HYPERLINK("http://www.ncbi.nlm.nih.gov/protein/407262394","2410127L17Rik")</f>
        <v>2410127L17Rik</v>
      </c>
      <c r="B8557" s="4"/>
      <c r="C8557" s="3">
        <v>0</v>
      </c>
      <c r="D8557" s="3">
        <v>0</v>
      </c>
      <c r="E8557" s="3">
        <v>214</v>
      </c>
      <c r="F8557" s="3">
        <v>876</v>
      </c>
      <c r="G8557" s="3">
        <v>685</v>
      </c>
      <c r="H8557" s="2">
        <f t="shared" si="266"/>
        <v>1775</v>
      </c>
      <c r="I8557" t="str">
        <f t="shared" si="267"/>
        <v>2410127L17Rik_1775</v>
      </c>
      <c r="J8557" s="3">
        <v>0</v>
      </c>
      <c r="K8557" s="3">
        <v>0</v>
      </c>
      <c r="L8557" s="3">
        <v>214</v>
      </c>
      <c r="M8557" s="3">
        <v>876</v>
      </c>
      <c r="N8557" s="3">
        <v>685</v>
      </c>
    </row>
    <row r="8558" spans="1:14" x14ac:dyDescent="0.2">
      <c r="A8558" s="5" t="str">
        <f>HYPERLINK("http://www.ncbi.nlm.nih.gov/protein/407262390","2410127L17Rik")</f>
        <v>2410127L17Rik</v>
      </c>
      <c r="B8558" s="4"/>
      <c r="C8558" s="3">
        <v>0</v>
      </c>
      <c r="D8558" s="3">
        <v>127</v>
      </c>
      <c r="E8558" s="3">
        <v>416</v>
      </c>
      <c r="F8558" s="3">
        <v>876</v>
      </c>
      <c r="G8558" s="3">
        <v>685</v>
      </c>
      <c r="H8558" s="2">
        <f t="shared" si="266"/>
        <v>2104</v>
      </c>
      <c r="I8558" t="str">
        <f t="shared" si="267"/>
        <v>2410127L17Rik_2104</v>
      </c>
      <c r="J8558" s="3">
        <v>0</v>
      </c>
      <c r="K8558" s="3">
        <v>127</v>
      </c>
      <c r="L8558" s="3">
        <v>416</v>
      </c>
      <c r="M8558" s="3">
        <v>876</v>
      </c>
      <c r="N8558" s="3">
        <v>685</v>
      </c>
    </row>
    <row r="8559" spans="1:14" x14ac:dyDescent="0.2">
      <c r="A8559" s="5" t="str">
        <f>HYPERLINK("http://www.ncbi.nlm.nih.gov/protein/85701660","2510002D24Rik")</f>
        <v>2510002D24Rik</v>
      </c>
      <c r="B8559" s="4"/>
      <c r="C8559" s="3">
        <v>0</v>
      </c>
      <c r="D8559" s="3">
        <v>0</v>
      </c>
      <c r="E8559" s="3">
        <v>3</v>
      </c>
      <c r="F8559" s="3">
        <v>0</v>
      </c>
      <c r="G8559" s="3">
        <v>0</v>
      </c>
      <c r="H8559" s="2">
        <f t="shared" si="266"/>
        <v>3</v>
      </c>
      <c r="I8559" t="str">
        <f t="shared" si="267"/>
        <v>2510002D24Rik_3</v>
      </c>
      <c r="J8559" s="3">
        <v>0</v>
      </c>
      <c r="K8559" s="3">
        <v>0</v>
      </c>
      <c r="L8559" s="3">
        <v>3</v>
      </c>
      <c r="M8559" s="3">
        <v>0</v>
      </c>
      <c r="N8559" s="3">
        <v>0</v>
      </c>
    </row>
    <row r="8560" spans="1:14" x14ac:dyDescent="0.2">
      <c r="A8560" s="5" t="str">
        <f>HYPERLINK("http://www.ncbi.nlm.nih.gov/protein/72384371","2510003E04Rik")</f>
        <v>2510003E04Rik</v>
      </c>
      <c r="B8560" s="4"/>
      <c r="C8560" s="3">
        <v>0</v>
      </c>
      <c r="D8560" s="3">
        <v>374</v>
      </c>
      <c r="E8560" s="3">
        <v>0</v>
      </c>
      <c r="F8560" s="3">
        <v>1744</v>
      </c>
      <c r="G8560" s="3">
        <v>1574</v>
      </c>
      <c r="H8560" s="2">
        <f t="shared" si="266"/>
        <v>3692</v>
      </c>
      <c r="I8560" t="str">
        <f t="shared" si="267"/>
        <v>2510003E04Rik_3692</v>
      </c>
      <c r="J8560" s="3">
        <v>0</v>
      </c>
      <c r="K8560" s="3">
        <v>374</v>
      </c>
      <c r="L8560" s="3">
        <v>0</v>
      </c>
      <c r="M8560" s="3">
        <v>1744</v>
      </c>
      <c r="N8560" s="3">
        <v>1574</v>
      </c>
    </row>
    <row r="8561" spans="1:14" x14ac:dyDescent="0.2">
      <c r="A8561" s="5" t="str">
        <f>HYPERLINK("http://www.ncbi.nlm.nih.gov/protein/225543561","2510039O18Rik")</f>
        <v>2510039O18Rik</v>
      </c>
      <c r="B8561" s="4"/>
      <c r="C8561" s="3">
        <v>0</v>
      </c>
      <c r="D8561" s="3">
        <v>1486</v>
      </c>
      <c r="E8561" s="3">
        <v>0</v>
      </c>
      <c r="F8561" s="3">
        <v>0</v>
      </c>
      <c r="G8561" s="3">
        <v>0</v>
      </c>
      <c r="H8561" s="2">
        <f t="shared" si="266"/>
        <v>1486</v>
      </c>
      <c r="I8561" t="str">
        <f t="shared" si="267"/>
        <v>2510039O18Rik_1486</v>
      </c>
      <c r="J8561" s="3">
        <v>0</v>
      </c>
      <c r="K8561" s="3">
        <v>1486</v>
      </c>
      <c r="L8561" s="3">
        <v>0</v>
      </c>
      <c r="M8561" s="3">
        <v>0</v>
      </c>
      <c r="N8561" s="3">
        <v>0</v>
      </c>
    </row>
    <row r="8562" spans="1:14" x14ac:dyDescent="0.2">
      <c r="A8562" s="5" t="str">
        <f>HYPERLINK("http://www.ncbi.nlm.nih.gov/protein/160333472","2510049J12Rik")</f>
        <v>2510049J12Rik</v>
      </c>
      <c r="B8562" s="4"/>
      <c r="C8562" s="3">
        <v>0</v>
      </c>
      <c r="D8562" s="3">
        <v>0</v>
      </c>
      <c r="E8562" s="3">
        <v>0</v>
      </c>
      <c r="F8562" s="3">
        <v>0</v>
      </c>
      <c r="G8562" s="3">
        <v>2174</v>
      </c>
      <c r="H8562" s="2">
        <f t="shared" si="266"/>
        <v>2174</v>
      </c>
      <c r="I8562" t="str">
        <f t="shared" si="267"/>
        <v>2510049J12Rik_2174</v>
      </c>
      <c r="J8562" s="3">
        <v>0</v>
      </c>
      <c r="K8562" s="3">
        <v>0</v>
      </c>
      <c r="L8562" s="3">
        <v>0</v>
      </c>
      <c r="M8562" s="3">
        <v>0</v>
      </c>
      <c r="N8562" s="3">
        <v>2174</v>
      </c>
    </row>
    <row r="8563" spans="1:14" x14ac:dyDescent="0.2">
      <c r="A8563" s="5" t="str">
        <f>HYPERLINK("http://www.ncbi.nlm.nih.gov/protein/19526920","2610018G03Rik")</f>
        <v>2610018G03Rik</v>
      </c>
      <c r="B8563" s="4"/>
      <c r="C8563" s="3">
        <v>0</v>
      </c>
      <c r="D8563" s="3">
        <v>3593</v>
      </c>
      <c r="E8563" s="3">
        <v>13865</v>
      </c>
      <c r="F8563" s="3">
        <v>11427</v>
      </c>
      <c r="G8563" s="3">
        <v>12262</v>
      </c>
      <c r="H8563" s="2">
        <f t="shared" si="266"/>
        <v>41147</v>
      </c>
      <c r="I8563" t="str">
        <f t="shared" si="267"/>
        <v>2610018G03Rik_41147</v>
      </c>
      <c r="J8563" s="3">
        <v>0</v>
      </c>
      <c r="K8563" s="3">
        <v>3593</v>
      </c>
      <c r="L8563" s="3">
        <v>13865</v>
      </c>
      <c r="M8563" s="3">
        <v>11427</v>
      </c>
      <c r="N8563" s="3">
        <v>12262</v>
      </c>
    </row>
    <row r="8564" spans="1:14" x14ac:dyDescent="0.2">
      <c r="A8564" s="5" t="str">
        <f>HYPERLINK("http://www.ncbi.nlm.nih.gov/protein/47498088","2610034B18Rik")</f>
        <v>2610034B18Rik</v>
      </c>
      <c r="B8564" s="4"/>
      <c r="C8564" s="3">
        <v>0</v>
      </c>
      <c r="D8564" s="3">
        <v>355</v>
      </c>
      <c r="E8564" s="3">
        <v>1247</v>
      </c>
      <c r="F8564" s="3">
        <v>2055</v>
      </c>
      <c r="G8564" s="3">
        <v>16353</v>
      </c>
      <c r="H8564" s="2">
        <f t="shared" si="266"/>
        <v>20010</v>
      </c>
      <c r="I8564" t="str">
        <f t="shared" si="267"/>
        <v>2610034B18Rik_20010</v>
      </c>
      <c r="J8564" s="3">
        <v>0</v>
      </c>
      <c r="K8564" s="3">
        <v>355</v>
      </c>
      <c r="L8564" s="3">
        <v>1247</v>
      </c>
      <c r="M8564" s="3">
        <v>2055</v>
      </c>
      <c r="N8564" s="3">
        <v>16353</v>
      </c>
    </row>
    <row r="8565" spans="1:14" x14ac:dyDescent="0.2">
      <c r="A8565" s="5" t="str">
        <f>HYPERLINK("http://www.ncbi.nlm.nih.gov/protein/198278498","2700029M09Rik")</f>
        <v>2700029M09Rik</v>
      </c>
      <c r="B8565" s="4"/>
      <c r="C8565" s="3">
        <v>0</v>
      </c>
      <c r="D8565" s="3">
        <v>31</v>
      </c>
      <c r="E8565" s="3">
        <v>350</v>
      </c>
      <c r="F8565" s="3">
        <v>638</v>
      </c>
      <c r="G8565" s="3">
        <v>10410</v>
      </c>
      <c r="H8565" s="2">
        <f t="shared" si="266"/>
        <v>11429</v>
      </c>
      <c r="I8565" t="str">
        <f t="shared" si="267"/>
        <v>2700029M09Rik_11429</v>
      </c>
      <c r="J8565" s="3">
        <v>0</v>
      </c>
      <c r="K8565" s="3">
        <v>31</v>
      </c>
      <c r="L8565" s="3">
        <v>350</v>
      </c>
      <c r="M8565" s="3">
        <v>638</v>
      </c>
      <c r="N8565" s="3">
        <v>10410</v>
      </c>
    </row>
    <row r="8566" spans="1:14" x14ac:dyDescent="0.2">
      <c r="A8566" s="5" t="str">
        <f>HYPERLINK("http://www.ncbi.nlm.nih.gov/protein/295389569","2700050L05Rik")</f>
        <v>2700050L05Rik</v>
      </c>
      <c r="B8566" s="4"/>
      <c r="C8566" s="3">
        <v>0</v>
      </c>
      <c r="D8566" s="3">
        <v>0</v>
      </c>
      <c r="E8566" s="3">
        <v>3</v>
      </c>
      <c r="F8566" s="3">
        <v>0</v>
      </c>
      <c r="G8566" s="3">
        <v>0</v>
      </c>
      <c r="H8566" s="2">
        <f t="shared" si="266"/>
        <v>3</v>
      </c>
      <c r="I8566" t="str">
        <f t="shared" si="267"/>
        <v>2700050L05Rik_3</v>
      </c>
      <c r="J8566" s="3">
        <v>0</v>
      </c>
      <c r="K8566" s="3">
        <v>0</v>
      </c>
      <c r="L8566" s="3">
        <v>3</v>
      </c>
      <c r="M8566" s="3">
        <v>0</v>
      </c>
      <c r="N8566" s="3">
        <v>0</v>
      </c>
    </row>
    <row r="8567" spans="1:14" x14ac:dyDescent="0.2">
      <c r="A8567" s="5" t="str">
        <f>HYPERLINK("http://www.ncbi.nlm.nih.gov/protein/13386026","2700060E02Rik")</f>
        <v>2700060E02Rik</v>
      </c>
      <c r="B8567" s="4"/>
      <c r="C8567" s="3">
        <v>2398</v>
      </c>
      <c r="D8567" s="3">
        <v>1687</v>
      </c>
      <c r="E8567" s="3">
        <v>17277</v>
      </c>
      <c r="F8567" s="3">
        <v>10674</v>
      </c>
      <c r="G8567" s="3">
        <v>6651</v>
      </c>
      <c r="H8567" s="2">
        <f t="shared" si="266"/>
        <v>38687</v>
      </c>
      <c r="I8567" t="str">
        <f t="shared" si="267"/>
        <v>2700060E02Rik_38687</v>
      </c>
      <c r="J8567" s="3">
        <v>2398</v>
      </c>
      <c r="K8567" s="3">
        <v>1687</v>
      </c>
      <c r="L8567" s="3">
        <v>17277</v>
      </c>
      <c r="M8567" s="3">
        <v>10674</v>
      </c>
      <c r="N8567" s="3">
        <v>6651</v>
      </c>
    </row>
    <row r="8568" spans="1:14" x14ac:dyDescent="0.2">
      <c r="A8568" s="5" t="str">
        <f>HYPERLINK("http://www.ncbi.nlm.nih.gov/protein/13386028","2700062C07Rik")</f>
        <v>2700062C07Rik</v>
      </c>
      <c r="B8568" s="4"/>
      <c r="C8568" s="3">
        <v>0</v>
      </c>
      <c r="D8568" s="3">
        <v>0</v>
      </c>
      <c r="E8568" s="3">
        <v>0</v>
      </c>
      <c r="F8568" s="3">
        <v>508</v>
      </c>
      <c r="G8568" s="3">
        <v>0</v>
      </c>
      <c r="H8568" s="2">
        <f t="shared" si="266"/>
        <v>508</v>
      </c>
      <c r="I8568" t="str">
        <f t="shared" si="267"/>
        <v>2700062C07Rik_508</v>
      </c>
      <c r="J8568" s="3">
        <v>0</v>
      </c>
      <c r="K8568" s="3">
        <v>0</v>
      </c>
      <c r="L8568" s="3">
        <v>0</v>
      </c>
      <c r="M8568" s="3">
        <v>508</v>
      </c>
      <c r="N8568" s="3">
        <v>0</v>
      </c>
    </row>
    <row r="8569" spans="1:14" x14ac:dyDescent="0.2">
      <c r="A8569" s="5" t="str">
        <f>HYPERLINK("http://www.ncbi.nlm.nih.gov/protein/254540194","2700089E24Rik")</f>
        <v>2700089E24Rik</v>
      </c>
      <c r="B8569" s="4"/>
      <c r="C8569" s="3">
        <v>0</v>
      </c>
      <c r="D8569" s="3">
        <v>209</v>
      </c>
      <c r="E8569" s="3">
        <v>0</v>
      </c>
      <c r="F8569" s="3">
        <v>0</v>
      </c>
      <c r="G8569" s="3">
        <v>0</v>
      </c>
      <c r="H8569" s="2">
        <f t="shared" si="266"/>
        <v>209</v>
      </c>
      <c r="I8569" t="str">
        <f t="shared" si="267"/>
        <v>2700089E24Rik_209</v>
      </c>
      <c r="J8569" s="3">
        <v>0</v>
      </c>
      <c r="K8569" s="3">
        <v>209</v>
      </c>
      <c r="L8569" s="3">
        <v>0</v>
      </c>
      <c r="M8569" s="3">
        <v>0</v>
      </c>
      <c r="N8569" s="3">
        <v>0</v>
      </c>
    </row>
    <row r="8570" spans="1:14" x14ac:dyDescent="0.2">
      <c r="A8570" s="5" t="str">
        <f>HYPERLINK("http://www.ncbi.nlm.nih.gov/protein/409264588","2700089E24Rik")</f>
        <v>2700089E24Rik</v>
      </c>
      <c r="B8570" s="4"/>
      <c r="C8570" s="3">
        <v>0</v>
      </c>
      <c r="D8570" s="3">
        <v>209</v>
      </c>
      <c r="E8570" s="3">
        <v>0</v>
      </c>
      <c r="F8570" s="3">
        <v>0</v>
      </c>
      <c r="G8570" s="3">
        <v>0</v>
      </c>
      <c r="H8570" s="2">
        <f t="shared" si="266"/>
        <v>209</v>
      </c>
      <c r="I8570" t="str">
        <f t="shared" si="267"/>
        <v>2700089E24Rik_209</v>
      </c>
      <c r="J8570" s="3">
        <v>0</v>
      </c>
      <c r="K8570" s="3">
        <v>209</v>
      </c>
      <c r="L8570" s="3">
        <v>0</v>
      </c>
      <c r="M8570" s="3">
        <v>0</v>
      </c>
      <c r="N8570" s="3">
        <v>0</v>
      </c>
    </row>
    <row r="8571" spans="1:14" x14ac:dyDescent="0.2">
      <c r="A8571" s="5" t="str">
        <f>HYPERLINK("http://www.ncbi.nlm.nih.gov/protein/409264649","2700089E24Rik")</f>
        <v>2700089E24Rik</v>
      </c>
      <c r="B8571" s="4"/>
      <c r="C8571" s="3">
        <v>0</v>
      </c>
      <c r="D8571" s="3">
        <v>209</v>
      </c>
      <c r="E8571" s="3">
        <v>0</v>
      </c>
      <c r="F8571" s="3">
        <v>0</v>
      </c>
      <c r="G8571" s="3">
        <v>0</v>
      </c>
      <c r="H8571" s="2">
        <f t="shared" si="266"/>
        <v>209</v>
      </c>
      <c r="I8571" t="str">
        <f t="shared" si="267"/>
        <v>2700089E24Rik_209</v>
      </c>
      <c r="J8571" s="3">
        <v>0</v>
      </c>
      <c r="K8571" s="3">
        <v>209</v>
      </c>
      <c r="L8571" s="3">
        <v>0</v>
      </c>
      <c r="M8571" s="3">
        <v>0</v>
      </c>
      <c r="N8571" s="3">
        <v>0</v>
      </c>
    </row>
    <row r="8572" spans="1:14" x14ac:dyDescent="0.2">
      <c r="A8572" s="5" t="str">
        <f>HYPERLINK("http://www.ncbi.nlm.nih.gov/protein/76781489","2700094K13Rik")</f>
        <v>2700094K13Rik</v>
      </c>
      <c r="B8572" s="4"/>
      <c r="C8572" s="3">
        <v>1428</v>
      </c>
      <c r="D8572" s="3">
        <v>856</v>
      </c>
      <c r="E8572" s="3">
        <v>2995</v>
      </c>
      <c r="F8572" s="3">
        <v>11067</v>
      </c>
      <c r="G8572" s="3">
        <v>3170</v>
      </c>
      <c r="H8572" s="2">
        <f t="shared" si="266"/>
        <v>19516</v>
      </c>
      <c r="I8572" t="str">
        <f t="shared" si="267"/>
        <v>2700094K13Rik_19516</v>
      </c>
      <c r="J8572" s="3">
        <v>1428</v>
      </c>
      <c r="K8572" s="3">
        <v>856</v>
      </c>
      <c r="L8572" s="3">
        <v>2995</v>
      </c>
      <c r="M8572" s="3">
        <v>11067</v>
      </c>
      <c r="N8572" s="3">
        <v>3170</v>
      </c>
    </row>
    <row r="8573" spans="1:14" x14ac:dyDescent="0.2">
      <c r="A8573" s="5" t="str">
        <f>HYPERLINK("http://www.ncbi.nlm.nih.gov/protein/62510085","2810408M09Rik")</f>
        <v>2810408M09Rik</v>
      </c>
      <c r="B8573" s="4"/>
      <c r="C8573" s="3">
        <v>0</v>
      </c>
      <c r="D8573" s="3">
        <v>157</v>
      </c>
      <c r="E8573" s="3">
        <v>7</v>
      </c>
      <c r="F8573" s="3">
        <v>57</v>
      </c>
      <c r="G8573" s="3">
        <v>2206</v>
      </c>
      <c r="H8573" s="2">
        <f t="shared" si="266"/>
        <v>2427</v>
      </c>
      <c r="I8573" t="str">
        <f t="shared" si="267"/>
        <v>2810408M09Rik_2427</v>
      </c>
      <c r="J8573" s="3">
        <v>0</v>
      </c>
      <c r="K8573" s="3">
        <v>157</v>
      </c>
      <c r="L8573" s="3">
        <v>7</v>
      </c>
      <c r="M8573" s="3">
        <v>57</v>
      </c>
      <c r="N8573" s="3">
        <v>2206</v>
      </c>
    </row>
    <row r="8574" spans="1:14" x14ac:dyDescent="0.2">
      <c r="A8574" s="5" t="str">
        <f>HYPERLINK("http://www.ncbi.nlm.nih.gov/protein/71773932","2810417H13Rik")</f>
        <v>2810417H13Rik</v>
      </c>
      <c r="B8574" s="4"/>
      <c r="C8574" s="3">
        <v>0</v>
      </c>
      <c r="D8574" s="3">
        <v>0</v>
      </c>
      <c r="E8574" s="3">
        <v>3</v>
      </c>
      <c r="F8574" s="3">
        <v>98</v>
      </c>
      <c r="G8574" s="3">
        <v>2228</v>
      </c>
      <c r="H8574" s="2">
        <f t="shared" si="266"/>
        <v>2329</v>
      </c>
      <c r="I8574" t="str">
        <f t="shared" si="267"/>
        <v>2810417H13Rik_2329</v>
      </c>
      <c r="J8574" s="3">
        <v>0</v>
      </c>
      <c r="K8574" s="3">
        <v>0</v>
      </c>
      <c r="L8574" s="3">
        <v>3</v>
      </c>
      <c r="M8574" s="3">
        <v>98</v>
      </c>
      <c r="N8574" s="3">
        <v>2228</v>
      </c>
    </row>
    <row r="8575" spans="1:14" x14ac:dyDescent="0.2">
      <c r="A8575" s="5" t="str">
        <f>HYPERLINK("http://www.ncbi.nlm.nih.gov/protein/13385020","2810428I15Rik")</f>
        <v>2810428I15Rik</v>
      </c>
      <c r="B8575" s="4"/>
      <c r="C8575" s="3">
        <v>0</v>
      </c>
      <c r="D8575" s="3">
        <v>0</v>
      </c>
      <c r="E8575" s="3">
        <v>0</v>
      </c>
      <c r="F8575" s="3">
        <v>0</v>
      </c>
      <c r="G8575" s="3">
        <v>760</v>
      </c>
      <c r="H8575" s="2">
        <f t="shared" si="266"/>
        <v>760</v>
      </c>
      <c r="I8575" t="str">
        <f t="shared" si="267"/>
        <v>2810428I15Rik_760</v>
      </c>
      <c r="J8575" s="3">
        <v>0</v>
      </c>
      <c r="K8575" s="3">
        <v>0</v>
      </c>
      <c r="L8575" s="3">
        <v>0</v>
      </c>
      <c r="M8575" s="3">
        <v>0</v>
      </c>
      <c r="N8575" s="3">
        <v>760</v>
      </c>
    </row>
    <row r="8576" spans="1:14" x14ac:dyDescent="0.2">
      <c r="A8576" s="5" t="str">
        <f>HYPERLINK("http://www.ncbi.nlm.nih.gov/protein/28077063","3110002H16Rik")</f>
        <v>3110002H16Rik</v>
      </c>
      <c r="B8576" s="4"/>
      <c r="C8576" s="3">
        <v>0</v>
      </c>
      <c r="D8576" s="3">
        <v>353</v>
      </c>
      <c r="E8576" s="3">
        <v>214</v>
      </c>
      <c r="F8576" s="3">
        <v>0</v>
      </c>
      <c r="G8576" s="3">
        <v>0</v>
      </c>
      <c r="H8576" s="2">
        <f t="shared" si="266"/>
        <v>567</v>
      </c>
      <c r="I8576" t="str">
        <f t="shared" si="267"/>
        <v>3110002H16Rik_567</v>
      </c>
      <c r="J8576" s="3">
        <v>0</v>
      </c>
      <c r="K8576" s="3">
        <v>353</v>
      </c>
      <c r="L8576" s="3">
        <v>214</v>
      </c>
      <c r="M8576" s="3">
        <v>0</v>
      </c>
      <c r="N8576" s="3">
        <v>0</v>
      </c>
    </row>
    <row r="8577" spans="1:14" x14ac:dyDescent="0.2">
      <c r="A8577" s="5" t="str">
        <f>HYPERLINK("http://www.ncbi.nlm.nih.gov/protein/13385576","3110040N11Rik")</f>
        <v>3110040N11Rik</v>
      </c>
      <c r="B8577" s="4"/>
      <c r="C8577" s="3">
        <v>0</v>
      </c>
      <c r="D8577" s="3">
        <v>0</v>
      </c>
      <c r="E8577" s="3">
        <v>10</v>
      </c>
      <c r="F8577" s="3">
        <v>0</v>
      </c>
      <c r="G8577" s="3">
        <v>2999</v>
      </c>
      <c r="H8577" s="2">
        <f t="shared" si="266"/>
        <v>3009</v>
      </c>
      <c r="I8577" t="str">
        <f t="shared" si="267"/>
        <v>3110040N11Rik_3009</v>
      </c>
      <c r="J8577" s="3">
        <v>0</v>
      </c>
      <c r="K8577" s="3">
        <v>0</v>
      </c>
      <c r="L8577" s="3">
        <v>10</v>
      </c>
      <c r="M8577" s="3">
        <v>0</v>
      </c>
      <c r="N8577" s="3">
        <v>2999</v>
      </c>
    </row>
    <row r="8578" spans="1:14" x14ac:dyDescent="0.2">
      <c r="A8578" s="5" t="str">
        <f>HYPERLINK("http://www.ncbi.nlm.nih.gov/protein/146134371","3110082I17Rik")</f>
        <v>3110082I17Rik</v>
      </c>
      <c r="B8578" s="4"/>
      <c r="C8578" s="3">
        <v>714</v>
      </c>
      <c r="D8578" s="3">
        <v>238</v>
      </c>
      <c r="E8578" s="3">
        <v>3014</v>
      </c>
      <c r="F8578" s="3">
        <v>1326</v>
      </c>
      <c r="G8578" s="3">
        <v>300</v>
      </c>
      <c r="H8578" s="2">
        <f t="shared" ref="H8578:H8609" si="268">SUM(C8578:G8578)</f>
        <v>5592</v>
      </c>
      <c r="I8578" t="str">
        <f t="shared" ref="I8578:I8609" si="269">A8578&amp;"_"&amp;H8578</f>
        <v>3110082I17Rik_5592</v>
      </c>
      <c r="J8578" s="3">
        <v>714</v>
      </c>
      <c r="K8578" s="3">
        <v>238</v>
      </c>
      <c r="L8578" s="3">
        <v>3014</v>
      </c>
      <c r="M8578" s="3">
        <v>1326</v>
      </c>
      <c r="N8578" s="3">
        <v>300</v>
      </c>
    </row>
    <row r="8579" spans="1:14" x14ac:dyDescent="0.2">
      <c r="A8579" s="5" t="str">
        <f>HYPERLINK("http://www.ncbi.nlm.nih.gov/protein/269914154","4732456N10Rik")</f>
        <v>4732456N10Rik</v>
      </c>
      <c r="B8579" s="4"/>
      <c r="C8579" s="3">
        <v>1848743</v>
      </c>
      <c r="D8579" s="3">
        <v>58223</v>
      </c>
      <c r="E8579" s="3">
        <v>66148</v>
      </c>
      <c r="F8579" s="3">
        <v>173976</v>
      </c>
      <c r="G8579" s="3">
        <v>169210</v>
      </c>
      <c r="H8579" s="2">
        <f t="shared" si="268"/>
        <v>2316300</v>
      </c>
      <c r="I8579" t="str">
        <f t="shared" si="269"/>
        <v>4732456N10Rik_2316300</v>
      </c>
      <c r="J8579" s="3">
        <v>1848743</v>
      </c>
      <c r="K8579" s="3">
        <v>58223</v>
      </c>
      <c r="L8579" s="3">
        <v>66148</v>
      </c>
      <c r="M8579" s="3">
        <v>173976</v>
      </c>
      <c r="N8579" s="3">
        <v>169210</v>
      </c>
    </row>
    <row r="8580" spans="1:14" x14ac:dyDescent="0.2">
      <c r="A8580" s="5" t="str">
        <f>HYPERLINK("http://www.ncbi.nlm.nih.gov/protein/34328303","4921504E06Rik")</f>
        <v>4921504E06Rik</v>
      </c>
      <c r="B8580" s="4"/>
      <c r="C8580" s="3">
        <v>0</v>
      </c>
      <c r="D8580" s="3">
        <v>0</v>
      </c>
      <c r="E8580" s="3">
        <v>79</v>
      </c>
      <c r="F8580" s="3">
        <v>0</v>
      </c>
      <c r="G8580" s="3">
        <v>0</v>
      </c>
      <c r="H8580" s="2">
        <f t="shared" si="268"/>
        <v>79</v>
      </c>
      <c r="I8580" t="str">
        <f t="shared" si="269"/>
        <v>4921504E06Rik_79</v>
      </c>
      <c r="J8580" s="3">
        <v>0</v>
      </c>
      <c r="K8580" s="3">
        <v>0</v>
      </c>
      <c r="L8580" s="3">
        <v>79</v>
      </c>
      <c r="M8580" s="3">
        <v>0</v>
      </c>
      <c r="N8580" s="3">
        <v>0</v>
      </c>
    </row>
    <row r="8581" spans="1:14" x14ac:dyDescent="0.2">
      <c r="A8581" s="5" t="str">
        <f>HYPERLINK("http://www.ncbi.nlm.nih.gov/protein/13385182","4921524J17Rik")</f>
        <v>4921524J17Rik</v>
      </c>
      <c r="B8581" s="4"/>
      <c r="C8581" s="3">
        <v>0</v>
      </c>
      <c r="D8581" s="3">
        <v>0</v>
      </c>
      <c r="E8581" s="3">
        <v>0</v>
      </c>
      <c r="F8581" s="3">
        <v>0</v>
      </c>
      <c r="G8581" s="3">
        <v>75</v>
      </c>
      <c r="H8581" s="2">
        <f t="shared" si="268"/>
        <v>75</v>
      </c>
      <c r="I8581" t="str">
        <f t="shared" si="269"/>
        <v>4921524J17Rik_75</v>
      </c>
      <c r="J8581" s="3">
        <v>0</v>
      </c>
      <c r="K8581" s="3">
        <v>0</v>
      </c>
      <c r="L8581" s="3">
        <v>0</v>
      </c>
      <c r="M8581" s="3">
        <v>0</v>
      </c>
      <c r="N8581" s="3">
        <v>75</v>
      </c>
    </row>
    <row r="8582" spans="1:14" x14ac:dyDescent="0.2">
      <c r="A8582" s="5" t="str">
        <f>HYPERLINK("http://www.ncbi.nlm.nih.gov/protein/147905039","4922501C03Rik")</f>
        <v>4922501C03Rik</v>
      </c>
      <c r="B8582" s="4"/>
      <c r="C8582" s="3">
        <v>3130</v>
      </c>
      <c r="D8582" s="3">
        <v>1146</v>
      </c>
      <c r="E8582" s="3">
        <v>9885</v>
      </c>
      <c r="F8582" s="3">
        <v>254</v>
      </c>
      <c r="G8582" s="3">
        <v>0</v>
      </c>
      <c r="H8582" s="2">
        <f t="shared" si="268"/>
        <v>14415</v>
      </c>
      <c r="I8582" t="str">
        <f t="shared" si="269"/>
        <v>4922501C03Rik_14415</v>
      </c>
      <c r="J8582" s="3">
        <v>3130</v>
      </c>
      <c r="K8582" s="3">
        <v>1146</v>
      </c>
      <c r="L8582" s="3">
        <v>9885</v>
      </c>
      <c r="M8582" s="3">
        <v>254</v>
      </c>
      <c r="N8582" s="3">
        <v>0</v>
      </c>
    </row>
    <row r="8583" spans="1:14" x14ac:dyDescent="0.2">
      <c r="A8583" s="5" t="str">
        <f>HYPERLINK("http://www.ncbi.nlm.nih.gov/protein/197116351","4930404A10Rik")</f>
        <v>4930404A10Rik</v>
      </c>
      <c r="B8583" s="4"/>
      <c r="C8583" s="3">
        <v>0</v>
      </c>
      <c r="D8583" s="3">
        <v>0</v>
      </c>
      <c r="E8583" s="3">
        <v>3805</v>
      </c>
      <c r="F8583" s="3">
        <v>0</v>
      </c>
      <c r="G8583" s="3">
        <v>0</v>
      </c>
      <c r="H8583" s="2">
        <f t="shared" si="268"/>
        <v>3805</v>
      </c>
      <c r="I8583" t="str">
        <f t="shared" si="269"/>
        <v>4930404A10Rik_3805</v>
      </c>
      <c r="J8583" s="3">
        <v>0</v>
      </c>
      <c r="K8583" s="3">
        <v>0</v>
      </c>
      <c r="L8583" s="3">
        <v>3805</v>
      </c>
      <c r="M8583" s="3">
        <v>0</v>
      </c>
      <c r="N8583" s="3">
        <v>0</v>
      </c>
    </row>
    <row r="8584" spans="1:14" x14ac:dyDescent="0.2">
      <c r="A8584" s="5" t="str">
        <f>HYPERLINK("http://www.ncbi.nlm.nih.gov/protein/171906608","4930430F08Rik")</f>
        <v>4930430F08Rik</v>
      </c>
      <c r="B8584" s="4"/>
      <c r="C8584" s="3">
        <v>0</v>
      </c>
      <c r="D8584" s="3">
        <v>0</v>
      </c>
      <c r="E8584" s="3">
        <v>0</v>
      </c>
      <c r="F8584" s="3">
        <v>0</v>
      </c>
      <c r="G8584" s="3">
        <v>932</v>
      </c>
      <c r="H8584" s="2">
        <f t="shared" si="268"/>
        <v>932</v>
      </c>
      <c r="I8584" t="str">
        <f t="shared" si="269"/>
        <v>4930430F08Rik_932</v>
      </c>
      <c r="J8584" s="3">
        <v>0</v>
      </c>
      <c r="K8584" s="3">
        <v>0</v>
      </c>
      <c r="L8584" s="3">
        <v>0</v>
      </c>
      <c r="M8584" s="3">
        <v>0</v>
      </c>
      <c r="N8584" s="3">
        <v>932</v>
      </c>
    </row>
    <row r="8585" spans="1:14" x14ac:dyDescent="0.2">
      <c r="A8585" s="5" t="str">
        <f>HYPERLINK("http://www.ncbi.nlm.nih.gov/protein/166851844","4930506M07Rik")</f>
        <v>4930506M07Rik</v>
      </c>
      <c r="B8585" s="4"/>
      <c r="C8585" s="3">
        <v>0</v>
      </c>
      <c r="D8585" s="3">
        <v>0</v>
      </c>
      <c r="E8585" s="3">
        <v>282</v>
      </c>
      <c r="F8585" s="3">
        <v>37277</v>
      </c>
      <c r="G8585" s="3">
        <v>62576</v>
      </c>
      <c r="H8585" s="2">
        <f t="shared" si="268"/>
        <v>100135</v>
      </c>
      <c r="I8585" t="str">
        <f t="shared" si="269"/>
        <v>4930506M07Rik_100135</v>
      </c>
      <c r="J8585" s="3">
        <v>0</v>
      </c>
      <c r="K8585" s="3">
        <v>0</v>
      </c>
      <c r="L8585" s="3">
        <v>282</v>
      </c>
      <c r="M8585" s="3">
        <v>37277</v>
      </c>
      <c r="N8585" s="3">
        <v>62576</v>
      </c>
    </row>
    <row r="8586" spans="1:14" x14ac:dyDescent="0.2">
      <c r="A8586" s="5" t="str">
        <f>HYPERLINK("http://www.ncbi.nlm.nih.gov/protein/30424776","4930506M07Rik")</f>
        <v>4930506M07Rik</v>
      </c>
      <c r="B8586" s="4"/>
      <c r="C8586" s="3">
        <v>0</v>
      </c>
      <c r="D8586" s="3">
        <v>0</v>
      </c>
      <c r="E8586" s="3">
        <v>155</v>
      </c>
      <c r="F8586" s="3">
        <v>29943</v>
      </c>
      <c r="G8586" s="3">
        <v>42667</v>
      </c>
      <c r="H8586" s="2">
        <f t="shared" si="268"/>
        <v>72765</v>
      </c>
      <c r="I8586" t="str">
        <f t="shared" si="269"/>
        <v>4930506M07Rik_72765</v>
      </c>
      <c r="J8586" s="3">
        <v>0</v>
      </c>
      <c r="K8586" s="3">
        <v>0</v>
      </c>
      <c r="L8586" s="3">
        <v>155</v>
      </c>
      <c r="M8586" s="3">
        <v>29943</v>
      </c>
      <c r="N8586" s="3">
        <v>42667</v>
      </c>
    </row>
    <row r="8587" spans="1:14" x14ac:dyDescent="0.2">
      <c r="A8587" s="5" t="str">
        <f>HYPERLINK("http://www.ncbi.nlm.nih.gov/protein/240120058","4930544G11Rik")</f>
        <v>4930544G11Rik</v>
      </c>
      <c r="B8587" s="4"/>
      <c r="C8587" s="3">
        <v>74268</v>
      </c>
      <c r="D8587" s="3">
        <v>7440</v>
      </c>
      <c r="E8587" s="3">
        <v>45697</v>
      </c>
      <c r="F8587" s="3">
        <v>34396</v>
      </c>
      <c r="G8587" s="3">
        <v>104867</v>
      </c>
      <c r="H8587" s="2">
        <f t="shared" si="268"/>
        <v>266668</v>
      </c>
      <c r="I8587" t="str">
        <f t="shared" si="269"/>
        <v>4930544G11Rik_266668</v>
      </c>
      <c r="J8587" s="3">
        <v>74268</v>
      </c>
      <c r="K8587" s="3">
        <v>7440</v>
      </c>
      <c r="L8587" s="3">
        <v>45697</v>
      </c>
      <c r="M8587" s="3">
        <v>34396</v>
      </c>
      <c r="N8587" s="3">
        <v>104867</v>
      </c>
    </row>
    <row r="8588" spans="1:14" x14ac:dyDescent="0.2">
      <c r="A8588" s="5" t="str">
        <f>HYPERLINK("http://www.ncbi.nlm.nih.gov/protein/254692981","4930579G24Rik")</f>
        <v>4930579G24Rik</v>
      </c>
      <c r="B8588" s="4"/>
      <c r="C8588" s="3">
        <v>0</v>
      </c>
      <c r="D8588" s="3">
        <v>0</v>
      </c>
      <c r="E8588" s="3">
        <v>0</v>
      </c>
      <c r="F8588" s="3">
        <v>0</v>
      </c>
      <c r="G8588" s="3">
        <v>514</v>
      </c>
      <c r="H8588" s="2">
        <f t="shared" si="268"/>
        <v>514</v>
      </c>
      <c r="I8588" t="str">
        <f t="shared" si="269"/>
        <v>4930579G24Rik_514</v>
      </c>
      <c r="J8588" s="3">
        <v>0</v>
      </c>
      <c r="K8588" s="3">
        <v>0</v>
      </c>
      <c r="L8588" s="3">
        <v>0</v>
      </c>
      <c r="M8588" s="3">
        <v>0</v>
      </c>
      <c r="N8588" s="3">
        <v>514</v>
      </c>
    </row>
    <row r="8589" spans="1:14" x14ac:dyDescent="0.2">
      <c r="A8589" s="5" t="str">
        <f>HYPERLINK("http://www.ncbi.nlm.nih.gov/protein/313747468","4931406C07Rik")</f>
        <v>4931406C07Rik</v>
      </c>
      <c r="B8589" s="4"/>
      <c r="C8589" s="3">
        <v>0</v>
      </c>
      <c r="D8589" s="3">
        <v>5006</v>
      </c>
      <c r="E8589" s="3">
        <v>4792</v>
      </c>
      <c r="F8589" s="3">
        <v>524</v>
      </c>
      <c r="G8589" s="3">
        <v>49596</v>
      </c>
      <c r="H8589" s="2">
        <f t="shared" si="268"/>
        <v>59918</v>
      </c>
      <c r="I8589" t="str">
        <f t="shared" si="269"/>
        <v>4931406C07Rik_59918</v>
      </c>
      <c r="J8589" s="3">
        <v>0</v>
      </c>
      <c r="K8589" s="3">
        <v>5006</v>
      </c>
      <c r="L8589" s="3">
        <v>4792</v>
      </c>
      <c r="M8589" s="3">
        <v>524</v>
      </c>
      <c r="N8589" s="3">
        <v>49596</v>
      </c>
    </row>
    <row r="8590" spans="1:14" x14ac:dyDescent="0.2">
      <c r="A8590" s="5" t="str">
        <f>HYPERLINK("http://www.ncbi.nlm.nih.gov/protein/282721066","4931409K22Rik")</f>
        <v>4931409K22Rik</v>
      </c>
      <c r="B8590" s="4"/>
      <c r="C8590" s="3">
        <v>0</v>
      </c>
      <c r="D8590" s="3">
        <v>0</v>
      </c>
      <c r="E8590" s="3">
        <v>645</v>
      </c>
      <c r="F8590" s="3">
        <v>5615</v>
      </c>
      <c r="G8590" s="3">
        <v>0</v>
      </c>
      <c r="H8590" s="2">
        <f t="shared" si="268"/>
        <v>6260</v>
      </c>
      <c r="I8590" t="str">
        <f t="shared" si="269"/>
        <v>4931409K22Rik_6260</v>
      </c>
      <c r="J8590" s="3">
        <v>0</v>
      </c>
      <c r="K8590" s="3">
        <v>0</v>
      </c>
      <c r="L8590" s="3">
        <v>645</v>
      </c>
      <c r="M8590" s="3">
        <v>5615</v>
      </c>
      <c r="N8590" s="3">
        <v>0</v>
      </c>
    </row>
    <row r="8591" spans="1:14" x14ac:dyDescent="0.2">
      <c r="A8591" s="5" t="str">
        <f>HYPERLINK("http://www.ncbi.nlm.nih.gov/protein/124487449","4931429I11Rik")</f>
        <v>4931429I11Rik</v>
      </c>
      <c r="B8591" s="4"/>
      <c r="C8591" s="3">
        <v>0</v>
      </c>
      <c r="D8591" s="3">
        <v>0</v>
      </c>
      <c r="E8591" s="3">
        <v>0</v>
      </c>
      <c r="F8591" s="3">
        <v>0</v>
      </c>
      <c r="G8591" s="3">
        <v>1050</v>
      </c>
      <c r="H8591" s="2">
        <f t="shared" si="268"/>
        <v>1050</v>
      </c>
      <c r="I8591" t="str">
        <f t="shared" si="269"/>
        <v>4931429I11Rik_1050</v>
      </c>
      <c r="J8591" s="3">
        <v>0</v>
      </c>
      <c r="K8591" s="3">
        <v>0</v>
      </c>
      <c r="L8591" s="3">
        <v>0</v>
      </c>
      <c r="M8591" s="3">
        <v>0</v>
      </c>
      <c r="N8591" s="3">
        <v>1050</v>
      </c>
    </row>
    <row r="8592" spans="1:14" x14ac:dyDescent="0.2">
      <c r="A8592" s="5" t="str">
        <f>HYPERLINK("http://www.ncbi.nlm.nih.gov/protein/237757320","4933406M09Rik")</f>
        <v>4933406M09Rik</v>
      </c>
      <c r="B8592" s="4"/>
      <c r="C8592" s="3">
        <v>4503</v>
      </c>
      <c r="D8592" s="3">
        <v>524</v>
      </c>
      <c r="E8592" s="3">
        <v>17863</v>
      </c>
      <c r="F8592" s="3">
        <v>0</v>
      </c>
      <c r="G8592" s="3">
        <v>0</v>
      </c>
      <c r="H8592" s="2">
        <f t="shared" si="268"/>
        <v>22890</v>
      </c>
      <c r="I8592" t="str">
        <f t="shared" si="269"/>
        <v>4933406M09Rik_22890</v>
      </c>
      <c r="J8592" s="3">
        <v>4503</v>
      </c>
      <c r="K8592" s="3">
        <v>524</v>
      </c>
      <c r="L8592" s="3">
        <v>17863</v>
      </c>
      <c r="M8592" s="3">
        <v>0</v>
      </c>
      <c r="N8592" s="3">
        <v>0</v>
      </c>
    </row>
    <row r="8593" spans="1:14" x14ac:dyDescent="0.2">
      <c r="A8593" s="5" t="str">
        <f>HYPERLINK("http://www.ncbi.nlm.nih.gov/protein/33859728","4933427D14Rik")</f>
        <v>4933427D14Rik</v>
      </c>
      <c r="B8593" s="4"/>
      <c r="C8593" s="3">
        <v>0</v>
      </c>
      <c r="D8593" s="3">
        <v>0</v>
      </c>
      <c r="E8593" s="3">
        <v>0</v>
      </c>
      <c r="F8593" s="3">
        <v>0</v>
      </c>
      <c r="G8593" s="3">
        <v>1788</v>
      </c>
      <c r="H8593" s="2">
        <f t="shared" si="268"/>
        <v>1788</v>
      </c>
      <c r="I8593" t="str">
        <f t="shared" si="269"/>
        <v>4933427D14Rik_1788</v>
      </c>
      <c r="J8593" s="3">
        <v>0</v>
      </c>
      <c r="K8593" s="3">
        <v>0</v>
      </c>
      <c r="L8593" s="3">
        <v>0</v>
      </c>
      <c r="M8593" s="3">
        <v>0</v>
      </c>
      <c r="N8593" s="3">
        <v>1788</v>
      </c>
    </row>
    <row r="8594" spans="1:14" x14ac:dyDescent="0.2">
      <c r="A8594" s="5" t="str">
        <f>HYPERLINK("http://www.ncbi.nlm.nih.gov/protein/110625765","5730455P16Rik")</f>
        <v>5730455P16Rik</v>
      </c>
      <c r="B8594" s="4"/>
      <c r="C8594" s="3">
        <v>0</v>
      </c>
      <c r="D8594" s="3">
        <v>106</v>
      </c>
      <c r="E8594" s="3">
        <v>195</v>
      </c>
      <c r="F8594" s="3">
        <v>1359</v>
      </c>
      <c r="G8594" s="3">
        <v>64</v>
      </c>
      <c r="H8594" s="2">
        <f t="shared" si="268"/>
        <v>1724</v>
      </c>
      <c r="I8594" t="str">
        <f t="shared" si="269"/>
        <v>5730455P16Rik_1724</v>
      </c>
      <c r="J8594" s="3">
        <v>0</v>
      </c>
      <c r="K8594" s="3">
        <v>106</v>
      </c>
      <c r="L8594" s="3">
        <v>195</v>
      </c>
      <c r="M8594" s="3">
        <v>1359</v>
      </c>
      <c r="N8594" s="3">
        <v>64</v>
      </c>
    </row>
    <row r="8595" spans="1:14" x14ac:dyDescent="0.2">
      <c r="A8595" s="5" t="str">
        <f>HYPERLINK("http://www.ncbi.nlm.nih.gov/protein/28076961","5730508B09Rik")</f>
        <v>5730508B09Rik</v>
      </c>
      <c r="B8595" s="4"/>
      <c r="C8595" s="3">
        <v>622</v>
      </c>
      <c r="D8595" s="3">
        <v>559</v>
      </c>
      <c r="E8595" s="3">
        <v>228</v>
      </c>
      <c r="F8595" s="3">
        <v>0</v>
      </c>
      <c r="G8595" s="3">
        <v>0</v>
      </c>
      <c r="H8595" s="2">
        <f t="shared" si="268"/>
        <v>1409</v>
      </c>
      <c r="I8595" t="str">
        <f t="shared" si="269"/>
        <v>5730508B09Rik_1409</v>
      </c>
      <c r="J8595" s="3">
        <v>622</v>
      </c>
      <c r="K8595" s="3">
        <v>559</v>
      </c>
      <c r="L8595" s="3">
        <v>228</v>
      </c>
      <c r="M8595" s="3">
        <v>0</v>
      </c>
      <c r="N8595" s="3">
        <v>0</v>
      </c>
    </row>
    <row r="8596" spans="1:14" x14ac:dyDescent="0.2">
      <c r="A8596" s="5" t="str">
        <f>HYPERLINK("http://www.ncbi.nlm.nih.gov/protein/58037511","6030458C11Rik")</f>
        <v>6030458C11Rik</v>
      </c>
      <c r="B8596" s="4"/>
      <c r="C8596" s="3">
        <v>0</v>
      </c>
      <c r="D8596" s="3">
        <v>0</v>
      </c>
      <c r="E8596" s="3">
        <v>0</v>
      </c>
      <c r="F8596" s="3">
        <v>0</v>
      </c>
      <c r="G8596" s="3">
        <v>739</v>
      </c>
      <c r="H8596" s="2">
        <f t="shared" si="268"/>
        <v>739</v>
      </c>
      <c r="I8596" t="str">
        <f t="shared" si="269"/>
        <v>6030458C11Rik_739</v>
      </c>
      <c r="J8596" s="3">
        <v>0</v>
      </c>
      <c r="K8596" s="3">
        <v>0</v>
      </c>
      <c r="L8596" s="3">
        <v>0</v>
      </c>
      <c r="M8596" s="3">
        <v>0</v>
      </c>
      <c r="N8596" s="3">
        <v>739</v>
      </c>
    </row>
    <row r="8597" spans="1:14" x14ac:dyDescent="0.2">
      <c r="A8597" s="5" t="str">
        <f>HYPERLINK("http://www.ncbi.nlm.nih.gov/protein/87196345","8030462N17Rik")</f>
        <v>8030462N17Rik</v>
      </c>
      <c r="B8597" s="4"/>
      <c r="C8597" s="3">
        <v>0</v>
      </c>
      <c r="D8597" s="3">
        <v>0</v>
      </c>
      <c r="E8597" s="3">
        <v>0</v>
      </c>
      <c r="F8597" s="3">
        <v>0</v>
      </c>
      <c r="G8597" s="3">
        <v>942</v>
      </c>
      <c r="H8597" s="2">
        <f t="shared" si="268"/>
        <v>942</v>
      </c>
      <c r="I8597" t="str">
        <f t="shared" si="269"/>
        <v>8030462N17Rik_942</v>
      </c>
      <c r="J8597" s="3">
        <v>0</v>
      </c>
      <c r="K8597" s="3">
        <v>0</v>
      </c>
      <c r="L8597" s="3">
        <v>0</v>
      </c>
      <c r="M8597" s="3">
        <v>0</v>
      </c>
      <c r="N8597" s="3">
        <v>942</v>
      </c>
    </row>
    <row r="8598" spans="1:14" x14ac:dyDescent="0.2">
      <c r="A8598" s="5" t="str">
        <f>HYPERLINK("http://www.ncbi.nlm.nih.gov/protein/31560063","8430419L09Rik")</f>
        <v>8430419L09Rik</v>
      </c>
      <c r="B8598" s="4"/>
      <c r="C8598" s="3">
        <v>0</v>
      </c>
      <c r="D8598" s="3">
        <v>27</v>
      </c>
      <c r="E8598" s="3">
        <v>208</v>
      </c>
      <c r="F8598" s="3">
        <v>0</v>
      </c>
      <c r="G8598" s="3">
        <v>0</v>
      </c>
      <c r="H8598" s="2">
        <f t="shared" si="268"/>
        <v>235</v>
      </c>
      <c r="I8598" t="str">
        <f t="shared" si="269"/>
        <v>8430419L09Rik_235</v>
      </c>
      <c r="J8598" s="3">
        <v>0</v>
      </c>
      <c r="K8598" s="3">
        <v>27</v>
      </c>
      <c r="L8598" s="3">
        <v>208</v>
      </c>
      <c r="M8598" s="3">
        <v>0</v>
      </c>
      <c r="N8598" s="3">
        <v>0</v>
      </c>
    </row>
    <row r="8599" spans="1:14" x14ac:dyDescent="0.2">
      <c r="A8599" s="5" t="str">
        <f>HYPERLINK("http://www.ncbi.nlm.nih.gov/protein/31981784","9030617O03Rik")</f>
        <v>9030617O03Rik</v>
      </c>
      <c r="B8599" s="4"/>
      <c r="C8599" s="3">
        <v>0</v>
      </c>
      <c r="D8599" s="3">
        <v>6150</v>
      </c>
      <c r="E8599" s="3">
        <v>0</v>
      </c>
      <c r="F8599" s="3">
        <v>0</v>
      </c>
      <c r="G8599" s="3">
        <v>375</v>
      </c>
      <c r="H8599" s="2">
        <f t="shared" si="268"/>
        <v>6525</v>
      </c>
      <c r="I8599" t="str">
        <f t="shared" si="269"/>
        <v>9030617O03Rik_6525</v>
      </c>
      <c r="J8599" s="3">
        <v>0</v>
      </c>
      <c r="K8599" s="3">
        <v>6150</v>
      </c>
      <c r="L8599" s="3">
        <v>0</v>
      </c>
      <c r="M8599" s="3">
        <v>0</v>
      </c>
      <c r="N8599" s="3">
        <v>375</v>
      </c>
    </row>
    <row r="8600" spans="1:14" x14ac:dyDescent="0.2">
      <c r="A8600" s="5" t="str">
        <f>HYPERLINK("http://www.ncbi.nlm.nih.gov/protein/270047485","9030624J02Rik")</f>
        <v>9030624J02Rik</v>
      </c>
      <c r="B8600" s="4"/>
      <c r="C8600" s="3">
        <v>0</v>
      </c>
      <c r="D8600" s="3">
        <v>0</v>
      </c>
      <c r="E8600" s="3">
        <v>3325</v>
      </c>
      <c r="F8600" s="3">
        <v>9675</v>
      </c>
      <c r="G8600" s="3">
        <v>0</v>
      </c>
      <c r="H8600" s="2">
        <f t="shared" si="268"/>
        <v>13000</v>
      </c>
      <c r="I8600" t="str">
        <f t="shared" si="269"/>
        <v>9030624J02Rik_13000</v>
      </c>
      <c r="J8600" s="3">
        <v>0</v>
      </c>
      <c r="K8600" s="3">
        <v>0</v>
      </c>
      <c r="L8600" s="3">
        <v>3325</v>
      </c>
      <c r="M8600" s="3">
        <v>9675</v>
      </c>
      <c r="N8600" s="3">
        <v>0</v>
      </c>
    </row>
    <row r="8601" spans="1:14" x14ac:dyDescent="0.2">
      <c r="A8601" s="5" t="str">
        <f>HYPERLINK("http://www.ncbi.nlm.nih.gov/protein/139947660","9130011E15Rik")</f>
        <v>9130011E15Rik</v>
      </c>
      <c r="B8601" s="4"/>
      <c r="C8601" s="3">
        <v>0</v>
      </c>
      <c r="D8601" s="3">
        <v>73</v>
      </c>
      <c r="E8601" s="3">
        <v>9</v>
      </c>
      <c r="F8601" s="3">
        <v>671</v>
      </c>
      <c r="G8601" s="3">
        <v>1649</v>
      </c>
      <c r="H8601" s="2">
        <f t="shared" si="268"/>
        <v>2402</v>
      </c>
      <c r="I8601" t="str">
        <f t="shared" si="269"/>
        <v>9130011E15Rik_2402</v>
      </c>
      <c r="J8601" s="3">
        <v>0</v>
      </c>
      <c r="K8601" s="3">
        <v>73</v>
      </c>
      <c r="L8601" s="3">
        <v>9</v>
      </c>
      <c r="M8601" s="3">
        <v>671</v>
      </c>
      <c r="N8601" s="3">
        <v>1649</v>
      </c>
    </row>
    <row r="8602" spans="1:14" x14ac:dyDescent="0.2">
      <c r="A8602" s="5" t="str">
        <f>HYPERLINK("http://www.ncbi.nlm.nih.gov/protein/110625972","9330182L06Rik")</f>
        <v>9330182L06Rik</v>
      </c>
      <c r="B8602" s="4"/>
      <c r="C8602" s="3">
        <v>0</v>
      </c>
      <c r="D8602" s="3">
        <v>785</v>
      </c>
      <c r="E8602" s="3">
        <v>181</v>
      </c>
      <c r="F8602" s="3">
        <v>0</v>
      </c>
      <c r="G8602" s="3">
        <v>0</v>
      </c>
      <c r="H8602" s="2">
        <f t="shared" si="268"/>
        <v>966</v>
      </c>
      <c r="I8602" t="str">
        <f t="shared" si="269"/>
        <v>9330182L06Rik_966</v>
      </c>
      <c r="J8602" s="3">
        <v>0</v>
      </c>
      <c r="K8602" s="3">
        <v>785</v>
      </c>
      <c r="L8602" s="3">
        <v>181</v>
      </c>
      <c r="M8602" s="3">
        <v>0</v>
      </c>
      <c r="N8602" s="3">
        <v>0</v>
      </c>
    </row>
    <row r="8603" spans="1:14" x14ac:dyDescent="0.2">
      <c r="A8603" s="5" t="str">
        <f>HYPERLINK("http://www.ncbi.nlm.nih.gov/protein/145587094","9430016H08Rik")</f>
        <v>9430016H08Rik</v>
      </c>
      <c r="B8603" s="4"/>
      <c r="C8603" s="3">
        <v>0</v>
      </c>
      <c r="D8603" s="3">
        <v>1125</v>
      </c>
      <c r="E8603" s="3">
        <v>0</v>
      </c>
      <c r="F8603" s="3">
        <v>0</v>
      </c>
      <c r="G8603" s="3">
        <v>0</v>
      </c>
      <c r="H8603" s="2">
        <f t="shared" si="268"/>
        <v>1125</v>
      </c>
      <c r="I8603" t="str">
        <f t="shared" si="269"/>
        <v>9430016H08Rik_1125</v>
      </c>
      <c r="J8603" s="3">
        <v>0</v>
      </c>
      <c r="K8603" s="3">
        <v>1125</v>
      </c>
      <c r="L8603" s="3">
        <v>0</v>
      </c>
      <c r="M8603" s="3">
        <v>0</v>
      </c>
      <c r="N8603" s="3">
        <v>0</v>
      </c>
    </row>
    <row r="8604" spans="1:14" x14ac:dyDescent="0.2">
      <c r="A8604" s="5" t="str">
        <f>HYPERLINK("http://www.ncbi.nlm.nih.gov/protein/21311929","9430023L20Rik")</f>
        <v>9430023L20Rik</v>
      </c>
      <c r="B8604" s="4"/>
      <c r="C8604" s="3">
        <v>0</v>
      </c>
      <c r="D8604" s="3">
        <v>113</v>
      </c>
      <c r="E8604" s="3">
        <v>63</v>
      </c>
      <c r="F8604" s="3">
        <v>0</v>
      </c>
      <c r="G8604" s="3">
        <v>0</v>
      </c>
      <c r="H8604" s="2">
        <f t="shared" si="268"/>
        <v>176</v>
      </c>
      <c r="I8604" t="str">
        <f t="shared" si="269"/>
        <v>9430023L20Rik_176</v>
      </c>
      <c r="J8604" s="3">
        <v>0</v>
      </c>
      <c r="K8604" s="3">
        <v>113</v>
      </c>
      <c r="L8604" s="3">
        <v>63</v>
      </c>
      <c r="M8604" s="3">
        <v>0</v>
      </c>
      <c r="N8604" s="3">
        <v>0</v>
      </c>
    </row>
    <row r="8605" spans="1:14" x14ac:dyDescent="0.2">
      <c r="A8605" s="5" t="str">
        <f>HYPERLINK("http://www.ncbi.nlm.nih.gov/protein/242397485","9430038I01Rik")</f>
        <v>9430038I01Rik</v>
      </c>
      <c r="B8605" s="4"/>
      <c r="C8605" s="3">
        <v>0</v>
      </c>
      <c r="D8605" s="3">
        <v>0</v>
      </c>
      <c r="E8605" s="3">
        <v>0</v>
      </c>
      <c r="F8605" s="3">
        <v>0</v>
      </c>
      <c r="G8605" s="3">
        <v>86</v>
      </c>
      <c r="H8605" s="2">
        <f t="shared" si="268"/>
        <v>86</v>
      </c>
      <c r="I8605" t="str">
        <f t="shared" si="269"/>
        <v>9430038I01Rik_86</v>
      </c>
      <c r="J8605" s="3">
        <v>0</v>
      </c>
      <c r="K8605" s="3">
        <v>0</v>
      </c>
      <c r="L8605" s="3">
        <v>0</v>
      </c>
      <c r="M8605" s="3">
        <v>0</v>
      </c>
      <c r="N8605" s="3">
        <v>86</v>
      </c>
    </row>
    <row r="8606" spans="1:14" x14ac:dyDescent="0.2">
      <c r="A8606" s="5" t="str">
        <f>HYPERLINK("http://www.ncbi.nlm.nih.gov/protein/257467625","9530053A07Rik")</f>
        <v>9530053A07Rik</v>
      </c>
      <c r="B8606" s="4"/>
      <c r="C8606" s="3">
        <v>0</v>
      </c>
      <c r="D8606" s="3">
        <v>635</v>
      </c>
      <c r="E8606" s="3">
        <v>0</v>
      </c>
      <c r="F8606" s="3">
        <v>409</v>
      </c>
      <c r="G8606" s="3">
        <v>814</v>
      </c>
      <c r="H8606" s="2">
        <f t="shared" si="268"/>
        <v>1858</v>
      </c>
      <c r="I8606" t="str">
        <f t="shared" si="269"/>
        <v>9530053A07Rik_1858</v>
      </c>
      <c r="J8606" s="3">
        <v>0</v>
      </c>
      <c r="K8606" s="3">
        <v>635</v>
      </c>
      <c r="L8606" s="3">
        <v>0</v>
      </c>
      <c r="M8606" s="3">
        <v>409</v>
      </c>
      <c r="N8606" s="3">
        <v>814</v>
      </c>
    </row>
    <row r="8607" spans="1:14" x14ac:dyDescent="0.2">
      <c r="A8607" s="5" t="str">
        <f>HYPERLINK("http://www.ncbi.nlm.nih.gov/protein/28892859","9630033F20Rik")</f>
        <v>9630033F20Rik</v>
      </c>
      <c r="B8607" s="4"/>
      <c r="C8607" s="3">
        <v>0</v>
      </c>
      <c r="D8607" s="3">
        <v>0</v>
      </c>
      <c r="E8607" s="3">
        <v>54</v>
      </c>
      <c r="F8607" s="3">
        <v>0</v>
      </c>
      <c r="G8607" s="3">
        <v>3545</v>
      </c>
      <c r="H8607" s="2">
        <f t="shared" si="268"/>
        <v>3599</v>
      </c>
      <c r="I8607" t="str">
        <f t="shared" si="269"/>
        <v>9630033F20Rik_3599</v>
      </c>
      <c r="J8607" s="3">
        <v>0</v>
      </c>
      <c r="K8607" s="3">
        <v>0</v>
      </c>
      <c r="L8607" s="3">
        <v>54</v>
      </c>
      <c r="M8607" s="3">
        <v>0</v>
      </c>
      <c r="N8607" s="3">
        <v>3545</v>
      </c>
    </row>
    <row r="8608" spans="1:14" x14ac:dyDescent="0.2">
      <c r="A8608" s="5" t="str">
        <f>HYPERLINK("http://www.ncbi.nlm.nih.gov/protein/257467641","9830001H06Rik")</f>
        <v>9830001H06Rik</v>
      </c>
      <c r="B8608" s="4"/>
      <c r="C8608" s="3">
        <v>0</v>
      </c>
      <c r="D8608" s="3">
        <v>0</v>
      </c>
      <c r="E8608" s="3">
        <v>259</v>
      </c>
      <c r="F8608" s="3">
        <v>0</v>
      </c>
      <c r="G8608" s="3">
        <v>0</v>
      </c>
      <c r="H8608" s="2">
        <f t="shared" si="268"/>
        <v>259</v>
      </c>
      <c r="I8608" t="str">
        <f t="shared" si="269"/>
        <v>9830001H06Rik_259</v>
      </c>
      <c r="J8608" s="3">
        <v>0</v>
      </c>
      <c r="K8608" s="3">
        <v>0</v>
      </c>
      <c r="L8608" s="3">
        <v>259</v>
      </c>
      <c r="M8608" s="3">
        <v>0</v>
      </c>
      <c r="N8608" s="3">
        <v>0</v>
      </c>
    </row>
    <row r="8609" spans="1:14" x14ac:dyDescent="0.2">
      <c r="A8609" s="5" t="str">
        <f>HYPERLINK("http://www.ncbi.nlm.nih.gov/protein/295293085","9930021J03Rik")</f>
        <v>9930021J03Rik</v>
      </c>
      <c r="B8609" s="4"/>
      <c r="C8609" s="3">
        <v>0</v>
      </c>
      <c r="D8609" s="3">
        <v>0</v>
      </c>
      <c r="E8609" s="3">
        <v>31</v>
      </c>
      <c r="F8609" s="3">
        <v>0</v>
      </c>
      <c r="G8609" s="3">
        <v>0</v>
      </c>
      <c r="H8609" s="2">
        <f t="shared" si="268"/>
        <v>31</v>
      </c>
      <c r="I8609" t="str">
        <f t="shared" si="269"/>
        <v>9930021J03Rik_31</v>
      </c>
      <c r="J8609" s="3">
        <v>0</v>
      </c>
      <c r="K8609" s="3">
        <v>0</v>
      </c>
      <c r="L8609" s="3">
        <v>31</v>
      </c>
      <c r="M8609" s="3">
        <v>0</v>
      </c>
      <c r="N8609" s="3">
        <v>0</v>
      </c>
    </row>
  </sheetData>
  <conditionalFormatting sqref="C1:G8609 H1">
    <cfRule type="colorScale" priority="2">
      <colorScale>
        <cfvo type="min"/>
        <cfvo type="percentile" val="40"/>
        <cfvo type="percentile" val="80"/>
        <color theme="0"/>
        <color theme="9" tint="0.59999389629810485"/>
        <color theme="9" tint="-0.249977111117893"/>
      </colorScale>
    </cfRule>
  </conditionalFormatting>
  <conditionalFormatting sqref="J1:N8609">
    <cfRule type="colorScale" priority="1">
      <colorScale>
        <cfvo type="min"/>
        <cfvo type="percentile" val="40"/>
        <cfvo type="percentile" val="80"/>
        <color theme="0"/>
        <color theme="9" tint="0.59999389629810485"/>
        <color theme="9" tint="-0.24997711111789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8"/>
  <sheetViews>
    <sheetView workbookViewId="0">
      <selection activeCell="D11" sqref="D11"/>
    </sheetView>
  </sheetViews>
  <sheetFormatPr baseColWidth="10" defaultColWidth="8.7109375" defaultRowHeight="14" x14ac:dyDescent="0.15"/>
  <cols>
    <col min="1" max="1" width="11.28515625" style="11" bestFit="1" customWidth="1"/>
    <col min="2" max="7" width="8.7109375" style="11"/>
  </cols>
  <sheetData>
    <row r="1" spans="1:7" x14ac:dyDescent="0.15">
      <c r="A1" s="14" t="s">
        <v>0</v>
      </c>
      <c r="B1" s="14" t="s">
        <v>7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15">
      <c r="A2" s="15" t="s">
        <v>8</v>
      </c>
      <c r="B2" s="11" t="s">
        <v>9</v>
      </c>
      <c r="C2" s="11">
        <v>0</v>
      </c>
      <c r="D2" s="11">
        <v>0</v>
      </c>
      <c r="E2" s="11">
        <v>10</v>
      </c>
      <c r="F2" s="11">
        <v>0</v>
      </c>
      <c r="G2" s="11">
        <v>0</v>
      </c>
    </row>
    <row r="3" spans="1:7" x14ac:dyDescent="0.15">
      <c r="A3" s="15" t="s">
        <v>10</v>
      </c>
      <c r="B3" s="11" t="s">
        <v>9</v>
      </c>
      <c r="C3" s="11" t="e">
        <v>#N/A</v>
      </c>
      <c r="D3" s="11" t="e">
        <v>#N/A</v>
      </c>
      <c r="E3" s="11" t="e">
        <v>#N/A</v>
      </c>
      <c r="F3" s="11" t="e">
        <v>#N/A</v>
      </c>
      <c r="G3" s="11" t="e">
        <v>#N/A</v>
      </c>
    </row>
    <row r="4" spans="1:7" x14ac:dyDescent="0.15">
      <c r="A4" s="15" t="s">
        <v>11</v>
      </c>
      <c r="B4" s="11" t="s">
        <v>9</v>
      </c>
      <c r="C4" s="11">
        <v>0</v>
      </c>
      <c r="D4" s="11">
        <v>0</v>
      </c>
      <c r="E4" s="11">
        <v>372</v>
      </c>
      <c r="F4" s="11">
        <v>4068</v>
      </c>
      <c r="G4" s="11">
        <v>2378</v>
      </c>
    </row>
    <row r="5" spans="1:7" x14ac:dyDescent="0.15">
      <c r="A5" s="15" t="s">
        <v>12</v>
      </c>
      <c r="B5" s="11" t="s">
        <v>9</v>
      </c>
      <c r="C5" s="11">
        <v>0</v>
      </c>
      <c r="D5" s="11">
        <v>0</v>
      </c>
      <c r="E5" s="11">
        <v>0</v>
      </c>
      <c r="F5" s="11">
        <v>0</v>
      </c>
      <c r="G5" s="11">
        <v>32</v>
      </c>
    </row>
    <row r="6" spans="1:7" x14ac:dyDescent="0.15">
      <c r="A6" s="15" t="s">
        <v>13</v>
      </c>
      <c r="B6" s="11" t="s">
        <v>9</v>
      </c>
      <c r="C6" s="11">
        <v>0</v>
      </c>
      <c r="D6" s="11">
        <v>58</v>
      </c>
      <c r="E6" s="11">
        <v>17228</v>
      </c>
      <c r="F6" s="11">
        <v>0</v>
      </c>
      <c r="G6" s="11">
        <v>0</v>
      </c>
    </row>
    <row r="7" spans="1:7" x14ac:dyDescent="0.15">
      <c r="A7" s="15" t="s">
        <v>14</v>
      </c>
      <c r="B7" s="11" t="s">
        <v>9</v>
      </c>
      <c r="C7" s="11">
        <v>0</v>
      </c>
      <c r="D7" s="11">
        <v>1616</v>
      </c>
      <c r="E7" s="11">
        <v>23835</v>
      </c>
      <c r="F7" s="11">
        <v>1858</v>
      </c>
      <c r="G7" s="11">
        <v>43181</v>
      </c>
    </row>
    <row r="8" spans="1:7" x14ac:dyDescent="0.15">
      <c r="A8" s="15" t="s">
        <v>15</v>
      </c>
      <c r="B8" s="11" t="s">
        <v>9</v>
      </c>
      <c r="C8" s="11">
        <v>0</v>
      </c>
      <c r="D8" s="11">
        <v>822</v>
      </c>
      <c r="E8" s="11">
        <v>4002</v>
      </c>
      <c r="F8" s="11">
        <v>0</v>
      </c>
      <c r="G8" s="11">
        <v>20809</v>
      </c>
    </row>
    <row r="9" spans="1:7" x14ac:dyDescent="0.15">
      <c r="A9" s="15" t="s">
        <v>16</v>
      </c>
      <c r="B9" s="11" t="s">
        <v>9</v>
      </c>
      <c r="C9" s="11">
        <v>48914</v>
      </c>
      <c r="D9" s="11">
        <v>8166</v>
      </c>
      <c r="E9" s="11">
        <v>65779</v>
      </c>
      <c r="F9" s="11">
        <v>112069</v>
      </c>
      <c r="G9" s="11">
        <v>280289</v>
      </c>
    </row>
    <row r="10" spans="1:7" x14ac:dyDescent="0.15">
      <c r="A10" s="15" t="s">
        <v>17</v>
      </c>
      <c r="B10" s="11" t="s">
        <v>18</v>
      </c>
      <c r="C10" s="11">
        <v>0</v>
      </c>
      <c r="D10" s="11">
        <v>29</v>
      </c>
      <c r="E10" s="11">
        <v>5915</v>
      </c>
      <c r="F10" s="11">
        <v>3086</v>
      </c>
      <c r="G10" s="11">
        <v>2581</v>
      </c>
    </row>
    <row r="11" spans="1:7" x14ac:dyDescent="0.15">
      <c r="A11" s="15" t="s">
        <v>19</v>
      </c>
      <c r="B11" s="11" t="s">
        <v>18</v>
      </c>
      <c r="C11" s="11">
        <v>0</v>
      </c>
      <c r="D11" s="11">
        <v>38</v>
      </c>
      <c r="E11" s="11">
        <v>0</v>
      </c>
      <c r="F11" s="11">
        <v>0</v>
      </c>
      <c r="G11" s="11">
        <v>0</v>
      </c>
    </row>
    <row r="12" spans="1:7" x14ac:dyDescent="0.15">
      <c r="A12" s="15" t="s">
        <v>20</v>
      </c>
      <c r="B12" s="11" t="s">
        <v>18</v>
      </c>
      <c r="C12" s="11">
        <v>0</v>
      </c>
      <c r="D12" s="11">
        <v>106</v>
      </c>
      <c r="E12" s="11">
        <v>142</v>
      </c>
      <c r="F12" s="11">
        <v>0</v>
      </c>
      <c r="G12" s="11">
        <v>0</v>
      </c>
    </row>
    <row r="13" spans="1:7" x14ac:dyDescent="0.15">
      <c r="A13" s="15" t="s">
        <v>21</v>
      </c>
      <c r="B13" s="11" t="s">
        <v>18</v>
      </c>
      <c r="C13" s="11">
        <v>0</v>
      </c>
      <c r="D13" s="11">
        <v>2</v>
      </c>
      <c r="E13" s="11">
        <v>8613</v>
      </c>
      <c r="F13" s="11">
        <v>28633</v>
      </c>
      <c r="G13" s="11">
        <v>9071</v>
      </c>
    </row>
    <row r="14" spans="1:7" x14ac:dyDescent="0.15">
      <c r="A14" s="15" t="s">
        <v>22</v>
      </c>
      <c r="B14" s="11" t="s">
        <v>18</v>
      </c>
      <c r="C14" s="11" t="e">
        <v>#N/A</v>
      </c>
      <c r="D14" s="11" t="e">
        <v>#N/A</v>
      </c>
      <c r="E14" s="11" t="e">
        <v>#N/A</v>
      </c>
      <c r="F14" s="11" t="e">
        <v>#N/A</v>
      </c>
      <c r="G14" s="11" t="e">
        <v>#N/A</v>
      </c>
    </row>
    <row r="15" spans="1:7" x14ac:dyDescent="0.15">
      <c r="A15" s="15" t="s">
        <v>23</v>
      </c>
      <c r="B15" s="11" t="s">
        <v>18</v>
      </c>
      <c r="C15" s="11" t="e">
        <v>#N/A</v>
      </c>
      <c r="D15" s="11" t="e">
        <v>#N/A</v>
      </c>
      <c r="E15" s="11" t="e">
        <v>#N/A</v>
      </c>
      <c r="F15" s="11" t="e">
        <v>#N/A</v>
      </c>
      <c r="G15" s="11" t="e">
        <v>#N/A</v>
      </c>
    </row>
    <row r="16" spans="1:7" x14ac:dyDescent="0.15">
      <c r="A16" s="15" t="s">
        <v>24</v>
      </c>
      <c r="B16" s="11" t="s">
        <v>18</v>
      </c>
      <c r="C16" s="11">
        <v>0</v>
      </c>
      <c r="D16" s="11">
        <v>797</v>
      </c>
      <c r="E16" s="11">
        <v>2979</v>
      </c>
      <c r="F16" s="11">
        <v>3266</v>
      </c>
      <c r="G16" s="11">
        <v>9746</v>
      </c>
    </row>
    <row r="17" spans="1:7" x14ac:dyDescent="0.15">
      <c r="A17" s="15" t="s">
        <v>25</v>
      </c>
      <c r="B17" s="11" t="s">
        <v>26</v>
      </c>
      <c r="C17" s="11" t="e">
        <v>#N/A</v>
      </c>
      <c r="D17" s="11" t="e">
        <v>#N/A</v>
      </c>
      <c r="E17" s="11" t="e">
        <v>#N/A</v>
      </c>
      <c r="F17" s="11" t="e">
        <v>#N/A</v>
      </c>
      <c r="G17" s="11" t="e">
        <v>#N/A</v>
      </c>
    </row>
    <row r="18" spans="1:7" x14ac:dyDescent="0.15">
      <c r="A18" s="15" t="s">
        <v>27</v>
      </c>
      <c r="B18" s="11" t="s">
        <v>26</v>
      </c>
      <c r="C18" s="11">
        <v>0</v>
      </c>
      <c r="D18" s="11">
        <v>0</v>
      </c>
      <c r="E18" s="11">
        <v>0</v>
      </c>
      <c r="F18" s="11">
        <v>0</v>
      </c>
      <c r="G18" s="11">
        <v>1981</v>
      </c>
    </row>
    <row r="19" spans="1:7" x14ac:dyDescent="0.15">
      <c r="A19" s="15" t="s">
        <v>21</v>
      </c>
      <c r="B19" s="11" t="s">
        <v>26</v>
      </c>
      <c r="C19" s="11">
        <v>0</v>
      </c>
      <c r="D19" s="11">
        <v>2</v>
      </c>
      <c r="E19" s="11">
        <v>8613</v>
      </c>
      <c r="F19" s="11">
        <v>28633</v>
      </c>
      <c r="G19" s="11">
        <v>9071</v>
      </c>
    </row>
    <row r="20" spans="1:7" x14ac:dyDescent="0.15">
      <c r="A20" s="15" t="s">
        <v>28</v>
      </c>
      <c r="B20" s="11" t="s">
        <v>26</v>
      </c>
      <c r="C20" s="11" t="e">
        <v>#N/A</v>
      </c>
      <c r="D20" s="11" t="e">
        <v>#N/A</v>
      </c>
      <c r="E20" s="11" t="e">
        <v>#N/A</v>
      </c>
      <c r="F20" s="11" t="e">
        <v>#N/A</v>
      </c>
      <c r="G20" s="11" t="e">
        <v>#N/A</v>
      </c>
    </row>
    <row r="21" spans="1:7" x14ac:dyDescent="0.15">
      <c r="A21" s="15" t="s">
        <v>29</v>
      </c>
      <c r="B21" s="11" t="s">
        <v>26</v>
      </c>
      <c r="C21" s="11">
        <v>0</v>
      </c>
      <c r="D21" s="11">
        <v>0</v>
      </c>
      <c r="E21" s="11">
        <v>351</v>
      </c>
      <c r="F21" s="11">
        <v>0</v>
      </c>
      <c r="G21" s="11">
        <v>0</v>
      </c>
    </row>
    <row r="22" spans="1:7" x14ac:dyDescent="0.15">
      <c r="A22" s="15" t="s">
        <v>30</v>
      </c>
      <c r="B22" s="11" t="s">
        <v>26</v>
      </c>
      <c r="C22" s="11">
        <v>283176</v>
      </c>
      <c r="D22" s="11">
        <v>100075</v>
      </c>
      <c r="E22" s="11">
        <v>312862</v>
      </c>
      <c r="F22" s="11">
        <v>36966</v>
      </c>
      <c r="G22" s="11">
        <v>546313</v>
      </c>
    </row>
    <row r="23" spans="1:7" x14ac:dyDescent="0.15">
      <c r="A23" s="15" t="s">
        <v>31</v>
      </c>
      <c r="B23" s="11" t="s">
        <v>26</v>
      </c>
      <c r="C23" s="11">
        <v>0</v>
      </c>
      <c r="D23" s="11">
        <v>3833</v>
      </c>
      <c r="E23" s="11">
        <v>6469</v>
      </c>
      <c r="F23" s="11">
        <v>0</v>
      </c>
      <c r="G23" s="11">
        <v>0</v>
      </c>
    </row>
    <row r="24" spans="1:7" x14ac:dyDescent="0.15">
      <c r="A24" s="15" t="s">
        <v>30</v>
      </c>
      <c r="B24" s="11" t="s">
        <v>26</v>
      </c>
      <c r="C24" s="11">
        <v>283176</v>
      </c>
      <c r="D24" s="11">
        <v>100075</v>
      </c>
      <c r="E24" s="11">
        <v>312862</v>
      </c>
      <c r="F24" s="11">
        <v>36966</v>
      </c>
      <c r="G24" s="11">
        <v>546313</v>
      </c>
    </row>
    <row r="25" spans="1:7" x14ac:dyDescent="0.15">
      <c r="A25" s="15" t="s">
        <v>32</v>
      </c>
      <c r="B25" s="11" t="s">
        <v>26</v>
      </c>
      <c r="C25" s="11">
        <v>0</v>
      </c>
      <c r="D25" s="11">
        <v>0</v>
      </c>
      <c r="E25" s="11">
        <v>105</v>
      </c>
      <c r="F25" s="11">
        <v>565</v>
      </c>
      <c r="G25" s="11">
        <v>0</v>
      </c>
    </row>
    <row r="26" spans="1:7" x14ac:dyDescent="0.15">
      <c r="A26" s="15" t="s">
        <v>32</v>
      </c>
      <c r="B26" s="11" t="s">
        <v>26</v>
      </c>
      <c r="C26" s="11">
        <v>0</v>
      </c>
      <c r="D26" s="11">
        <v>0</v>
      </c>
      <c r="E26" s="11">
        <v>105</v>
      </c>
      <c r="F26" s="11">
        <v>565</v>
      </c>
      <c r="G26" s="11">
        <v>0</v>
      </c>
    </row>
    <row r="27" spans="1:7" x14ac:dyDescent="0.15">
      <c r="A27" s="15" t="s">
        <v>33</v>
      </c>
      <c r="B27" s="11" t="s">
        <v>26</v>
      </c>
      <c r="C27" s="11">
        <v>2966</v>
      </c>
      <c r="D27" s="11">
        <v>5200</v>
      </c>
      <c r="E27" s="11">
        <v>18846</v>
      </c>
      <c r="F27" s="11">
        <v>25523</v>
      </c>
      <c r="G27" s="11">
        <v>514</v>
      </c>
    </row>
    <row r="28" spans="1:7" x14ac:dyDescent="0.15">
      <c r="A28" s="15" t="s">
        <v>34</v>
      </c>
      <c r="B28" s="11" t="s">
        <v>26</v>
      </c>
      <c r="C28" s="11" t="e">
        <v>#N/A</v>
      </c>
      <c r="D28" s="11" t="e">
        <v>#N/A</v>
      </c>
      <c r="E28" s="11" t="e">
        <v>#N/A</v>
      </c>
      <c r="F28" s="11" t="e">
        <v>#N/A</v>
      </c>
      <c r="G28" s="11" t="e">
        <v>#N/A</v>
      </c>
    </row>
    <row r="29" spans="1:7" x14ac:dyDescent="0.15">
      <c r="A29" s="15" t="s">
        <v>35</v>
      </c>
      <c r="B29" s="11" t="s">
        <v>26</v>
      </c>
      <c r="C29" s="11" t="e">
        <v>#N/A</v>
      </c>
      <c r="D29" s="11" t="e">
        <v>#N/A</v>
      </c>
      <c r="E29" s="11" t="e">
        <v>#N/A</v>
      </c>
      <c r="F29" s="11" t="e">
        <v>#N/A</v>
      </c>
      <c r="G29" s="11" t="e">
        <v>#N/A</v>
      </c>
    </row>
    <row r="30" spans="1:7" x14ac:dyDescent="0.15">
      <c r="A30" s="15" t="s">
        <v>30</v>
      </c>
      <c r="B30" s="11" t="s">
        <v>26</v>
      </c>
      <c r="C30" s="11">
        <v>283176</v>
      </c>
      <c r="D30" s="11">
        <v>100075</v>
      </c>
      <c r="E30" s="11">
        <v>312862</v>
      </c>
      <c r="F30" s="11">
        <v>36966</v>
      </c>
      <c r="G30" s="11">
        <v>546313</v>
      </c>
    </row>
    <row r="31" spans="1:7" x14ac:dyDescent="0.15">
      <c r="A31" s="15" t="s">
        <v>30</v>
      </c>
      <c r="B31" s="11" t="s">
        <v>26</v>
      </c>
      <c r="C31" s="11">
        <v>283176</v>
      </c>
      <c r="D31" s="11">
        <v>100075</v>
      </c>
      <c r="E31" s="11">
        <v>312862</v>
      </c>
      <c r="F31" s="11">
        <v>36966</v>
      </c>
      <c r="G31" s="11">
        <v>546313</v>
      </c>
    </row>
    <row r="32" spans="1:7" x14ac:dyDescent="0.15">
      <c r="A32" s="15" t="s">
        <v>36</v>
      </c>
      <c r="B32" s="11" t="s">
        <v>26</v>
      </c>
      <c r="C32" s="11">
        <v>0</v>
      </c>
      <c r="D32" s="11">
        <v>94</v>
      </c>
      <c r="E32" s="11">
        <v>25</v>
      </c>
      <c r="F32" s="11">
        <v>14865</v>
      </c>
      <c r="G32" s="11">
        <v>2463</v>
      </c>
    </row>
    <row r="33" spans="1:7" x14ac:dyDescent="0.15">
      <c r="A33" s="15" t="s">
        <v>37</v>
      </c>
      <c r="B33" s="11" t="s">
        <v>26</v>
      </c>
      <c r="C33" s="11">
        <v>0</v>
      </c>
      <c r="D33" s="11">
        <v>0</v>
      </c>
      <c r="E33" s="11">
        <v>0</v>
      </c>
      <c r="F33" s="11">
        <v>0</v>
      </c>
      <c r="G33" s="11">
        <v>2003</v>
      </c>
    </row>
    <row r="34" spans="1:7" x14ac:dyDescent="0.15">
      <c r="A34" s="15" t="s">
        <v>38</v>
      </c>
      <c r="B34" s="11" t="s">
        <v>26</v>
      </c>
      <c r="C34" s="11" t="e">
        <v>#N/A</v>
      </c>
      <c r="D34" s="11" t="e">
        <v>#N/A</v>
      </c>
      <c r="E34" s="11" t="e">
        <v>#N/A</v>
      </c>
      <c r="F34" s="11" t="e">
        <v>#N/A</v>
      </c>
      <c r="G34" s="11" t="e">
        <v>#N/A</v>
      </c>
    </row>
    <row r="35" spans="1:7" x14ac:dyDescent="0.15">
      <c r="A35" s="15" t="s">
        <v>39</v>
      </c>
      <c r="B35" s="11" t="s">
        <v>26</v>
      </c>
      <c r="C35" s="11">
        <v>213723</v>
      </c>
      <c r="D35" s="11">
        <v>28716</v>
      </c>
      <c r="E35" s="11">
        <v>36018</v>
      </c>
      <c r="F35" s="11">
        <v>157515</v>
      </c>
      <c r="G35" s="11">
        <v>187138</v>
      </c>
    </row>
    <row r="36" spans="1:7" x14ac:dyDescent="0.15">
      <c r="A36" s="15" t="s">
        <v>40</v>
      </c>
      <c r="B36" s="11" t="s">
        <v>26</v>
      </c>
      <c r="C36" s="11">
        <v>0</v>
      </c>
      <c r="D36" s="11">
        <v>0</v>
      </c>
      <c r="E36" s="11">
        <v>0</v>
      </c>
      <c r="F36" s="11">
        <v>0</v>
      </c>
      <c r="G36" s="11">
        <v>2677</v>
      </c>
    </row>
    <row r="37" spans="1:7" x14ac:dyDescent="0.15">
      <c r="A37" s="15" t="s">
        <v>41</v>
      </c>
      <c r="B37" s="11" t="s">
        <v>26</v>
      </c>
      <c r="C37" s="11">
        <v>9464</v>
      </c>
      <c r="D37" s="11">
        <v>4012</v>
      </c>
      <c r="E37" s="11">
        <v>9315</v>
      </c>
      <c r="F37" s="11">
        <v>1850</v>
      </c>
      <c r="G37" s="11">
        <v>218174</v>
      </c>
    </row>
    <row r="38" spans="1:7" x14ac:dyDescent="0.15">
      <c r="A38" s="15" t="s">
        <v>42</v>
      </c>
      <c r="B38" s="11" t="s">
        <v>43</v>
      </c>
      <c r="C38" s="11" t="e">
        <v>#N/A</v>
      </c>
      <c r="D38" s="11" t="e">
        <v>#N/A</v>
      </c>
      <c r="E38" s="11" t="e">
        <v>#N/A</v>
      </c>
      <c r="F38" s="11" t="e">
        <v>#N/A</v>
      </c>
      <c r="G38" s="11" t="e">
        <v>#N/A</v>
      </c>
    </row>
    <row r="39" spans="1:7" x14ac:dyDescent="0.15">
      <c r="A39" s="15" t="s">
        <v>44</v>
      </c>
      <c r="B39" s="11" t="s">
        <v>43</v>
      </c>
      <c r="C39" s="11" t="e">
        <v>#N/A</v>
      </c>
      <c r="D39" s="11" t="e">
        <v>#N/A</v>
      </c>
      <c r="E39" s="11" t="e">
        <v>#N/A</v>
      </c>
      <c r="F39" s="11" t="e">
        <v>#N/A</v>
      </c>
      <c r="G39" s="11" t="e">
        <v>#N/A</v>
      </c>
    </row>
    <row r="40" spans="1:7" x14ac:dyDescent="0.15">
      <c r="A40" s="15" t="s">
        <v>45</v>
      </c>
      <c r="B40" s="11" t="s">
        <v>43</v>
      </c>
      <c r="C40" s="11" t="e">
        <v>#N/A</v>
      </c>
      <c r="D40" s="11" t="e">
        <v>#N/A</v>
      </c>
      <c r="E40" s="11" t="e">
        <v>#N/A</v>
      </c>
      <c r="F40" s="11" t="e">
        <v>#N/A</v>
      </c>
      <c r="G40" s="11" t="e">
        <v>#N/A</v>
      </c>
    </row>
    <row r="41" spans="1:7" x14ac:dyDescent="0.15">
      <c r="A41" s="15" t="s">
        <v>46</v>
      </c>
      <c r="B41" s="11" t="s">
        <v>43</v>
      </c>
      <c r="C41" s="11">
        <v>0</v>
      </c>
      <c r="D41" s="11">
        <v>307</v>
      </c>
      <c r="E41" s="11">
        <v>1237</v>
      </c>
      <c r="F41" s="11">
        <v>0</v>
      </c>
      <c r="G41" s="11">
        <v>4948</v>
      </c>
    </row>
    <row r="42" spans="1:7" x14ac:dyDescent="0.15">
      <c r="A42" s="15" t="s">
        <v>47</v>
      </c>
      <c r="B42" s="11" t="s">
        <v>43</v>
      </c>
      <c r="C42" s="11">
        <v>0</v>
      </c>
      <c r="D42" s="11">
        <v>0</v>
      </c>
      <c r="E42" s="11">
        <v>272</v>
      </c>
      <c r="F42" s="11">
        <v>336</v>
      </c>
      <c r="G42" s="11">
        <v>0</v>
      </c>
    </row>
    <row r="43" spans="1:7" x14ac:dyDescent="0.15">
      <c r="A43" s="15" t="s">
        <v>48</v>
      </c>
      <c r="B43" s="11" t="s">
        <v>43</v>
      </c>
      <c r="C43" s="11">
        <v>0</v>
      </c>
      <c r="D43" s="11">
        <v>0</v>
      </c>
      <c r="E43" s="11">
        <v>294</v>
      </c>
      <c r="F43" s="11">
        <v>0</v>
      </c>
      <c r="G43" s="11">
        <v>0</v>
      </c>
    </row>
    <row r="44" spans="1:7" x14ac:dyDescent="0.15">
      <c r="A44" s="15" t="s">
        <v>30</v>
      </c>
      <c r="B44" s="11" t="s">
        <v>43</v>
      </c>
      <c r="C44" s="11">
        <v>283176</v>
      </c>
      <c r="D44" s="11">
        <v>100075</v>
      </c>
      <c r="E44" s="11">
        <v>312862</v>
      </c>
      <c r="F44" s="11">
        <v>36966</v>
      </c>
      <c r="G44" s="11">
        <v>546313</v>
      </c>
    </row>
    <row r="45" spans="1:7" x14ac:dyDescent="0.15">
      <c r="A45" s="15" t="s">
        <v>49</v>
      </c>
      <c r="B45" s="11" t="s">
        <v>43</v>
      </c>
      <c r="C45" s="11">
        <v>0</v>
      </c>
      <c r="D45" s="11">
        <v>0</v>
      </c>
      <c r="E45" s="11">
        <v>1351</v>
      </c>
      <c r="F45" s="11">
        <v>0</v>
      </c>
      <c r="G45" s="11">
        <v>0</v>
      </c>
    </row>
    <row r="46" spans="1:7" x14ac:dyDescent="0.15">
      <c r="A46" s="15" t="s">
        <v>30</v>
      </c>
      <c r="B46" s="11" t="s">
        <v>43</v>
      </c>
      <c r="C46" s="11">
        <v>283176</v>
      </c>
      <c r="D46" s="11">
        <v>100075</v>
      </c>
      <c r="E46" s="11">
        <v>312862</v>
      </c>
      <c r="F46" s="11">
        <v>36966</v>
      </c>
      <c r="G46" s="11">
        <v>546313</v>
      </c>
    </row>
    <row r="47" spans="1:7" x14ac:dyDescent="0.15">
      <c r="A47" s="15" t="s">
        <v>50</v>
      </c>
      <c r="B47" s="11" t="s">
        <v>43</v>
      </c>
      <c r="C47" s="11" t="e">
        <v>#N/A</v>
      </c>
      <c r="D47" s="11" t="e">
        <v>#N/A</v>
      </c>
      <c r="E47" s="11" t="e">
        <v>#N/A</v>
      </c>
      <c r="F47" s="11" t="e">
        <v>#N/A</v>
      </c>
      <c r="G47" s="11" t="e">
        <v>#N/A</v>
      </c>
    </row>
    <row r="48" spans="1:7" x14ac:dyDescent="0.15">
      <c r="A48" s="15" t="s">
        <v>51</v>
      </c>
      <c r="B48" s="11" t="s">
        <v>43</v>
      </c>
      <c r="C48" s="11">
        <v>0</v>
      </c>
      <c r="D48" s="11">
        <v>0</v>
      </c>
      <c r="E48" s="11">
        <v>459</v>
      </c>
      <c r="F48" s="11">
        <v>0</v>
      </c>
      <c r="G48" s="11">
        <v>0</v>
      </c>
    </row>
    <row r="49" spans="1:7" x14ac:dyDescent="0.15">
      <c r="A49" s="15" t="s">
        <v>30</v>
      </c>
      <c r="B49" s="11" t="s">
        <v>43</v>
      </c>
      <c r="C49" s="11">
        <v>283176</v>
      </c>
      <c r="D49" s="11">
        <v>100075</v>
      </c>
      <c r="E49" s="11">
        <v>312862</v>
      </c>
      <c r="F49" s="11">
        <v>36966</v>
      </c>
      <c r="G49" s="11">
        <v>546313</v>
      </c>
    </row>
    <row r="50" spans="1:7" x14ac:dyDescent="0.15">
      <c r="A50" s="15" t="s">
        <v>30</v>
      </c>
      <c r="B50" s="11" t="s">
        <v>43</v>
      </c>
      <c r="C50" s="11">
        <v>283176</v>
      </c>
      <c r="D50" s="11">
        <v>100075</v>
      </c>
      <c r="E50" s="11">
        <v>312862</v>
      </c>
      <c r="F50" s="11">
        <v>36966</v>
      </c>
      <c r="G50" s="11">
        <v>546313</v>
      </c>
    </row>
    <row r="51" spans="1:7" x14ac:dyDescent="0.15">
      <c r="A51" s="15" t="s">
        <v>52</v>
      </c>
      <c r="B51" s="11" t="s">
        <v>43</v>
      </c>
      <c r="C51" s="11" t="e">
        <v>#N/A</v>
      </c>
      <c r="D51" s="11" t="e">
        <v>#N/A</v>
      </c>
      <c r="E51" s="11" t="e">
        <v>#N/A</v>
      </c>
      <c r="F51" s="11" t="e">
        <v>#N/A</v>
      </c>
      <c r="G51" s="11" t="e">
        <v>#N/A</v>
      </c>
    </row>
    <row r="52" spans="1:7" x14ac:dyDescent="0.15">
      <c r="A52" s="15" t="s">
        <v>53</v>
      </c>
      <c r="B52" s="11" t="s">
        <v>54</v>
      </c>
      <c r="C52" s="11">
        <v>0</v>
      </c>
      <c r="D52" s="11">
        <v>42</v>
      </c>
      <c r="E52" s="11">
        <v>0</v>
      </c>
      <c r="F52" s="11">
        <v>810</v>
      </c>
      <c r="G52" s="11">
        <v>18624</v>
      </c>
    </row>
    <row r="53" spans="1:7" x14ac:dyDescent="0.15">
      <c r="A53" s="15" t="s">
        <v>55</v>
      </c>
      <c r="B53" s="11" t="s">
        <v>54</v>
      </c>
      <c r="C53" s="11">
        <v>439</v>
      </c>
      <c r="D53" s="11">
        <v>612</v>
      </c>
      <c r="E53" s="11">
        <v>558</v>
      </c>
      <c r="F53" s="11">
        <v>0</v>
      </c>
      <c r="G53" s="11">
        <v>750</v>
      </c>
    </row>
    <row r="54" spans="1:7" x14ac:dyDescent="0.15">
      <c r="A54" s="15" t="s">
        <v>32</v>
      </c>
      <c r="B54" s="11" t="s">
        <v>54</v>
      </c>
      <c r="C54" s="11">
        <v>0</v>
      </c>
      <c r="D54" s="11">
        <v>0</v>
      </c>
      <c r="E54" s="11">
        <v>105</v>
      </c>
      <c r="F54" s="11">
        <v>565</v>
      </c>
      <c r="G54" s="11">
        <v>0</v>
      </c>
    </row>
    <row r="55" spans="1:7" x14ac:dyDescent="0.15">
      <c r="A55" s="15" t="s">
        <v>56</v>
      </c>
      <c r="B55" s="11" t="s">
        <v>54</v>
      </c>
      <c r="C55" s="11" t="e">
        <v>#N/A</v>
      </c>
      <c r="D55" s="11" t="e">
        <v>#N/A</v>
      </c>
      <c r="E55" s="11" t="e">
        <v>#N/A</v>
      </c>
      <c r="F55" s="11" t="e">
        <v>#N/A</v>
      </c>
      <c r="G55" s="11" t="e">
        <v>#N/A</v>
      </c>
    </row>
    <row r="56" spans="1:7" x14ac:dyDescent="0.15">
      <c r="A56" s="15" t="s">
        <v>57</v>
      </c>
      <c r="B56" s="11" t="s">
        <v>54</v>
      </c>
      <c r="C56" s="11" t="e">
        <v>#N/A</v>
      </c>
      <c r="D56" s="11" t="e">
        <v>#N/A</v>
      </c>
      <c r="E56" s="11" t="e">
        <v>#N/A</v>
      </c>
      <c r="F56" s="11" t="e">
        <v>#N/A</v>
      </c>
      <c r="G56" s="11" t="e">
        <v>#N/A</v>
      </c>
    </row>
    <row r="57" spans="1:7" x14ac:dyDescent="0.15">
      <c r="A57" s="15" t="s">
        <v>58</v>
      </c>
      <c r="B57" s="11" t="s">
        <v>54</v>
      </c>
      <c r="C57" s="11" t="e">
        <v>#N/A</v>
      </c>
      <c r="D57" s="11" t="e">
        <v>#N/A</v>
      </c>
      <c r="E57" s="11" t="e">
        <v>#N/A</v>
      </c>
      <c r="F57" s="11" t="e">
        <v>#N/A</v>
      </c>
      <c r="G57" s="11" t="e">
        <v>#N/A</v>
      </c>
    </row>
    <row r="58" spans="1:7" x14ac:dyDescent="0.15">
      <c r="A58" s="15" t="s">
        <v>59</v>
      </c>
      <c r="B58" s="11" t="s">
        <v>54</v>
      </c>
      <c r="C58" s="11">
        <v>0</v>
      </c>
      <c r="D58" s="11">
        <v>0</v>
      </c>
      <c r="E58" s="11">
        <v>247</v>
      </c>
      <c r="F58" s="11">
        <v>0</v>
      </c>
      <c r="G58" s="11">
        <v>0</v>
      </c>
    </row>
    <row r="59" spans="1:7" x14ac:dyDescent="0.15">
      <c r="A59" s="15" t="s">
        <v>60</v>
      </c>
      <c r="B59" s="11" t="s">
        <v>54</v>
      </c>
      <c r="C59" s="11" t="e">
        <v>#N/A</v>
      </c>
      <c r="D59" s="11" t="e">
        <v>#N/A</v>
      </c>
      <c r="E59" s="11" t="e">
        <v>#N/A</v>
      </c>
      <c r="F59" s="11" t="e">
        <v>#N/A</v>
      </c>
      <c r="G59" s="11" t="e">
        <v>#N/A</v>
      </c>
    </row>
    <row r="60" spans="1:7" x14ac:dyDescent="0.15">
      <c r="A60" s="15" t="s">
        <v>61</v>
      </c>
      <c r="B60" s="11" t="s">
        <v>54</v>
      </c>
      <c r="C60" s="11">
        <v>500230</v>
      </c>
      <c r="D60" s="11">
        <v>19105</v>
      </c>
      <c r="E60" s="11">
        <v>56702</v>
      </c>
      <c r="F60" s="11">
        <v>1834</v>
      </c>
      <c r="G60" s="11">
        <v>47486</v>
      </c>
    </row>
    <row r="61" spans="1:7" x14ac:dyDescent="0.15">
      <c r="A61" s="15" t="s">
        <v>62</v>
      </c>
      <c r="B61" s="11" t="s">
        <v>54</v>
      </c>
      <c r="C61" s="11">
        <v>0</v>
      </c>
      <c r="D61" s="11">
        <v>0</v>
      </c>
      <c r="E61" s="11">
        <v>647</v>
      </c>
      <c r="F61" s="11">
        <v>4175</v>
      </c>
      <c r="G61" s="11">
        <v>0</v>
      </c>
    </row>
    <row r="62" spans="1:7" x14ac:dyDescent="0.15">
      <c r="A62" s="15" t="s">
        <v>63</v>
      </c>
      <c r="B62" s="11" t="s">
        <v>54</v>
      </c>
      <c r="C62" s="11" t="e">
        <v>#N/A</v>
      </c>
      <c r="D62" s="11" t="e">
        <v>#N/A</v>
      </c>
      <c r="E62" s="11" t="e">
        <v>#N/A</v>
      </c>
      <c r="F62" s="11" t="e">
        <v>#N/A</v>
      </c>
      <c r="G62" s="11" t="e">
        <v>#N/A</v>
      </c>
    </row>
    <row r="63" spans="1:7" x14ac:dyDescent="0.15">
      <c r="A63" s="15" t="s">
        <v>30</v>
      </c>
      <c r="B63" s="11" t="s">
        <v>54</v>
      </c>
      <c r="C63" s="11">
        <v>283176</v>
      </c>
      <c r="D63" s="11">
        <v>100075</v>
      </c>
      <c r="E63" s="11">
        <v>312862</v>
      </c>
      <c r="F63" s="11">
        <v>36966</v>
      </c>
      <c r="G63" s="11">
        <v>546313</v>
      </c>
    </row>
    <row r="64" spans="1:7" x14ac:dyDescent="0.15">
      <c r="A64" s="15" t="s">
        <v>64</v>
      </c>
      <c r="B64" s="11" t="s">
        <v>54</v>
      </c>
      <c r="C64" s="11" t="e">
        <v>#N/A</v>
      </c>
      <c r="D64" s="11" t="e">
        <v>#N/A</v>
      </c>
      <c r="E64" s="11" t="e">
        <v>#N/A</v>
      </c>
      <c r="F64" s="11" t="e">
        <v>#N/A</v>
      </c>
      <c r="G64" s="11" t="e">
        <v>#N/A</v>
      </c>
    </row>
    <row r="65" spans="1:7" x14ac:dyDescent="0.15">
      <c r="A65" s="15" t="s">
        <v>65</v>
      </c>
      <c r="B65" s="11" t="s">
        <v>54</v>
      </c>
      <c r="C65" s="11" t="e">
        <v>#N/A</v>
      </c>
      <c r="D65" s="11" t="e">
        <v>#N/A</v>
      </c>
      <c r="E65" s="11" t="e">
        <v>#N/A</v>
      </c>
      <c r="F65" s="11" t="e">
        <v>#N/A</v>
      </c>
      <c r="G65" s="11" t="e">
        <v>#N/A</v>
      </c>
    </row>
    <row r="66" spans="1:7" x14ac:dyDescent="0.15">
      <c r="A66" s="15" t="s">
        <v>66</v>
      </c>
      <c r="B66" s="11" t="s">
        <v>54</v>
      </c>
      <c r="C66" s="11">
        <v>0</v>
      </c>
      <c r="D66" s="11">
        <v>0</v>
      </c>
      <c r="E66" s="11">
        <v>13</v>
      </c>
      <c r="F66" s="11">
        <v>6270</v>
      </c>
      <c r="G66" s="11">
        <v>0</v>
      </c>
    </row>
    <row r="67" spans="1:7" x14ac:dyDescent="0.15">
      <c r="A67" s="15" t="s">
        <v>67</v>
      </c>
      <c r="B67" s="11" t="s">
        <v>54</v>
      </c>
      <c r="C67" s="11">
        <v>0</v>
      </c>
      <c r="D67" s="11">
        <v>2040</v>
      </c>
      <c r="E67" s="11">
        <v>5665</v>
      </c>
      <c r="F67" s="11">
        <v>10576</v>
      </c>
      <c r="G67" s="11">
        <v>867</v>
      </c>
    </row>
    <row r="68" spans="1:7" x14ac:dyDescent="0.15">
      <c r="A68" s="15" t="s">
        <v>68</v>
      </c>
      <c r="B68" s="11" t="s">
        <v>54</v>
      </c>
      <c r="C68" s="11">
        <v>0</v>
      </c>
      <c r="D68" s="11">
        <v>1561</v>
      </c>
      <c r="E68" s="11">
        <v>9062</v>
      </c>
      <c r="F68" s="11">
        <v>0</v>
      </c>
      <c r="G68" s="11">
        <v>11084</v>
      </c>
    </row>
    <row r="69" spans="1:7" x14ac:dyDescent="0.15">
      <c r="A69" s="15" t="s">
        <v>69</v>
      </c>
      <c r="B69" s="11" t="s">
        <v>54</v>
      </c>
      <c r="C69" s="11">
        <v>10709</v>
      </c>
      <c r="D69" s="11">
        <v>61</v>
      </c>
      <c r="E69" s="11">
        <v>3077</v>
      </c>
      <c r="F69" s="11">
        <v>13703</v>
      </c>
      <c r="G69" s="11">
        <v>6576</v>
      </c>
    </row>
    <row r="70" spans="1:7" x14ac:dyDescent="0.15">
      <c r="A70" s="15" t="s">
        <v>38</v>
      </c>
      <c r="B70" s="11" t="s">
        <v>54</v>
      </c>
      <c r="C70" s="11" t="e">
        <v>#N/A</v>
      </c>
      <c r="D70" s="11" t="e">
        <v>#N/A</v>
      </c>
      <c r="E70" s="11" t="e">
        <v>#N/A</v>
      </c>
      <c r="F70" s="11" t="e">
        <v>#N/A</v>
      </c>
      <c r="G70" s="11" t="e">
        <v>#N/A</v>
      </c>
    </row>
    <row r="71" spans="1:7" x14ac:dyDescent="0.15">
      <c r="A71" s="15" t="s">
        <v>70</v>
      </c>
      <c r="B71" s="11" t="s">
        <v>54</v>
      </c>
      <c r="C71" s="11">
        <v>0</v>
      </c>
      <c r="D71" s="11">
        <v>0</v>
      </c>
      <c r="E71" s="11">
        <v>42</v>
      </c>
      <c r="F71" s="11">
        <v>0</v>
      </c>
      <c r="G71" s="11">
        <v>0</v>
      </c>
    </row>
    <row r="72" spans="1:7" x14ac:dyDescent="0.15">
      <c r="A72" s="11" t="s">
        <v>71</v>
      </c>
      <c r="B72" s="11" t="s">
        <v>72</v>
      </c>
      <c r="C72" s="11">
        <v>0</v>
      </c>
      <c r="D72" s="11">
        <v>56</v>
      </c>
      <c r="E72" s="11">
        <v>208</v>
      </c>
      <c r="F72" s="11">
        <v>0</v>
      </c>
      <c r="G72" s="11">
        <v>26292</v>
      </c>
    </row>
    <row r="73" spans="1:7" x14ac:dyDescent="0.15">
      <c r="A73" s="11" t="s">
        <v>73</v>
      </c>
      <c r="B73" s="11" t="s">
        <v>72</v>
      </c>
      <c r="C73" s="11" t="e">
        <v>#N/A</v>
      </c>
      <c r="D73" s="11" t="e">
        <v>#N/A</v>
      </c>
      <c r="E73" s="11" t="e">
        <v>#N/A</v>
      </c>
      <c r="F73" s="11" t="e">
        <v>#N/A</v>
      </c>
      <c r="G73" s="11" t="e">
        <v>#N/A</v>
      </c>
    </row>
    <row r="74" spans="1:7" x14ac:dyDescent="0.15">
      <c r="A74" s="11" t="s">
        <v>74</v>
      </c>
      <c r="B74" s="11" t="s">
        <v>72</v>
      </c>
      <c r="C74" s="11">
        <v>0</v>
      </c>
      <c r="D74" s="11">
        <v>1311</v>
      </c>
      <c r="E74" s="11">
        <v>18360</v>
      </c>
      <c r="F74" s="11">
        <v>67826</v>
      </c>
      <c r="G74" s="11">
        <v>38886</v>
      </c>
    </row>
    <row r="75" spans="1:7" x14ac:dyDescent="0.15">
      <c r="A75" s="11" t="s">
        <v>75</v>
      </c>
      <c r="B75" s="11" t="s">
        <v>72</v>
      </c>
      <c r="C75" s="11" t="e">
        <v>#N/A</v>
      </c>
      <c r="D75" s="11" t="e">
        <v>#N/A</v>
      </c>
      <c r="E75" s="11" t="e">
        <v>#N/A</v>
      </c>
      <c r="F75" s="11" t="e">
        <v>#N/A</v>
      </c>
      <c r="G75" s="11" t="e">
        <v>#N/A</v>
      </c>
    </row>
    <row r="76" spans="1:7" x14ac:dyDescent="0.15">
      <c r="A76" s="11" t="s">
        <v>76</v>
      </c>
      <c r="B76" s="11" t="s">
        <v>72</v>
      </c>
      <c r="C76" s="11">
        <v>0</v>
      </c>
      <c r="D76" s="11">
        <v>0</v>
      </c>
      <c r="E76" s="11">
        <v>0</v>
      </c>
      <c r="F76" s="11">
        <v>43596</v>
      </c>
      <c r="G76" s="11">
        <v>2442</v>
      </c>
    </row>
    <row r="77" spans="1:7" x14ac:dyDescent="0.15">
      <c r="A77" s="11" t="s">
        <v>77</v>
      </c>
      <c r="B77" s="11" t="s">
        <v>72</v>
      </c>
      <c r="C77" s="11">
        <v>216853</v>
      </c>
      <c r="D77" s="11">
        <v>54058</v>
      </c>
      <c r="E77" s="11">
        <v>144952</v>
      </c>
      <c r="F77" s="11">
        <v>9127</v>
      </c>
      <c r="G77" s="11">
        <v>6212</v>
      </c>
    </row>
    <row r="78" spans="1:7" x14ac:dyDescent="0.15">
      <c r="A78" s="11" t="s">
        <v>78</v>
      </c>
      <c r="B78" s="11" t="s">
        <v>72</v>
      </c>
      <c r="C78" s="11">
        <v>0</v>
      </c>
      <c r="D78" s="11">
        <v>0</v>
      </c>
      <c r="E78" s="11">
        <v>47</v>
      </c>
      <c r="F78" s="11">
        <v>0</v>
      </c>
      <c r="G78" s="11">
        <v>0</v>
      </c>
    </row>
    <row r="79" spans="1:7" x14ac:dyDescent="0.15">
      <c r="A79" s="11" t="s">
        <v>79</v>
      </c>
      <c r="B79" s="11" t="s">
        <v>72</v>
      </c>
      <c r="C79" s="11" t="e">
        <v>#N/A</v>
      </c>
      <c r="D79" s="11" t="e">
        <v>#N/A</v>
      </c>
      <c r="E79" s="11" t="e">
        <v>#N/A</v>
      </c>
      <c r="F79" s="11" t="e">
        <v>#N/A</v>
      </c>
      <c r="G79" s="11" t="e">
        <v>#N/A</v>
      </c>
    </row>
    <row r="80" spans="1:7" x14ac:dyDescent="0.15">
      <c r="A80" s="11" t="s">
        <v>80</v>
      </c>
      <c r="B80" s="11" t="s">
        <v>72</v>
      </c>
      <c r="C80" s="11">
        <v>0</v>
      </c>
      <c r="D80" s="11">
        <v>0</v>
      </c>
      <c r="E80" s="11">
        <v>31</v>
      </c>
      <c r="F80" s="11">
        <v>8</v>
      </c>
      <c r="G80" s="11">
        <v>0</v>
      </c>
    </row>
    <row r="81" spans="1:7" x14ac:dyDescent="0.15">
      <c r="A81" s="11" t="s">
        <v>81</v>
      </c>
      <c r="B81" s="11" t="s">
        <v>72</v>
      </c>
      <c r="C81" s="11">
        <v>0</v>
      </c>
      <c r="D81" s="11">
        <v>0</v>
      </c>
      <c r="E81" s="11">
        <v>23</v>
      </c>
      <c r="F81" s="11">
        <v>0</v>
      </c>
      <c r="G81" s="11">
        <v>0</v>
      </c>
    </row>
    <row r="82" spans="1:7" x14ac:dyDescent="0.15">
      <c r="A82" s="11" t="s">
        <v>82</v>
      </c>
      <c r="B82" s="11" t="s">
        <v>72</v>
      </c>
      <c r="C82" s="11">
        <v>2947</v>
      </c>
      <c r="D82" s="11">
        <v>1376</v>
      </c>
      <c r="E82" s="11">
        <v>5550</v>
      </c>
      <c r="F82" s="11">
        <v>1359</v>
      </c>
      <c r="G82" s="11">
        <v>78329</v>
      </c>
    </row>
    <row r="83" spans="1:7" x14ac:dyDescent="0.15">
      <c r="A83" s="11" t="s">
        <v>83</v>
      </c>
      <c r="B83" s="11" t="s">
        <v>72</v>
      </c>
      <c r="C83" s="11" t="e">
        <v>#N/A</v>
      </c>
      <c r="D83" s="11" t="e">
        <v>#N/A</v>
      </c>
      <c r="E83" s="11" t="e">
        <v>#N/A</v>
      </c>
      <c r="F83" s="11" t="e">
        <v>#N/A</v>
      </c>
      <c r="G83" s="11" t="e">
        <v>#N/A</v>
      </c>
    </row>
    <row r="84" spans="1:7" x14ac:dyDescent="0.15">
      <c r="A84" s="11" t="s">
        <v>25</v>
      </c>
      <c r="B84" s="11" t="s">
        <v>72</v>
      </c>
      <c r="C84" s="11" t="e">
        <v>#N/A</v>
      </c>
      <c r="D84" s="11" t="e">
        <v>#N/A</v>
      </c>
      <c r="E84" s="11" t="e">
        <v>#N/A</v>
      </c>
      <c r="F84" s="11" t="e">
        <v>#N/A</v>
      </c>
      <c r="G84" s="11" t="e">
        <v>#N/A</v>
      </c>
    </row>
    <row r="85" spans="1:7" x14ac:dyDescent="0.15">
      <c r="A85" s="11" t="s">
        <v>84</v>
      </c>
      <c r="B85" s="11" t="s">
        <v>72</v>
      </c>
      <c r="C85" s="11">
        <v>15816</v>
      </c>
      <c r="D85" s="11">
        <v>97287</v>
      </c>
      <c r="E85" s="11">
        <v>82660</v>
      </c>
      <c r="F85" s="11">
        <v>2128</v>
      </c>
      <c r="G85" s="11">
        <v>0</v>
      </c>
    </row>
    <row r="86" spans="1:7" x14ac:dyDescent="0.15">
      <c r="A86" s="11" t="s">
        <v>85</v>
      </c>
      <c r="B86" s="11" t="s">
        <v>72</v>
      </c>
      <c r="C86" s="11">
        <v>0</v>
      </c>
      <c r="D86" s="11">
        <v>785</v>
      </c>
      <c r="E86" s="11">
        <v>1039</v>
      </c>
      <c r="F86" s="11">
        <v>0</v>
      </c>
      <c r="G86" s="11">
        <v>0</v>
      </c>
    </row>
    <row r="87" spans="1:7" x14ac:dyDescent="0.15">
      <c r="A87" s="11" t="s">
        <v>86</v>
      </c>
      <c r="B87" s="11" t="s">
        <v>72</v>
      </c>
      <c r="C87" s="11">
        <v>16494</v>
      </c>
      <c r="D87" s="11">
        <v>1397</v>
      </c>
      <c r="E87" s="11">
        <v>2851</v>
      </c>
      <c r="F87" s="11">
        <v>3724</v>
      </c>
      <c r="G87" s="11">
        <v>107770</v>
      </c>
    </row>
    <row r="88" spans="1:7" x14ac:dyDescent="0.15">
      <c r="A88" s="11" t="s">
        <v>87</v>
      </c>
      <c r="B88" s="11" t="s">
        <v>72</v>
      </c>
      <c r="C88" s="11">
        <v>0</v>
      </c>
      <c r="D88" s="11">
        <v>1071</v>
      </c>
      <c r="E88" s="11">
        <v>2815</v>
      </c>
      <c r="F88" s="11">
        <v>3839</v>
      </c>
      <c r="G88" s="11">
        <v>40450</v>
      </c>
    </row>
    <row r="89" spans="1:7" x14ac:dyDescent="0.15">
      <c r="A89" s="11" t="s">
        <v>88</v>
      </c>
      <c r="B89" s="11" t="s">
        <v>72</v>
      </c>
      <c r="C89" s="11">
        <v>10251</v>
      </c>
      <c r="D89" s="11">
        <v>36375</v>
      </c>
      <c r="E89" s="11">
        <v>68511</v>
      </c>
      <c r="F89" s="11">
        <v>481221</v>
      </c>
      <c r="G89" s="11">
        <v>744086</v>
      </c>
    </row>
    <row r="90" spans="1:7" x14ac:dyDescent="0.15">
      <c r="A90" s="11" t="s">
        <v>89</v>
      </c>
      <c r="B90" s="11" t="s">
        <v>90</v>
      </c>
      <c r="C90" s="11">
        <v>0</v>
      </c>
      <c r="D90" s="11">
        <v>0</v>
      </c>
      <c r="E90" s="11">
        <v>0</v>
      </c>
      <c r="F90" s="11">
        <v>3176</v>
      </c>
      <c r="G90" s="11">
        <v>2613</v>
      </c>
    </row>
    <row r="91" spans="1:7" x14ac:dyDescent="0.15">
      <c r="A91" s="11" t="s">
        <v>91</v>
      </c>
      <c r="B91" s="11" t="s">
        <v>90</v>
      </c>
      <c r="C91" s="11">
        <v>0</v>
      </c>
      <c r="D91" s="11">
        <v>342</v>
      </c>
      <c r="E91" s="11">
        <v>1678</v>
      </c>
      <c r="F91" s="11">
        <v>0</v>
      </c>
      <c r="G91" s="11">
        <v>1124</v>
      </c>
    </row>
    <row r="92" spans="1:7" x14ac:dyDescent="0.15">
      <c r="A92" s="11" t="s">
        <v>92</v>
      </c>
      <c r="B92" s="11" t="s">
        <v>90</v>
      </c>
      <c r="C92" s="11">
        <v>0</v>
      </c>
      <c r="D92" s="11">
        <v>2</v>
      </c>
      <c r="E92" s="11">
        <v>37</v>
      </c>
      <c r="F92" s="11">
        <v>106</v>
      </c>
      <c r="G92" s="11">
        <v>64</v>
      </c>
    </row>
    <row r="93" spans="1:7" x14ac:dyDescent="0.15">
      <c r="A93" s="11" t="s">
        <v>93</v>
      </c>
      <c r="B93" s="11" t="s">
        <v>90</v>
      </c>
      <c r="C93" s="11">
        <v>0</v>
      </c>
      <c r="D93" s="11">
        <v>3048</v>
      </c>
      <c r="E93" s="11">
        <v>4598</v>
      </c>
      <c r="F93" s="11">
        <v>13752</v>
      </c>
      <c r="G93" s="11">
        <v>34763</v>
      </c>
    </row>
    <row r="94" spans="1:7" x14ac:dyDescent="0.15">
      <c r="A94" s="11" t="s">
        <v>94</v>
      </c>
      <c r="B94" s="11" t="s">
        <v>90</v>
      </c>
      <c r="C94" s="11" t="e">
        <v>#N/A</v>
      </c>
      <c r="D94" s="11" t="e">
        <v>#N/A</v>
      </c>
      <c r="E94" s="11" t="e">
        <v>#N/A</v>
      </c>
      <c r="F94" s="11" t="e">
        <v>#N/A</v>
      </c>
      <c r="G94" s="11" t="e">
        <v>#N/A</v>
      </c>
    </row>
    <row r="95" spans="1:7" x14ac:dyDescent="0.15">
      <c r="A95" s="11" t="s">
        <v>95</v>
      </c>
      <c r="B95" s="11" t="s">
        <v>90</v>
      </c>
      <c r="C95" s="11">
        <v>2929</v>
      </c>
      <c r="D95" s="11">
        <v>4304</v>
      </c>
      <c r="E95" s="11">
        <v>11609</v>
      </c>
      <c r="F95" s="11">
        <v>67023</v>
      </c>
      <c r="G95" s="11">
        <v>134822</v>
      </c>
    </row>
    <row r="96" spans="1:7" x14ac:dyDescent="0.15">
      <c r="A96" s="11" t="s">
        <v>96</v>
      </c>
      <c r="B96" s="11" t="s">
        <v>90</v>
      </c>
      <c r="C96" s="11">
        <v>1776</v>
      </c>
      <c r="D96" s="11">
        <v>11043</v>
      </c>
      <c r="E96" s="11">
        <v>9269</v>
      </c>
      <c r="F96" s="11">
        <v>0</v>
      </c>
      <c r="G96" s="11">
        <v>81949</v>
      </c>
    </row>
    <row r="97" spans="1:7" x14ac:dyDescent="0.15">
      <c r="A97" s="11" t="s">
        <v>97</v>
      </c>
      <c r="B97" s="11" t="s">
        <v>90</v>
      </c>
      <c r="C97" s="11">
        <v>18</v>
      </c>
      <c r="D97" s="11">
        <v>144</v>
      </c>
      <c r="E97" s="11">
        <v>240</v>
      </c>
      <c r="F97" s="11">
        <v>2734</v>
      </c>
      <c r="G97" s="11">
        <v>0</v>
      </c>
    </row>
    <row r="98" spans="1:7" x14ac:dyDescent="0.15">
      <c r="A98" s="11" t="s">
        <v>98</v>
      </c>
      <c r="B98" s="11" t="s">
        <v>90</v>
      </c>
      <c r="C98" s="11">
        <v>0</v>
      </c>
      <c r="D98" s="11">
        <v>299</v>
      </c>
      <c r="E98" s="11">
        <v>6115</v>
      </c>
      <c r="F98" s="11">
        <v>16731</v>
      </c>
      <c r="G98" s="11">
        <v>9103</v>
      </c>
    </row>
    <row r="99" spans="1:7" x14ac:dyDescent="0.15">
      <c r="A99" s="11" t="s">
        <v>99</v>
      </c>
      <c r="B99" s="11" t="s">
        <v>90</v>
      </c>
      <c r="C99" s="11">
        <v>0</v>
      </c>
      <c r="D99" s="11">
        <v>0</v>
      </c>
      <c r="E99" s="11">
        <v>3636</v>
      </c>
      <c r="F99" s="11">
        <v>8</v>
      </c>
      <c r="G99" s="11">
        <v>0</v>
      </c>
    </row>
    <row r="100" spans="1:7" x14ac:dyDescent="0.15">
      <c r="A100" s="11" t="s">
        <v>100</v>
      </c>
      <c r="B100" s="11" t="s">
        <v>101</v>
      </c>
      <c r="C100" s="11">
        <v>0</v>
      </c>
      <c r="D100" s="11">
        <v>6</v>
      </c>
      <c r="E100" s="11">
        <v>342</v>
      </c>
      <c r="F100" s="11">
        <v>0</v>
      </c>
      <c r="G100" s="11">
        <v>739</v>
      </c>
    </row>
    <row r="101" spans="1:7" x14ac:dyDescent="0.15">
      <c r="A101" s="11" t="s">
        <v>102</v>
      </c>
      <c r="B101" s="11" t="s">
        <v>101</v>
      </c>
      <c r="C101" s="11">
        <v>0</v>
      </c>
      <c r="D101" s="11">
        <v>0</v>
      </c>
      <c r="E101" s="11">
        <v>263</v>
      </c>
      <c r="F101" s="11">
        <v>0</v>
      </c>
      <c r="G101" s="11">
        <v>0</v>
      </c>
    </row>
    <row r="102" spans="1:7" x14ac:dyDescent="0.15">
      <c r="A102" s="11" t="s">
        <v>103</v>
      </c>
      <c r="B102" s="11" t="s">
        <v>101</v>
      </c>
      <c r="C102" s="11">
        <v>264028</v>
      </c>
      <c r="D102" s="11">
        <v>12552</v>
      </c>
      <c r="E102" s="11">
        <v>9260</v>
      </c>
      <c r="F102" s="11">
        <v>7973</v>
      </c>
      <c r="G102" s="11">
        <v>115202</v>
      </c>
    </row>
    <row r="103" spans="1:7" x14ac:dyDescent="0.15">
      <c r="A103" s="11" t="s">
        <v>104</v>
      </c>
      <c r="B103" s="11" t="s">
        <v>101</v>
      </c>
      <c r="C103" s="11" t="e">
        <v>#N/A</v>
      </c>
      <c r="D103" s="11" t="e">
        <v>#N/A</v>
      </c>
      <c r="E103" s="11" t="e">
        <v>#N/A</v>
      </c>
      <c r="F103" s="11" t="e">
        <v>#N/A</v>
      </c>
      <c r="G103" s="11" t="e">
        <v>#N/A</v>
      </c>
    </row>
    <row r="104" spans="1:7" x14ac:dyDescent="0.15">
      <c r="A104" s="11" t="s">
        <v>105</v>
      </c>
      <c r="B104" s="11" t="s">
        <v>101</v>
      </c>
      <c r="C104" s="11">
        <v>37857</v>
      </c>
      <c r="D104" s="11">
        <v>1697</v>
      </c>
      <c r="E104" s="11">
        <v>4623</v>
      </c>
      <c r="F104" s="11">
        <v>5132</v>
      </c>
      <c r="G104" s="11">
        <v>84605</v>
      </c>
    </row>
    <row r="105" spans="1:7" x14ac:dyDescent="0.15">
      <c r="A105" s="11" t="s">
        <v>106</v>
      </c>
      <c r="B105" s="11" t="s">
        <v>107</v>
      </c>
      <c r="C105" s="11">
        <v>11423</v>
      </c>
      <c r="D105" s="11">
        <v>10041</v>
      </c>
      <c r="E105" s="11">
        <v>15690</v>
      </c>
      <c r="F105" s="11">
        <v>92808</v>
      </c>
      <c r="G105" s="11">
        <v>21419</v>
      </c>
    </row>
    <row r="106" spans="1:7" x14ac:dyDescent="0.15">
      <c r="A106" s="11" t="s">
        <v>108</v>
      </c>
      <c r="B106" s="11" t="s">
        <v>107</v>
      </c>
      <c r="C106" s="11">
        <v>4558</v>
      </c>
      <c r="D106" s="11">
        <v>5592</v>
      </c>
      <c r="E106" s="11">
        <v>7047</v>
      </c>
      <c r="F106" s="11">
        <v>52617</v>
      </c>
      <c r="G106" s="11">
        <v>13880</v>
      </c>
    </row>
    <row r="107" spans="1:7" x14ac:dyDescent="0.15">
      <c r="A107" s="11" t="s">
        <v>109</v>
      </c>
      <c r="B107" s="11" t="s">
        <v>107</v>
      </c>
      <c r="C107" s="11" t="e">
        <v>#N/A</v>
      </c>
      <c r="D107" s="11" t="e">
        <v>#N/A</v>
      </c>
      <c r="E107" s="11" t="e">
        <v>#N/A</v>
      </c>
      <c r="F107" s="11" t="e">
        <v>#N/A</v>
      </c>
      <c r="G107" s="11" t="e">
        <v>#N/A</v>
      </c>
    </row>
    <row r="108" spans="1:7" x14ac:dyDescent="0.15">
      <c r="A108" s="11" t="s">
        <v>110</v>
      </c>
      <c r="B108" s="11" t="s">
        <v>107</v>
      </c>
      <c r="C108" s="11">
        <v>90761</v>
      </c>
      <c r="D108" s="11">
        <v>14304</v>
      </c>
      <c r="E108" s="11">
        <v>21833</v>
      </c>
      <c r="F108" s="11">
        <v>100273</v>
      </c>
      <c r="G108" s="11">
        <v>195770</v>
      </c>
    </row>
    <row r="109" spans="1:7" x14ac:dyDescent="0.15">
      <c r="A109" s="11" t="s">
        <v>111</v>
      </c>
      <c r="B109" s="11" t="s">
        <v>107</v>
      </c>
      <c r="C109" s="11">
        <v>234610</v>
      </c>
      <c r="D109" s="11">
        <v>0</v>
      </c>
      <c r="E109" s="11">
        <v>0</v>
      </c>
      <c r="F109" s="11">
        <v>0</v>
      </c>
      <c r="G109" s="11">
        <v>0</v>
      </c>
    </row>
    <row r="110" spans="1:7" x14ac:dyDescent="0.15">
      <c r="A110" s="11" t="s">
        <v>112</v>
      </c>
      <c r="B110" s="11" t="s">
        <v>107</v>
      </c>
      <c r="C110" s="11">
        <v>0</v>
      </c>
      <c r="D110" s="11">
        <v>61</v>
      </c>
      <c r="E110" s="11">
        <v>129</v>
      </c>
      <c r="F110" s="11">
        <v>0</v>
      </c>
      <c r="G110" s="11">
        <v>246</v>
      </c>
    </row>
    <row r="111" spans="1:7" x14ac:dyDescent="0.15">
      <c r="A111" s="11" t="s">
        <v>113</v>
      </c>
      <c r="B111" s="11" t="s">
        <v>107</v>
      </c>
      <c r="C111" s="11">
        <v>0</v>
      </c>
      <c r="D111" s="11">
        <v>0</v>
      </c>
      <c r="E111" s="11">
        <v>4743</v>
      </c>
      <c r="F111" s="11">
        <v>0</v>
      </c>
      <c r="G111" s="11">
        <v>0</v>
      </c>
    </row>
    <row r="112" spans="1:7" x14ac:dyDescent="0.15">
      <c r="A112" s="11" t="s">
        <v>114</v>
      </c>
      <c r="B112" s="11" t="s">
        <v>107</v>
      </c>
      <c r="C112" s="11">
        <v>0</v>
      </c>
      <c r="D112" s="11">
        <v>0</v>
      </c>
      <c r="E112" s="11">
        <v>44</v>
      </c>
      <c r="F112" s="11">
        <v>0</v>
      </c>
      <c r="G112" s="11">
        <v>10035</v>
      </c>
    </row>
    <row r="113" spans="1:7" x14ac:dyDescent="0.15">
      <c r="A113" s="11" t="s">
        <v>75</v>
      </c>
      <c r="B113" s="11" t="s">
        <v>107</v>
      </c>
      <c r="C113" s="11" t="e">
        <v>#N/A</v>
      </c>
      <c r="D113" s="11" t="e">
        <v>#N/A</v>
      </c>
      <c r="E113" s="11" t="e">
        <v>#N/A</v>
      </c>
      <c r="F113" s="11" t="e">
        <v>#N/A</v>
      </c>
      <c r="G113" s="11" t="e">
        <v>#N/A</v>
      </c>
    </row>
    <row r="114" spans="1:7" x14ac:dyDescent="0.15">
      <c r="A114" s="11" t="s">
        <v>115</v>
      </c>
      <c r="B114" s="11" t="s">
        <v>107</v>
      </c>
      <c r="C114" s="11">
        <v>0</v>
      </c>
      <c r="D114" s="11">
        <v>0</v>
      </c>
      <c r="E114" s="11">
        <v>354</v>
      </c>
      <c r="F114" s="11">
        <v>2464</v>
      </c>
      <c r="G114" s="11">
        <v>2774</v>
      </c>
    </row>
    <row r="115" spans="1:7" x14ac:dyDescent="0.15">
      <c r="A115" s="11" t="s">
        <v>116</v>
      </c>
      <c r="B115" s="11" t="s">
        <v>107</v>
      </c>
      <c r="C115" s="11">
        <v>3442</v>
      </c>
      <c r="D115" s="11">
        <v>8425</v>
      </c>
      <c r="E115" s="11">
        <v>6605</v>
      </c>
      <c r="F115" s="11">
        <v>17001</v>
      </c>
      <c r="G115" s="11">
        <v>22244</v>
      </c>
    </row>
    <row r="116" spans="1:7" x14ac:dyDescent="0.15">
      <c r="A116" s="11" t="s">
        <v>117</v>
      </c>
      <c r="B116" s="11" t="s">
        <v>118</v>
      </c>
      <c r="C116" s="11" t="e">
        <v>#N/A</v>
      </c>
      <c r="D116" s="11" t="e">
        <v>#N/A</v>
      </c>
      <c r="E116" s="11" t="e">
        <v>#N/A</v>
      </c>
      <c r="F116" s="11" t="e">
        <v>#N/A</v>
      </c>
      <c r="G116" s="11" t="e">
        <v>#N/A</v>
      </c>
    </row>
    <row r="117" spans="1:7" x14ac:dyDescent="0.15">
      <c r="A117" s="11" t="s">
        <v>119</v>
      </c>
      <c r="B117" s="11" t="s">
        <v>118</v>
      </c>
      <c r="C117" s="11">
        <v>0</v>
      </c>
      <c r="D117" s="11">
        <v>0</v>
      </c>
      <c r="E117" s="11">
        <v>852</v>
      </c>
      <c r="F117" s="11">
        <v>0</v>
      </c>
      <c r="G117" s="11">
        <v>0</v>
      </c>
    </row>
    <row r="118" spans="1:7" x14ac:dyDescent="0.15">
      <c r="A118" s="11" t="s">
        <v>120</v>
      </c>
      <c r="B118" s="11" t="s">
        <v>118</v>
      </c>
      <c r="C118" s="11" t="e">
        <v>#N/A</v>
      </c>
      <c r="D118" s="11" t="e">
        <v>#N/A</v>
      </c>
      <c r="E118" s="11" t="e">
        <v>#N/A</v>
      </c>
      <c r="F118" s="11" t="e">
        <v>#N/A</v>
      </c>
      <c r="G118" s="11" t="e">
        <v>#N/A</v>
      </c>
    </row>
    <row r="119" spans="1:7" x14ac:dyDescent="0.15">
      <c r="A119" s="11" t="s">
        <v>121</v>
      </c>
      <c r="B119" s="11" t="s">
        <v>118</v>
      </c>
      <c r="C119" s="11" t="e">
        <v>#N/A</v>
      </c>
      <c r="D119" s="11" t="e">
        <v>#N/A</v>
      </c>
      <c r="E119" s="11" t="e">
        <v>#N/A</v>
      </c>
      <c r="F119" s="11" t="e">
        <v>#N/A</v>
      </c>
      <c r="G119" s="11" t="e">
        <v>#N/A</v>
      </c>
    </row>
    <row r="120" spans="1:7" x14ac:dyDescent="0.15">
      <c r="A120" s="11" t="s">
        <v>122</v>
      </c>
      <c r="B120" s="11" t="s">
        <v>118</v>
      </c>
      <c r="C120" s="11">
        <v>63943</v>
      </c>
      <c r="D120" s="11">
        <v>1184</v>
      </c>
      <c r="E120" s="11">
        <v>2681</v>
      </c>
      <c r="F120" s="11">
        <v>8521</v>
      </c>
      <c r="G120" s="11">
        <v>18206</v>
      </c>
    </row>
    <row r="121" spans="1:7" x14ac:dyDescent="0.15">
      <c r="A121" s="11" t="s">
        <v>123</v>
      </c>
      <c r="B121" s="11" t="s">
        <v>118</v>
      </c>
      <c r="C121" s="11">
        <v>0</v>
      </c>
      <c r="D121" s="11">
        <v>294</v>
      </c>
      <c r="E121" s="11">
        <v>0</v>
      </c>
      <c r="F121" s="11">
        <v>0</v>
      </c>
      <c r="G121" s="11">
        <v>0</v>
      </c>
    </row>
    <row r="122" spans="1:7" x14ac:dyDescent="0.15">
      <c r="A122" s="11" t="s">
        <v>124</v>
      </c>
      <c r="B122" s="11" t="s">
        <v>125</v>
      </c>
      <c r="C122" s="11">
        <v>37</v>
      </c>
      <c r="D122" s="11">
        <v>1111</v>
      </c>
      <c r="E122" s="11">
        <v>702</v>
      </c>
      <c r="F122" s="11">
        <v>704</v>
      </c>
      <c r="G122" s="11">
        <v>0</v>
      </c>
    </row>
    <row r="123" spans="1:7" x14ac:dyDescent="0.15">
      <c r="A123" s="11" t="s">
        <v>126</v>
      </c>
      <c r="B123" s="11" t="s">
        <v>125</v>
      </c>
      <c r="C123" s="11">
        <v>4888</v>
      </c>
      <c r="D123" s="11">
        <v>5977</v>
      </c>
      <c r="E123" s="11">
        <v>17554</v>
      </c>
      <c r="F123" s="11">
        <v>3495</v>
      </c>
      <c r="G123" s="11">
        <v>15379</v>
      </c>
    </row>
    <row r="124" spans="1:7" x14ac:dyDescent="0.15">
      <c r="A124" s="11" t="s">
        <v>127</v>
      </c>
      <c r="B124" s="11" t="s">
        <v>125</v>
      </c>
      <c r="C124" s="11" t="e">
        <v>#N/A</v>
      </c>
      <c r="D124" s="11" t="e">
        <v>#N/A</v>
      </c>
      <c r="E124" s="11" t="e">
        <v>#N/A</v>
      </c>
      <c r="F124" s="11" t="e">
        <v>#N/A</v>
      </c>
      <c r="G124" s="11" t="e">
        <v>#N/A</v>
      </c>
    </row>
    <row r="125" spans="1:7" x14ac:dyDescent="0.15">
      <c r="A125" s="11" t="s">
        <v>128</v>
      </c>
      <c r="B125" s="11" t="s">
        <v>125</v>
      </c>
      <c r="C125" s="11" t="e">
        <v>#N/A</v>
      </c>
      <c r="D125" s="11" t="e">
        <v>#N/A</v>
      </c>
      <c r="E125" s="11" t="e">
        <v>#N/A</v>
      </c>
      <c r="F125" s="11" t="e">
        <v>#N/A</v>
      </c>
      <c r="G125" s="11" t="e">
        <v>#N/A</v>
      </c>
    </row>
    <row r="126" spans="1:7" x14ac:dyDescent="0.15">
      <c r="A126" s="11" t="s">
        <v>129</v>
      </c>
      <c r="B126" s="11" t="s">
        <v>125</v>
      </c>
      <c r="C126" s="11">
        <v>0</v>
      </c>
      <c r="D126" s="11">
        <v>0</v>
      </c>
      <c r="E126" s="11">
        <v>3263</v>
      </c>
      <c r="F126" s="11">
        <v>0</v>
      </c>
      <c r="G126" s="11">
        <v>3556</v>
      </c>
    </row>
    <row r="127" spans="1:7" x14ac:dyDescent="0.15">
      <c r="A127" s="11" t="s">
        <v>130</v>
      </c>
      <c r="B127" s="11" t="s">
        <v>125</v>
      </c>
      <c r="C127" s="11">
        <v>183</v>
      </c>
      <c r="D127" s="11">
        <v>22098</v>
      </c>
      <c r="E127" s="11">
        <v>35184</v>
      </c>
      <c r="F127" s="11">
        <v>106069</v>
      </c>
      <c r="G127" s="11">
        <v>358576</v>
      </c>
    </row>
    <row r="128" spans="1:7" x14ac:dyDescent="0.15">
      <c r="A128" s="11" t="s">
        <v>131</v>
      </c>
      <c r="B128" s="11" t="s">
        <v>125</v>
      </c>
      <c r="C128" s="11">
        <v>835596</v>
      </c>
      <c r="D128" s="11">
        <v>137361</v>
      </c>
      <c r="E128" s="11">
        <v>400635</v>
      </c>
      <c r="F128" s="11">
        <v>951072</v>
      </c>
      <c r="G128" s="11">
        <v>1765237</v>
      </c>
    </row>
    <row r="129" spans="1:7" x14ac:dyDescent="0.15">
      <c r="A129" s="11" t="s">
        <v>132</v>
      </c>
      <c r="B129" s="11" t="s">
        <v>125</v>
      </c>
      <c r="C129" s="11">
        <v>0</v>
      </c>
      <c r="D129" s="11">
        <v>0</v>
      </c>
      <c r="E129" s="11">
        <v>0</v>
      </c>
      <c r="F129" s="11">
        <v>0</v>
      </c>
      <c r="G129" s="11">
        <v>589</v>
      </c>
    </row>
    <row r="130" spans="1:7" x14ac:dyDescent="0.15">
      <c r="A130" s="11" t="s">
        <v>133</v>
      </c>
      <c r="B130" s="11" t="s">
        <v>125</v>
      </c>
      <c r="C130" s="11" t="e">
        <v>#N/A</v>
      </c>
      <c r="D130" s="11" t="e">
        <v>#N/A</v>
      </c>
      <c r="E130" s="11" t="e">
        <v>#N/A</v>
      </c>
      <c r="F130" s="11" t="e">
        <v>#N/A</v>
      </c>
      <c r="G130" s="11" t="e">
        <v>#N/A</v>
      </c>
    </row>
    <row r="131" spans="1:7" x14ac:dyDescent="0.15">
      <c r="A131" s="11" t="s">
        <v>110</v>
      </c>
      <c r="B131" s="11" t="s">
        <v>125</v>
      </c>
      <c r="C131" s="11">
        <v>90761</v>
      </c>
      <c r="D131" s="11">
        <v>14304</v>
      </c>
      <c r="E131" s="11">
        <v>21833</v>
      </c>
      <c r="F131" s="11">
        <v>100273</v>
      </c>
      <c r="G131" s="11">
        <v>195770</v>
      </c>
    </row>
    <row r="132" spans="1:7" x14ac:dyDescent="0.15">
      <c r="A132" s="11" t="s">
        <v>134</v>
      </c>
      <c r="B132" s="11" t="s">
        <v>125</v>
      </c>
      <c r="C132" s="11">
        <v>49609</v>
      </c>
      <c r="D132" s="11">
        <v>17118</v>
      </c>
      <c r="E132" s="11">
        <v>27266</v>
      </c>
      <c r="F132" s="11">
        <v>729</v>
      </c>
      <c r="G132" s="11">
        <v>4509</v>
      </c>
    </row>
    <row r="133" spans="1:7" x14ac:dyDescent="0.15">
      <c r="A133" s="11" t="s">
        <v>135</v>
      </c>
      <c r="B133" s="11" t="s">
        <v>125</v>
      </c>
      <c r="C133" s="11">
        <v>0</v>
      </c>
      <c r="D133" s="11">
        <v>1657</v>
      </c>
      <c r="E133" s="11">
        <v>607</v>
      </c>
      <c r="F133" s="11">
        <v>2718</v>
      </c>
      <c r="G133" s="11">
        <v>6490</v>
      </c>
    </row>
    <row r="134" spans="1:7" x14ac:dyDescent="0.15">
      <c r="A134" s="11" t="s">
        <v>30</v>
      </c>
      <c r="B134" s="11" t="s">
        <v>125</v>
      </c>
      <c r="C134" s="11">
        <v>283176</v>
      </c>
      <c r="D134" s="11">
        <v>100075</v>
      </c>
      <c r="E134" s="11">
        <v>312862</v>
      </c>
      <c r="F134" s="11">
        <v>36966</v>
      </c>
      <c r="G134" s="11">
        <v>546313</v>
      </c>
    </row>
    <row r="135" spans="1:7" x14ac:dyDescent="0.15">
      <c r="A135" s="11" t="s">
        <v>100</v>
      </c>
      <c r="B135" s="11" t="s">
        <v>125</v>
      </c>
      <c r="C135" s="11">
        <v>0</v>
      </c>
      <c r="D135" s="11">
        <v>6</v>
      </c>
      <c r="E135" s="11">
        <v>342</v>
      </c>
      <c r="F135" s="11">
        <v>0</v>
      </c>
      <c r="G135" s="11">
        <v>739</v>
      </c>
    </row>
    <row r="136" spans="1:7" x14ac:dyDescent="0.15">
      <c r="A136" s="11" t="s">
        <v>136</v>
      </c>
      <c r="B136" s="11" t="s">
        <v>125</v>
      </c>
      <c r="C136" s="11">
        <v>0</v>
      </c>
      <c r="D136" s="11">
        <v>530</v>
      </c>
      <c r="E136" s="11">
        <v>1092</v>
      </c>
      <c r="F136" s="11">
        <v>0</v>
      </c>
      <c r="G136" s="11">
        <v>0</v>
      </c>
    </row>
    <row r="137" spans="1:7" x14ac:dyDescent="0.15">
      <c r="A137" s="11" t="s">
        <v>137</v>
      </c>
      <c r="B137" s="11" t="s">
        <v>125</v>
      </c>
      <c r="C137" s="11">
        <v>114614</v>
      </c>
      <c r="D137" s="11">
        <v>3209</v>
      </c>
      <c r="E137" s="11">
        <v>8806</v>
      </c>
      <c r="F137" s="11">
        <v>182137</v>
      </c>
      <c r="G137" s="11">
        <v>136011</v>
      </c>
    </row>
    <row r="138" spans="1:7" x14ac:dyDescent="0.15">
      <c r="A138" s="11" t="s">
        <v>138</v>
      </c>
      <c r="B138" s="11" t="s">
        <v>125</v>
      </c>
      <c r="C138" s="11">
        <v>0</v>
      </c>
      <c r="D138" s="11">
        <v>6770</v>
      </c>
      <c r="E138" s="11">
        <v>6924</v>
      </c>
      <c r="F138" s="11">
        <v>7195</v>
      </c>
      <c r="G138" s="11">
        <v>16032</v>
      </c>
    </row>
    <row r="139" spans="1:7" x14ac:dyDescent="0.15">
      <c r="A139" s="11" t="s">
        <v>139</v>
      </c>
      <c r="B139" s="11" t="s">
        <v>125</v>
      </c>
      <c r="C139" s="11" t="e">
        <v>#N/A</v>
      </c>
      <c r="D139" s="11" t="e">
        <v>#N/A</v>
      </c>
      <c r="E139" s="11" t="e">
        <v>#N/A</v>
      </c>
      <c r="F139" s="11" t="e">
        <v>#N/A</v>
      </c>
      <c r="G139" s="11" t="e">
        <v>#N/A</v>
      </c>
    </row>
    <row r="140" spans="1:7" x14ac:dyDescent="0.15">
      <c r="A140" s="11" t="s">
        <v>140</v>
      </c>
      <c r="B140" s="11" t="s">
        <v>141</v>
      </c>
      <c r="C140" s="11">
        <v>73</v>
      </c>
      <c r="D140" s="11">
        <v>1219</v>
      </c>
      <c r="E140" s="11">
        <v>11629</v>
      </c>
      <c r="F140" s="11">
        <v>38955</v>
      </c>
      <c r="G140" s="11">
        <v>4016</v>
      </c>
    </row>
    <row r="141" spans="1:7" x14ac:dyDescent="0.15">
      <c r="A141" s="11" t="s">
        <v>31</v>
      </c>
      <c r="B141" s="11" t="s">
        <v>141</v>
      </c>
      <c r="C141" s="11">
        <v>0</v>
      </c>
      <c r="D141" s="11">
        <v>3833</v>
      </c>
      <c r="E141" s="11">
        <v>6469</v>
      </c>
      <c r="F141" s="11">
        <v>0</v>
      </c>
      <c r="G141" s="11">
        <v>0</v>
      </c>
    </row>
    <row r="142" spans="1:7" x14ac:dyDescent="0.15">
      <c r="A142" s="11" t="s">
        <v>30</v>
      </c>
      <c r="B142" s="11" t="s">
        <v>141</v>
      </c>
      <c r="C142" s="11">
        <v>283176</v>
      </c>
      <c r="D142" s="11">
        <v>100075</v>
      </c>
      <c r="E142" s="11">
        <v>312862</v>
      </c>
      <c r="F142" s="11">
        <v>36966</v>
      </c>
      <c r="G142" s="11">
        <v>546313</v>
      </c>
    </row>
    <row r="143" spans="1:7" x14ac:dyDescent="0.15">
      <c r="A143" s="11" t="s">
        <v>142</v>
      </c>
      <c r="B143" s="11" t="s">
        <v>141</v>
      </c>
      <c r="C143" s="11">
        <v>13327</v>
      </c>
      <c r="D143" s="11">
        <v>0</v>
      </c>
      <c r="E143" s="11">
        <v>0</v>
      </c>
      <c r="F143" s="11">
        <v>3749</v>
      </c>
      <c r="G143" s="11">
        <v>0</v>
      </c>
    </row>
    <row r="144" spans="1:7" x14ac:dyDescent="0.15">
      <c r="A144" s="11" t="s">
        <v>143</v>
      </c>
      <c r="B144" s="11" t="s">
        <v>141</v>
      </c>
      <c r="C144" s="11" t="e">
        <v>#N/A</v>
      </c>
      <c r="D144" s="11" t="e">
        <v>#N/A</v>
      </c>
      <c r="E144" s="11" t="e">
        <v>#N/A</v>
      </c>
      <c r="F144" s="11" t="e">
        <v>#N/A</v>
      </c>
      <c r="G144" s="11" t="e">
        <v>#N/A</v>
      </c>
    </row>
    <row r="145" spans="1:7" x14ac:dyDescent="0.15">
      <c r="A145" s="11" t="s">
        <v>134</v>
      </c>
      <c r="B145" s="11" t="s">
        <v>141</v>
      </c>
      <c r="C145" s="11">
        <v>49609</v>
      </c>
      <c r="D145" s="11">
        <v>17118</v>
      </c>
      <c r="E145" s="11">
        <v>27266</v>
      </c>
      <c r="F145" s="11">
        <v>729</v>
      </c>
      <c r="G145" s="11">
        <v>4509</v>
      </c>
    </row>
    <row r="146" spans="1:7" x14ac:dyDescent="0.15">
      <c r="A146" s="11" t="s">
        <v>128</v>
      </c>
      <c r="B146" s="11" t="s">
        <v>141</v>
      </c>
      <c r="C146" s="11" t="e">
        <v>#N/A</v>
      </c>
      <c r="D146" s="11" t="e">
        <v>#N/A</v>
      </c>
      <c r="E146" s="11" t="e">
        <v>#N/A</v>
      </c>
      <c r="F146" s="11" t="e">
        <v>#N/A</v>
      </c>
      <c r="G146" s="11" t="e">
        <v>#N/A</v>
      </c>
    </row>
    <row r="147" spans="1:7" x14ac:dyDescent="0.15">
      <c r="A147" s="11" t="s">
        <v>144</v>
      </c>
      <c r="B147" s="11" t="s">
        <v>141</v>
      </c>
      <c r="C147" s="11">
        <v>0</v>
      </c>
      <c r="D147" s="11">
        <v>6131</v>
      </c>
      <c r="E147" s="11">
        <v>10615</v>
      </c>
      <c r="F147" s="11">
        <v>24098</v>
      </c>
      <c r="G147" s="11">
        <v>198051</v>
      </c>
    </row>
    <row r="148" spans="1:7" x14ac:dyDescent="0.15">
      <c r="A148" s="11" t="s">
        <v>145</v>
      </c>
      <c r="B148" s="11" t="s">
        <v>141</v>
      </c>
      <c r="C148" s="11">
        <v>0</v>
      </c>
      <c r="D148" s="11">
        <v>40</v>
      </c>
      <c r="E148" s="11">
        <v>1968</v>
      </c>
      <c r="F148" s="11">
        <v>0</v>
      </c>
      <c r="G148" s="11">
        <v>0</v>
      </c>
    </row>
    <row r="149" spans="1:7" x14ac:dyDescent="0.15">
      <c r="A149" s="11" t="s">
        <v>146</v>
      </c>
      <c r="B149" s="11" t="s">
        <v>141</v>
      </c>
      <c r="C149" s="11" t="e">
        <v>#N/A</v>
      </c>
      <c r="D149" s="11" t="e">
        <v>#N/A</v>
      </c>
      <c r="E149" s="11" t="e">
        <v>#N/A</v>
      </c>
      <c r="F149" s="11" t="e">
        <v>#N/A</v>
      </c>
      <c r="G149" s="11" t="e">
        <v>#N/A</v>
      </c>
    </row>
    <row r="150" spans="1:7" x14ac:dyDescent="0.15">
      <c r="A150" s="11" t="s">
        <v>147</v>
      </c>
      <c r="B150" s="11" t="s">
        <v>141</v>
      </c>
      <c r="C150" s="11">
        <v>0</v>
      </c>
      <c r="D150" s="11">
        <v>0</v>
      </c>
      <c r="E150" s="11">
        <v>658</v>
      </c>
      <c r="F150" s="11">
        <v>0</v>
      </c>
      <c r="G150" s="11">
        <v>568</v>
      </c>
    </row>
    <row r="151" spans="1:7" x14ac:dyDescent="0.15">
      <c r="A151" s="11" t="s">
        <v>40</v>
      </c>
      <c r="B151" s="11" t="s">
        <v>148</v>
      </c>
      <c r="C151" s="11">
        <v>0</v>
      </c>
      <c r="D151" s="11">
        <v>0</v>
      </c>
      <c r="E151" s="11">
        <v>0</v>
      </c>
      <c r="F151" s="11">
        <v>0</v>
      </c>
      <c r="G151" s="11">
        <v>2677</v>
      </c>
    </row>
    <row r="152" spans="1:7" x14ac:dyDescent="0.15">
      <c r="A152" s="11" t="s">
        <v>25</v>
      </c>
      <c r="B152" s="11" t="s">
        <v>148</v>
      </c>
      <c r="C152" s="11" t="e">
        <v>#N/A</v>
      </c>
      <c r="D152" s="11" t="e">
        <v>#N/A</v>
      </c>
      <c r="E152" s="11" t="e">
        <v>#N/A</v>
      </c>
      <c r="F152" s="11" t="e">
        <v>#N/A</v>
      </c>
      <c r="G152" s="11" t="e">
        <v>#N/A</v>
      </c>
    </row>
    <row r="153" spans="1:7" x14ac:dyDescent="0.15">
      <c r="A153" s="11" t="s">
        <v>149</v>
      </c>
      <c r="B153" s="11" t="s">
        <v>148</v>
      </c>
      <c r="C153" s="11" t="e">
        <v>#N/A</v>
      </c>
      <c r="D153" s="11" t="e">
        <v>#N/A</v>
      </c>
      <c r="E153" s="11" t="e">
        <v>#N/A</v>
      </c>
      <c r="F153" s="11" t="e">
        <v>#N/A</v>
      </c>
      <c r="G153" s="11" t="e">
        <v>#N/A</v>
      </c>
    </row>
    <row r="154" spans="1:7" x14ac:dyDescent="0.15">
      <c r="A154" s="11" t="s">
        <v>150</v>
      </c>
      <c r="B154" s="11" t="s">
        <v>148</v>
      </c>
      <c r="C154" s="11" t="e">
        <v>#N/A</v>
      </c>
      <c r="D154" s="11" t="e">
        <v>#N/A</v>
      </c>
      <c r="E154" s="11" t="e">
        <v>#N/A</v>
      </c>
      <c r="F154" s="11" t="e">
        <v>#N/A</v>
      </c>
      <c r="G154" s="11" t="e">
        <v>#N/A</v>
      </c>
    </row>
    <row r="155" spans="1:7" x14ac:dyDescent="0.15">
      <c r="A155" s="11" t="s">
        <v>151</v>
      </c>
      <c r="B155" s="11" t="s">
        <v>148</v>
      </c>
      <c r="C155" s="11">
        <v>0</v>
      </c>
      <c r="D155" s="11">
        <v>0</v>
      </c>
      <c r="E155" s="11">
        <v>0</v>
      </c>
      <c r="F155" s="11">
        <v>0</v>
      </c>
      <c r="G155" s="11">
        <v>1960</v>
      </c>
    </row>
    <row r="156" spans="1:7" x14ac:dyDescent="0.15">
      <c r="A156" s="11" t="s">
        <v>105</v>
      </c>
      <c r="B156" s="11" t="s">
        <v>148</v>
      </c>
      <c r="C156" s="11">
        <v>37857</v>
      </c>
      <c r="D156" s="11">
        <v>1697</v>
      </c>
      <c r="E156" s="11">
        <v>4623</v>
      </c>
      <c r="F156" s="11">
        <v>5132</v>
      </c>
      <c r="G156" s="11">
        <v>84605</v>
      </c>
    </row>
    <row r="157" spans="1:7" x14ac:dyDescent="0.15">
      <c r="A157" s="11" t="s">
        <v>152</v>
      </c>
      <c r="B157" s="11" t="s">
        <v>153</v>
      </c>
      <c r="C157" s="11" t="e">
        <v>#N/A</v>
      </c>
      <c r="D157" s="11" t="e">
        <v>#N/A</v>
      </c>
      <c r="E157" s="11" t="e">
        <v>#N/A</v>
      </c>
      <c r="F157" s="11" t="e">
        <v>#N/A</v>
      </c>
      <c r="G157" s="11" t="e">
        <v>#N/A</v>
      </c>
    </row>
    <row r="158" spans="1:7" x14ac:dyDescent="0.15">
      <c r="A158" s="11" t="s">
        <v>133</v>
      </c>
      <c r="B158" s="11" t="s">
        <v>153</v>
      </c>
      <c r="C158" s="11" t="e">
        <v>#N/A</v>
      </c>
      <c r="D158" s="11" t="e">
        <v>#N/A</v>
      </c>
      <c r="E158" s="11" t="e">
        <v>#N/A</v>
      </c>
      <c r="F158" s="11" t="e">
        <v>#N/A</v>
      </c>
      <c r="G158" s="11" t="e">
        <v>#N/A</v>
      </c>
    </row>
    <row r="159" spans="1:7" x14ac:dyDescent="0.15">
      <c r="A159" s="11" t="s">
        <v>154</v>
      </c>
      <c r="B159" s="11" t="s">
        <v>153</v>
      </c>
      <c r="C159" s="11">
        <v>0</v>
      </c>
      <c r="D159" s="11">
        <v>100</v>
      </c>
      <c r="E159" s="11">
        <v>5501</v>
      </c>
      <c r="F159" s="11">
        <v>34625</v>
      </c>
      <c r="G159" s="11">
        <v>100402</v>
      </c>
    </row>
    <row r="160" spans="1:7" x14ac:dyDescent="0.15">
      <c r="A160" s="11" t="s">
        <v>155</v>
      </c>
      <c r="B160" s="11" t="s">
        <v>153</v>
      </c>
      <c r="C160" s="11">
        <v>0</v>
      </c>
      <c r="D160" s="11">
        <v>140</v>
      </c>
      <c r="E160" s="11">
        <v>281</v>
      </c>
      <c r="F160" s="11">
        <v>0</v>
      </c>
      <c r="G160" s="11">
        <v>0</v>
      </c>
    </row>
    <row r="161" spans="1:7" x14ac:dyDescent="0.15">
      <c r="A161" s="11" t="s">
        <v>156</v>
      </c>
      <c r="B161" s="11" t="s">
        <v>153</v>
      </c>
      <c r="C161" s="11" t="e">
        <v>#N/A</v>
      </c>
      <c r="D161" s="11" t="e">
        <v>#N/A</v>
      </c>
      <c r="E161" s="11" t="e">
        <v>#N/A</v>
      </c>
      <c r="F161" s="11" t="e">
        <v>#N/A</v>
      </c>
      <c r="G161" s="11" t="e">
        <v>#N/A</v>
      </c>
    </row>
    <row r="162" spans="1:7" x14ac:dyDescent="0.15">
      <c r="A162" s="11" t="s">
        <v>157</v>
      </c>
      <c r="B162" s="11" t="s">
        <v>153</v>
      </c>
      <c r="C162" s="11" t="e">
        <v>#N/A</v>
      </c>
      <c r="D162" s="11" t="e">
        <v>#N/A</v>
      </c>
      <c r="E162" s="11" t="e">
        <v>#N/A</v>
      </c>
      <c r="F162" s="11" t="e">
        <v>#N/A</v>
      </c>
      <c r="G162" s="11" t="e">
        <v>#N/A</v>
      </c>
    </row>
    <row r="163" spans="1:7" x14ac:dyDescent="0.15">
      <c r="A163" s="11" t="s">
        <v>30</v>
      </c>
      <c r="B163" s="11" t="s">
        <v>153</v>
      </c>
      <c r="C163" s="11">
        <v>283176</v>
      </c>
      <c r="D163" s="11">
        <v>100075</v>
      </c>
      <c r="E163" s="11">
        <v>312862</v>
      </c>
      <c r="F163" s="11">
        <v>36966</v>
      </c>
      <c r="G163" s="11">
        <v>546313</v>
      </c>
    </row>
    <row r="164" spans="1:7" x14ac:dyDescent="0.15">
      <c r="A164" s="11" t="s">
        <v>158</v>
      </c>
      <c r="B164" s="11" t="s">
        <v>153</v>
      </c>
      <c r="C164" s="11">
        <v>0</v>
      </c>
      <c r="D164" s="11">
        <v>0</v>
      </c>
      <c r="E164" s="11">
        <v>217</v>
      </c>
      <c r="F164" s="11">
        <v>0</v>
      </c>
      <c r="G164" s="11">
        <v>0</v>
      </c>
    </row>
    <row r="165" spans="1:7" x14ac:dyDescent="0.15">
      <c r="A165" s="11" t="s">
        <v>86</v>
      </c>
      <c r="B165" s="11" t="s">
        <v>153</v>
      </c>
      <c r="C165" s="11">
        <v>16494</v>
      </c>
      <c r="D165" s="11">
        <v>1397</v>
      </c>
      <c r="E165" s="11">
        <v>2851</v>
      </c>
      <c r="F165" s="11">
        <v>3724</v>
      </c>
      <c r="G165" s="11">
        <v>107770</v>
      </c>
    </row>
    <row r="166" spans="1:7" x14ac:dyDescent="0.15">
      <c r="A166" s="11" t="s">
        <v>159</v>
      </c>
      <c r="B166" s="11" t="s">
        <v>153</v>
      </c>
      <c r="C166" s="11" t="e">
        <v>#N/A</v>
      </c>
      <c r="D166" s="11" t="e">
        <v>#N/A</v>
      </c>
      <c r="E166" s="11" t="e">
        <v>#N/A</v>
      </c>
      <c r="F166" s="11" t="e">
        <v>#N/A</v>
      </c>
      <c r="G166" s="11" t="e">
        <v>#N/A</v>
      </c>
    </row>
    <row r="167" spans="1:7" x14ac:dyDescent="0.15">
      <c r="A167" s="11" t="s">
        <v>160</v>
      </c>
      <c r="B167" s="11" t="s">
        <v>153</v>
      </c>
      <c r="C167" s="11">
        <v>1721</v>
      </c>
      <c r="D167" s="11">
        <v>207</v>
      </c>
      <c r="E167" s="11">
        <v>426</v>
      </c>
      <c r="F167" s="11">
        <v>0</v>
      </c>
      <c r="G167" s="11">
        <v>0</v>
      </c>
    </row>
    <row r="168" spans="1:7" x14ac:dyDescent="0.15">
      <c r="A168" s="11" t="s">
        <v>161</v>
      </c>
      <c r="B168" s="11" t="s">
        <v>153</v>
      </c>
      <c r="C168" s="11" t="e">
        <v>#N/A</v>
      </c>
      <c r="D168" s="11" t="e">
        <v>#N/A</v>
      </c>
      <c r="E168" s="11" t="e">
        <v>#N/A</v>
      </c>
      <c r="F168" s="11" t="e">
        <v>#N/A</v>
      </c>
      <c r="G168" s="11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2"/>
  <sheetViews>
    <sheetView workbookViewId="0">
      <selection activeCell="C3" sqref="C3"/>
    </sheetView>
  </sheetViews>
  <sheetFormatPr baseColWidth="10" defaultColWidth="8.7109375" defaultRowHeight="14" x14ac:dyDescent="0.15"/>
  <cols>
    <col min="1" max="6" width="8.7109375" style="11"/>
  </cols>
  <sheetData>
    <row r="1" spans="1:6" x14ac:dyDescent="0.15">
      <c r="A1" s="13" t="s">
        <v>162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4" customHeight="1" x14ac:dyDescent="0.2">
      <c r="A2" s="16" t="s">
        <v>163</v>
      </c>
      <c r="B2" s="11">
        <v>0</v>
      </c>
      <c r="C2" s="11">
        <v>1121</v>
      </c>
      <c r="D2" s="11">
        <v>0</v>
      </c>
      <c r="E2" s="11">
        <v>0</v>
      </c>
      <c r="F2" s="11">
        <v>0</v>
      </c>
    </row>
    <row r="3" spans="1:6" ht="14" customHeight="1" x14ac:dyDescent="0.2">
      <c r="A3" s="16" t="s">
        <v>164</v>
      </c>
      <c r="B3" s="11" t="e">
        <v>#N/A</v>
      </c>
      <c r="C3" s="11" t="e">
        <v>#N/A</v>
      </c>
      <c r="D3" s="11" t="e">
        <v>#N/A</v>
      </c>
      <c r="E3" s="11" t="e">
        <v>#N/A</v>
      </c>
      <c r="F3" s="11" t="e">
        <v>#N/A</v>
      </c>
    </row>
    <row r="4" spans="1:6" ht="14" customHeight="1" x14ac:dyDescent="0.2">
      <c r="A4" s="16" t="s">
        <v>165</v>
      </c>
      <c r="B4" s="11" t="e">
        <v>#N/A</v>
      </c>
      <c r="C4" s="11" t="e">
        <v>#N/A</v>
      </c>
      <c r="D4" s="11" t="e">
        <v>#N/A</v>
      </c>
      <c r="E4" s="11" t="e">
        <v>#N/A</v>
      </c>
      <c r="F4" s="11" t="e">
        <v>#N/A</v>
      </c>
    </row>
    <row r="5" spans="1:6" ht="14" customHeight="1" x14ac:dyDescent="0.2">
      <c r="A5" s="16" t="s">
        <v>166</v>
      </c>
      <c r="B5" s="11" t="e">
        <v>#N/A</v>
      </c>
      <c r="C5" s="11" t="e">
        <v>#N/A</v>
      </c>
      <c r="D5" s="11" t="e">
        <v>#N/A</v>
      </c>
      <c r="E5" s="11" t="e">
        <v>#N/A</v>
      </c>
      <c r="F5" s="11" t="e">
        <v>#N/A</v>
      </c>
    </row>
    <row r="6" spans="1:6" ht="14" customHeight="1" x14ac:dyDescent="0.2">
      <c r="A6" s="16" t="s">
        <v>167</v>
      </c>
      <c r="B6" s="11">
        <v>0</v>
      </c>
      <c r="C6" s="11">
        <v>273</v>
      </c>
      <c r="D6" s="11">
        <v>0</v>
      </c>
      <c r="E6" s="11">
        <v>0</v>
      </c>
      <c r="F6" s="11">
        <v>0</v>
      </c>
    </row>
    <row r="7" spans="1:6" ht="14" customHeight="1" x14ac:dyDescent="0.2">
      <c r="A7" s="16" t="s">
        <v>168</v>
      </c>
      <c r="B7" s="11" t="e">
        <v>#N/A</v>
      </c>
      <c r="C7" s="11" t="e">
        <v>#N/A</v>
      </c>
      <c r="D7" s="11" t="e">
        <v>#N/A</v>
      </c>
      <c r="E7" s="11" t="e">
        <v>#N/A</v>
      </c>
      <c r="F7" s="11" t="e">
        <v>#N/A</v>
      </c>
    </row>
    <row r="8" spans="1:6" ht="14" customHeight="1" x14ac:dyDescent="0.2">
      <c r="A8" s="16" t="s">
        <v>169</v>
      </c>
      <c r="B8" s="11" t="e">
        <v>#N/A</v>
      </c>
      <c r="C8" s="11" t="e">
        <v>#N/A</v>
      </c>
      <c r="D8" s="11" t="e">
        <v>#N/A</v>
      </c>
      <c r="E8" s="11" t="e">
        <v>#N/A</v>
      </c>
      <c r="F8" s="11" t="e">
        <v>#N/A</v>
      </c>
    </row>
    <row r="9" spans="1:6" ht="14" customHeight="1" x14ac:dyDescent="0.2">
      <c r="A9" s="16" t="s">
        <v>170</v>
      </c>
      <c r="B9" s="11" t="e">
        <v>#N/A</v>
      </c>
      <c r="C9" s="11" t="e">
        <v>#N/A</v>
      </c>
      <c r="D9" s="11" t="e">
        <v>#N/A</v>
      </c>
      <c r="E9" s="11" t="e">
        <v>#N/A</v>
      </c>
      <c r="F9" s="11" t="e">
        <v>#N/A</v>
      </c>
    </row>
    <row r="10" spans="1:6" ht="14" customHeight="1" x14ac:dyDescent="0.2">
      <c r="A10" s="16" t="s">
        <v>171</v>
      </c>
      <c r="B10" s="11">
        <v>0</v>
      </c>
      <c r="C10" s="11">
        <v>0</v>
      </c>
      <c r="D10" s="11">
        <v>60</v>
      </c>
      <c r="E10" s="11">
        <v>98</v>
      </c>
      <c r="F10" s="11">
        <v>0</v>
      </c>
    </row>
    <row r="11" spans="1:6" ht="14" customHeight="1" x14ac:dyDescent="0.2">
      <c r="A11" s="16" t="s">
        <v>172</v>
      </c>
      <c r="B11" s="11">
        <v>0</v>
      </c>
      <c r="C11" s="11">
        <v>0</v>
      </c>
      <c r="D11" s="11">
        <v>1</v>
      </c>
      <c r="E11" s="11">
        <v>0</v>
      </c>
      <c r="F11" s="11">
        <v>0</v>
      </c>
    </row>
    <row r="12" spans="1:6" ht="14" customHeight="1" x14ac:dyDescent="0.2">
      <c r="A12" s="16" t="s">
        <v>173</v>
      </c>
      <c r="B12" s="11" t="e">
        <v>#N/A</v>
      </c>
      <c r="C12" s="11" t="e">
        <v>#N/A</v>
      </c>
      <c r="D12" s="11" t="e">
        <v>#N/A</v>
      </c>
      <c r="E12" s="11" t="e">
        <v>#N/A</v>
      </c>
      <c r="F12" s="11" t="e">
        <v>#N/A</v>
      </c>
    </row>
    <row r="13" spans="1:6" ht="14.5" customHeight="1" x14ac:dyDescent="0.2">
      <c r="A13" s="17" t="s">
        <v>174</v>
      </c>
      <c r="B13" s="11" t="e">
        <v>#N/A</v>
      </c>
      <c r="C13" s="11" t="e">
        <v>#N/A</v>
      </c>
      <c r="D13" s="11" t="e">
        <v>#N/A</v>
      </c>
      <c r="E13" s="11" t="e">
        <v>#N/A</v>
      </c>
      <c r="F13" s="11" t="e">
        <v>#N/A</v>
      </c>
    </row>
    <row r="14" spans="1:6" ht="14" customHeight="1" x14ac:dyDescent="0.2">
      <c r="A14" s="16" t="s">
        <v>175</v>
      </c>
      <c r="B14" s="11" t="e">
        <v>#N/A</v>
      </c>
      <c r="C14" s="11" t="e">
        <v>#N/A</v>
      </c>
      <c r="D14" s="11" t="e">
        <v>#N/A</v>
      </c>
      <c r="E14" s="11" t="e">
        <v>#N/A</v>
      </c>
      <c r="F14" s="11" t="e">
        <v>#N/A</v>
      </c>
    </row>
    <row r="15" spans="1:6" ht="14" customHeight="1" x14ac:dyDescent="0.2">
      <c r="A15" s="16" t="s">
        <v>176</v>
      </c>
      <c r="B15" s="11" t="e">
        <v>#N/A</v>
      </c>
      <c r="C15" s="11" t="e">
        <v>#N/A</v>
      </c>
      <c r="D15" s="11" t="e">
        <v>#N/A</v>
      </c>
      <c r="E15" s="11" t="e">
        <v>#N/A</v>
      </c>
      <c r="F15" s="11" t="e">
        <v>#N/A</v>
      </c>
    </row>
    <row r="16" spans="1:6" ht="14" customHeight="1" x14ac:dyDescent="0.2">
      <c r="A16" s="16" t="s">
        <v>177</v>
      </c>
      <c r="B16" s="11" t="e">
        <v>#N/A</v>
      </c>
      <c r="C16" s="11" t="e">
        <v>#N/A</v>
      </c>
      <c r="D16" s="11" t="e">
        <v>#N/A</v>
      </c>
      <c r="E16" s="11" t="e">
        <v>#N/A</v>
      </c>
      <c r="F16" s="11" t="e">
        <v>#N/A</v>
      </c>
    </row>
    <row r="17" spans="1:6" ht="14.5" customHeight="1" x14ac:dyDescent="0.2">
      <c r="A17" s="17" t="s">
        <v>178</v>
      </c>
      <c r="B17" s="11" t="e">
        <v>#N/A</v>
      </c>
      <c r="C17" s="11" t="e">
        <v>#N/A</v>
      </c>
      <c r="D17" s="11" t="e">
        <v>#N/A</v>
      </c>
      <c r="E17" s="11" t="e">
        <v>#N/A</v>
      </c>
      <c r="F17" s="11" t="e">
        <v>#N/A</v>
      </c>
    </row>
    <row r="18" spans="1:6" ht="14.5" customHeight="1" x14ac:dyDescent="0.2">
      <c r="A18" s="17" t="s">
        <v>179</v>
      </c>
      <c r="B18" s="11" t="e">
        <v>#N/A</v>
      </c>
      <c r="C18" s="11" t="e">
        <v>#N/A</v>
      </c>
      <c r="D18" s="11" t="e">
        <v>#N/A</v>
      </c>
      <c r="E18" s="11" t="e">
        <v>#N/A</v>
      </c>
      <c r="F18" s="11" t="e">
        <v>#N/A</v>
      </c>
    </row>
    <row r="19" spans="1:6" ht="14.5" customHeight="1" x14ac:dyDescent="0.2">
      <c r="A19" s="17" t="s">
        <v>180</v>
      </c>
      <c r="B19" s="11" t="e">
        <v>#N/A</v>
      </c>
      <c r="C19" s="11" t="e">
        <v>#N/A</v>
      </c>
      <c r="D19" s="11" t="e">
        <v>#N/A</v>
      </c>
      <c r="E19" s="11" t="e">
        <v>#N/A</v>
      </c>
      <c r="F19" s="11" t="e">
        <v>#N/A</v>
      </c>
    </row>
    <row r="20" spans="1:6" ht="14" customHeight="1" x14ac:dyDescent="0.2">
      <c r="A20" s="16" t="s">
        <v>181</v>
      </c>
      <c r="B20" s="11">
        <v>0</v>
      </c>
      <c r="C20" s="11">
        <v>0</v>
      </c>
      <c r="D20" s="11">
        <v>323</v>
      </c>
      <c r="E20" s="11">
        <v>0</v>
      </c>
      <c r="F20" s="11">
        <v>0</v>
      </c>
    </row>
    <row r="21" spans="1:6" ht="14.5" customHeight="1" x14ac:dyDescent="0.2">
      <c r="A21" s="17" t="s">
        <v>182</v>
      </c>
      <c r="B21" s="11" t="e">
        <v>#N/A</v>
      </c>
      <c r="C21" s="11" t="e">
        <v>#N/A</v>
      </c>
      <c r="D21" s="11" t="e">
        <v>#N/A</v>
      </c>
      <c r="E21" s="11" t="e">
        <v>#N/A</v>
      </c>
      <c r="F21" s="11" t="e">
        <v>#N/A</v>
      </c>
    </row>
    <row r="22" spans="1:6" ht="14" customHeight="1" x14ac:dyDescent="0.2">
      <c r="A22" s="16" t="s">
        <v>183</v>
      </c>
      <c r="B22" s="11" t="e">
        <v>#N/A</v>
      </c>
      <c r="C22" s="11" t="e">
        <v>#N/A</v>
      </c>
      <c r="D22" s="11" t="e">
        <v>#N/A</v>
      </c>
      <c r="E22" s="11" t="e">
        <v>#N/A</v>
      </c>
      <c r="F22" s="11" t="e">
        <v>#N/A</v>
      </c>
    </row>
    <row r="23" spans="1:6" ht="14" customHeight="1" x14ac:dyDescent="0.2">
      <c r="A23" s="16" t="s">
        <v>184</v>
      </c>
      <c r="B23" s="11" t="e">
        <v>#N/A</v>
      </c>
      <c r="C23" s="11" t="e">
        <v>#N/A</v>
      </c>
      <c r="D23" s="11" t="e">
        <v>#N/A</v>
      </c>
      <c r="E23" s="11" t="e">
        <v>#N/A</v>
      </c>
      <c r="F23" s="11" t="e">
        <v>#N/A</v>
      </c>
    </row>
    <row r="24" spans="1:6" ht="14.5" customHeight="1" x14ac:dyDescent="0.2">
      <c r="A24" s="17" t="s">
        <v>185</v>
      </c>
      <c r="B24" s="11" t="e">
        <v>#N/A</v>
      </c>
      <c r="C24" s="11" t="e">
        <v>#N/A</v>
      </c>
      <c r="D24" s="11" t="e">
        <v>#N/A</v>
      </c>
      <c r="E24" s="11" t="e">
        <v>#N/A</v>
      </c>
      <c r="F24" s="11" t="e">
        <v>#N/A</v>
      </c>
    </row>
    <row r="25" spans="1:6" ht="14" customHeight="1" x14ac:dyDescent="0.2">
      <c r="A25" s="16" t="s">
        <v>186</v>
      </c>
      <c r="B25" s="11">
        <v>0</v>
      </c>
      <c r="C25" s="11">
        <v>104</v>
      </c>
      <c r="D25" s="11">
        <v>331</v>
      </c>
      <c r="E25" s="11">
        <v>22306</v>
      </c>
      <c r="F25" s="11">
        <v>0</v>
      </c>
    </row>
    <row r="26" spans="1:6" ht="14" customHeight="1" x14ac:dyDescent="0.2">
      <c r="A26" s="16" t="s">
        <v>187</v>
      </c>
      <c r="B26" s="11">
        <v>0</v>
      </c>
      <c r="C26" s="11">
        <v>0</v>
      </c>
      <c r="D26" s="11">
        <v>0</v>
      </c>
      <c r="E26" s="11">
        <v>1334</v>
      </c>
      <c r="F26" s="11">
        <v>0</v>
      </c>
    </row>
    <row r="27" spans="1:6" ht="14" customHeight="1" x14ac:dyDescent="0.2">
      <c r="A27" s="16" t="s">
        <v>188</v>
      </c>
      <c r="B27" s="11" t="e">
        <v>#N/A</v>
      </c>
      <c r="C27" s="11" t="e">
        <v>#N/A</v>
      </c>
      <c r="D27" s="11" t="e">
        <v>#N/A</v>
      </c>
      <c r="E27" s="11" t="e">
        <v>#N/A</v>
      </c>
      <c r="F27" s="11" t="e">
        <v>#N/A</v>
      </c>
    </row>
    <row r="28" spans="1:6" ht="14" customHeight="1" x14ac:dyDescent="0.2">
      <c r="A28" s="16" t="s">
        <v>189</v>
      </c>
      <c r="B28" s="11" t="e">
        <v>#N/A</v>
      </c>
      <c r="C28" s="11" t="e">
        <v>#N/A</v>
      </c>
      <c r="D28" s="11" t="e">
        <v>#N/A</v>
      </c>
      <c r="E28" s="11" t="e">
        <v>#N/A</v>
      </c>
      <c r="F28" s="11" t="e">
        <v>#N/A</v>
      </c>
    </row>
    <row r="29" spans="1:6" ht="14" customHeight="1" x14ac:dyDescent="0.2">
      <c r="A29" s="16" t="s">
        <v>190</v>
      </c>
      <c r="B29" s="11">
        <v>0</v>
      </c>
      <c r="C29" s="11">
        <v>13</v>
      </c>
      <c r="D29" s="11">
        <v>294</v>
      </c>
      <c r="E29" s="11">
        <v>24237</v>
      </c>
      <c r="F29" s="11">
        <v>0</v>
      </c>
    </row>
    <row r="30" spans="1:6" ht="14.5" customHeight="1" x14ac:dyDescent="0.2">
      <c r="A30" s="17" t="s">
        <v>191</v>
      </c>
      <c r="B30" s="11" t="e">
        <v>#N/A</v>
      </c>
      <c r="C30" s="11" t="e">
        <v>#N/A</v>
      </c>
      <c r="D30" s="11" t="e">
        <v>#N/A</v>
      </c>
      <c r="E30" s="11" t="e">
        <v>#N/A</v>
      </c>
      <c r="F30" s="11" t="e">
        <v>#N/A</v>
      </c>
    </row>
    <row r="31" spans="1:6" ht="14.5" customHeight="1" x14ac:dyDescent="0.2">
      <c r="A31" s="17" t="s">
        <v>192</v>
      </c>
      <c r="B31" s="11" t="e">
        <v>#N/A</v>
      </c>
      <c r="C31" s="11" t="e">
        <v>#N/A</v>
      </c>
      <c r="D31" s="11" t="e">
        <v>#N/A</v>
      </c>
      <c r="E31" s="11" t="e">
        <v>#N/A</v>
      </c>
      <c r="F31" s="11" t="e">
        <v>#N/A</v>
      </c>
    </row>
    <row r="32" spans="1:6" ht="14.5" customHeight="1" x14ac:dyDescent="0.2">
      <c r="A32" s="17" t="s">
        <v>193</v>
      </c>
      <c r="B32" s="11" t="e">
        <v>#N/A</v>
      </c>
      <c r="C32" s="11" t="e">
        <v>#N/A</v>
      </c>
      <c r="D32" s="11" t="e">
        <v>#N/A</v>
      </c>
      <c r="E32" s="11" t="e">
        <v>#N/A</v>
      </c>
      <c r="F32" s="11" t="e">
        <v>#N/A</v>
      </c>
    </row>
    <row r="33" spans="1:6" ht="14.5" customHeight="1" x14ac:dyDescent="0.2">
      <c r="A33" s="17" t="s">
        <v>194</v>
      </c>
      <c r="B33" s="11" t="e">
        <v>#N/A</v>
      </c>
      <c r="C33" s="11" t="e">
        <v>#N/A</v>
      </c>
      <c r="D33" s="11" t="e">
        <v>#N/A</v>
      </c>
      <c r="E33" s="11" t="e">
        <v>#N/A</v>
      </c>
      <c r="F33" s="11" t="e">
        <v>#N/A</v>
      </c>
    </row>
    <row r="34" spans="1:6" ht="14.5" customHeight="1" x14ac:dyDescent="0.2">
      <c r="A34" s="17" t="s">
        <v>195</v>
      </c>
      <c r="B34" s="11" t="e">
        <v>#N/A</v>
      </c>
      <c r="C34" s="11" t="e">
        <v>#N/A</v>
      </c>
      <c r="D34" s="11" t="e">
        <v>#N/A</v>
      </c>
      <c r="E34" s="11" t="e">
        <v>#N/A</v>
      </c>
      <c r="F34" s="11" t="e">
        <v>#N/A</v>
      </c>
    </row>
    <row r="35" spans="1:6" ht="14.5" customHeight="1" x14ac:dyDescent="0.2">
      <c r="A35" s="17" t="s">
        <v>196</v>
      </c>
      <c r="B35" s="11" t="e">
        <v>#N/A</v>
      </c>
      <c r="C35" s="11" t="e">
        <v>#N/A</v>
      </c>
      <c r="D35" s="11" t="e">
        <v>#N/A</v>
      </c>
      <c r="E35" s="11" t="e">
        <v>#N/A</v>
      </c>
      <c r="F35" s="11" t="e">
        <v>#N/A</v>
      </c>
    </row>
    <row r="36" spans="1:6" ht="14" customHeight="1" x14ac:dyDescent="0.2">
      <c r="A36" s="16" t="s">
        <v>197</v>
      </c>
      <c r="B36" s="11" t="e">
        <v>#N/A</v>
      </c>
      <c r="C36" s="11" t="e">
        <v>#N/A</v>
      </c>
      <c r="D36" s="11" t="e">
        <v>#N/A</v>
      </c>
      <c r="E36" s="11" t="e">
        <v>#N/A</v>
      </c>
      <c r="F36" s="11" t="e">
        <v>#N/A</v>
      </c>
    </row>
    <row r="37" spans="1:6" ht="14" customHeight="1" x14ac:dyDescent="0.2">
      <c r="A37" s="16" t="s">
        <v>198</v>
      </c>
      <c r="B37" s="11" t="e">
        <v>#N/A</v>
      </c>
      <c r="C37" s="11" t="e">
        <v>#N/A</v>
      </c>
      <c r="D37" s="11" t="e">
        <v>#N/A</v>
      </c>
      <c r="E37" s="11" t="e">
        <v>#N/A</v>
      </c>
      <c r="F37" s="11" t="e">
        <v>#N/A</v>
      </c>
    </row>
    <row r="38" spans="1:6" ht="14" customHeight="1" x14ac:dyDescent="0.2">
      <c r="A38" s="16" t="s">
        <v>199</v>
      </c>
      <c r="B38" s="11">
        <v>0</v>
      </c>
      <c r="C38" s="11">
        <v>33</v>
      </c>
      <c r="D38" s="11">
        <v>0</v>
      </c>
      <c r="E38" s="11">
        <v>0</v>
      </c>
      <c r="F38" s="11">
        <v>407</v>
      </c>
    </row>
    <row r="39" spans="1:6" ht="14" customHeight="1" x14ac:dyDescent="0.2">
      <c r="A39" s="16" t="s">
        <v>200</v>
      </c>
      <c r="B39" s="11">
        <v>0</v>
      </c>
      <c r="C39" s="11">
        <v>0</v>
      </c>
      <c r="D39" s="11">
        <v>127</v>
      </c>
      <c r="E39" s="11">
        <v>0</v>
      </c>
      <c r="F39" s="11">
        <v>7100</v>
      </c>
    </row>
    <row r="40" spans="1:6" ht="14" customHeight="1" x14ac:dyDescent="0.2">
      <c r="A40" s="16" t="s">
        <v>201</v>
      </c>
      <c r="B40" s="11">
        <v>0</v>
      </c>
      <c r="C40" s="11">
        <v>0</v>
      </c>
      <c r="D40" s="11">
        <v>0</v>
      </c>
      <c r="E40" s="11">
        <v>0</v>
      </c>
      <c r="F40" s="11">
        <v>3074</v>
      </c>
    </row>
    <row r="41" spans="1:6" ht="14" customHeight="1" x14ac:dyDescent="0.2">
      <c r="A41" s="16" t="s">
        <v>202</v>
      </c>
      <c r="B41" s="11">
        <v>0</v>
      </c>
      <c r="C41" s="11">
        <v>90</v>
      </c>
      <c r="D41" s="11">
        <v>231</v>
      </c>
      <c r="E41" s="11">
        <v>1211</v>
      </c>
      <c r="F41" s="11">
        <v>5815</v>
      </c>
    </row>
    <row r="42" spans="1:6" ht="14" customHeight="1" x14ac:dyDescent="0.2">
      <c r="A42" s="16" t="s">
        <v>203</v>
      </c>
      <c r="B42" s="11" t="e">
        <v>#N/A</v>
      </c>
      <c r="C42" s="11" t="e">
        <v>#N/A</v>
      </c>
      <c r="D42" s="11" t="e">
        <v>#N/A</v>
      </c>
      <c r="E42" s="11" t="e">
        <v>#N/A</v>
      </c>
      <c r="F42" s="11" t="e">
        <v>#N/A</v>
      </c>
    </row>
    <row r="43" spans="1:6" ht="14" customHeight="1" x14ac:dyDescent="0.2">
      <c r="A43" s="16" t="s">
        <v>204</v>
      </c>
      <c r="B43" s="11">
        <v>0</v>
      </c>
      <c r="C43" s="11">
        <v>0</v>
      </c>
      <c r="D43" s="11">
        <v>2008</v>
      </c>
      <c r="E43" s="11">
        <v>0</v>
      </c>
      <c r="F43" s="11">
        <v>3491</v>
      </c>
    </row>
    <row r="44" spans="1:6" ht="14" customHeight="1" x14ac:dyDescent="0.2">
      <c r="A44" s="16" t="s">
        <v>205</v>
      </c>
      <c r="B44" s="11">
        <v>0</v>
      </c>
      <c r="C44" s="11">
        <v>0</v>
      </c>
      <c r="D44" s="11">
        <v>247</v>
      </c>
      <c r="E44" s="11">
        <v>0</v>
      </c>
      <c r="F44" s="11">
        <v>0</v>
      </c>
    </row>
    <row r="45" spans="1:6" ht="14" customHeight="1" x14ac:dyDescent="0.2">
      <c r="A45" s="16" t="s">
        <v>206</v>
      </c>
      <c r="B45" s="11" t="e">
        <v>#N/A</v>
      </c>
      <c r="C45" s="11" t="e">
        <v>#N/A</v>
      </c>
      <c r="D45" s="11" t="e">
        <v>#N/A</v>
      </c>
      <c r="E45" s="11" t="e">
        <v>#N/A</v>
      </c>
      <c r="F45" s="11" t="e">
        <v>#N/A</v>
      </c>
    </row>
    <row r="46" spans="1:6" ht="14" customHeight="1" x14ac:dyDescent="0.2">
      <c r="A46" s="16" t="s">
        <v>207</v>
      </c>
      <c r="B46" s="11">
        <v>0</v>
      </c>
      <c r="C46" s="11">
        <v>0</v>
      </c>
      <c r="D46" s="11">
        <v>111</v>
      </c>
      <c r="E46" s="11">
        <v>0</v>
      </c>
      <c r="F46" s="11">
        <v>0</v>
      </c>
    </row>
    <row r="47" spans="1:6" ht="14" customHeight="1" x14ac:dyDescent="0.2">
      <c r="A47" s="16" t="s">
        <v>208</v>
      </c>
      <c r="B47" s="11" t="e">
        <v>#N/A</v>
      </c>
      <c r="C47" s="11" t="e">
        <v>#N/A</v>
      </c>
      <c r="D47" s="11" t="e">
        <v>#N/A</v>
      </c>
      <c r="E47" s="11" t="e">
        <v>#N/A</v>
      </c>
      <c r="F47" s="11" t="e">
        <v>#N/A</v>
      </c>
    </row>
    <row r="48" spans="1:6" ht="14" customHeight="1" x14ac:dyDescent="0.2">
      <c r="A48" s="16" t="s">
        <v>209</v>
      </c>
      <c r="B48" s="11">
        <v>0</v>
      </c>
      <c r="C48" s="11">
        <v>0</v>
      </c>
      <c r="D48" s="11">
        <v>247</v>
      </c>
      <c r="E48" s="11">
        <v>0</v>
      </c>
      <c r="F48" s="11">
        <v>0</v>
      </c>
    </row>
    <row r="49" spans="1:6" ht="14" customHeight="1" x14ac:dyDescent="0.2">
      <c r="A49" s="16" t="s">
        <v>210</v>
      </c>
      <c r="B49" s="11">
        <v>0</v>
      </c>
      <c r="C49" s="11">
        <v>1117</v>
      </c>
      <c r="D49" s="11">
        <v>894</v>
      </c>
      <c r="E49" s="11">
        <v>0</v>
      </c>
      <c r="F49" s="11">
        <v>13205</v>
      </c>
    </row>
    <row r="50" spans="1:6" ht="14" customHeight="1" x14ac:dyDescent="0.2">
      <c r="A50" s="16" t="s">
        <v>211</v>
      </c>
      <c r="B50" s="11" t="e">
        <v>#N/A</v>
      </c>
      <c r="C50" s="11" t="e">
        <v>#N/A</v>
      </c>
      <c r="D50" s="11" t="e">
        <v>#N/A</v>
      </c>
      <c r="E50" s="11" t="e">
        <v>#N/A</v>
      </c>
      <c r="F50" s="11" t="e">
        <v>#N/A</v>
      </c>
    </row>
    <row r="51" spans="1:6" ht="14" customHeight="1" x14ac:dyDescent="0.2">
      <c r="A51" s="16" t="s">
        <v>212</v>
      </c>
      <c r="B51" s="11">
        <v>0</v>
      </c>
      <c r="C51" s="11">
        <v>0</v>
      </c>
      <c r="D51" s="11">
        <v>0</v>
      </c>
      <c r="E51" s="11">
        <v>0</v>
      </c>
      <c r="F51" s="11">
        <v>3823</v>
      </c>
    </row>
    <row r="52" spans="1:6" ht="14" customHeight="1" x14ac:dyDescent="0.2">
      <c r="A52" s="16" t="s">
        <v>213</v>
      </c>
      <c r="B52" s="11" t="e">
        <v>#N/A</v>
      </c>
      <c r="C52" s="11" t="e">
        <v>#N/A</v>
      </c>
      <c r="D52" s="11" t="e">
        <v>#N/A</v>
      </c>
      <c r="E52" s="11" t="e">
        <v>#N/A</v>
      </c>
      <c r="F52" s="11" t="e">
        <v>#N/A</v>
      </c>
    </row>
    <row r="53" spans="1:6" ht="14" customHeight="1" x14ac:dyDescent="0.2">
      <c r="A53" s="16" t="s">
        <v>214</v>
      </c>
      <c r="B53" s="11">
        <v>0</v>
      </c>
      <c r="C53" s="11">
        <v>0</v>
      </c>
      <c r="D53" s="11">
        <v>151</v>
      </c>
      <c r="E53" s="11">
        <v>311</v>
      </c>
      <c r="F53" s="11">
        <v>664</v>
      </c>
    </row>
    <row r="54" spans="1:6" ht="14" customHeight="1" x14ac:dyDescent="0.2">
      <c r="A54" s="16" t="s">
        <v>215</v>
      </c>
      <c r="B54" s="11">
        <v>0</v>
      </c>
      <c r="C54" s="11">
        <v>0</v>
      </c>
      <c r="D54" s="11">
        <v>247</v>
      </c>
      <c r="E54" s="11">
        <v>0</v>
      </c>
      <c r="F54" s="11">
        <v>0</v>
      </c>
    </row>
    <row r="55" spans="1:6" ht="14" customHeight="1" x14ac:dyDescent="0.2">
      <c r="A55" s="16" t="s">
        <v>216</v>
      </c>
      <c r="B55" s="11">
        <v>0</v>
      </c>
      <c r="C55" s="11">
        <v>372</v>
      </c>
      <c r="D55" s="11">
        <v>539</v>
      </c>
      <c r="E55" s="11">
        <v>0</v>
      </c>
      <c r="F55" s="11">
        <v>21944</v>
      </c>
    </row>
    <row r="56" spans="1:6" ht="14" customHeight="1" x14ac:dyDescent="0.2">
      <c r="A56" s="16" t="s">
        <v>217</v>
      </c>
      <c r="B56" s="11">
        <v>0</v>
      </c>
      <c r="C56" s="11">
        <v>0</v>
      </c>
      <c r="D56" s="11">
        <v>376</v>
      </c>
      <c r="E56" s="11">
        <v>532</v>
      </c>
      <c r="F56" s="11">
        <v>8300</v>
      </c>
    </row>
    <row r="57" spans="1:6" ht="14" customHeight="1" x14ac:dyDescent="0.2">
      <c r="A57" s="16" t="s">
        <v>218</v>
      </c>
      <c r="B57" s="11">
        <v>0</v>
      </c>
      <c r="C57" s="11">
        <v>2914</v>
      </c>
      <c r="D57" s="11">
        <v>3064</v>
      </c>
      <c r="E57" s="11">
        <v>7580</v>
      </c>
      <c r="F57" s="11">
        <v>2795</v>
      </c>
    </row>
    <row r="58" spans="1:6" ht="14" customHeight="1" x14ac:dyDescent="0.2">
      <c r="A58" s="16" t="s">
        <v>219</v>
      </c>
      <c r="B58" s="11" t="e">
        <v>#N/A</v>
      </c>
      <c r="C58" s="11" t="e">
        <v>#N/A</v>
      </c>
      <c r="D58" s="11" t="e">
        <v>#N/A</v>
      </c>
      <c r="E58" s="11" t="e">
        <v>#N/A</v>
      </c>
      <c r="F58" s="11" t="e">
        <v>#N/A</v>
      </c>
    </row>
    <row r="59" spans="1:6" ht="14" customHeight="1" x14ac:dyDescent="0.2">
      <c r="A59" s="16" t="s">
        <v>220</v>
      </c>
      <c r="B59" s="11" t="e">
        <v>#N/A</v>
      </c>
      <c r="C59" s="11" t="e">
        <v>#N/A</v>
      </c>
      <c r="D59" s="11" t="e">
        <v>#N/A</v>
      </c>
      <c r="E59" s="11" t="e">
        <v>#N/A</v>
      </c>
      <c r="F59" s="11" t="e">
        <v>#N/A</v>
      </c>
    </row>
    <row r="60" spans="1:6" ht="14" customHeight="1" x14ac:dyDescent="0.2">
      <c r="A60" s="16" t="s">
        <v>221</v>
      </c>
      <c r="B60" s="11" t="e">
        <v>#N/A</v>
      </c>
      <c r="C60" s="11" t="e">
        <v>#N/A</v>
      </c>
      <c r="D60" s="11" t="e">
        <v>#N/A</v>
      </c>
      <c r="E60" s="11" t="e">
        <v>#N/A</v>
      </c>
      <c r="F60" s="11" t="e">
        <v>#N/A</v>
      </c>
    </row>
    <row r="61" spans="1:6" ht="14" customHeight="1" x14ac:dyDescent="0.2">
      <c r="A61" s="16" t="s">
        <v>222</v>
      </c>
      <c r="B61" s="11" t="e">
        <v>#N/A</v>
      </c>
      <c r="C61" s="11" t="e">
        <v>#N/A</v>
      </c>
      <c r="D61" s="11" t="e">
        <v>#N/A</v>
      </c>
      <c r="E61" s="11" t="e">
        <v>#N/A</v>
      </c>
      <c r="F61" s="11" t="e">
        <v>#N/A</v>
      </c>
    </row>
    <row r="62" spans="1:6" ht="14" customHeight="1" x14ac:dyDescent="0.2">
      <c r="A62" s="16" t="s">
        <v>223</v>
      </c>
      <c r="B62" s="11">
        <v>0</v>
      </c>
      <c r="C62" s="11">
        <v>2261</v>
      </c>
      <c r="D62" s="11">
        <v>3440</v>
      </c>
      <c r="E62" s="11">
        <v>4330</v>
      </c>
      <c r="F62" s="11">
        <v>34420</v>
      </c>
    </row>
    <row r="63" spans="1:6" ht="14" customHeight="1" x14ac:dyDescent="0.2">
      <c r="A63" s="16" t="s">
        <v>224</v>
      </c>
      <c r="B63" s="11">
        <v>0</v>
      </c>
      <c r="C63" s="11">
        <v>814</v>
      </c>
      <c r="D63" s="11">
        <v>2992</v>
      </c>
      <c r="E63" s="11">
        <v>0</v>
      </c>
      <c r="F63" s="11">
        <v>0</v>
      </c>
    </row>
    <row r="64" spans="1:6" ht="14" customHeight="1" x14ac:dyDescent="0.2">
      <c r="A64" s="16" t="s">
        <v>225</v>
      </c>
      <c r="B64" s="11">
        <v>0</v>
      </c>
      <c r="C64" s="11">
        <v>328</v>
      </c>
      <c r="D64" s="11">
        <v>3287</v>
      </c>
      <c r="E64" s="11">
        <v>0</v>
      </c>
      <c r="F64" s="11">
        <v>2099</v>
      </c>
    </row>
    <row r="65" spans="1:6" ht="14" customHeight="1" x14ac:dyDescent="0.2">
      <c r="A65" s="16" t="s">
        <v>226</v>
      </c>
      <c r="B65" s="11">
        <v>0</v>
      </c>
      <c r="C65" s="11">
        <v>5743</v>
      </c>
      <c r="D65" s="11">
        <v>17662</v>
      </c>
      <c r="E65" s="11">
        <v>17460</v>
      </c>
      <c r="F65" s="11">
        <v>40942</v>
      </c>
    </row>
    <row r="66" spans="1:6" ht="14" customHeight="1" x14ac:dyDescent="0.2">
      <c r="A66" s="16" t="s">
        <v>227</v>
      </c>
      <c r="B66" s="11" t="e">
        <v>#N/A</v>
      </c>
      <c r="C66" s="11" t="e">
        <v>#N/A</v>
      </c>
      <c r="D66" s="11" t="e">
        <v>#N/A</v>
      </c>
      <c r="E66" s="11" t="e">
        <v>#N/A</v>
      </c>
      <c r="F66" s="11" t="e">
        <v>#N/A</v>
      </c>
    </row>
    <row r="67" spans="1:6" ht="14" customHeight="1" x14ac:dyDescent="0.2">
      <c r="A67" s="16" t="s">
        <v>228</v>
      </c>
      <c r="B67" s="11">
        <v>0</v>
      </c>
      <c r="C67" s="11">
        <v>3674</v>
      </c>
      <c r="D67" s="11">
        <v>14193</v>
      </c>
      <c r="E67" s="11">
        <v>12311</v>
      </c>
      <c r="F67" s="11">
        <v>9778</v>
      </c>
    </row>
    <row r="68" spans="1:6" ht="14" customHeight="1" x14ac:dyDescent="0.2">
      <c r="A68" s="16" t="s">
        <v>229</v>
      </c>
      <c r="B68" s="11" t="e">
        <v>#N/A</v>
      </c>
      <c r="C68" s="11" t="e">
        <v>#N/A</v>
      </c>
      <c r="D68" s="11" t="e">
        <v>#N/A</v>
      </c>
      <c r="E68" s="11" t="e">
        <v>#N/A</v>
      </c>
      <c r="F68" s="11" t="e">
        <v>#N/A</v>
      </c>
    </row>
    <row r="69" spans="1:6" ht="14" customHeight="1" x14ac:dyDescent="0.2">
      <c r="A69" s="16" t="s">
        <v>230</v>
      </c>
      <c r="B69" s="11">
        <v>6499</v>
      </c>
      <c r="C69" s="11">
        <v>0</v>
      </c>
      <c r="D69" s="11">
        <v>0</v>
      </c>
      <c r="E69" s="11">
        <v>0</v>
      </c>
      <c r="F69" s="11">
        <v>0</v>
      </c>
    </row>
    <row r="70" spans="1:6" ht="14" customHeight="1" x14ac:dyDescent="0.2">
      <c r="A70" s="16" t="s">
        <v>231</v>
      </c>
      <c r="B70" s="11">
        <v>0</v>
      </c>
      <c r="C70" s="11">
        <v>0</v>
      </c>
      <c r="D70" s="11">
        <v>0</v>
      </c>
      <c r="E70" s="11">
        <v>25</v>
      </c>
      <c r="F70" s="11">
        <v>0</v>
      </c>
    </row>
    <row r="71" spans="1:6" ht="14" customHeight="1" x14ac:dyDescent="0.2">
      <c r="A71" s="16" t="s">
        <v>232</v>
      </c>
      <c r="B71" s="11">
        <v>0</v>
      </c>
      <c r="C71" s="11">
        <v>1332</v>
      </c>
      <c r="D71" s="11">
        <v>2327</v>
      </c>
      <c r="E71" s="11">
        <v>9315</v>
      </c>
      <c r="F71" s="11">
        <v>6147</v>
      </c>
    </row>
    <row r="72" spans="1:6" ht="14" customHeight="1" x14ac:dyDescent="0.2">
      <c r="A72" s="16" t="s">
        <v>233</v>
      </c>
      <c r="B72" s="11">
        <v>0</v>
      </c>
      <c r="C72" s="11">
        <v>0</v>
      </c>
      <c r="D72" s="11">
        <v>0</v>
      </c>
      <c r="E72" s="11">
        <v>467</v>
      </c>
      <c r="F72" s="11">
        <v>0</v>
      </c>
    </row>
    <row r="73" spans="1:6" ht="14" customHeight="1" x14ac:dyDescent="0.2">
      <c r="A73" s="16" t="s">
        <v>234</v>
      </c>
      <c r="B73" s="11" t="e">
        <v>#N/A</v>
      </c>
      <c r="C73" s="11" t="e">
        <v>#N/A</v>
      </c>
      <c r="D73" s="11" t="e">
        <v>#N/A</v>
      </c>
      <c r="E73" s="11" t="e">
        <v>#N/A</v>
      </c>
      <c r="F73" s="11" t="e">
        <v>#N/A</v>
      </c>
    </row>
    <row r="74" spans="1:6" ht="14" customHeight="1" x14ac:dyDescent="0.2">
      <c r="A74" s="16" t="s">
        <v>235</v>
      </c>
      <c r="B74" s="11">
        <v>0</v>
      </c>
      <c r="C74" s="11">
        <v>0</v>
      </c>
      <c r="D74" s="11">
        <v>0</v>
      </c>
      <c r="E74" s="11">
        <v>0</v>
      </c>
      <c r="F74" s="11">
        <v>600</v>
      </c>
    </row>
    <row r="75" spans="1:6" ht="14" customHeight="1" x14ac:dyDescent="0.2">
      <c r="A75" s="16" t="s">
        <v>236</v>
      </c>
      <c r="B75" s="11">
        <v>0</v>
      </c>
      <c r="C75" s="11">
        <v>0</v>
      </c>
      <c r="D75" s="11">
        <v>887</v>
      </c>
      <c r="E75" s="11">
        <v>0</v>
      </c>
      <c r="F75" s="11">
        <v>4980</v>
      </c>
    </row>
    <row r="76" spans="1:6" ht="14" customHeight="1" x14ac:dyDescent="0.2">
      <c r="A76" s="16" t="s">
        <v>237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</row>
    <row r="77" spans="1:6" ht="14" customHeight="1" x14ac:dyDescent="0.2">
      <c r="A77" s="16" t="s">
        <v>238</v>
      </c>
      <c r="B77" s="11">
        <v>0</v>
      </c>
      <c r="C77" s="11">
        <v>4390</v>
      </c>
      <c r="D77" s="11">
        <v>4255</v>
      </c>
      <c r="E77" s="11">
        <v>2595</v>
      </c>
      <c r="F77" s="11">
        <v>76241</v>
      </c>
    </row>
    <row r="78" spans="1:6" ht="14" customHeight="1" x14ac:dyDescent="0.2">
      <c r="A78" s="16" t="s">
        <v>239</v>
      </c>
      <c r="B78" s="11">
        <v>0</v>
      </c>
      <c r="C78" s="11">
        <v>0</v>
      </c>
      <c r="D78" s="11">
        <v>60</v>
      </c>
      <c r="E78" s="11">
        <v>0</v>
      </c>
      <c r="F78" s="11">
        <v>0</v>
      </c>
    </row>
    <row r="79" spans="1:6" ht="14" customHeight="1" x14ac:dyDescent="0.2">
      <c r="A79" s="16" t="s">
        <v>240</v>
      </c>
      <c r="B79" s="11">
        <v>0</v>
      </c>
      <c r="C79" s="11">
        <v>100</v>
      </c>
      <c r="D79" s="11">
        <v>5501</v>
      </c>
      <c r="E79" s="11">
        <v>34625</v>
      </c>
      <c r="F79" s="11">
        <v>100402</v>
      </c>
    </row>
    <row r="80" spans="1:6" ht="14" customHeight="1" x14ac:dyDescent="0.2">
      <c r="A80" s="16" t="s">
        <v>241</v>
      </c>
      <c r="B80" s="11">
        <v>4174</v>
      </c>
      <c r="C80" s="11">
        <v>0</v>
      </c>
      <c r="D80" s="11">
        <v>94</v>
      </c>
      <c r="E80" s="11">
        <v>401</v>
      </c>
      <c r="F80" s="11">
        <v>0</v>
      </c>
    </row>
    <row r="81" spans="1:6" ht="14" customHeight="1" x14ac:dyDescent="0.2">
      <c r="A81" s="16" t="s">
        <v>242</v>
      </c>
      <c r="B81" s="11" t="e">
        <v>#N/A</v>
      </c>
      <c r="C81" s="11" t="e">
        <v>#N/A</v>
      </c>
      <c r="D81" s="11" t="e">
        <v>#N/A</v>
      </c>
      <c r="E81" s="11" t="e">
        <v>#N/A</v>
      </c>
      <c r="F81" s="11" t="e">
        <v>#N/A</v>
      </c>
    </row>
    <row r="82" spans="1:6" ht="14" customHeight="1" x14ac:dyDescent="0.2">
      <c r="A82" s="16" t="s">
        <v>243</v>
      </c>
      <c r="B82" s="11" t="e">
        <v>#N/A</v>
      </c>
      <c r="C82" s="11" t="e">
        <v>#N/A</v>
      </c>
      <c r="D82" s="11" t="e">
        <v>#N/A</v>
      </c>
      <c r="E82" s="11" t="e">
        <v>#N/A</v>
      </c>
      <c r="F82" s="11" t="e">
        <v>#N/A</v>
      </c>
    </row>
    <row r="83" spans="1:6" ht="14" customHeight="1" x14ac:dyDescent="0.2">
      <c r="A83" s="16" t="s">
        <v>244</v>
      </c>
      <c r="B83" s="11">
        <v>0</v>
      </c>
      <c r="C83" s="11">
        <v>0</v>
      </c>
      <c r="D83" s="11">
        <v>1351</v>
      </c>
      <c r="E83" s="11">
        <v>0</v>
      </c>
      <c r="F83" s="11">
        <v>0</v>
      </c>
    </row>
    <row r="84" spans="1:6" ht="14" customHeight="1" x14ac:dyDescent="0.2">
      <c r="A84" s="16" t="s">
        <v>245</v>
      </c>
      <c r="B84" s="11" t="e">
        <v>#N/A</v>
      </c>
      <c r="C84" s="11" t="e">
        <v>#N/A</v>
      </c>
      <c r="D84" s="11" t="e">
        <v>#N/A</v>
      </c>
      <c r="E84" s="11" t="e">
        <v>#N/A</v>
      </c>
      <c r="F84" s="11" t="e">
        <v>#N/A</v>
      </c>
    </row>
    <row r="85" spans="1:6" ht="14" customHeight="1" x14ac:dyDescent="0.2">
      <c r="A85" s="16" t="s">
        <v>246</v>
      </c>
      <c r="B85" s="11">
        <v>0</v>
      </c>
      <c r="C85" s="11">
        <v>3707</v>
      </c>
      <c r="D85" s="11">
        <v>2887</v>
      </c>
      <c r="E85" s="11">
        <v>25236</v>
      </c>
      <c r="F85" s="11">
        <v>240353</v>
      </c>
    </row>
    <row r="86" spans="1:6" ht="14" customHeight="1" x14ac:dyDescent="0.2">
      <c r="A86" s="16" t="s">
        <v>247</v>
      </c>
      <c r="B86" s="11" t="e">
        <v>#N/A</v>
      </c>
      <c r="C86" s="11" t="e">
        <v>#N/A</v>
      </c>
      <c r="D86" s="11" t="e">
        <v>#N/A</v>
      </c>
      <c r="E86" s="11" t="e">
        <v>#N/A</v>
      </c>
      <c r="F86" s="11" t="e">
        <v>#N/A</v>
      </c>
    </row>
    <row r="87" spans="1:6" ht="14" customHeight="1" x14ac:dyDescent="0.2">
      <c r="A87" s="16" t="s">
        <v>248</v>
      </c>
      <c r="B87" s="11" t="e">
        <v>#N/A</v>
      </c>
      <c r="C87" s="11" t="e">
        <v>#N/A</v>
      </c>
      <c r="D87" s="11" t="e">
        <v>#N/A</v>
      </c>
      <c r="E87" s="11" t="e">
        <v>#N/A</v>
      </c>
      <c r="F87" s="11" t="e">
        <v>#N/A</v>
      </c>
    </row>
    <row r="88" spans="1:6" ht="14" customHeight="1" x14ac:dyDescent="0.2">
      <c r="A88" s="16" t="s">
        <v>249</v>
      </c>
      <c r="B88" s="11">
        <v>0</v>
      </c>
      <c r="C88" s="11">
        <v>2</v>
      </c>
      <c r="D88" s="11">
        <v>0</v>
      </c>
      <c r="E88" s="11">
        <v>0</v>
      </c>
      <c r="F88" s="11">
        <v>0</v>
      </c>
    </row>
    <row r="89" spans="1:6" ht="14" customHeight="1" x14ac:dyDescent="0.2">
      <c r="A89" s="16" t="s">
        <v>250</v>
      </c>
      <c r="B89" s="11">
        <v>0</v>
      </c>
      <c r="C89" s="11">
        <v>2261</v>
      </c>
      <c r="D89" s="11">
        <v>3440</v>
      </c>
      <c r="E89" s="11">
        <v>4330</v>
      </c>
      <c r="F89" s="11">
        <v>34420</v>
      </c>
    </row>
    <row r="90" spans="1:6" ht="14" customHeight="1" x14ac:dyDescent="0.2">
      <c r="A90" s="16" t="s">
        <v>251</v>
      </c>
      <c r="B90" s="11">
        <v>0</v>
      </c>
      <c r="C90" s="11">
        <v>2261</v>
      </c>
      <c r="D90" s="11">
        <v>3440</v>
      </c>
      <c r="E90" s="11">
        <v>4330</v>
      </c>
      <c r="F90" s="11">
        <v>34420</v>
      </c>
    </row>
    <row r="91" spans="1:6" ht="14" customHeight="1" x14ac:dyDescent="0.2">
      <c r="A91" s="16" t="s">
        <v>252</v>
      </c>
      <c r="B91" s="11" t="e">
        <v>#N/A</v>
      </c>
      <c r="C91" s="11" t="e">
        <v>#N/A</v>
      </c>
      <c r="D91" s="11" t="e">
        <v>#N/A</v>
      </c>
      <c r="E91" s="11" t="e">
        <v>#N/A</v>
      </c>
      <c r="F91" s="11" t="e">
        <v>#N/A</v>
      </c>
    </row>
    <row r="92" spans="1:6" ht="14" customHeight="1" x14ac:dyDescent="0.2">
      <c r="A92" s="16" t="s">
        <v>253</v>
      </c>
      <c r="B92" s="11" t="e">
        <v>#N/A</v>
      </c>
      <c r="C92" s="11" t="e">
        <v>#N/A</v>
      </c>
      <c r="D92" s="11" t="e">
        <v>#N/A</v>
      </c>
      <c r="E92" s="11" t="e">
        <v>#N/A</v>
      </c>
      <c r="F92" s="11" t="e">
        <v>#N/A</v>
      </c>
    </row>
    <row r="93" spans="1:6" ht="14" customHeight="1" x14ac:dyDescent="0.2">
      <c r="A93" s="16" t="s">
        <v>254</v>
      </c>
      <c r="B93" s="11">
        <v>0</v>
      </c>
      <c r="C93" s="11">
        <v>0</v>
      </c>
      <c r="D93" s="11">
        <v>127</v>
      </c>
      <c r="E93" s="11">
        <v>508</v>
      </c>
      <c r="F93" s="11">
        <v>0</v>
      </c>
    </row>
    <row r="94" spans="1:6" ht="14" customHeight="1" x14ac:dyDescent="0.2">
      <c r="A94" s="16" t="s">
        <v>255</v>
      </c>
      <c r="B94" s="11">
        <v>0</v>
      </c>
      <c r="C94" s="11">
        <v>296</v>
      </c>
      <c r="D94" s="11">
        <v>948</v>
      </c>
      <c r="E94" s="11">
        <v>0</v>
      </c>
      <c r="F94" s="11">
        <v>2303</v>
      </c>
    </row>
    <row r="95" spans="1:6" ht="14" customHeight="1" x14ac:dyDescent="0.2">
      <c r="A95" s="16" t="s">
        <v>256</v>
      </c>
      <c r="B95" s="11">
        <v>0</v>
      </c>
      <c r="C95" s="11">
        <v>15</v>
      </c>
      <c r="D95" s="11">
        <v>1406</v>
      </c>
      <c r="E95" s="11">
        <v>7621</v>
      </c>
      <c r="F95" s="11">
        <v>24557</v>
      </c>
    </row>
    <row r="96" spans="1:6" ht="14" customHeight="1" x14ac:dyDescent="0.2">
      <c r="A96" s="16" t="s">
        <v>257</v>
      </c>
      <c r="B96" s="11" t="e">
        <v>#N/A</v>
      </c>
      <c r="C96" s="11" t="e">
        <v>#N/A</v>
      </c>
      <c r="D96" s="11" t="e">
        <v>#N/A</v>
      </c>
      <c r="E96" s="11" t="e">
        <v>#N/A</v>
      </c>
      <c r="F96" s="11" t="e">
        <v>#N/A</v>
      </c>
    </row>
    <row r="97" spans="1:6" ht="14" customHeight="1" x14ac:dyDescent="0.2">
      <c r="A97" s="16" t="s">
        <v>258</v>
      </c>
      <c r="B97" s="11">
        <v>3405</v>
      </c>
      <c r="C97" s="11">
        <v>19034</v>
      </c>
      <c r="D97" s="11">
        <v>36489</v>
      </c>
      <c r="E97" s="11">
        <v>44300</v>
      </c>
      <c r="F97" s="11">
        <v>49885</v>
      </c>
    </row>
    <row r="98" spans="1:6" ht="14" customHeight="1" x14ac:dyDescent="0.2">
      <c r="A98" s="16" t="s">
        <v>259</v>
      </c>
      <c r="B98" s="11">
        <v>0</v>
      </c>
      <c r="C98" s="11">
        <v>0</v>
      </c>
      <c r="D98" s="11">
        <v>130</v>
      </c>
      <c r="E98" s="11">
        <v>1302</v>
      </c>
      <c r="F98" s="11">
        <v>8750</v>
      </c>
    </row>
    <row r="99" spans="1:6" ht="14" customHeight="1" x14ac:dyDescent="0.2">
      <c r="A99" s="16" t="s">
        <v>260</v>
      </c>
      <c r="B99" s="11" t="e">
        <v>#N/A</v>
      </c>
      <c r="C99" s="11" t="e">
        <v>#N/A</v>
      </c>
      <c r="D99" s="11" t="e">
        <v>#N/A</v>
      </c>
      <c r="E99" s="11" t="e">
        <v>#N/A</v>
      </c>
      <c r="F99" s="11" t="e">
        <v>#N/A</v>
      </c>
    </row>
    <row r="100" spans="1:6" ht="14" customHeight="1" x14ac:dyDescent="0.2">
      <c r="A100" s="16" t="s">
        <v>261</v>
      </c>
      <c r="B100" s="11" t="e">
        <v>#N/A</v>
      </c>
      <c r="C100" s="11" t="e">
        <v>#N/A</v>
      </c>
      <c r="D100" s="11" t="e">
        <v>#N/A</v>
      </c>
      <c r="E100" s="11" t="e">
        <v>#N/A</v>
      </c>
      <c r="F100" s="11" t="e">
        <v>#N/A</v>
      </c>
    </row>
    <row r="101" spans="1:6" ht="14" customHeight="1" x14ac:dyDescent="0.2">
      <c r="A101" s="16" t="s">
        <v>262</v>
      </c>
      <c r="B101" s="11" t="e">
        <v>#N/A</v>
      </c>
      <c r="C101" s="11" t="e">
        <v>#N/A</v>
      </c>
      <c r="D101" s="11" t="e">
        <v>#N/A</v>
      </c>
      <c r="E101" s="11" t="e">
        <v>#N/A</v>
      </c>
      <c r="F101" s="11" t="e">
        <v>#N/A</v>
      </c>
    </row>
    <row r="102" spans="1:6" ht="14" customHeight="1" x14ac:dyDescent="0.2">
      <c r="A102" s="16" t="s">
        <v>263</v>
      </c>
      <c r="B102" s="11">
        <v>7981</v>
      </c>
      <c r="C102" s="11">
        <v>169</v>
      </c>
      <c r="D102" s="11">
        <v>569</v>
      </c>
      <c r="E102" s="11">
        <v>377</v>
      </c>
      <c r="F102" s="11">
        <v>0</v>
      </c>
    </row>
    <row r="103" spans="1:6" ht="14" customHeight="1" x14ac:dyDescent="0.2">
      <c r="A103" s="16" t="s">
        <v>264</v>
      </c>
      <c r="B103" s="11">
        <v>0</v>
      </c>
      <c r="C103" s="11">
        <v>202</v>
      </c>
      <c r="D103" s="11">
        <v>6785</v>
      </c>
      <c r="E103" s="11">
        <v>36254</v>
      </c>
      <c r="F103" s="11">
        <v>73039</v>
      </c>
    </row>
    <row r="104" spans="1:6" ht="14" customHeight="1" x14ac:dyDescent="0.2">
      <c r="A104" s="16" t="s">
        <v>265</v>
      </c>
      <c r="B104" s="11">
        <v>0</v>
      </c>
      <c r="C104" s="11">
        <v>182</v>
      </c>
      <c r="D104" s="11">
        <v>1223</v>
      </c>
      <c r="E104" s="11">
        <v>532</v>
      </c>
      <c r="F104" s="11">
        <v>1017</v>
      </c>
    </row>
    <row r="105" spans="1:6" ht="14" customHeight="1" x14ac:dyDescent="0.2">
      <c r="A105" s="16" t="s">
        <v>266</v>
      </c>
      <c r="B105" s="11">
        <v>0</v>
      </c>
      <c r="C105" s="11">
        <v>182</v>
      </c>
      <c r="D105" s="11">
        <v>1223</v>
      </c>
      <c r="E105" s="11">
        <v>532</v>
      </c>
      <c r="F105" s="11">
        <v>1017</v>
      </c>
    </row>
    <row r="106" spans="1:6" ht="14" customHeight="1" x14ac:dyDescent="0.2">
      <c r="A106" s="16" t="s">
        <v>267</v>
      </c>
      <c r="B106" s="11">
        <v>0</v>
      </c>
      <c r="C106" s="11">
        <v>230</v>
      </c>
      <c r="D106" s="11">
        <v>335</v>
      </c>
      <c r="E106" s="11">
        <v>0</v>
      </c>
      <c r="F106" s="11">
        <v>2677</v>
      </c>
    </row>
    <row r="107" spans="1:6" ht="14" customHeight="1" x14ac:dyDescent="0.2">
      <c r="A107" s="16" t="s">
        <v>268</v>
      </c>
      <c r="B107" s="11" t="e">
        <v>#N/A</v>
      </c>
      <c r="C107" s="11" t="e">
        <v>#N/A</v>
      </c>
      <c r="D107" s="11" t="e">
        <v>#N/A</v>
      </c>
      <c r="E107" s="11" t="e">
        <v>#N/A</v>
      </c>
      <c r="F107" s="11" t="e">
        <v>#N/A</v>
      </c>
    </row>
    <row r="108" spans="1:6" ht="14" customHeight="1" x14ac:dyDescent="0.2">
      <c r="A108" s="16" t="s">
        <v>269</v>
      </c>
      <c r="B108" s="11" t="e">
        <v>#N/A</v>
      </c>
      <c r="C108" s="11" t="e">
        <v>#N/A</v>
      </c>
      <c r="D108" s="11" t="e">
        <v>#N/A</v>
      </c>
      <c r="E108" s="11" t="e">
        <v>#N/A</v>
      </c>
      <c r="F108" s="11" t="e">
        <v>#N/A</v>
      </c>
    </row>
    <row r="109" spans="1:6" ht="14" customHeight="1" x14ac:dyDescent="0.2">
      <c r="A109" s="16" t="s">
        <v>270</v>
      </c>
      <c r="B109" s="11" t="e">
        <v>#N/A</v>
      </c>
      <c r="C109" s="11" t="e">
        <v>#N/A</v>
      </c>
      <c r="D109" s="11" t="e">
        <v>#N/A</v>
      </c>
      <c r="E109" s="11" t="e">
        <v>#N/A</v>
      </c>
      <c r="F109" s="11" t="e">
        <v>#N/A</v>
      </c>
    </row>
    <row r="110" spans="1:6" ht="14" customHeight="1" x14ac:dyDescent="0.2">
      <c r="A110" s="16" t="s">
        <v>271</v>
      </c>
      <c r="B110" s="11" t="e">
        <v>#N/A</v>
      </c>
      <c r="C110" s="11" t="e">
        <v>#N/A</v>
      </c>
      <c r="D110" s="11" t="e">
        <v>#N/A</v>
      </c>
      <c r="E110" s="11" t="e">
        <v>#N/A</v>
      </c>
      <c r="F110" s="11" t="e">
        <v>#N/A</v>
      </c>
    </row>
    <row r="111" spans="1:6" ht="14" customHeight="1" x14ac:dyDescent="0.2">
      <c r="A111" s="16" t="s">
        <v>272</v>
      </c>
      <c r="B111" s="11">
        <v>0</v>
      </c>
      <c r="C111" s="11">
        <v>1937</v>
      </c>
      <c r="D111" s="11">
        <v>3546</v>
      </c>
      <c r="E111" s="11">
        <v>10674</v>
      </c>
      <c r="F111" s="11">
        <v>84241</v>
      </c>
    </row>
    <row r="112" spans="1:6" ht="14" customHeight="1" x14ac:dyDescent="0.2">
      <c r="A112" s="16" t="s">
        <v>273</v>
      </c>
      <c r="B112" s="11" t="e">
        <v>#N/A</v>
      </c>
      <c r="C112" s="11" t="e">
        <v>#N/A</v>
      </c>
      <c r="D112" s="11" t="e">
        <v>#N/A</v>
      </c>
      <c r="E112" s="11" t="e">
        <v>#N/A</v>
      </c>
      <c r="F112" s="11" t="e">
        <v>#N/A</v>
      </c>
    </row>
    <row r="113" spans="1:6" ht="14" customHeight="1" x14ac:dyDescent="0.2">
      <c r="A113" s="16" t="s">
        <v>274</v>
      </c>
      <c r="B113" s="11" t="e">
        <v>#N/A</v>
      </c>
      <c r="C113" s="11" t="e">
        <v>#N/A</v>
      </c>
      <c r="D113" s="11" t="e">
        <v>#N/A</v>
      </c>
      <c r="E113" s="11" t="e">
        <v>#N/A</v>
      </c>
      <c r="F113" s="11" t="e">
        <v>#N/A</v>
      </c>
    </row>
    <row r="114" spans="1:6" ht="14" customHeight="1" x14ac:dyDescent="0.2">
      <c r="A114" s="16" t="s">
        <v>275</v>
      </c>
      <c r="B114" s="11">
        <v>0</v>
      </c>
      <c r="C114" s="11">
        <v>202</v>
      </c>
      <c r="D114" s="11">
        <v>6785</v>
      </c>
      <c r="E114" s="11">
        <v>36254</v>
      </c>
      <c r="F114" s="11">
        <v>73039</v>
      </c>
    </row>
    <row r="115" spans="1:6" ht="14" customHeight="1" x14ac:dyDescent="0.2">
      <c r="A115" s="16" t="s">
        <v>276</v>
      </c>
      <c r="B115" s="11">
        <v>0</v>
      </c>
      <c r="C115" s="11">
        <v>0</v>
      </c>
      <c r="D115" s="11">
        <v>1351</v>
      </c>
      <c r="E115" s="11">
        <v>0</v>
      </c>
      <c r="F115" s="11">
        <v>0</v>
      </c>
    </row>
    <row r="116" spans="1:6" ht="14" customHeight="1" x14ac:dyDescent="0.2">
      <c r="A116" s="16" t="s">
        <v>277</v>
      </c>
      <c r="B116" s="11">
        <v>9794</v>
      </c>
      <c r="C116" s="11">
        <v>4622</v>
      </c>
      <c r="D116" s="11">
        <v>24228</v>
      </c>
      <c r="E116" s="11">
        <v>118658</v>
      </c>
      <c r="F116" s="11">
        <v>285226</v>
      </c>
    </row>
    <row r="117" spans="1:6" ht="14" customHeight="1" x14ac:dyDescent="0.2">
      <c r="A117" s="16" t="s">
        <v>278</v>
      </c>
      <c r="B117" s="11">
        <v>0</v>
      </c>
      <c r="C117" s="11">
        <v>0</v>
      </c>
      <c r="D117" s="11">
        <v>124</v>
      </c>
      <c r="E117" s="11">
        <v>0</v>
      </c>
      <c r="F117" s="11">
        <v>28916</v>
      </c>
    </row>
    <row r="118" spans="1:6" ht="14" customHeight="1" x14ac:dyDescent="0.2">
      <c r="A118" s="16" t="s">
        <v>279</v>
      </c>
      <c r="B118" s="11">
        <v>0</v>
      </c>
      <c r="C118" s="11">
        <v>1937</v>
      </c>
      <c r="D118" s="11">
        <v>3541</v>
      </c>
      <c r="E118" s="11">
        <v>8865</v>
      </c>
      <c r="F118" s="11">
        <v>42742</v>
      </c>
    </row>
    <row r="119" spans="1:6" ht="14" customHeight="1" x14ac:dyDescent="0.2">
      <c r="A119" s="16" t="s">
        <v>280</v>
      </c>
      <c r="B119" s="11" t="e">
        <v>#N/A</v>
      </c>
      <c r="C119" s="11" t="e">
        <v>#N/A</v>
      </c>
      <c r="D119" s="11" t="e">
        <v>#N/A</v>
      </c>
      <c r="E119" s="11" t="e">
        <v>#N/A</v>
      </c>
      <c r="F119" s="11" t="e">
        <v>#N/A</v>
      </c>
    </row>
    <row r="120" spans="1:6" ht="14" customHeight="1" x14ac:dyDescent="0.2">
      <c r="A120" s="16" t="s">
        <v>281</v>
      </c>
      <c r="B120" s="11">
        <v>0</v>
      </c>
      <c r="C120" s="11">
        <v>2643</v>
      </c>
      <c r="D120" s="11">
        <v>5076</v>
      </c>
      <c r="E120" s="11">
        <v>8333</v>
      </c>
      <c r="F120" s="11">
        <v>74035</v>
      </c>
    </row>
    <row r="121" spans="1:6" ht="14" customHeight="1" x14ac:dyDescent="0.2">
      <c r="A121" s="16" t="s">
        <v>282</v>
      </c>
      <c r="B121" s="11">
        <v>0</v>
      </c>
      <c r="C121" s="11">
        <v>2261</v>
      </c>
      <c r="D121" s="11">
        <v>3508</v>
      </c>
      <c r="E121" s="11">
        <v>4330</v>
      </c>
      <c r="F121" s="11">
        <v>46179</v>
      </c>
    </row>
    <row r="122" spans="1:6" ht="14" customHeight="1" x14ac:dyDescent="0.2">
      <c r="A122" s="16" t="s">
        <v>283</v>
      </c>
      <c r="B122" s="11" t="e">
        <v>#N/A</v>
      </c>
      <c r="C122" s="11" t="e">
        <v>#N/A</v>
      </c>
      <c r="D122" s="11" t="e">
        <v>#N/A</v>
      </c>
      <c r="E122" s="11" t="e">
        <v>#N/A</v>
      </c>
      <c r="F122" s="11" t="e">
        <v>#N/A</v>
      </c>
    </row>
    <row r="123" spans="1:6" ht="14" customHeight="1" x14ac:dyDescent="0.2">
      <c r="A123" s="16" t="s">
        <v>284</v>
      </c>
      <c r="B123" s="11" t="e">
        <v>#N/A</v>
      </c>
      <c r="C123" s="11" t="e">
        <v>#N/A</v>
      </c>
      <c r="D123" s="11" t="e">
        <v>#N/A</v>
      </c>
      <c r="E123" s="11" t="e">
        <v>#N/A</v>
      </c>
      <c r="F123" s="11" t="e">
        <v>#N/A</v>
      </c>
    </row>
    <row r="124" spans="1:6" ht="14" customHeight="1" x14ac:dyDescent="0.2">
      <c r="A124" s="16" t="s">
        <v>285</v>
      </c>
      <c r="B124" s="11" t="e">
        <v>#N/A</v>
      </c>
      <c r="C124" s="11" t="e">
        <v>#N/A</v>
      </c>
      <c r="D124" s="11" t="e">
        <v>#N/A</v>
      </c>
      <c r="E124" s="11" t="e">
        <v>#N/A</v>
      </c>
      <c r="F124" s="11" t="e">
        <v>#N/A</v>
      </c>
    </row>
    <row r="125" spans="1:6" ht="14" customHeight="1" x14ac:dyDescent="0.2">
      <c r="A125" s="16" t="s">
        <v>286</v>
      </c>
      <c r="B125" s="11">
        <v>0</v>
      </c>
      <c r="C125" s="11">
        <v>0</v>
      </c>
      <c r="D125" s="11">
        <v>22</v>
      </c>
      <c r="E125" s="11">
        <v>0</v>
      </c>
      <c r="F125" s="11">
        <v>846</v>
      </c>
    </row>
    <row r="126" spans="1:6" ht="14" customHeight="1" x14ac:dyDescent="0.2">
      <c r="A126" s="16" t="s">
        <v>287</v>
      </c>
      <c r="B126" s="11">
        <v>0</v>
      </c>
      <c r="C126" s="11">
        <v>3369</v>
      </c>
      <c r="D126" s="11">
        <v>4465</v>
      </c>
      <c r="E126" s="11">
        <v>8865</v>
      </c>
      <c r="F126" s="11">
        <v>80932</v>
      </c>
    </row>
    <row r="127" spans="1:6" ht="14" customHeight="1" x14ac:dyDescent="0.2">
      <c r="A127" s="16" t="s">
        <v>288</v>
      </c>
      <c r="B127" s="11">
        <v>0</v>
      </c>
      <c r="C127" s="11">
        <v>0</v>
      </c>
      <c r="D127" s="11">
        <v>1351</v>
      </c>
      <c r="E127" s="11">
        <v>0</v>
      </c>
      <c r="F127" s="11">
        <v>0</v>
      </c>
    </row>
    <row r="128" spans="1:6" ht="14" customHeight="1" x14ac:dyDescent="0.2">
      <c r="A128" s="16" t="s">
        <v>289</v>
      </c>
      <c r="B128" s="11" t="e">
        <v>#N/A</v>
      </c>
      <c r="C128" s="11" t="e">
        <v>#N/A</v>
      </c>
      <c r="D128" s="11" t="e">
        <v>#N/A</v>
      </c>
      <c r="E128" s="11" t="e">
        <v>#N/A</v>
      </c>
      <c r="F128" s="11" t="e">
        <v>#N/A</v>
      </c>
    </row>
    <row r="129" spans="1:6" ht="14" customHeight="1" x14ac:dyDescent="0.2">
      <c r="A129" s="16" t="s">
        <v>290</v>
      </c>
      <c r="B129" s="11" t="e">
        <v>#N/A</v>
      </c>
      <c r="C129" s="11" t="e">
        <v>#N/A</v>
      </c>
      <c r="D129" s="11" t="e">
        <v>#N/A</v>
      </c>
      <c r="E129" s="11" t="e">
        <v>#N/A</v>
      </c>
      <c r="F129" s="11" t="e">
        <v>#N/A</v>
      </c>
    </row>
    <row r="130" spans="1:6" ht="14" customHeight="1" x14ac:dyDescent="0.2">
      <c r="A130" s="16" t="s">
        <v>291</v>
      </c>
      <c r="B130" s="11" t="e">
        <v>#N/A</v>
      </c>
      <c r="C130" s="11" t="e">
        <v>#N/A</v>
      </c>
      <c r="D130" s="11" t="e">
        <v>#N/A</v>
      </c>
      <c r="E130" s="11" t="e">
        <v>#N/A</v>
      </c>
      <c r="F130" s="11" t="e">
        <v>#N/A</v>
      </c>
    </row>
    <row r="131" spans="1:6" ht="14" customHeight="1" x14ac:dyDescent="0.2">
      <c r="A131" s="16" t="s">
        <v>292</v>
      </c>
      <c r="B131" s="11" t="e">
        <v>#N/A</v>
      </c>
      <c r="C131" s="11" t="e">
        <v>#N/A</v>
      </c>
      <c r="D131" s="11" t="e">
        <v>#N/A</v>
      </c>
      <c r="E131" s="11" t="e">
        <v>#N/A</v>
      </c>
      <c r="F131" s="11" t="e">
        <v>#N/A</v>
      </c>
    </row>
    <row r="132" spans="1:6" ht="14" customHeight="1" x14ac:dyDescent="0.2">
      <c r="A132" s="16" t="s">
        <v>293</v>
      </c>
      <c r="B132" s="11">
        <v>0</v>
      </c>
      <c r="C132" s="11">
        <v>0</v>
      </c>
      <c r="D132" s="11">
        <v>294</v>
      </c>
      <c r="E132" s="11">
        <v>1555</v>
      </c>
      <c r="F132" s="11">
        <v>1810</v>
      </c>
    </row>
    <row r="133" spans="1:6" ht="14" customHeight="1" x14ac:dyDescent="0.2">
      <c r="A133" s="16" t="s">
        <v>294</v>
      </c>
      <c r="B133" s="11">
        <v>0</v>
      </c>
      <c r="C133" s="11">
        <v>4246</v>
      </c>
      <c r="D133" s="11">
        <v>6771</v>
      </c>
      <c r="E133" s="11">
        <v>12262</v>
      </c>
      <c r="F133" s="11">
        <v>51888</v>
      </c>
    </row>
    <row r="134" spans="1:6" ht="14" customHeight="1" x14ac:dyDescent="0.2">
      <c r="A134" s="16" t="s">
        <v>295</v>
      </c>
      <c r="B134" s="11">
        <v>0</v>
      </c>
      <c r="C134" s="11">
        <v>2175</v>
      </c>
      <c r="D134" s="11">
        <v>0</v>
      </c>
      <c r="E134" s="11">
        <v>0</v>
      </c>
      <c r="F134" s="11">
        <v>0</v>
      </c>
    </row>
    <row r="135" spans="1:6" ht="14" customHeight="1" x14ac:dyDescent="0.2">
      <c r="A135" s="16" t="s">
        <v>296</v>
      </c>
      <c r="B135" s="11">
        <v>0</v>
      </c>
      <c r="C135" s="11">
        <v>0</v>
      </c>
      <c r="D135" s="11">
        <v>60</v>
      </c>
      <c r="E135" s="11">
        <v>0</v>
      </c>
      <c r="F135" s="11">
        <v>0</v>
      </c>
    </row>
    <row r="136" spans="1:6" ht="14" customHeight="1" x14ac:dyDescent="0.2">
      <c r="A136" s="16" t="s">
        <v>297</v>
      </c>
      <c r="B136" s="11">
        <v>0</v>
      </c>
      <c r="C136" s="11">
        <v>1937</v>
      </c>
      <c r="D136" s="11">
        <v>3541</v>
      </c>
      <c r="E136" s="11">
        <v>8865</v>
      </c>
      <c r="F136" s="11">
        <v>42742</v>
      </c>
    </row>
    <row r="137" spans="1:6" ht="14" customHeight="1" x14ac:dyDescent="0.2">
      <c r="A137" s="16" t="s">
        <v>298</v>
      </c>
      <c r="B137" s="11" t="e">
        <v>#N/A</v>
      </c>
      <c r="C137" s="11" t="e">
        <v>#N/A</v>
      </c>
      <c r="D137" s="11" t="e">
        <v>#N/A</v>
      </c>
      <c r="E137" s="11" t="e">
        <v>#N/A</v>
      </c>
      <c r="F137" s="11" t="e">
        <v>#N/A</v>
      </c>
    </row>
    <row r="138" spans="1:6" ht="14" customHeight="1" x14ac:dyDescent="0.2">
      <c r="A138" s="16" t="s">
        <v>299</v>
      </c>
      <c r="B138" s="11">
        <v>0</v>
      </c>
      <c r="C138" s="11">
        <v>0</v>
      </c>
      <c r="D138" s="11">
        <v>3</v>
      </c>
      <c r="E138" s="11">
        <v>0</v>
      </c>
      <c r="F138" s="11">
        <v>0</v>
      </c>
    </row>
    <row r="139" spans="1:6" ht="14" customHeight="1" x14ac:dyDescent="0.2">
      <c r="A139" s="16" t="s">
        <v>300</v>
      </c>
      <c r="B139" s="11" t="e">
        <v>#N/A</v>
      </c>
      <c r="C139" s="11" t="e">
        <v>#N/A</v>
      </c>
      <c r="D139" s="11" t="e">
        <v>#N/A</v>
      </c>
      <c r="E139" s="11" t="e">
        <v>#N/A</v>
      </c>
      <c r="F139" s="11" t="e">
        <v>#N/A</v>
      </c>
    </row>
    <row r="140" spans="1:6" ht="14" customHeight="1" x14ac:dyDescent="0.2">
      <c r="A140" s="16" t="s">
        <v>301</v>
      </c>
      <c r="B140" s="11" t="e">
        <v>#N/A</v>
      </c>
      <c r="C140" s="11" t="e">
        <v>#N/A</v>
      </c>
      <c r="D140" s="11" t="e">
        <v>#N/A</v>
      </c>
      <c r="E140" s="11" t="e">
        <v>#N/A</v>
      </c>
      <c r="F140" s="11" t="e">
        <v>#N/A</v>
      </c>
    </row>
    <row r="141" spans="1:6" ht="14" customHeight="1" x14ac:dyDescent="0.2">
      <c r="A141" s="16" t="s">
        <v>302</v>
      </c>
      <c r="B141" s="11" t="e">
        <v>#N/A</v>
      </c>
      <c r="C141" s="11" t="e">
        <v>#N/A</v>
      </c>
      <c r="D141" s="11" t="e">
        <v>#N/A</v>
      </c>
      <c r="E141" s="11" t="e">
        <v>#N/A</v>
      </c>
      <c r="F141" s="11" t="e">
        <v>#N/A</v>
      </c>
    </row>
    <row r="142" spans="1:6" ht="14" customHeight="1" x14ac:dyDescent="0.2">
      <c r="A142" s="16" t="s">
        <v>303</v>
      </c>
      <c r="B142" s="11" t="e">
        <v>#N/A</v>
      </c>
      <c r="C142" s="11" t="e">
        <v>#N/A</v>
      </c>
      <c r="D142" s="11" t="e">
        <v>#N/A</v>
      </c>
      <c r="E142" s="11" t="e">
        <v>#N/A</v>
      </c>
      <c r="F142" s="11" t="e">
        <v>#N/A</v>
      </c>
    </row>
    <row r="143" spans="1:6" ht="14" customHeight="1" x14ac:dyDescent="0.2">
      <c r="A143" s="16" t="s">
        <v>304</v>
      </c>
      <c r="B143" s="11" t="e">
        <v>#N/A</v>
      </c>
      <c r="C143" s="11" t="e">
        <v>#N/A</v>
      </c>
      <c r="D143" s="11" t="e">
        <v>#N/A</v>
      </c>
      <c r="E143" s="11" t="e">
        <v>#N/A</v>
      </c>
      <c r="F143" s="11" t="e">
        <v>#N/A</v>
      </c>
    </row>
    <row r="144" spans="1:6" ht="14.5" customHeight="1" x14ac:dyDescent="0.2">
      <c r="A144" s="17" t="s">
        <v>305</v>
      </c>
      <c r="B144" s="11" t="e">
        <v>#N/A</v>
      </c>
      <c r="C144" s="11" t="e">
        <v>#N/A</v>
      </c>
      <c r="D144" s="11" t="e">
        <v>#N/A</v>
      </c>
      <c r="E144" s="11" t="e">
        <v>#N/A</v>
      </c>
      <c r="F144" s="11" t="e">
        <v>#N/A</v>
      </c>
    </row>
    <row r="145" spans="1:6" ht="14" customHeight="1" x14ac:dyDescent="0.2">
      <c r="A145" s="16" t="s">
        <v>306</v>
      </c>
      <c r="B145" s="11">
        <v>10325</v>
      </c>
      <c r="C145" s="11">
        <v>2849</v>
      </c>
      <c r="D145" s="11">
        <v>27181</v>
      </c>
      <c r="E145" s="11">
        <v>136650</v>
      </c>
      <c r="F145" s="11">
        <v>302908</v>
      </c>
    </row>
    <row r="146" spans="1:6" ht="14" customHeight="1" x14ac:dyDescent="0.2">
      <c r="A146" s="16" t="s">
        <v>307</v>
      </c>
      <c r="B146" s="11">
        <v>0</v>
      </c>
      <c r="C146" s="11">
        <v>1937</v>
      </c>
      <c r="D146" s="11">
        <v>3541</v>
      </c>
      <c r="E146" s="11">
        <v>8865</v>
      </c>
      <c r="F146" s="11">
        <v>42742</v>
      </c>
    </row>
    <row r="147" spans="1:6" ht="14" customHeight="1" x14ac:dyDescent="0.2">
      <c r="A147" s="16" t="s">
        <v>308</v>
      </c>
      <c r="B147" s="11">
        <v>0</v>
      </c>
      <c r="C147" s="11">
        <v>1937</v>
      </c>
      <c r="D147" s="11">
        <v>3541</v>
      </c>
      <c r="E147" s="11">
        <v>8865</v>
      </c>
      <c r="F147" s="11">
        <v>42742</v>
      </c>
    </row>
    <row r="148" spans="1:6" ht="14" customHeight="1" x14ac:dyDescent="0.2">
      <c r="A148" s="16" t="s">
        <v>309</v>
      </c>
      <c r="B148" s="11">
        <v>0</v>
      </c>
      <c r="C148" s="11">
        <v>1937</v>
      </c>
      <c r="D148" s="11">
        <v>3541</v>
      </c>
      <c r="E148" s="11">
        <v>8865</v>
      </c>
      <c r="F148" s="11">
        <v>42742</v>
      </c>
    </row>
    <row r="149" spans="1:6" ht="14" customHeight="1" x14ac:dyDescent="0.2">
      <c r="A149" s="16" t="s">
        <v>310</v>
      </c>
      <c r="B149" s="11" t="e">
        <v>#N/A</v>
      </c>
      <c r="C149" s="11" t="e">
        <v>#N/A</v>
      </c>
      <c r="D149" s="11" t="e">
        <v>#N/A</v>
      </c>
      <c r="E149" s="11" t="e">
        <v>#N/A</v>
      </c>
      <c r="F149" s="11" t="e">
        <v>#N/A</v>
      </c>
    </row>
    <row r="150" spans="1:6" ht="14" customHeight="1" x14ac:dyDescent="0.2">
      <c r="A150" s="16" t="s">
        <v>311</v>
      </c>
      <c r="B150" s="11" t="e">
        <v>#N/A</v>
      </c>
      <c r="C150" s="11" t="e">
        <v>#N/A</v>
      </c>
      <c r="D150" s="11" t="e">
        <v>#N/A</v>
      </c>
      <c r="E150" s="11" t="e">
        <v>#N/A</v>
      </c>
      <c r="F150" s="11" t="e">
        <v>#N/A</v>
      </c>
    </row>
    <row r="151" spans="1:6" ht="14" customHeight="1" x14ac:dyDescent="0.2">
      <c r="A151" s="16" t="s">
        <v>312</v>
      </c>
      <c r="B151" s="11">
        <v>0</v>
      </c>
      <c r="C151" s="11">
        <v>0</v>
      </c>
      <c r="D151" s="11">
        <v>10</v>
      </c>
      <c r="E151" s="11">
        <v>25</v>
      </c>
      <c r="F151" s="11">
        <v>1146</v>
      </c>
    </row>
    <row r="152" spans="1:6" ht="14" customHeight="1" x14ac:dyDescent="0.2">
      <c r="A152" s="16" t="s">
        <v>313</v>
      </c>
      <c r="B152" s="11">
        <v>7927</v>
      </c>
      <c r="C152" s="11">
        <v>0</v>
      </c>
      <c r="D152" s="11">
        <v>900</v>
      </c>
      <c r="E152" s="11">
        <v>5648</v>
      </c>
      <c r="F152" s="11">
        <v>0</v>
      </c>
    </row>
    <row r="153" spans="1:6" ht="14" customHeight="1" x14ac:dyDescent="0.2">
      <c r="A153" s="16" t="s">
        <v>314</v>
      </c>
      <c r="B153" s="11" t="e">
        <v>#N/A</v>
      </c>
      <c r="C153" s="11" t="e">
        <v>#N/A</v>
      </c>
      <c r="D153" s="11" t="e">
        <v>#N/A</v>
      </c>
      <c r="E153" s="11" t="e">
        <v>#N/A</v>
      </c>
      <c r="F153" s="11" t="e">
        <v>#N/A</v>
      </c>
    </row>
    <row r="154" spans="1:6" ht="14" customHeight="1" x14ac:dyDescent="0.2">
      <c r="A154" s="16" t="s">
        <v>315</v>
      </c>
      <c r="B154" s="11" t="e">
        <v>#N/A</v>
      </c>
      <c r="C154" s="11" t="e">
        <v>#N/A</v>
      </c>
      <c r="D154" s="11" t="e">
        <v>#N/A</v>
      </c>
      <c r="E154" s="11" t="e">
        <v>#N/A</v>
      </c>
      <c r="F154" s="11" t="e">
        <v>#N/A</v>
      </c>
    </row>
    <row r="155" spans="1:6" ht="14" customHeight="1" x14ac:dyDescent="0.2">
      <c r="A155" s="16" t="s">
        <v>316</v>
      </c>
      <c r="B155" s="11">
        <v>0</v>
      </c>
      <c r="C155" s="11">
        <v>0</v>
      </c>
      <c r="D155" s="11">
        <v>63</v>
      </c>
      <c r="E155" s="11">
        <v>2562</v>
      </c>
      <c r="F155" s="11">
        <v>0</v>
      </c>
    </row>
    <row r="156" spans="1:6" ht="14" customHeight="1" x14ac:dyDescent="0.2">
      <c r="A156" s="16" t="s">
        <v>317</v>
      </c>
      <c r="B156" s="11" t="e">
        <v>#N/A</v>
      </c>
      <c r="C156" s="11" t="e">
        <v>#N/A</v>
      </c>
      <c r="D156" s="11" t="e">
        <v>#N/A</v>
      </c>
      <c r="E156" s="11" t="e">
        <v>#N/A</v>
      </c>
      <c r="F156" s="11" t="e">
        <v>#N/A</v>
      </c>
    </row>
    <row r="157" spans="1:6" ht="14" customHeight="1" x14ac:dyDescent="0.2">
      <c r="A157" s="16" t="s">
        <v>318</v>
      </c>
      <c r="B157" s="11">
        <v>3661</v>
      </c>
      <c r="C157" s="11">
        <v>668</v>
      </c>
      <c r="D157" s="11">
        <v>5201</v>
      </c>
      <c r="E157" s="11">
        <v>6917</v>
      </c>
      <c r="F157" s="11">
        <v>17360</v>
      </c>
    </row>
    <row r="158" spans="1:6" ht="14" customHeight="1" x14ac:dyDescent="0.2">
      <c r="A158" s="16" t="s">
        <v>319</v>
      </c>
      <c r="B158" s="11">
        <v>0</v>
      </c>
      <c r="C158" s="11">
        <v>503</v>
      </c>
      <c r="D158" s="11">
        <v>2701</v>
      </c>
      <c r="E158" s="11">
        <v>0</v>
      </c>
      <c r="F158" s="11">
        <v>568</v>
      </c>
    </row>
    <row r="159" spans="1:6" ht="14" customHeight="1" x14ac:dyDescent="0.2">
      <c r="A159" s="16" t="s">
        <v>320</v>
      </c>
      <c r="B159" s="11" t="e">
        <v>#N/A</v>
      </c>
      <c r="C159" s="11" t="e">
        <v>#N/A</v>
      </c>
      <c r="D159" s="11" t="e">
        <v>#N/A</v>
      </c>
      <c r="E159" s="11" t="e">
        <v>#N/A</v>
      </c>
      <c r="F159" s="11" t="e">
        <v>#N/A</v>
      </c>
    </row>
    <row r="160" spans="1:6" ht="14" customHeight="1" x14ac:dyDescent="0.2">
      <c r="A160" s="16" t="s">
        <v>321</v>
      </c>
      <c r="B160" s="11" t="e">
        <v>#N/A</v>
      </c>
      <c r="C160" s="11" t="e">
        <v>#N/A</v>
      </c>
      <c r="D160" s="11" t="e">
        <v>#N/A</v>
      </c>
      <c r="E160" s="11" t="e">
        <v>#N/A</v>
      </c>
      <c r="F160" s="11" t="e">
        <v>#N/A</v>
      </c>
    </row>
    <row r="161" spans="1:6" ht="14" customHeight="1" x14ac:dyDescent="0.2">
      <c r="A161" s="16" t="s">
        <v>322</v>
      </c>
      <c r="B161" s="11">
        <v>0</v>
      </c>
      <c r="C161" s="11">
        <v>200</v>
      </c>
      <c r="D161" s="11">
        <v>309</v>
      </c>
      <c r="E161" s="11">
        <v>0</v>
      </c>
      <c r="F161" s="11">
        <v>0</v>
      </c>
    </row>
    <row r="162" spans="1:6" ht="14" customHeight="1" x14ac:dyDescent="0.2">
      <c r="A162" s="16" t="s">
        <v>323</v>
      </c>
      <c r="B162" s="11" t="e">
        <v>#N/A</v>
      </c>
      <c r="C162" s="11" t="e">
        <v>#N/A</v>
      </c>
      <c r="D162" s="11" t="e">
        <v>#N/A</v>
      </c>
      <c r="E162" s="11" t="e">
        <v>#N/A</v>
      </c>
      <c r="F162" s="11" t="e">
        <v>#N/A</v>
      </c>
    </row>
    <row r="163" spans="1:6" ht="14" customHeight="1" x14ac:dyDescent="0.2">
      <c r="A163" s="16" t="s">
        <v>324</v>
      </c>
      <c r="B163" s="11" t="e">
        <v>#N/A</v>
      </c>
      <c r="C163" s="11" t="e">
        <v>#N/A</v>
      </c>
      <c r="D163" s="11" t="e">
        <v>#N/A</v>
      </c>
      <c r="E163" s="11" t="e">
        <v>#N/A</v>
      </c>
      <c r="F163" s="11" t="e">
        <v>#N/A</v>
      </c>
    </row>
    <row r="164" spans="1:6" ht="14" customHeight="1" x14ac:dyDescent="0.2">
      <c r="A164" s="16" t="s">
        <v>325</v>
      </c>
      <c r="B164" s="11">
        <v>0</v>
      </c>
      <c r="C164" s="11">
        <v>0</v>
      </c>
      <c r="D164" s="11">
        <v>138</v>
      </c>
      <c r="E164" s="11">
        <v>3798</v>
      </c>
      <c r="F164" s="11">
        <v>0</v>
      </c>
    </row>
    <row r="165" spans="1:6" ht="14" customHeight="1" x14ac:dyDescent="0.2">
      <c r="A165" s="16" t="s">
        <v>326</v>
      </c>
      <c r="B165" s="11" t="e">
        <v>#N/A</v>
      </c>
      <c r="C165" s="11" t="e">
        <v>#N/A</v>
      </c>
      <c r="D165" s="11" t="e">
        <v>#N/A</v>
      </c>
      <c r="E165" s="11" t="e">
        <v>#N/A</v>
      </c>
      <c r="F165" s="11" t="e">
        <v>#N/A</v>
      </c>
    </row>
    <row r="166" spans="1:6" ht="14" customHeight="1" x14ac:dyDescent="0.2">
      <c r="A166" s="16" t="s">
        <v>327</v>
      </c>
      <c r="B166" s="11" t="e">
        <v>#N/A</v>
      </c>
      <c r="C166" s="11" t="e">
        <v>#N/A</v>
      </c>
      <c r="D166" s="11" t="e">
        <v>#N/A</v>
      </c>
      <c r="E166" s="11" t="e">
        <v>#N/A</v>
      </c>
      <c r="F166" s="11" t="e">
        <v>#N/A</v>
      </c>
    </row>
    <row r="167" spans="1:6" ht="14" customHeight="1" x14ac:dyDescent="0.2">
      <c r="A167" s="16" t="s">
        <v>328</v>
      </c>
      <c r="B167" s="11" t="e">
        <v>#N/A</v>
      </c>
      <c r="C167" s="11" t="e">
        <v>#N/A</v>
      </c>
      <c r="D167" s="11" t="e">
        <v>#N/A</v>
      </c>
      <c r="E167" s="11" t="e">
        <v>#N/A</v>
      </c>
      <c r="F167" s="11" t="e">
        <v>#N/A</v>
      </c>
    </row>
    <row r="168" spans="1:6" ht="14" customHeight="1" x14ac:dyDescent="0.2">
      <c r="A168" s="16" t="s">
        <v>329</v>
      </c>
      <c r="B168" s="11" t="e">
        <v>#N/A</v>
      </c>
      <c r="C168" s="11" t="e">
        <v>#N/A</v>
      </c>
      <c r="D168" s="11" t="e">
        <v>#N/A</v>
      </c>
      <c r="E168" s="11" t="e">
        <v>#N/A</v>
      </c>
      <c r="F168" s="11" t="e">
        <v>#N/A</v>
      </c>
    </row>
    <row r="169" spans="1:6" ht="14" customHeight="1" x14ac:dyDescent="0.2">
      <c r="A169" s="16" t="s">
        <v>330</v>
      </c>
      <c r="B169" s="11">
        <v>0</v>
      </c>
      <c r="C169" s="11">
        <v>2173</v>
      </c>
      <c r="D169" s="11">
        <v>3805</v>
      </c>
      <c r="E169" s="11">
        <v>6573</v>
      </c>
      <c r="F169" s="11">
        <v>35352</v>
      </c>
    </row>
    <row r="170" spans="1:6" ht="14" customHeight="1" x14ac:dyDescent="0.2">
      <c r="A170" s="16" t="s">
        <v>331</v>
      </c>
      <c r="B170" s="11">
        <v>0</v>
      </c>
      <c r="C170" s="11">
        <v>543</v>
      </c>
      <c r="D170" s="11">
        <v>25</v>
      </c>
      <c r="E170" s="11">
        <v>139</v>
      </c>
      <c r="F170" s="11">
        <v>4541</v>
      </c>
    </row>
    <row r="171" spans="1:6" ht="14" customHeight="1" x14ac:dyDescent="0.2">
      <c r="A171" s="16" t="s">
        <v>332</v>
      </c>
      <c r="B171" s="11" t="e">
        <v>#N/A</v>
      </c>
      <c r="C171" s="11" t="e">
        <v>#N/A</v>
      </c>
      <c r="D171" s="11" t="e">
        <v>#N/A</v>
      </c>
      <c r="E171" s="11" t="e">
        <v>#N/A</v>
      </c>
      <c r="F171" s="11" t="e">
        <v>#N/A</v>
      </c>
    </row>
    <row r="172" spans="1:6" ht="14" customHeight="1" x14ac:dyDescent="0.2">
      <c r="A172" s="16" t="s">
        <v>333</v>
      </c>
      <c r="B172" s="11">
        <v>2215</v>
      </c>
      <c r="C172" s="11">
        <v>13928</v>
      </c>
      <c r="D172" s="11">
        <v>12497</v>
      </c>
      <c r="E172" s="11">
        <v>43555</v>
      </c>
      <c r="F172" s="11">
        <v>130238</v>
      </c>
    </row>
    <row r="173" spans="1:6" ht="14" customHeight="1" x14ac:dyDescent="0.2">
      <c r="A173" s="16" t="s">
        <v>334</v>
      </c>
      <c r="B173" s="11">
        <v>0</v>
      </c>
      <c r="C173" s="11">
        <v>2127</v>
      </c>
      <c r="D173" s="11">
        <v>3398</v>
      </c>
      <c r="E173" s="11">
        <v>1023</v>
      </c>
      <c r="F173" s="11">
        <v>0</v>
      </c>
    </row>
    <row r="174" spans="1:6" ht="14" customHeight="1" x14ac:dyDescent="0.2">
      <c r="A174" s="16" t="s">
        <v>335</v>
      </c>
      <c r="B174" s="11">
        <v>4558</v>
      </c>
      <c r="C174" s="11">
        <v>5592</v>
      </c>
      <c r="D174" s="11">
        <v>7590</v>
      </c>
      <c r="E174" s="11">
        <v>50456</v>
      </c>
      <c r="F174" s="11">
        <v>13880</v>
      </c>
    </row>
    <row r="175" spans="1:6" ht="14" customHeight="1" x14ac:dyDescent="0.2">
      <c r="A175" s="16" t="s">
        <v>336</v>
      </c>
      <c r="B175" s="11" t="e">
        <v>#N/A</v>
      </c>
      <c r="C175" s="11" t="e">
        <v>#N/A</v>
      </c>
      <c r="D175" s="11" t="e">
        <v>#N/A</v>
      </c>
      <c r="E175" s="11" t="e">
        <v>#N/A</v>
      </c>
      <c r="F175" s="11" t="e">
        <v>#N/A</v>
      </c>
    </row>
    <row r="176" spans="1:6" ht="14" customHeight="1" x14ac:dyDescent="0.2">
      <c r="A176" s="16" t="s">
        <v>337</v>
      </c>
      <c r="B176" s="11">
        <v>0</v>
      </c>
      <c r="C176" s="11">
        <v>127</v>
      </c>
      <c r="D176" s="11">
        <v>294</v>
      </c>
      <c r="E176" s="11">
        <v>0</v>
      </c>
      <c r="F176" s="11">
        <v>0</v>
      </c>
    </row>
    <row r="177" spans="1:6" ht="14" customHeight="1" x14ac:dyDescent="0.2">
      <c r="A177" s="16" t="s">
        <v>338</v>
      </c>
      <c r="B177" s="11">
        <v>0</v>
      </c>
      <c r="C177" s="11">
        <v>816</v>
      </c>
      <c r="D177" s="11">
        <v>3569</v>
      </c>
      <c r="E177" s="11">
        <v>0</v>
      </c>
      <c r="F177" s="11">
        <v>3481</v>
      </c>
    </row>
    <row r="178" spans="1:6" ht="14" customHeight="1" x14ac:dyDescent="0.2">
      <c r="A178" s="16" t="s">
        <v>339</v>
      </c>
      <c r="B178" s="11" t="e">
        <v>#N/A</v>
      </c>
      <c r="C178" s="11" t="e">
        <v>#N/A</v>
      </c>
      <c r="D178" s="11" t="e">
        <v>#N/A</v>
      </c>
      <c r="E178" s="11" t="e">
        <v>#N/A</v>
      </c>
      <c r="F178" s="11" t="e">
        <v>#N/A</v>
      </c>
    </row>
    <row r="179" spans="1:6" ht="14" customHeight="1" x14ac:dyDescent="0.2">
      <c r="A179" s="16" t="s">
        <v>340</v>
      </c>
      <c r="B179" s="11" t="e">
        <v>#N/A</v>
      </c>
      <c r="C179" s="11" t="e">
        <v>#N/A</v>
      </c>
      <c r="D179" s="11" t="e">
        <v>#N/A</v>
      </c>
      <c r="E179" s="11" t="e">
        <v>#N/A</v>
      </c>
      <c r="F179" s="11" t="e">
        <v>#N/A</v>
      </c>
    </row>
    <row r="180" spans="1:6" ht="14" customHeight="1" x14ac:dyDescent="0.2">
      <c r="A180" s="16" t="s">
        <v>341</v>
      </c>
      <c r="B180" s="11">
        <v>11423</v>
      </c>
      <c r="C180" s="11">
        <v>10041</v>
      </c>
      <c r="D180" s="11">
        <v>15690</v>
      </c>
      <c r="E180" s="11">
        <v>92808</v>
      </c>
      <c r="F180" s="11">
        <v>21419</v>
      </c>
    </row>
    <row r="181" spans="1:6" ht="14" customHeight="1" x14ac:dyDescent="0.2">
      <c r="A181" s="16" t="s">
        <v>342</v>
      </c>
      <c r="B181" s="11" t="e">
        <v>#N/A</v>
      </c>
      <c r="C181" s="11" t="e">
        <v>#N/A</v>
      </c>
      <c r="D181" s="11" t="e">
        <v>#N/A</v>
      </c>
      <c r="E181" s="11" t="e">
        <v>#N/A</v>
      </c>
      <c r="F181" s="11" t="e">
        <v>#N/A</v>
      </c>
    </row>
    <row r="182" spans="1:6" ht="14" customHeight="1" x14ac:dyDescent="0.2">
      <c r="A182" s="16" t="s">
        <v>343</v>
      </c>
      <c r="B182" s="11" t="e">
        <v>#N/A</v>
      </c>
      <c r="C182" s="11" t="e">
        <v>#N/A</v>
      </c>
      <c r="D182" s="11" t="e">
        <v>#N/A</v>
      </c>
      <c r="E182" s="11" t="e">
        <v>#N/A</v>
      </c>
      <c r="F182" s="11" t="e">
        <v>#N/A</v>
      </c>
    </row>
    <row r="183" spans="1:6" ht="14" customHeight="1" x14ac:dyDescent="0.2">
      <c r="A183" s="16" t="s">
        <v>344</v>
      </c>
      <c r="B183" s="11">
        <v>0</v>
      </c>
      <c r="C183" s="11">
        <v>645</v>
      </c>
      <c r="D183" s="11">
        <v>2624</v>
      </c>
      <c r="E183" s="11">
        <v>1023</v>
      </c>
      <c r="F183" s="11">
        <v>0</v>
      </c>
    </row>
    <row r="184" spans="1:6" ht="14" customHeight="1" x14ac:dyDescent="0.2">
      <c r="A184" s="16" t="s">
        <v>345</v>
      </c>
      <c r="B184" s="11">
        <v>0</v>
      </c>
      <c r="C184" s="11">
        <v>2261</v>
      </c>
      <c r="D184" s="11">
        <v>3452</v>
      </c>
      <c r="E184" s="11">
        <v>6303</v>
      </c>
      <c r="F184" s="11">
        <v>34420</v>
      </c>
    </row>
    <row r="185" spans="1:6" ht="14" customHeight="1" x14ac:dyDescent="0.2">
      <c r="A185" s="16" t="s">
        <v>346</v>
      </c>
      <c r="B185" s="11">
        <v>0</v>
      </c>
      <c r="C185" s="11">
        <v>2655</v>
      </c>
      <c r="D185" s="11">
        <v>4134</v>
      </c>
      <c r="E185" s="11">
        <v>8300</v>
      </c>
      <c r="F185" s="11">
        <v>34763</v>
      </c>
    </row>
    <row r="186" spans="1:6" ht="14" customHeight="1" x14ac:dyDescent="0.2">
      <c r="A186" s="16" t="s">
        <v>347</v>
      </c>
      <c r="B186" s="11">
        <v>0</v>
      </c>
      <c r="C186" s="11">
        <v>3048</v>
      </c>
      <c r="D186" s="11">
        <v>4598</v>
      </c>
      <c r="E186" s="11">
        <v>13752</v>
      </c>
      <c r="F186" s="11">
        <v>34763</v>
      </c>
    </row>
    <row r="187" spans="1:6" ht="14" customHeight="1" x14ac:dyDescent="0.2">
      <c r="A187" s="16" t="s">
        <v>348</v>
      </c>
      <c r="B187" s="11">
        <v>0</v>
      </c>
      <c r="C187" s="11">
        <v>4025</v>
      </c>
      <c r="D187" s="11">
        <v>4542</v>
      </c>
      <c r="E187" s="11">
        <v>6106</v>
      </c>
      <c r="F187" s="11">
        <v>44187</v>
      </c>
    </row>
    <row r="188" spans="1:6" ht="14" customHeight="1" x14ac:dyDescent="0.2">
      <c r="A188" s="16" t="s">
        <v>349</v>
      </c>
      <c r="B188" s="11" t="e">
        <v>#N/A</v>
      </c>
      <c r="C188" s="11" t="e">
        <v>#N/A</v>
      </c>
      <c r="D188" s="11" t="e">
        <v>#N/A</v>
      </c>
      <c r="E188" s="11" t="e">
        <v>#N/A</v>
      </c>
      <c r="F188" s="11" t="e">
        <v>#N/A</v>
      </c>
    </row>
    <row r="189" spans="1:6" ht="14" customHeight="1" x14ac:dyDescent="0.2">
      <c r="A189" s="16" t="s">
        <v>350</v>
      </c>
      <c r="B189" s="11">
        <v>0</v>
      </c>
      <c r="C189" s="11">
        <v>157</v>
      </c>
      <c r="D189" s="11">
        <v>301</v>
      </c>
      <c r="E189" s="11">
        <v>0</v>
      </c>
      <c r="F189" s="11">
        <v>225</v>
      </c>
    </row>
    <row r="190" spans="1:6" ht="14" customHeight="1" x14ac:dyDescent="0.2">
      <c r="A190" s="16" t="s">
        <v>351</v>
      </c>
      <c r="B190" s="11" t="e">
        <v>#N/A</v>
      </c>
      <c r="C190" s="11" t="e">
        <v>#N/A</v>
      </c>
      <c r="D190" s="11" t="e">
        <v>#N/A</v>
      </c>
      <c r="E190" s="11" t="e">
        <v>#N/A</v>
      </c>
      <c r="F190" s="11" t="e">
        <v>#N/A</v>
      </c>
    </row>
    <row r="191" spans="1:6" ht="14" customHeight="1" x14ac:dyDescent="0.2">
      <c r="A191" s="16" t="s">
        <v>352</v>
      </c>
      <c r="B191" s="11" t="e">
        <v>#N/A</v>
      </c>
      <c r="C191" s="11" t="e">
        <v>#N/A</v>
      </c>
      <c r="D191" s="11" t="e">
        <v>#N/A</v>
      </c>
      <c r="E191" s="11" t="e">
        <v>#N/A</v>
      </c>
      <c r="F191" s="11" t="e">
        <v>#N/A</v>
      </c>
    </row>
    <row r="192" spans="1:6" ht="14" customHeight="1" x14ac:dyDescent="0.2">
      <c r="A192" s="16" t="s">
        <v>353</v>
      </c>
      <c r="B192" s="11">
        <v>0</v>
      </c>
      <c r="C192" s="11">
        <v>399</v>
      </c>
      <c r="D192" s="11">
        <v>638</v>
      </c>
      <c r="E192" s="11">
        <v>10281</v>
      </c>
      <c r="F192" s="11">
        <v>0</v>
      </c>
    </row>
    <row r="193" spans="1:6" ht="14" customHeight="1" x14ac:dyDescent="0.2">
      <c r="A193" s="16" t="s">
        <v>354</v>
      </c>
      <c r="B193" s="11">
        <v>805</v>
      </c>
      <c r="C193" s="11">
        <v>1265</v>
      </c>
      <c r="D193" s="11">
        <v>3720</v>
      </c>
      <c r="E193" s="11">
        <v>0</v>
      </c>
      <c r="F193" s="11">
        <v>10185</v>
      </c>
    </row>
    <row r="194" spans="1:6" ht="14" customHeight="1" x14ac:dyDescent="0.2">
      <c r="A194" s="16" t="s">
        <v>355</v>
      </c>
      <c r="B194" s="11">
        <v>0</v>
      </c>
      <c r="C194" s="11">
        <v>106</v>
      </c>
      <c r="D194" s="11">
        <v>4</v>
      </c>
      <c r="E194" s="11">
        <v>49</v>
      </c>
      <c r="F194" s="11">
        <v>0</v>
      </c>
    </row>
    <row r="195" spans="1:6" ht="14" customHeight="1" x14ac:dyDescent="0.2">
      <c r="A195" s="16" t="s">
        <v>356</v>
      </c>
      <c r="B195" s="11" t="e">
        <v>#N/A</v>
      </c>
      <c r="C195" s="11" t="e">
        <v>#N/A</v>
      </c>
      <c r="D195" s="11" t="e">
        <v>#N/A</v>
      </c>
      <c r="E195" s="11" t="e">
        <v>#N/A</v>
      </c>
      <c r="F195" s="11" t="e">
        <v>#N/A</v>
      </c>
    </row>
    <row r="196" spans="1:6" ht="14" customHeight="1" x14ac:dyDescent="0.2">
      <c r="A196" s="16" t="s">
        <v>357</v>
      </c>
      <c r="B196" s="11" t="e">
        <v>#N/A</v>
      </c>
      <c r="C196" s="11" t="e">
        <v>#N/A</v>
      </c>
      <c r="D196" s="11" t="e">
        <v>#N/A</v>
      </c>
      <c r="E196" s="11" t="e">
        <v>#N/A</v>
      </c>
      <c r="F196" s="11" t="e">
        <v>#N/A</v>
      </c>
    </row>
    <row r="197" spans="1:6" ht="14" customHeight="1" x14ac:dyDescent="0.2">
      <c r="A197" s="16" t="s">
        <v>358</v>
      </c>
      <c r="B197" s="11" t="e">
        <v>#N/A</v>
      </c>
      <c r="C197" s="11" t="e">
        <v>#N/A</v>
      </c>
      <c r="D197" s="11" t="e">
        <v>#N/A</v>
      </c>
      <c r="E197" s="11" t="e">
        <v>#N/A</v>
      </c>
      <c r="F197" s="11" t="e">
        <v>#N/A</v>
      </c>
    </row>
    <row r="198" spans="1:6" ht="14" customHeight="1" x14ac:dyDescent="0.2">
      <c r="A198" s="16" t="s">
        <v>359</v>
      </c>
      <c r="B198" s="11">
        <v>0</v>
      </c>
      <c r="C198" s="11">
        <v>0</v>
      </c>
      <c r="D198" s="11">
        <v>742</v>
      </c>
      <c r="E198" s="11">
        <v>2341</v>
      </c>
      <c r="F198" s="11">
        <v>8942</v>
      </c>
    </row>
    <row r="199" spans="1:6" ht="14" customHeight="1" x14ac:dyDescent="0.2">
      <c r="A199" s="16" t="s">
        <v>360</v>
      </c>
      <c r="B199" s="11">
        <v>0</v>
      </c>
      <c r="C199" s="11">
        <v>230</v>
      </c>
      <c r="D199" s="11">
        <v>492</v>
      </c>
      <c r="E199" s="11">
        <v>41</v>
      </c>
      <c r="F199" s="11">
        <v>7325</v>
      </c>
    </row>
    <row r="200" spans="1:6" ht="14" customHeight="1" x14ac:dyDescent="0.2">
      <c r="A200" s="16" t="s">
        <v>361</v>
      </c>
      <c r="B200" s="11">
        <v>0</v>
      </c>
      <c r="C200" s="11">
        <v>0</v>
      </c>
      <c r="D200" s="11">
        <v>0</v>
      </c>
      <c r="E200" s="11">
        <v>0</v>
      </c>
      <c r="F200" s="11">
        <v>3234</v>
      </c>
    </row>
    <row r="201" spans="1:6" ht="14" customHeight="1" x14ac:dyDescent="0.2">
      <c r="A201" s="16" t="s">
        <v>362</v>
      </c>
      <c r="B201" s="11" t="e">
        <v>#N/A</v>
      </c>
      <c r="C201" s="11" t="e">
        <v>#N/A</v>
      </c>
      <c r="D201" s="11" t="e">
        <v>#N/A</v>
      </c>
      <c r="E201" s="11" t="e">
        <v>#N/A</v>
      </c>
      <c r="F201" s="11" t="e">
        <v>#N/A</v>
      </c>
    </row>
    <row r="202" spans="1:6" ht="14" customHeight="1" x14ac:dyDescent="0.2">
      <c r="A202" s="16" t="s">
        <v>363</v>
      </c>
      <c r="B202" s="11" t="e">
        <v>#N/A</v>
      </c>
      <c r="C202" s="11" t="e">
        <v>#N/A</v>
      </c>
      <c r="D202" s="11" t="e">
        <v>#N/A</v>
      </c>
      <c r="E202" s="11" t="e">
        <v>#N/A</v>
      </c>
      <c r="F202" s="11" t="e">
        <v>#N/A</v>
      </c>
    </row>
    <row r="203" spans="1:6" ht="14" customHeight="1" x14ac:dyDescent="0.2">
      <c r="A203" s="16" t="s">
        <v>364</v>
      </c>
      <c r="B203" s="11" t="e">
        <v>#N/A</v>
      </c>
      <c r="C203" s="11" t="e">
        <v>#N/A</v>
      </c>
      <c r="D203" s="11" t="e">
        <v>#N/A</v>
      </c>
      <c r="E203" s="11" t="e">
        <v>#N/A</v>
      </c>
      <c r="F203" s="11" t="e">
        <v>#N/A</v>
      </c>
    </row>
    <row r="204" spans="1:6" ht="14" customHeight="1" x14ac:dyDescent="0.2">
      <c r="A204" s="16" t="s">
        <v>365</v>
      </c>
      <c r="B204" s="11" t="e">
        <v>#N/A</v>
      </c>
      <c r="C204" s="11" t="e">
        <v>#N/A</v>
      </c>
      <c r="D204" s="11" t="e">
        <v>#N/A</v>
      </c>
      <c r="E204" s="11" t="e">
        <v>#N/A</v>
      </c>
      <c r="F204" s="11" t="e">
        <v>#N/A</v>
      </c>
    </row>
    <row r="205" spans="1:6" ht="14" customHeight="1" x14ac:dyDescent="0.2">
      <c r="A205" s="16" t="s">
        <v>366</v>
      </c>
      <c r="B205" s="11" t="e">
        <v>#N/A</v>
      </c>
      <c r="C205" s="11" t="e">
        <v>#N/A</v>
      </c>
      <c r="D205" s="11" t="e">
        <v>#N/A</v>
      </c>
      <c r="E205" s="11" t="e">
        <v>#N/A</v>
      </c>
      <c r="F205" s="11" t="e">
        <v>#N/A</v>
      </c>
    </row>
    <row r="206" spans="1:6" ht="14" customHeight="1" x14ac:dyDescent="0.2">
      <c r="A206" s="16" t="s">
        <v>367</v>
      </c>
      <c r="B206" s="11" t="e">
        <v>#N/A</v>
      </c>
      <c r="C206" s="11" t="e">
        <v>#N/A</v>
      </c>
      <c r="D206" s="11" t="e">
        <v>#N/A</v>
      </c>
      <c r="E206" s="11" t="e">
        <v>#N/A</v>
      </c>
      <c r="F206" s="11" t="e">
        <v>#N/A</v>
      </c>
    </row>
    <row r="207" spans="1:6" ht="14.5" customHeight="1" x14ac:dyDescent="0.2">
      <c r="A207" s="17" t="s">
        <v>368</v>
      </c>
      <c r="B207" s="11">
        <v>0</v>
      </c>
      <c r="C207" s="11">
        <v>0</v>
      </c>
      <c r="D207" s="11">
        <v>28</v>
      </c>
      <c r="E207" s="11">
        <v>0</v>
      </c>
      <c r="F207" s="11">
        <v>0</v>
      </c>
    </row>
    <row r="208" spans="1:6" ht="14.5" customHeight="1" x14ac:dyDescent="0.2">
      <c r="A208" s="17" t="s">
        <v>369</v>
      </c>
      <c r="B208" s="11" t="e">
        <v>#N/A</v>
      </c>
      <c r="C208" s="11" t="e">
        <v>#N/A</v>
      </c>
      <c r="D208" s="11" t="e">
        <v>#N/A</v>
      </c>
      <c r="E208" s="11" t="e">
        <v>#N/A</v>
      </c>
      <c r="F208" s="11" t="e">
        <v>#N/A</v>
      </c>
    </row>
    <row r="209" spans="1:6" ht="14" customHeight="1" x14ac:dyDescent="0.2">
      <c r="A209" s="16" t="s">
        <v>370</v>
      </c>
      <c r="B209" s="11">
        <v>3661</v>
      </c>
      <c r="C209" s="11">
        <v>668</v>
      </c>
      <c r="D209" s="11">
        <v>5201</v>
      </c>
      <c r="E209" s="11">
        <v>6917</v>
      </c>
      <c r="F209" s="11">
        <v>17360</v>
      </c>
    </row>
    <row r="210" spans="1:6" ht="14.5" customHeight="1" x14ac:dyDescent="0.2">
      <c r="A210" s="17" t="s">
        <v>371</v>
      </c>
      <c r="B210" s="11" t="e">
        <v>#N/A</v>
      </c>
      <c r="C210" s="11" t="e">
        <v>#N/A</v>
      </c>
      <c r="D210" s="11" t="e">
        <v>#N/A</v>
      </c>
      <c r="E210" s="11" t="e">
        <v>#N/A</v>
      </c>
      <c r="F210" s="11" t="e">
        <v>#N/A</v>
      </c>
    </row>
    <row r="211" spans="1:6" ht="14" customHeight="1" x14ac:dyDescent="0.2">
      <c r="A211" s="16" t="s">
        <v>372</v>
      </c>
      <c r="B211" s="11">
        <v>0</v>
      </c>
      <c r="C211" s="11">
        <v>0</v>
      </c>
      <c r="D211" s="11">
        <v>0</v>
      </c>
      <c r="E211" s="11">
        <v>589</v>
      </c>
      <c r="F211" s="11">
        <v>7689</v>
      </c>
    </row>
    <row r="212" spans="1:6" ht="14" customHeight="1" x14ac:dyDescent="0.2">
      <c r="A212" s="16" t="s">
        <v>373</v>
      </c>
      <c r="B212" s="11" t="e">
        <v>#N/A</v>
      </c>
      <c r="C212" s="11" t="e">
        <v>#N/A</v>
      </c>
      <c r="D212" s="11" t="e">
        <v>#N/A</v>
      </c>
      <c r="E212" s="11" t="e">
        <v>#N/A</v>
      </c>
      <c r="F212" s="11" t="e">
        <v>#N/A</v>
      </c>
    </row>
    <row r="213" spans="1:6" ht="14" customHeight="1" x14ac:dyDescent="0.2">
      <c r="A213" s="16" t="s">
        <v>374</v>
      </c>
      <c r="B213" s="11" t="e">
        <v>#N/A</v>
      </c>
      <c r="C213" s="11" t="e">
        <v>#N/A</v>
      </c>
      <c r="D213" s="11" t="e">
        <v>#N/A</v>
      </c>
      <c r="E213" s="11" t="e">
        <v>#N/A</v>
      </c>
      <c r="F213" s="11" t="e">
        <v>#N/A</v>
      </c>
    </row>
    <row r="214" spans="1:6" ht="14" customHeight="1" x14ac:dyDescent="0.2">
      <c r="A214" s="16" t="s">
        <v>375</v>
      </c>
      <c r="B214" s="11" t="e">
        <v>#N/A</v>
      </c>
      <c r="C214" s="11" t="e">
        <v>#N/A</v>
      </c>
      <c r="D214" s="11" t="e">
        <v>#N/A</v>
      </c>
      <c r="E214" s="11" t="e">
        <v>#N/A</v>
      </c>
      <c r="F214" s="11" t="e">
        <v>#N/A</v>
      </c>
    </row>
    <row r="215" spans="1:6" ht="14" customHeight="1" x14ac:dyDescent="0.2">
      <c r="A215" s="16" t="s">
        <v>376</v>
      </c>
      <c r="B215" s="11">
        <v>0</v>
      </c>
      <c r="C215" s="11">
        <v>0</v>
      </c>
      <c r="D215" s="11">
        <v>294</v>
      </c>
      <c r="E215" s="11">
        <v>0</v>
      </c>
      <c r="F215" s="11">
        <v>0</v>
      </c>
    </row>
    <row r="216" spans="1:6" ht="14" customHeight="1" x14ac:dyDescent="0.2">
      <c r="A216" s="16" t="s">
        <v>377</v>
      </c>
      <c r="B216" s="11">
        <v>4558</v>
      </c>
      <c r="C216" s="11">
        <v>5455</v>
      </c>
      <c r="D216" s="11">
        <v>7325</v>
      </c>
      <c r="E216" s="11">
        <v>50456</v>
      </c>
      <c r="F216" s="11">
        <v>13880</v>
      </c>
    </row>
    <row r="217" spans="1:6" ht="14" customHeight="1" x14ac:dyDescent="0.2">
      <c r="A217" s="16" t="s">
        <v>378</v>
      </c>
      <c r="B217" s="11">
        <v>2746</v>
      </c>
      <c r="C217" s="11">
        <v>2586</v>
      </c>
      <c r="D217" s="11">
        <v>7239</v>
      </c>
      <c r="E217" s="11">
        <v>83239</v>
      </c>
      <c r="F217" s="11">
        <v>1564</v>
      </c>
    </row>
    <row r="218" spans="1:6" ht="14" customHeight="1" x14ac:dyDescent="0.2">
      <c r="A218" s="16" t="s">
        <v>379</v>
      </c>
      <c r="B218" s="11">
        <v>0</v>
      </c>
      <c r="C218" s="11">
        <v>1937</v>
      </c>
      <c r="D218" s="11">
        <v>3541</v>
      </c>
      <c r="E218" s="11">
        <v>9086</v>
      </c>
      <c r="F218" s="11">
        <v>42806</v>
      </c>
    </row>
    <row r="219" spans="1:6" ht="14" customHeight="1" x14ac:dyDescent="0.2">
      <c r="A219" s="16" t="s">
        <v>380</v>
      </c>
      <c r="B219" s="11" t="e">
        <v>#N/A</v>
      </c>
      <c r="C219" s="11" t="e">
        <v>#N/A</v>
      </c>
      <c r="D219" s="11" t="e">
        <v>#N/A</v>
      </c>
      <c r="E219" s="11" t="e">
        <v>#N/A</v>
      </c>
      <c r="F219" s="11" t="e">
        <v>#N/A</v>
      </c>
    </row>
    <row r="220" spans="1:6" ht="14" customHeight="1" x14ac:dyDescent="0.2">
      <c r="A220" s="16" t="s">
        <v>381</v>
      </c>
      <c r="B220" s="11" t="e">
        <v>#N/A</v>
      </c>
      <c r="C220" s="11" t="e">
        <v>#N/A</v>
      </c>
      <c r="D220" s="11" t="e">
        <v>#N/A</v>
      </c>
      <c r="E220" s="11" t="e">
        <v>#N/A</v>
      </c>
      <c r="F220" s="11" t="e">
        <v>#N/A</v>
      </c>
    </row>
    <row r="221" spans="1:6" ht="14" customHeight="1" x14ac:dyDescent="0.2">
      <c r="A221" s="16" t="s">
        <v>382</v>
      </c>
      <c r="B221" s="11">
        <v>0</v>
      </c>
      <c r="C221" s="11">
        <v>119</v>
      </c>
      <c r="D221" s="11">
        <v>0</v>
      </c>
      <c r="E221" s="11">
        <v>1228</v>
      </c>
      <c r="F221" s="11">
        <v>2688</v>
      </c>
    </row>
    <row r="222" spans="1:6" ht="14" customHeight="1" x14ac:dyDescent="0.2">
      <c r="A222" s="16" t="s">
        <v>383</v>
      </c>
      <c r="B222" s="11" t="e">
        <v>#N/A</v>
      </c>
      <c r="C222" s="11" t="e">
        <v>#N/A</v>
      </c>
      <c r="D222" s="11" t="e">
        <v>#N/A</v>
      </c>
      <c r="E222" s="11" t="e">
        <v>#N/A</v>
      </c>
      <c r="F222" s="11" t="e">
        <v>#N/A</v>
      </c>
    </row>
    <row r="223" spans="1:6" ht="14" customHeight="1" x14ac:dyDescent="0.2">
      <c r="A223" s="16" t="s">
        <v>384</v>
      </c>
      <c r="B223" s="11" t="e">
        <v>#N/A</v>
      </c>
      <c r="C223" s="11" t="e">
        <v>#N/A</v>
      </c>
      <c r="D223" s="11" t="e">
        <v>#N/A</v>
      </c>
      <c r="E223" s="11" t="e">
        <v>#N/A</v>
      </c>
      <c r="F223" s="11" t="e">
        <v>#N/A</v>
      </c>
    </row>
    <row r="224" spans="1:6" ht="14" customHeight="1" x14ac:dyDescent="0.2">
      <c r="A224" s="16" t="s">
        <v>385</v>
      </c>
      <c r="B224" s="11">
        <v>1757</v>
      </c>
      <c r="C224" s="11">
        <v>4636</v>
      </c>
      <c r="D224" s="11">
        <v>7194</v>
      </c>
      <c r="E224" s="11">
        <v>14030</v>
      </c>
      <c r="F224" s="11">
        <v>77794</v>
      </c>
    </row>
    <row r="225" spans="1:6" ht="14" customHeight="1" x14ac:dyDescent="0.2">
      <c r="A225" s="16" t="s">
        <v>386</v>
      </c>
      <c r="B225" s="11" t="e">
        <v>#N/A</v>
      </c>
      <c r="C225" s="11" t="e">
        <v>#N/A</v>
      </c>
      <c r="D225" s="11" t="e">
        <v>#N/A</v>
      </c>
      <c r="E225" s="11" t="e">
        <v>#N/A</v>
      </c>
      <c r="F225" s="11" t="e">
        <v>#N/A</v>
      </c>
    </row>
    <row r="226" spans="1:6" ht="14" customHeight="1" x14ac:dyDescent="0.2">
      <c r="A226" s="16" t="s">
        <v>387</v>
      </c>
      <c r="B226" s="11">
        <v>0</v>
      </c>
      <c r="C226" s="11">
        <v>3284</v>
      </c>
      <c r="D226" s="11">
        <v>509</v>
      </c>
      <c r="E226" s="11">
        <v>7776</v>
      </c>
      <c r="F226" s="11">
        <v>6950</v>
      </c>
    </row>
    <row r="227" spans="1:6" ht="14" customHeight="1" x14ac:dyDescent="0.2">
      <c r="A227" s="16" t="s">
        <v>388</v>
      </c>
      <c r="B227" s="11">
        <v>0</v>
      </c>
      <c r="C227" s="11">
        <v>1937</v>
      </c>
      <c r="D227" s="11">
        <v>3541</v>
      </c>
      <c r="E227" s="11">
        <v>9086</v>
      </c>
      <c r="F227" s="11">
        <v>43705</v>
      </c>
    </row>
    <row r="228" spans="1:6" ht="14" customHeight="1" x14ac:dyDescent="0.2">
      <c r="A228" s="16" t="s">
        <v>389</v>
      </c>
      <c r="B228" s="11">
        <v>0</v>
      </c>
      <c r="C228" s="11">
        <v>119</v>
      </c>
      <c r="D228" s="11">
        <v>0</v>
      </c>
      <c r="E228" s="11">
        <v>1293</v>
      </c>
      <c r="F228" s="11">
        <v>3191</v>
      </c>
    </row>
    <row r="229" spans="1:6" ht="14" customHeight="1" x14ac:dyDescent="0.2">
      <c r="A229" s="16" t="s">
        <v>390</v>
      </c>
      <c r="B229" s="11">
        <v>0</v>
      </c>
      <c r="C229" s="11">
        <v>180</v>
      </c>
      <c r="D229" s="11">
        <v>405</v>
      </c>
      <c r="E229" s="11">
        <v>1072</v>
      </c>
      <c r="F229" s="11">
        <v>396</v>
      </c>
    </row>
    <row r="230" spans="1:6" ht="14" customHeight="1" x14ac:dyDescent="0.2">
      <c r="A230" s="16" t="s">
        <v>391</v>
      </c>
      <c r="B230" s="11">
        <v>0</v>
      </c>
      <c r="C230" s="11">
        <v>0</v>
      </c>
      <c r="D230" s="11">
        <v>0</v>
      </c>
      <c r="E230" s="11">
        <v>0</v>
      </c>
      <c r="F230" s="11">
        <v>1296</v>
      </c>
    </row>
    <row r="231" spans="1:6" ht="14" customHeight="1" x14ac:dyDescent="0.2">
      <c r="A231" s="16" t="s">
        <v>392</v>
      </c>
      <c r="B231" s="11">
        <v>0</v>
      </c>
      <c r="C231" s="11">
        <v>0</v>
      </c>
      <c r="D231" s="11">
        <v>0</v>
      </c>
      <c r="E231" s="11">
        <v>0</v>
      </c>
      <c r="F231" s="11">
        <v>5001</v>
      </c>
    </row>
    <row r="232" spans="1:6" ht="14" customHeight="1" x14ac:dyDescent="0.2">
      <c r="A232" s="16" t="s">
        <v>393</v>
      </c>
      <c r="B232" s="11">
        <v>0</v>
      </c>
      <c r="C232" s="11">
        <v>0</v>
      </c>
      <c r="D232" s="11">
        <v>0</v>
      </c>
      <c r="E232" s="11">
        <v>0</v>
      </c>
      <c r="F232" s="11">
        <v>1981</v>
      </c>
    </row>
    <row r="233" spans="1:6" ht="14" customHeight="1" x14ac:dyDescent="0.2">
      <c r="A233" s="16" t="s">
        <v>394</v>
      </c>
      <c r="B233" s="11">
        <v>0</v>
      </c>
      <c r="C233" s="11">
        <v>2261</v>
      </c>
      <c r="D233" s="11">
        <v>3440</v>
      </c>
      <c r="E233" s="11">
        <v>4330</v>
      </c>
      <c r="F233" s="11">
        <v>34827</v>
      </c>
    </row>
    <row r="234" spans="1:6" ht="14" customHeight="1" x14ac:dyDescent="0.2">
      <c r="A234" s="16" t="s">
        <v>395</v>
      </c>
      <c r="B234" s="11">
        <v>0</v>
      </c>
      <c r="C234" s="11">
        <v>2261</v>
      </c>
      <c r="D234" s="11">
        <v>3440</v>
      </c>
      <c r="E234" s="11">
        <v>4330</v>
      </c>
      <c r="F234" s="11">
        <v>34420</v>
      </c>
    </row>
    <row r="235" spans="1:6" ht="14" customHeight="1" x14ac:dyDescent="0.2">
      <c r="A235" s="16" t="s">
        <v>396</v>
      </c>
      <c r="B235" s="11">
        <v>0</v>
      </c>
      <c r="C235" s="11">
        <v>2261</v>
      </c>
      <c r="D235" s="11">
        <v>4301</v>
      </c>
      <c r="E235" s="11">
        <v>36426</v>
      </c>
      <c r="F235" s="11">
        <v>40953</v>
      </c>
    </row>
    <row r="236" spans="1:6" ht="14" customHeight="1" x14ac:dyDescent="0.2">
      <c r="A236" s="16" t="s">
        <v>397</v>
      </c>
      <c r="B236" s="11">
        <v>4558</v>
      </c>
      <c r="C236" s="11">
        <v>5592</v>
      </c>
      <c r="D236" s="11">
        <v>7047</v>
      </c>
      <c r="E236" s="11">
        <v>52617</v>
      </c>
      <c r="F236" s="11">
        <v>13880</v>
      </c>
    </row>
    <row r="237" spans="1:6" ht="14" customHeight="1" x14ac:dyDescent="0.2">
      <c r="A237" s="16" t="s">
        <v>398</v>
      </c>
      <c r="B237" s="11">
        <v>1098</v>
      </c>
      <c r="C237" s="11">
        <v>2332</v>
      </c>
      <c r="D237" s="11">
        <v>6485</v>
      </c>
      <c r="E237" s="11">
        <v>6172</v>
      </c>
      <c r="F237" s="11">
        <v>150</v>
      </c>
    </row>
    <row r="238" spans="1:6" ht="14" customHeight="1" x14ac:dyDescent="0.2">
      <c r="A238" s="16" t="s">
        <v>399</v>
      </c>
      <c r="B238" s="11" t="e">
        <v>#N/A</v>
      </c>
      <c r="C238" s="11" t="e">
        <v>#N/A</v>
      </c>
      <c r="D238" s="11" t="e">
        <v>#N/A</v>
      </c>
      <c r="E238" s="11" t="e">
        <v>#N/A</v>
      </c>
      <c r="F238" s="11" t="e">
        <v>#N/A</v>
      </c>
    </row>
    <row r="239" spans="1:6" ht="14" customHeight="1" x14ac:dyDescent="0.2">
      <c r="A239" s="16" t="s">
        <v>400</v>
      </c>
      <c r="B239" s="11" t="e">
        <v>#N/A</v>
      </c>
      <c r="C239" s="11" t="e">
        <v>#N/A</v>
      </c>
      <c r="D239" s="11" t="e">
        <v>#N/A</v>
      </c>
      <c r="E239" s="11" t="e">
        <v>#N/A</v>
      </c>
      <c r="F239" s="11" t="e">
        <v>#N/A</v>
      </c>
    </row>
    <row r="240" spans="1:6" ht="14" customHeight="1" x14ac:dyDescent="0.2">
      <c r="A240" s="16" t="s">
        <v>401</v>
      </c>
      <c r="B240" s="11" t="e">
        <v>#N/A</v>
      </c>
      <c r="C240" s="11" t="e">
        <v>#N/A</v>
      </c>
      <c r="D240" s="11" t="e">
        <v>#N/A</v>
      </c>
      <c r="E240" s="11" t="e">
        <v>#N/A</v>
      </c>
      <c r="F240" s="11" t="e">
        <v>#N/A</v>
      </c>
    </row>
    <row r="241" spans="1:6" ht="14" customHeight="1" x14ac:dyDescent="0.2">
      <c r="A241" s="16" t="s">
        <v>402</v>
      </c>
      <c r="B241" s="11">
        <v>0</v>
      </c>
      <c r="C241" s="11">
        <v>61</v>
      </c>
      <c r="D241" s="11">
        <v>439</v>
      </c>
      <c r="E241" s="11">
        <v>6016</v>
      </c>
      <c r="F241" s="11">
        <v>0</v>
      </c>
    </row>
    <row r="242" spans="1:6" ht="14" customHeight="1" x14ac:dyDescent="0.2">
      <c r="A242" s="16" t="s">
        <v>403</v>
      </c>
      <c r="B242" s="11">
        <v>0</v>
      </c>
      <c r="C242" s="11">
        <v>536</v>
      </c>
      <c r="D242" s="11">
        <v>342</v>
      </c>
      <c r="E242" s="11">
        <v>0</v>
      </c>
      <c r="F242" s="11">
        <v>0</v>
      </c>
    </row>
    <row r="243" spans="1:6" ht="14" customHeight="1" x14ac:dyDescent="0.2">
      <c r="A243" s="16" t="s">
        <v>404</v>
      </c>
      <c r="B243" s="11">
        <v>17537</v>
      </c>
      <c r="C243" s="11">
        <v>2891</v>
      </c>
      <c r="D243" s="11">
        <v>5872</v>
      </c>
      <c r="E243" s="11">
        <v>8906</v>
      </c>
      <c r="F243" s="11">
        <v>130581</v>
      </c>
    </row>
    <row r="244" spans="1:6" ht="14" customHeight="1" x14ac:dyDescent="0.2">
      <c r="A244" s="16" t="s">
        <v>405</v>
      </c>
      <c r="B244" s="11">
        <v>0</v>
      </c>
      <c r="C244" s="11">
        <v>1192</v>
      </c>
      <c r="D244" s="11">
        <v>237</v>
      </c>
      <c r="E244" s="11">
        <v>8136</v>
      </c>
      <c r="F244" s="11">
        <v>13494</v>
      </c>
    </row>
    <row r="245" spans="1:6" ht="14" customHeight="1" x14ac:dyDescent="0.2">
      <c r="A245" s="16" t="s">
        <v>406</v>
      </c>
      <c r="B245" s="11" t="e">
        <v>#N/A</v>
      </c>
      <c r="C245" s="11" t="e">
        <v>#N/A</v>
      </c>
      <c r="D245" s="11" t="e">
        <v>#N/A</v>
      </c>
      <c r="E245" s="11" t="e">
        <v>#N/A</v>
      </c>
      <c r="F245" s="11" t="e">
        <v>#N/A</v>
      </c>
    </row>
    <row r="246" spans="1:6" ht="14" customHeight="1" x14ac:dyDescent="0.2">
      <c r="A246" s="16" t="s">
        <v>407</v>
      </c>
      <c r="B246" s="11">
        <v>0</v>
      </c>
      <c r="C246" s="11">
        <v>0</v>
      </c>
      <c r="D246" s="11">
        <v>189</v>
      </c>
      <c r="E246" s="11">
        <v>65</v>
      </c>
      <c r="F246" s="11">
        <v>0</v>
      </c>
    </row>
    <row r="247" spans="1:6" ht="14" customHeight="1" x14ac:dyDescent="0.2">
      <c r="A247" s="16" t="s">
        <v>408</v>
      </c>
      <c r="B247" s="11" t="e">
        <v>#N/A</v>
      </c>
      <c r="C247" s="11" t="e">
        <v>#N/A</v>
      </c>
      <c r="D247" s="11" t="e">
        <v>#N/A</v>
      </c>
      <c r="E247" s="11" t="e">
        <v>#N/A</v>
      </c>
      <c r="F247" s="11" t="e">
        <v>#N/A</v>
      </c>
    </row>
    <row r="248" spans="1:6" ht="14" customHeight="1" x14ac:dyDescent="0.2">
      <c r="A248" s="16" t="s">
        <v>409</v>
      </c>
      <c r="B248" s="11" t="e">
        <v>#N/A</v>
      </c>
      <c r="C248" s="11" t="e">
        <v>#N/A</v>
      </c>
      <c r="D248" s="11" t="e">
        <v>#N/A</v>
      </c>
      <c r="E248" s="11" t="e">
        <v>#N/A</v>
      </c>
      <c r="F248" s="11" t="e">
        <v>#N/A</v>
      </c>
    </row>
    <row r="249" spans="1:6" ht="14" customHeight="1" x14ac:dyDescent="0.2">
      <c r="A249" s="16" t="s">
        <v>410</v>
      </c>
      <c r="B249" s="11" t="e">
        <v>#N/A</v>
      </c>
      <c r="C249" s="11" t="e">
        <v>#N/A</v>
      </c>
      <c r="D249" s="11" t="e">
        <v>#N/A</v>
      </c>
      <c r="E249" s="11" t="e">
        <v>#N/A</v>
      </c>
      <c r="F249" s="11" t="e">
        <v>#N/A</v>
      </c>
    </row>
    <row r="250" spans="1:6" ht="14" customHeight="1" x14ac:dyDescent="0.2">
      <c r="A250" s="16" t="s">
        <v>411</v>
      </c>
      <c r="B250" s="11" t="e">
        <v>#N/A</v>
      </c>
      <c r="C250" s="11" t="e">
        <v>#N/A</v>
      </c>
      <c r="D250" s="11" t="e">
        <v>#N/A</v>
      </c>
      <c r="E250" s="11" t="e">
        <v>#N/A</v>
      </c>
      <c r="F250" s="11" t="e">
        <v>#N/A</v>
      </c>
    </row>
    <row r="251" spans="1:6" ht="14" customHeight="1" x14ac:dyDescent="0.2">
      <c r="A251" s="16" t="s">
        <v>412</v>
      </c>
      <c r="B251" s="11" t="e">
        <v>#N/A</v>
      </c>
      <c r="C251" s="11" t="e">
        <v>#N/A</v>
      </c>
      <c r="D251" s="11" t="e">
        <v>#N/A</v>
      </c>
      <c r="E251" s="11" t="e">
        <v>#N/A</v>
      </c>
      <c r="F251" s="11" t="e">
        <v>#N/A</v>
      </c>
    </row>
    <row r="252" spans="1:6" ht="14" customHeight="1" x14ac:dyDescent="0.2">
      <c r="A252" s="16" t="s">
        <v>413</v>
      </c>
      <c r="B252" s="11" t="e">
        <v>#N/A</v>
      </c>
      <c r="C252" s="11" t="e">
        <v>#N/A</v>
      </c>
      <c r="D252" s="11" t="e">
        <v>#N/A</v>
      </c>
      <c r="E252" s="11" t="e">
        <v>#N/A</v>
      </c>
      <c r="F252" s="11" t="e">
        <v>#N/A</v>
      </c>
    </row>
    <row r="253" spans="1:6" ht="14" customHeight="1" x14ac:dyDescent="0.2">
      <c r="A253" s="16" t="s">
        <v>414</v>
      </c>
      <c r="B253" s="11" t="e">
        <v>#N/A</v>
      </c>
      <c r="C253" s="11" t="e">
        <v>#N/A</v>
      </c>
      <c r="D253" s="11" t="e">
        <v>#N/A</v>
      </c>
      <c r="E253" s="11" t="e">
        <v>#N/A</v>
      </c>
      <c r="F253" s="11" t="e">
        <v>#N/A</v>
      </c>
    </row>
    <row r="254" spans="1:6" ht="14" customHeight="1" x14ac:dyDescent="0.2">
      <c r="A254" s="16" t="s">
        <v>415</v>
      </c>
      <c r="B254" s="11" t="e">
        <v>#N/A</v>
      </c>
      <c r="C254" s="11" t="e">
        <v>#N/A</v>
      </c>
      <c r="D254" s="11" t="e">
        <v>#N/A</v>
      </c>
      <c r="E254" s="11" t="e">
        <v>#N/A</v>
      </c>
      <c r="F254" s="11" t="e">
        <v>#N/A</v>
      </c>
    </row>
    <row r="255" spans="1:6" ht="14" customHeight="1" x14ac:dyDescent="0.2">
      <c r="A255" s="16" t="s">
        <v>416</v>
      </c>
      <c r="B255" s="11">
        <v>0</v>
      </c>
      <c r="C255" s="11">
        <v>35</v>
      </c>
      <c r="D255" s="11">
        <v>2229</v>
      </c>
      <c r="E255" s="11">
        <v>3978</v>
      </c>
      <c r="F255" s="11">
        <v>14790</v>
      </c>
    </row>
    <row r="256" spans="1:6" ht="14" customHeight="1" x14ac:dyDescent="0.2">
      <c r="A256" s="16" t="s">
        <v>417</v>
      </c>
      <c r="B256" s="11" t="e">
        <v>#N/A</v>
      </c>
      <c r="C256" s="11" t="e">
        <v>#N/A</v>
      </c>
      <c r="D256" s="11" t="e">
        <v>#N/A</v>
      </c>
      <c r="E256" s="11" t="e">
        <v>#N/A</v>
      </c>
      <c r="F256" s="11" t="e">
        <v>#N/A</v>
      </c>
    </row>
    <row r="257" spans="1:6" ht="14" customHeight="1" x14ac:dyDescent="0.2">
      <c r="A257" s="16" t="s">
        <v>418</v>
      </c>
      <c r="B257" s="11" t="e">
        <v>#N/A</v>
      </c>
      <c r="C257" s="11" t="e">
        <v>#N/A</v>
      </c>
      <c r="D257" s="11" t="e">
        <v>#N/A</v>
      </c>
      <c r="E257" s="11" t="e">
        <v>#N/A</v>
      </c>
      <c r="F257" s="11" t="e">
        <v>#N/A</v>
      </c>
    </row>
    <row r="258" spans="1:6" ht="14" customHeight="1" x14ac:dyDescent="0.2">
      <c r="A258" s="16" t="s">
        <v>419</v>
      </c>
      <c r="B258" s="11">
        <v>0</v>
      </c>
      <c r="C258" s="11">
        <v>0</v>
      </c>
      <c r="D258" s="11">
        <v>0</v>
      </c>
      <c r="E258" s="11">
        <v>0</v>
      </c>
      <c r="F258" s="11">
        <v>9092</v>
      </c>
    </row>
    <row r="259" spans="1:6" ht="14" customHeight="1" x14ac:dyDescent="0.2">
      <c r="A259" s="16" t="s">
        <v>420</v>
      </c>
      <c r="B259" s="11" t="e">
        <v>#N/A</v>
      </c>
      <c r="C259" s="11" t="e">
        <v>#N/A</v>
      </c>
      <c r="D259" s="11" t="e">
        <v>#N/A</v>
      </c>
      <c r="E259" s="11" t="e">
        <v>#N/A</v>
      </c>
      <c r="F259" s="11" t="e">
        <v>#N/A</v>
      </c>
    </row>
    <row r="260" spans="1:6" ht="14" customHeight="1" x14ac:dyDescent="0.2">
      <c r="A260" s="16" t="s">
        <v>421</v>
      </c>
      <c r="B260" s="11" t="e">
        <v>#N/A</v>
      </c>
      <c r="C260" s="11" t="e">
        <v>#N/A</v>
      </c>
      <c r="D260" s="11" t="e">
        <v>#N/A</v>
      </c>
      <c r="E260" s="11" t="e">
        <v>#N/A</v>
      </c>
      <c r="F260" s="11" t="e">
        <v>#N/A</v>
      </c>
    </row>
    <row r="261" spans="1:6" ht="14" customHeight="1" x14ac:dyDescent="0.2">
      <c r="A261" s="16" t="s">
        <v>422</v>
      </c>
      <c r="B261" s="11" t="e">
        <v>#N/A</v>
      </c>
      <c r="C261" s="11" t="e">
        <v>#N/A</v>
      </c>
      <c r="D261" s="11" t="e">
        <v>#N/A</v>
      </c>
      <c r="E261" s="11" t="e">
        <v>#N/A</v>
      </c>
      <c r="F261" s="11" t="e">
        <v>#N/A</v>
      </c>
    </row>
    <row r="262" spans="1:6" ht="14" customHeight="1" x14ac:dyDescent="0.2">
      <c r="A262" s="16" t="s">
        <v>423</v>
      </c>
      <c r="B262" s="11" t="e">
        <v>#N/A</v>
      </c>
      <c r="C262" s="11" t="e">
        <v>#N/A</v>
      </c>
      <c r="D262" s="11" t="e">
        <v>#N/A</v>
      </c>
      <c r="E262" s="11" t="e">
        <v>#N/A</v>
      </c>
      <c r="F262" s="11" t="e">
        <v>#N/A</v>
      </c>
    </row>
    <row r="263" spans="1:6" ht="14" customHeight="1" x14ac:dyDescent="0.2">
      <c r="A263" s="16" t="s">
        <v>424</v>
      </c>
      <c r="B263" s="11" t="e">
        <v>#N/A</v>
      </c>
      <c r="C263" s="11" t="e">
        <v>#N/A</v>
      </c>
      <c r="D263" s="11" t="e">
        <v>#N/A</v>
      </c>
      <c r="E263" s="11" t="e">
        <v>#N/A</v>
      </c>
      <c r="F263" s="11" t="e">
        <v>#N/A</v>
      </c>
    </row>
    <row r="264" spans="1:6" ht="14" customHeight="1" x14ac:dyDescent="0.2">
      <c r="A264" s="16" t="s">
        <v>425</v>
      </c>
      <c r="B264" s="11">
        <v>328996</v>
      </c>
      <c r="C264" s="11">
        <v>146</v>
      </c>
      <c r="D264" s="11">
        <v>2840</v>
      </c>
      <c r="E264" s="11">
        <v>41051</v>
      </c>
      <c r="F264" s="11">
        <v>10892</v>
      </c>
    </row>
    <row r="265" spans="1:6" ht="14" customHeight="1" x14ac:dyDescent="0.2">
      <c r="A265" s="16" t="s">
        <v>426</v>
      </c>
      <c r="B265" s="11">
        <v>0</v>
      </c>
      <c r="C265" s="11">
        <v>1094</v>
      </c>
      <c r="D265" s="11">
        <v>1917</v>
      </c>
      <c r="E265" s="11">
        <v>6205</v>
      </c>
      <c r="F265" s="11">
        <v>84851</v>
      </c>
    </row>
    <row r="266" spans="1:6" ht="14" customHeight="1" x14ac:dyDescent="0.2">
      <c r="A266" s="16" t="s">
        <v>427</v>
      </c>
      <c r="B266" s="11">
        <v>332895</v>
      </c>
      <c r="C266" s="11">
        <v>3545</v>
      </c>
      <c r="D266" s="11">
        <v>5485</v>
      </c>
      <c r="E266" s="11">
        <v>94224</v>
      </c>
      <c r="F266" s="11">
        <v>32782</v>
      </c>
    </row>
    <row r="267" spans="1:6" ht="14" customHeight="1" x14ac:dyDescent="0.2">
      <c r="A267" s="16" t="s">
        <v>428</v>
      </c>
      <c r="B267" s="11" t="e">
        <v>#N/A</v>
      </c>
      <c r="C267" s="11" t="e">
        <v>#N/A</v>
      </c>
      <c r="D267" s="11" t="e">
        <v>#N/A</v>
      </c>
      <c r="E267" s="11" t="e">
        <v>#N/A</v>
      </c>
      <c r="F267" s="11" t="e">
        <v>#N/A</v>
      </c>
    </row>
    <row r="268" spans="1:6" ht="14" customHeight="1" x14ac:dyDescent="0.2">
      <c r="A268" s="16" t="s">
        <v>429</v>
      </c>
      <c r="B268" s="11">
        <v>0</v>
      </c>
      <c r="C268" s="11">
        <v>6131</v>
      </c>
      <c r="D268" s="11">
        <v>10615</v>
      </c>
      <c r="E268" s="11">
        <v>24098</v>
      </c>
      <c r="F268" s="11">
        <v>198051</v>
      </c>
    </row>
    <row r="269" spans="1:6" ht="14" customHeight="1" x14ac:dyDescent="0.2">
      <c r="A269" s="16" t="s">
        <v>430</v>
      </c>
      <c r="B269" s="11" t="e">
        <v>#N/A</v>
      </c>
      <c r="C269" s="11" t="e">
        <v>#N/A</v>
      </c>
      <c r="D269" s="11" t="e">
        <v>#N/A</v>
      </c>
      <c r="E269" s="11" t="e">
        <v>#N/A</v>
      </c>
      <c r="F269" s="11" t="e">
        <v>#N/A</v>
      </c>
    </row>
    <row r="270" spans="1:6" ht="14" customHeight="1" x14ac:dyDescent="0.2">
      <c r="A270" s="16" t="s">
        <v>431</v>
      </c>
      <c r="B270" s="11" t="e">
        <v>#N/A</v>
      </c>
      <c r="C270" s="11" t="e">
        <v>#N/A</v>
      </c>
      <c r="D270" s="11" t="e">
        <v>#N/A</v>
      </c>
      <c r="E270" s="11" t="e">
        <v>#N/A</v>
      </c>
      <c r="F270" s="11" t="e">
        <v>#N/A</v>
      </c>
    </row>
    <row r="271" spans="1:6" ht="14" customHeight="1" x14ac:dyDescent="0.2">
      <c r="A271" s="16" t="s">
        <v>432</v>
      </c>
      <c r="B271" s="11" t="e">
        <v>#N/A</v>
      </c>
      <c r="C271" s="11" t="e">
        <v>#N/A</v>
      </c>
      <c r="D271" s="11" t="e">
        <v>#N/A</v>
      </c>
      <c r="E271" s="11" t="e">
        <v>#N/A</v>
      </c>
      <c r="F271" s="11" t="e">
        <v>#N/A</v>
      </c>
    </row>
    <row r="272" spans="1:6" ht="14" customHeight="1" x14ac:dyDescent="0.2">
      <c r="A272" s="16" t="s">
        <v>433</v>
      </c>
      <c r="B272" s="11" t="e">
        <v>#N/A</v>
      </c>
      <c r="C272" s="11" t="e">
        <v>#N/A</v>
      </c>
      <c r="D272" s="11" t="e">
        <v>#N/A</v>
      </c>
      <c r="E272" s="11" t="e">
        <v>#N/A</v>
      </c>
      <c r="F272" s="11" t="e">
        <v>#N/A</v>
      </c>
    </row>
    <row r="273" spans="1:6" ht="14" customHeight="1" x14ac:dyDescent="0.2">
      <c r="A273" s="16" t="s">
        <v>434</v>
      </c>
      <c r="B273" s="11" t="e">
        <v>#N/A</v>
      </c>
      <c r="C273" s="11" t="e">
        <v>#N/A</v>
      </c>
      <c r="D273" s="11" t="e">
        <v>#N/A</v>
      </c>
      <c r="E273" s="11" t="e">
        <v>#N/A</v>
      </c>
      <c r="F273" s="11" t="e">
        <v>#N/A</v>
      </c>
    </row>
    <row r="274" spans="1:6" ht="14" customHeight="1" x14ac:dyDescent="0.2">
      <c r="A274" s="16" t="s">
        <v>435</v>
      </c>
      <c r="B274" s="11" t="e">
        <v>#N/A</v>
      </c>
      <c r="C274" s="11" t="e">
        <v>#N/A</v>
      </c>
      <c r="D274" s="11" t="e">
        <v>#N/A</v>
      </c>
      <c r="E274" s="11" t="e">
        <v>#N/A</v>
      </c>
      <c r="F274" s="11" t="e">
        <v>#N/A</v>
      </c>
    </row>
    <row r="275" spans="1:6" ht="14" customHeight="1" x14ac:dyDescent="0.2">
      <c r="A275" s="16" t="s">
        <v>436</v>
      </c>
      <c r="B275" s="11" t="e">
        <v>#N/A</v>
      </c>
      <c r="C275" s="11" t="e">
        <v>#N/A</v>
      </c>
      <c r="D275" s="11" t="e">
        <v>#N/A</v>
      </c>
      <c r="E275" s="11" t="e">
        <v>#N/A</v>
      </c>
      <c r="F275" s="11" t="e">
        <v>#N/A</v>
      </c>
    </row>
    <row r="276" spans="1:6" ht="14" customHeight="1" x14ac:dyDescent="0.2">
      <c r="A276" s="16" t="s">
        <v>437</v>
      </c>
      <c r="B276" s="11" t="e">
        <v>#N/A</v>
      </c>
      <c r="C276" s="11" t="e">
        <v>#N/A</v>
      </c>
      <c r="D276" s="11" t="e">
        <v>#N/A</v>
      </c>
      <c r="E276" s="11" t="e">
        <v>#N/A</v>
      </c>
      <c r="F276" s="11" t="e">
        <v>#N/A</v>
      </c>
    </row>
    <row r="277" spans="1:6" ht="14" customHeight="1" x14ac:dyDescent="0.2">
      <c r="A277" s="16" t="s">
        <v>438</v>
      </c>
      <c r="B277" s="11" t="e">
        <v>#N/A</v>
      </c>
      <c r="C277" s="11" t="e">
        <v>#N/A</v>
      </c>
      <c r="D277" s="11" t="e">
        <v>#N/A</v>
      </c>
      <c r="E277" s="11" t="e">
        <v>#N/A</v>
      </c>
      <c r="F277" s="11" t="e">
        <v>#N/A</v>
      </c>
    </row>
    <row r="278" spans="1:6" ht="14" customHeight="1" x14ac:dyDescent="0.2">
      <c r="A278" s="16" t="s">
        <v>439</v>
      </c>
      <c r="B278" s="11">
        <v>77984</v>
      </c>
      <c r="C278" s="11">
        <v>1989</v>
      </c>
      <c r="D278" s="11">
        <v>10975</v>
      </c>
      <c r="E278" s="11">
        <v>60524</v>
      </c>
      <c r="F278" s="11">
        <v>16214</v>
      </c>
    </row>
    <row r="279" spans="1:6" ht="14" customHeight="1" x14ac:dyDescent="0.2">
      <c r="A279" s="16" t="s">
        <v>440</v>
      </c>
      <c r="B279" s="11" t="e">
        <v>#N/A</v>
      </c>
      <c r="C279" s="11" t="e">
        <v>#N/A</v>
      </c>
      <c r="D279" s="11" t="e">
        <v>#N/A</v>
      </c>
      <c r="E279" s="11" t="e">
        <v>#N/A</v>
      </c>
      <c r="F279" s="11" t="e">
        <v>#N/A</v>
      </c>
    </row>
    <row r="280" spans="1:6" ht="14" customHeight="1" x14ac:dyDescent="0.2">
      <c r="A280" s="16" t="s">
        <v>441</v>
      </c>
      <c r="B280" s="11" t="e">
        <v>#N/A</v>
      </c>
      <c r="C280" s="11" t="e">
        <v>#N/A</v>
      </c>
      <c r="D280" s="11" t="e">
        <v>#N/A</v>
      </c>
      <c r="E280" s="11" t="e">
        <v>#N/A</v>
      </c>
      <c r="F280" s="11" t="e">
        <v>#N/A</v>
      </c>
    </row>
    <row r="281" spans="1:6" ht="14" customHeight="1" x14ac:dyDescent="0.2">
      <c r="A281" s="16" t="s">
        <v>442</v>
      </c>
      <c r="B281" s="11">
        <v>0</v>
      </c>
      <c r="C281" s="11">
        <v>0</v>
      </c>
      <c r="D281" s="11">
        <v>0</v>
      </c>
      <c r="E281" s="11">
        <v>1040</v>
      </c>
      <c r="F281" s="11">
        <v>0</v>
      </c>
    </row>
    <row r="282" spans="1:6" ht="14" customHeight="1" x14ac:dyDescent="0.2">
      <c r="A282" s="16" t="s">
        <v>443</v>
      </c>
      <c r="B282" s="11">
        <v>0</v>
      </c>
      <c r="C282" s="11">
        <v>1971</v>
      </c>
      <c r="D282" s="11">
        <v>1769</v>
      </c>
      <c r="E282" s="11">
        <v>3765</v>
      </c>
      <c r="F282" s="11">
        <v>80471</v>
      </c>
    </row>
    <row r="283" spans="1:6" ht="14" customHeight="1" x14ac:dyDescent="0.2">
      <c r="A283" s="16" t="s">
        <v>444</v>
      </c>
      <c r="B283" s="11">
        <v>0</v>
      </c>
      <c r="C283" s="11">
        <v>0</v>
      </c>
      <c r="D283" s="11">
        <v>746</v>
      </c>
      <c r="E283" s="11">
        <v>0</v>
      </c>
      <c r="F283" s="11">
        <v>0</v>
      </c>
    </row>
    <row r="284" spans="1:6" ht="14" customHeight="1" x14ac:dyDescent="0.2">
      <c r="A284" s="16" t="s">
        <v>445</v>
      </c>
      <c r="B284" s="11" t="e">
        <v>#N/A</v>
      </c>
      <c r="C284" s="11" t="e">
        <v>#N/A</v>
      </c>
      <c r="D284" s="11" t="e">
        <v>#N/A</v>
      </c>
      <c r="E284" s="11" t="e">
        <v>#N/A</v>
      </c>
      <c r="F284" s="11" t="e">
        <v>#N/A</v>
      </c>
    </row>
    <row r="285" spans="1:6" ht="14" customHeight="1" x14ac:dyDescent="0.2">
      <c r="A285" s="16" t="s">
        <v>446</v>
      </c>
      <c r="B285" s="11">
        <v>0</v>
      </c>
      <c r="C285" s="11">
        <v>0</v>
      </c>
      <c r="D285" s="11">
        <v>751</v>
      </c>
      <c r="E285" s="11">
        <v>0</v>
      </c>
      <c r="F285" s="11">
        <v>0</v>
      </c>
    </row>
    <row r="286" spans="1:6" ht="14" customHeight="1" x14ac:dyDescent="0.2">
      <c r="A286" s="16" t="s">
        <v>447</v>
      </c>
      <c r="B286" s="11">
        <v>0</v>
      </c>
      <c r="C286" s="11">
        <v>491</v>
      </c>
      <c r="D286" s="11">
        <v>372</v>
      </c>
      <c r="E286" s="11">
        <v>941</v>
      </c>
      <c r="F286" s="11">
        <v>7143</v>
      </c>
    </row>
    <row r="287" spans="1:6" ht="14" customHeight="1" x14ac:dyDescent="0.2">
      <c r="A287" s="16" t="s">
        <v>448</v>
      </c>
      <c r="B287" s="11" t="e">
        <v>#N/A</v>
      </c>
      <c r="C287" s="11" t="e">
        <v>#N/A</v>
      </c>
      <c r="D287" s="11" t="e">
        <v>#N/A</v>
      </c>
      <c r="E287" s="11" t="e">
        <v>#N/A</v>
      </c>
      <c r="F287" s="11" t="e">
        <v>#N/A</v>
      </c>
    </row>
    <row r="288" spans="1:6" ht="14" customHeight="1" x14ac:dyDescent="0.2">
      <c r="A288" s="16" t="s">
        <v>449</v>
      </c>
      <c r="B288" s="11">
        <v>0</v>
      </c>
      <c r="C288" s="11">
        <v>848</v>
      </c>
      <c r="D288" s="11">
        <v>10296</v>
      </c>
      <c r="E288" s="11">
        <v>0</v>
      </c>
      <c r="F288" s="11">
        <v>0</v>
      </c>
    </row>
    <row r="289" spans="1:6" ht="14" customHeight="1" x14ac:dyDescent="0.2">
      <c r="A289" s="16" t="s">
        <v>450</v>
      </c>
      <c r="B289" s="11" t="e">
        <v>#N/A</v>
      </c>
      <c r="C289" s="11" t="e">
        <v>#N/A</v>
      </c>
      <c r="D289" s="11" t="e">
        <v>#N/A</v>
      </c>
      <c r="E289" s="11" t="e">
        <v>#N/A</v>
      </c>
      <c r="F289" s="11" t="e">
        <v>#N/A</v>
      </c>
    </row>
    <row r="290" spans="1:6" ht="14" customHeight="1" x14ac:dyDescent="0.2">
      <c r="A290" s="16" t="s">
        <v>451</v>
      </c>
      <c r="B290" s="11" t="e">
        <v>#N/A</v>
      </c>
      <c r="C290" s="11" t="e">
        <v>#N/A</v>
      </c>
      <c r="D290" s="11" t="e">
        <v>#N/A</v>
      </c>
      <c r="E290" s="11" t="e">
        <v>#N/A</v>
      </c>
      <c r="F290" s="11" t="e">
        <v>#N/A</v>
      </c>
    </row>
    <row r="291" spans="1:6" ht="14" customHeight="1" x14ac:dyDescent="0.2">
      <c r="A291" s="16" t="s">
        <v>452</v>
      </c>
      <c r="B291" s="11" t="e">
        <v>#N/A</v>
      </c>
      <c r="C291" s="11" t="e">
        <v>#N/A</v>
      </c>
      <c r="D291" s="11" t="e">
        <v>#N/A</v>
      </c>
      <c r="E291" s="11" t="e">
        <v>#N/A</v>
      </c>
      <c r="F291" s="11" t="e">
        <v>#N/A</v>
      </c>
    </row>
    <row r="292" spans="1:6" ht="14" customHeight="1" x14ac:dyDescent="0.2">
      <c r="A292" s="16" t="s">
        <v>453</v>
      </c>
      <c r="B292" s="11" t="e">
        <v>#N/A</v>
      </c>
      <c r="C292" s="11" t="e">
        <v>#N/A</v>
      </c>
      <c r="D292" s="11" t="e">
        <v>#N/A</v>
      </c>
      <c r="E292" s="11" t="e">
        <v>#N/A</v>
      </c>
      <c r="F292" s="11" t="e">
        <v>#N/A</v>
      </c>
    </row>
    <row r="293" spans="1:6" ht="14" customHeight="1" x14ac:dyDescent="0.2">
      <c r="A293" s="16" t="s">
        <v>454</v>
      </c>
      <c r="B293" s="11" t="e">
        <v>#N/A</v>
      </c>
      <c r="C293" s="11" t="e">
        <v>#N/A</v>
      </c>
      <c r="D293" s="11" t="e">
        <v>#N/A</v>
      </c>
      <c r="E293" s="11" t="e">
        <v>#N/A</v>
      </c>
      <c r="F293" s="11" t="e">
        <v>#N/A</v>
      </c>
    </row>
    <row r="294" spans="1:6" ht="14" customHeight="1" x14ac:dyDescent="0.2">
      <c r="A294" s="16" t="s">
        <v>455</v>
      </c>
      <c r="B294" s="11" t="e">
        <v>#N/A</v>
      </c>
      <c r="C294" s="11" t="e">
        <v>#N/A</v>
      </c>
      <c r="D294" s="11" t="e">
        <v>#N/A</v>
      </c>
      <c r="E294" s="11" t="e">
        <v>#N/A</v>
      </c>
      <c r="F294" s="11" t="e">
        <v>#N/A</v>
      </c>
    </row>
    <row r="295" spans="1:6" ht="14" customHeight="1" x14ac:dyDescent="0.2">
      <c r="A295" s="16" t="s">
        <v>456</v>
      </c>
      <c r="B295" s="11" t="e">
        <v>#N/A</v>
      </c>
      <c r="C295" s="11" t="e">
        <v>#N/A</v>
      </c>
      <c r="D295" s="11" t="e">
        <v>#N/A</v>
      </c>
      <c r="E295" s="11" t="e">
        <v>#N/A</v>
      </c>
      <c r="F295" s="11" t="e">
        <v>#N/A</v>
      </c>
    </row>
    <row r="296" spans="1:6" ht="14" customHeight="1" x14ac:dyDescent="0.2">
      <c r="A296" s="16" t="s">
        <v>457</v>
      </c>
      <c r="B296" s="11">
        <v>0</v>
      </c>
      <c r="C296" s="11">
        <v>2524</v>
      </c>
      <c r="D296" s="11">
        <v>3590</v>
      </c>
      <c r="E296" s="11">
        <v>4617</v>
      </c>
      <c r="F296" s="11">
        <v>34763</v>
      </c>
    </row>
    <row r="297" spans="1:6" ht="14" customHeight="1" x14ac:dyDescent="0.2">
      <c r="A297" s="16" t="s">
        <v>458</v>
      </c>
      <c r="B297" s="11" t="e">
        <v>#N/A</v>
      </c>
      <c r="C297" s="11" t="e">
        <v>#N/A</v>
      </c>
      <c r="D297" s="11" t="e">
        <v>#N/A</v>
      </c>
      <c r="E297" s="11" t="e">
        <v>#N/A</v>
      </c>
      <c r="F297" s="11" t="e">
        <v>#N/A</v>
      </c>
    </row>
    <row r="298" spans="1:6" ht="14" customHeight="1" x14ac:dyDescent="0.2">
      <c r="A298" s="16" t="s">
        <v>459</v>
      </c>
      <c r="B298" s="11" t="e">
        <v>#N/A</v>
      </c>
      <c r="C298" s="11" t="e">
        <v>#N/A</v>
      </c>
      <c r="D298" s="11" t="e">
        <v>#N/A</v>
      </c>
      <c r="E298" s="11" t="e">
        <v>#N/A</v>
      </c>
      <c r="F298" s="11" t="e">
        <v>#N/A</v>
      </c>
    </row>
    <row r="299" spans="1:6" ht="14" customHeight="1" x14ac:dyDescent="0.2">
      <c r="A299" s="16" t="s">
        <v>460</v>
      </c>
      <c r="B299" s="11" t="e">
        <v>#N/A</v>
      </c>
      <c r="C299" s="11" t="e">
        <v>#N/A</v>
      </c>
      <c r="D299" s="11" t="e">
        <v>#N/A</v>
      </c>
      <c r="E299" s="11" t="e">
        <v>#N/A</v>
      </c>
      <c r="F299" s="11" t="e">
        <v>#N/A</v>
      </c>
    </row>
    <row r="300" spans="1:6" ht="14" customHeight="1" x14ac:dyDescent="0.2">
      <c r="A300" s="16" t="s">
        <v>461</v>
      </c>
      <c r="B300" s="11">
        <v>0</v>
      </c>
      <c r="C300" s="11">
        <v>0</v>
      </c>
      <c r="D300" s="11">
        <v>294</v>
      </c>
      <c r="E300" s="11">
        <v>0</v>
      </c>
      <c r="F300" s="11">
        <v>0</v>
      </c>
    </row>
    <row r="301" spans="1:6" ht="14.5" customHeight="1" x14ac:dyDescent="0.2">
      <c r="A301" s="17" t="s">
        <v>462</v>
      </c>
      <c r="B301" s="11" t="e">
        <v>#N/A</v>
      </c>
      <c r="C301" s="11" t="e">
        <v>#N/A</v>
      </c>
      <c r="D301" s="11" t="e">
        <v>#N/A</v>
      </c>
      <c r="E301" s="11" t="e">
        <v>#N/A</v>
      </c>
      <c r="F301" s="11" t="e">
        <v>#N/A</v>
      </c>
    </row>
    <row r="302" spans="1:6" ht="14" customHeight="1" x14ac:dyDescent="0.2">
      <c r="A302" s="16" t="s">
        <v>463</v>
      </c>
      <c r="B302" s="11">
        <v>0</v>
      </c>
      <c r="C302" s="11">
        <v>0</v>
      </c>
      <c r="D302" s="11">
        <v>108</v>
      </c>
      <c r="E302" s="11">
        <v>933</v>
      </c>
      <c r="F302" s="11">
        <v>6586</v>
      </c>
    </row>
    <row r="303" spans="1:6" ht="14" customHeight="1" x14ac:dyDescent="0.2">
      <c r="A303" s="16" t="s">
        <v>464</v>
      </c>
      <c r="B303" s="11" t="e">
        <v>#N/A</v>
      </c>
      <c r="C303" s="11" t="e">
        <v>#N/A</v>
      </c>
      <c r="D303" s="11" t="e">
        <v>#N/A</v>
      </c>
      <c r="E303" s="11" t="e">
        <v>#N/A</v>
      </c>
      <c r="F303" s="11" t="e">
        <v>#N/A</v>
      </c>
    </row>
    <row r="304" spans="1:6" ht="14" customHeight="1" x14ac:dyDescent="0.2">
      <c r="A304" s="16" t="s">
        <v>465</v>
      </c>
      <c r="B304" s="11" t="e">
        <v>#N/A</v>
      </c>
      <c r="C304" s="11" t="e">
        <v>#N/A</v>
      </c>
      <c r="D304" s="11" t="e">
        <v>#N/A</v>
      </c>
      <c r="E304" s="11" t="e">
        <v>#N/A</v>
      </c>
      <c r="F304" s="11" t="e">
        <v>#N/A</v>
      </c>
    </row>
    <row r="305" spans="1:6" ht="14" customHeight="1" x14ac:dyDescent="0.2">
      <c r="A305" s="16" t="s">
        <v>466</v>
      </c>
      <c r="B305" s="11">
        <v>0</v>
      </c>
      <c r="C305" s="11">
        <v>71</v>
      </c>
      <c r="D305" s="11">
        <v>18</v>
      </c>
      <c r="E305" s="11">
        <v>0</v>
      </c>
      <c r="F305" s="11">
        <v>0</v>
      </c>
    </row>
    <row r="306" spans="1:6" ht="14" customHeight="1" x14ac:dyDescent="0.2">
      <c r="A306" s="16" t="s">
        <v>467</v>
      </c>
      <c r="B306" s="11">
        <v>33244</v>
      </c>
      <c r="C306" s="11">
        <v>628</v>
      </c>
      <c r="D306" s="11">
        <v>0</v>
      </c>
      <c r="E306" s="11">
        <v>0</v>
      </c>
      <c r="F306" s="11">
        <v>0</v>
      </c>
    </row>
    <row r="307" spans="1:6" ht="14" customHeight="1" x14ac:dyDescent="0.2">
      <c r="A307" s="16" t="s">
        <v>468</v>
      </c>
      <c r="B307" s="11">
        <v>0</v>
      </c>
      <c r="C307" s="11">
        <v>0</v>
      </c>
      <c r="D307" s="11">
        <v>0</v>
      </c>
      <c r="E307" s="11">
        <v>0</v>
      </c>
      <c r="F307" s="11">
        <v>535</v>
      </c>
    </row>
    <row r="308" spans="1:6" ht="14" customHeight="1" x14ac:dyDescent="0.2">
      <c r="A308" s="16" t="s">
        <v>469</v>
      </c>
      <c r="B308" s="11" t="e">
        <v>#N/A</v>
      </c>
      <c r="C308" s="11" t="e">
        <v>#N/A</v>
      </c>
      <c r="D308" s="11" t="e">
        <v>#N/A</v>
      </c>
      <c r="E308" s="11" t="e">
        <v>#N/A</v>
      </c>
      <c r="F308" s="11" t="e">
        <v>#N/A</v>
      </c>
    </row>
    <row r="309" spans="1:6" ht="14" customHeight="1" x14ac:dyDescent="0.2">
      <c r="A309" s="16" t="s">
        <v>470</v>
      </c>
      <c r="B309" s="11" t="e">
        <v>#N/A</v>
      </c>
      <c r="C309" s="11" t="e">
        <v>#N/A</v>
      </c>
      <c r="D309" s="11" t="e">
        <v>#N/A</v>
      </c>
      <c r="E309" s="11" t="e">
        <v>#N/A</v>
      </c>
      <c r="F309" s="11" t="e">
        <v>#N/A</v>
      </c>
    </row>
    <row r="310" spans="1:6" ht="14" customHeight="1" x14ac:dyDescent="0.2">
      <c r="A310" s="16" t="s">
        <v>471</v>
      </c>
      <c r="B310" s="11">
        <v>0</v>
      </c>
      <c r="C310" s="11">
        <v>0</v>
      </c>
      <c r="D310" s="11">
        <v>53</v>
      </c>
      <c r="E310" s="11">
        <v>0</v>
      </c>
      <c r="F310" s="11">
        <v>0</v>
      </c>
    </row>
    <row r="311" spans="1:6" ht="14" customHeight="1" x14ac:dyDescent="0.2">
      <c r="A311" s="16" t="s">
        <v>472</v>
      </c>
      <c r="B311" s="11" t="e">
        <v>#N/A</v>
      </c>
      <c r="C311" s="11" t="e">
        <v>#N/A</v>
      </c>
      <c r="D311" s="11" t="e">
        <v>#N/A</v>
      </c>
      <c r="E311" s="11" t="e">
        <v>#N/A</v>
      </c>
      <c r="F311" s="11" t="e">
        <v>#N/A</v>
      </c>
    </row>
    <row r="312" spans="1:6" ht="14" customHeight="1" x14ac:dyDescent="0.2">
      <c r="A312" s="16" t="s">
        <v>473</v>
      </c>
      <c r="B312" s="11" t="e">
        <v>#N/A</v>
      </c>
      <c r="C312" s="11" t="e">
        <v>#N/A</v>
      </c>
      <c r="D312" s="11" t="e">
        <v>#N/A</v>
      </c>
      <c r="E312" s="11" t="e">
        <v>#N/A</v>
      </c>
      <c r="F312" s="11" t="e">
        <v>#N/A</v>
      </c>
    </row>
    <row r="313" spans="1:6" ht="14" customHeight="1" x14ac:dyDescent="0.2">
      <c r="A313" s="16" t="s">
        <v>474</v>
      </c>
      <c r="B313" s="11" t="e">
        <v>#N/A</v>
      </c>
      <c r="C313" s="11" t="e">
        <v>#N/A</v>
      </c>
      <c r="D313" s="11" t="e">
        <v>#N/A</v>
      </c>
      <c r="E313" s="11" t="e">
        <v>#N/A</v>
      </c>
      <c r="F313" s="11" t="e">
        <v>#N/A</v>
      </c>
    </row>
    <row r="314" spans="1:6" ht="14" customHeight="1" x14ac:dyDescent="0.2">
      <c r="A314" s="16" t="s">
        <v>475</v>
      </c>
      <c r="B314" s="11" t="e">
        <v>#N/A</v>
      </c>
      <c r="C314" s="11" t="e">
        <v>#N/A</v>
      </c>
      <c r="D314" s="11" t="e">
        <v>#N/A</v>
      </c>
      <c r="E314" s="11" t="e">
        <v>#N/A</v>
      </c>
      <c r="F314" s="11" t="e">
        <v>#N/A</v>
      </c>
    </row>
    <row r="315" spans="1:6" ht="14" customHeight="1" x14ac:dyDescent="0.2">
      <c r="A315" s="16" t="s">
        <v>476</v>
      </c>
      <c r="B315" s="11">
        <v>0</v>
      </c>
      <c r="C315" s="11">
        <v>0</v>
      </c>
      <c r="D315" s="11">
        <v>1791</v>
      </c>
      <c r="E315" s="11">
        <v>7211</v>
      </c>
      <c r="F315" s="11">
        <v>1928</v>
      </c>
    </row>
    <row r="316" spans="1:6" ht="14" customHeight="1" x14ac:dyDescent="0.2">
      <c r="A316" s="16" t="s">
        <v>477</v>
      </c>
      <c r="B316" s="11" t="e">
        <v>#N/A</v>
      </c>
      <c r="C316" s="11" t="e">
        <v>#N/A</v>
      </c>
      <c r="D316" s="11" t="e">
        <v>#N/A</v>
      </c>
      <c r="E316" s="11" t="e">
        <v>#N/A</v>
      </c>
      <c r="F316" s="11" t="e">
        <v>#N/A</v>
      </c>
    </row>
    <row r="317" spans="1:6" ht="14" customHeight="1" x14ac:dyDescent="0.2">
      <c r="A317" s="16" t="s">
        <v>478</v>
      </c>
      <c r="B317" s="11">
        <v>0</v>
      </c>
      <c r="C317" s="11">
        <v>0</v>
      </c>
      <c r="D317" s="11">
        <v>0</v>
      </c>
      <c r="E317" s="11">
        <v>0</v>
      </c>
      <c r="F317" s="11">
        <v>8300</v>
      </c>
    </row>
    <row r="318" spans="1:6" ht="14" customHeight="1" x14ac:dyDescent="0.2">
      <c r="A318" s="16" t="s">
        <v>479</v>
      </c>
      <c r="B318" s="11">
        <v>0</v>
      </c>
      <c r="C318" s="11">
        <v>0</v>
      </c>
      <c r="D318" s="11">
        <v>0</v>
      </c>
      <c r="E318" s="11">
        <v>0</v>
      </c>
      <c r="F318" s="11">
        <v>2527</v>
      </c>
    </row>
    <row r="319" spans="1:6" ht="14" customHeight="1" x14ac:dyDescent="0.2">
      <c r="A319" s="16" t="s">
        <v>480</v>
      </c>
      <c r="B319" s="11" t="e">
        <v>#N/A</v>
      </c>
      <c r="C319" s="11" t="e">
        <v>#N/A</v>
      </c>
      <c r="D319" s="11" t="e">
        <v>#N/A</v>
      </c>
      <c r="E319" s="11" t="e">
        <v>#N/A</v>
      </c>
      <c r="F319" s="11" t="e">
        <v>#N/A</v>
      </c>
    </row>
    <row r="320" spans="1:6" ht="14" customHeight="1" x14ac:dyDescent="0.2">
      <c r="A320" s="16" t="s">
        <v>481</v>
      </c>
      <c r="B320" s="11" t="e">
        <v>#N/A</v>
      </c>
      <c r="C320" s="11" t="e">
        <v>#N/A</v>
      </c>
      <c r="D320" s="11" t="e">
        <v>#N/A</v>
      </c>
      <c r="E320" s="11" t="e">
        <v>#N/A</v>
      </c>
      <c r="F320" s="11" t="e">
        <v>#N/A</v>
      </c>
    </row>
    <row r="321" spans="1:6" ht="14" customHeight="1" x14ac:dyDescent="0.2">
      <c r="A321" s="16" t="s">
        <v>482</v>
      </c>
      <c r="B321" s="11" t="e">
        <v>#N/A</v>
      </c>
      <c r="C321" s="11" t="e">
        <v>#N/A</v>
      </c>
      <c r="D321" s="11" t="e">
        <v>#N/A</v>
      </c>
      <c r="E321" s="11" t="e">
        <v>#N/A</v>
      </c>
      <c r="F321" s="11" t="e">
        <v>#N/A</v>
      </c>
    </row>
    <row r="322" spans="1:6" ht="14" customHeight="1" x14ac:dyDescent="0.2">
      <c r="A322" s="16" t="s">
        <v>483</v>
      </c>
      <c r="B322" s="11" t="e">
        <v>#N/A</v>
      </c>
      <c r="C322" s="11" t="e">
        <v>#N/A</v>
      </c>
      <c r="D322" s="11" t="e">
        <v>#N/A</v>
      </c>
      <c r="E322" s="11" t="e">
        <v>#N/A</v>
      </c>
      <c r="F322" s="11" t="e">
        <v>#N/A</v>
      </c>
    </row>
    <row r="323" spans="1:6" ht="14" customHeight="1" x14ac:dyDescent="0.2">
      <c r="A323" s="16" t="s">
        <v>484</v>
      </c>
      <c r="B323" s="11" t="e">
        <v>#N/A</v>
      </c>
      <c r="C323" s="11" t="e">
        <v>#N/A</v>
      </c>
      <c r="D323" s="11" t="e">
        <v>#N/A</v>
      </c>
      <c r="E323" s="11" t="e">
        <v>#N/A</v>
      </c>
      <c r="F323" s="11" t="e">
        <v>#N/A</v>
      </c>
    </row>
    <row r="324" spans="1:6" ht="14" customHeight="1" x14ac:dyDescent="0.2">
      <c r="A324" s="16" t="s">
        <v>485</v>
      </c>
      <c r="B324" s="11">
        <v>0</v>
      </c>
      <c r="C324" s="11">
        <v>0</v>
      </c>
      <c r="D324" s="11">
        <v>0</v>
      </c>
      <c r="E324" s="11">
        <v>0</v>
      </c>
      <c r="F324" s="11">
        <v>6608</v>
      </c>
    </row>
    <row r="325" spans="1:6" ht="14" customHeight="1" x14ac:dyDescent="0.2">
      <c r="A325" s="16" t="s">
        <v>486</v>
      </c>
      <c r="B325" s="11" t="e">
        <v>#N/A</v>
      </c>
      <c r="C325" s="11" t="e">
        <v>#N/A</v>
      </c>
      <c r="D325" s="11" t="e">
        <v>#N/A</v>
      </c>
      <c r="E325" s="11" t="e">
        <v>#N/A</v>
      </c>
      <c r="F325" s="11" t="e">
        <v>#N/A</v>
      </c>
    </row>
    <row r="326" spans="1:6" ht="14" customHeight="1" x14ac:dyDescent="0.2">
      <c r="A326" s="16" t="s">
        <v>487</v>
      </c>
      <c r="B326" s="11" t="e">
        <v>#N/A</v>
      </c>
      <c r="C326" s="11" t="e">
        <v>#N/A</v>
      </c>
      <c r="D326" s="11" t="e">
        <v>#N/A</v>
      </c>
      <c r="E326" s="11" t="e">
        <v>#N/A</v>
      </c>
      <c r="F326" s="11" t="e">
        <v>#N/A</v>
      </c>
    </row>
    <row r="327" spans="1:6" ht="14" customHeight="1" x14ac:dyDescent="0.2">
      <c r="A327" s="16" t="s">
        <v>488</v>
      </c>
      <c r="B327" s="11" t="e">
        <v>#N/A</v>
      </c>
      <c r="C327" s="11" t="e">
        <v>#N/A</v>
      </c>
      <c r="D327" s="11" t="e">
        <v>#N/A</v>
      </c>
      <c r="E327" s="11" t="e">
        <v>#N/A</v>
      </c>
      <c r="F327" s="11" t="e">
        <v>#N/A</v>
      </c>
    </row>
    <row r="328" spans="1:6" ht="14" customHeight="1" x14ac:dyDescent="0.2">
      <c r="A328" s="16" t="s">
        <v>489</v>
      </c>
      <c r="B328" s="11" t="e">
        <v>#N/A</v>
      </c>
      <c r="C328" s="11" t="e">
        <v>#N/A</v>
      </c>
      <c r="D328" s="11" t="e">
        <v>#N/A</v>
      </c>
      <c r="E328" s="11" t="e">
        <v>#N/A</v>
      </c>
      <c r="F328" s="11" t="e">
        <v>#N/A</v>
      </c>
    </row>
    <row r="329" spans="1:6" ht="14" customHeight="1" x14ac:dyDescent="0.2">
      <c r="A329" s="16" t="s">
        <v>490</v>
      </c>
      <c r="B329" s="11">
        <v>0</v>
      </c>
      <c r="C329" s="11">
        <v>6</v>
      </c>
      <c r="D329" s="11">
        <v>0</v>
      </c>
      <c r="E329" s="11">
        <v>0</v>
      </c>
      <c r="F329" s="11">
        <v>0</v>
      </c>
    </row>
    <row r="330" spans="1:6" ht="14" customHeight="1" x14ac:dyDescent="0.2">
      <c r="A330" s="16" t="s">
        <v>491</v>
      </c>
      <c r="B330" s="11" t="e">
        <v>#N/A</v>
      </c>
      <c r="C330" s="11" t="e">
        <v>#N/A</v>
      </c>
      <c r="D330" s="11" t="e">
        <v>#N/A</v>
      </c>
      <c r="E330" s="11" t="e">
        <v>#N/A</v>
      </c>
      <c r="F330" s="11" t="e">
        <v>#N/A</v>
      </c>
    </row>
    <row r="331" spans="1:6" ht="14" customHeight="1" x14ac:dyDescent="0.2">
      <c r="A331" s="16" t="s">
        <v>492</v>
      </c>
      <c r="B331" s="11" t="e">
        <v>#N/A</v>
      </c>
      <c r="C331" s="11" t="e">
        <v>#N/A</v>
      </c>
      <c r="D331" s="11" t="e">
        <v>#N/A</v>
      </c>
      <c r="E331" s="11" t="e">
        <v>#N/A</v>
      </c>
      <c r="F331" s="11" t="e">
        <v>#N/A</v>
      </c>
    </row>
    <row r="332" spans="1:6" ht="14" customHeight="1" x14ac:dyDescent="0.2">
      <c r="A332" s="16" t="s">
        <v>493</v>
      </c>
      <c r="B332" s="11">
        <v>0</v>
      </c>
      <c r="C332" s="11">
        <v>4092</v>
      </c>
      <c r="D332" s="11">
        <v>4425</v>
      </c>
      <c r="E332" s="11">
        <v>21700</v>
      </c>
      <c r="F332" s="11">
        <v>47829</v>
      </c>
    </row>
    <row r="333" spans="1:6" ht="14" customHeight="1" x14ac:dyDescent="0.2">
      <c r="A333" s="16" t="s">
        <v>494</v>
      </c>
      <c r="B333" s="11">
        <v>0</v>
      </c>
      <c r="C333" s="11">
        <v>3789</v>
      </c>
      <c r="D333" s="11">
        <v>1329</v>
      </c>
      <c r="E333" s="11">
        <v>22093</v>
      </c>
      <c r="F333" s="11">
        <v>568</v>
      </c>
    </row>
    <row r="334" spans="1:6" ht="14.5" customHeight="1" x14ac:dyDescent="0.2">
      <c r="A334" s="17" t="s">
        <v>495</v>
      </c>
      <c r="B334" s="11" t="e">
        <v>#N/A</v>
      </c>
      <c r="C334" s="11" t="e">
        <v>#N/A</v>
      </c>
      <c r="D334" s="11" t="e">
        <v>#N/A</v>
      </c>
      <c r="E334" s="11" t="e">
        <v>#N/A</v>
      </c>
      <c r="F334" s="11" t="e">
        <v>#N/A</v>
      </c>
    </row>
    <row r="335" spans="1:6" ht="14" customHeight="1" x14ac:dyDescent="0.2">
      <c r="A335" s="16" t="s">
        <v>496</v>
      </c>
      <c r="B335" s="11">
        <v>0</v>
      </c>
      <c r="C335" s="11">
        <v>2040</v>
      </c>
      <c r="D335" s="11">
        <v>5665</v>
      </c>
      <c r="E335" s="11">
        <v>10576</v>
      </c>
      <c r="F335" s="11">
        <v>867</v>
      </c>
    </row>
    <row r="336" spans="1:6" ht="14" customHeight="1" x14ac:dyDescent="0.2">
      <c r="A336" s="16" t="s">
        <v>497</v>
      </c>
      <c r="B336" s="11" t="e">
        <v>#N/A</v>
      </c>
      <c r="C336" s="11" t="e">
        <v>#N/A</v>
      </c>
      <c r="D336" s="11" t="e">
        <v>#N/A</v>
      </c>
      <c r="E336" s="11" t="e">
        <v>#N/A</v>
      </c>
      <c r="F336" s="11" t="e">
        <v>#N/A</v>
      </c>
    </row>
    <row r="337" spans="1:6" ht="14" customHeight="1" x14ac:dyDescent="0.2">
      <c r="A337" s="16" t="s">
        <v>498</v>
      </c>
      <c r="B337" s="11" t="e">
        <v>#N/A</v>
      </c>
      <c r="C337" s="11" t="e">
        <v>#N/A</v>
      </c>
      <c r="D337" s="11" t="e">
        <v>#N/A</v>
      </c>
      <c r="E337" s="11" t="e">
        <v>#N/A</v>
      </c>
      <c r="F337" s="11" t="e">
        <v>#N/A</v>
      </c>
    </row>
    <row r="338" spans="1:6" ht="14" customHeight="1" x14ac:dyDescent="0.2">
      <c r="A338" s="16" t="s">
        <v>499</v>
      </c>
      <c r="B338" s="11">
        <v>0</v>
      </c>
      <c r="C338" s="11">
        <v>791</v>
      </c>
      <c r="D338" s="11">
        <v>784</v>
      </c>
      <c r="E338" s="11">
        <v>2218</v>
      </c>
      <c r="F338" s="11">
        <v>16782</v>
      </c>
    </row>
    <row r="339" spans="1:6" ht="14" customHeight="1" x14ac:dyDescent="0.2">
      <c r="A339" s="16" t="s">
        <v>500</v>
      </c>
      <c r="B339" s="11" t="e">
        <v>#N/A</v>
      </c>
      <c r="C339" s="11" t="e">
        <v>#N/A</v>
      </c>
      <c r="D339" s="11" t="e">
        <v>#N/A</v>
      </c>
      <c r="E339" s="11" t="e">
        <v>#N/A</v>
      </c>
      <c r="F339" s="11" t="e">
        <v>#N/A</v>
      </c>
    </row>
    <row r="340" spans="1:6" ht="14" customHeight="1" x14ac:dyDescent="0.2">
      <c r="A340" s="16" t="s">
        <v>501</v>
      </c>
      <c r="B340" s="11" t="e">
        <v>#N/A</v>
      </c>
      <c r="C340" s="11" t="e">
        <v>#N/A</v>
      </c>
      <c r="D340" s="11" t="e">
        <v>#N/A</v>
      </c>
      <c r="E340" s="11" t="e">
        <v>#N/A</v>
      </c>
      <c r="F340" s="11" t="e">
        <v>#N/A</v>
      </c>
    </row>
    <row r="341" spans="1:6" ht="14" customHeight="1" x14ac:dyDescent="0.2">
      <c r="A341" s="16" t="s">
        <v>502</v>
      </c>
      <c r="B341" s="11" t="e">
        <v>#N/A</v>
      </c>
      <c r="C341" s="11" t="e">
        <v>#N/A</v>
      </c>
      <c r="D341" s="11" t="e">
        <v>#N/A</v>
      </c>
      <c r="E341" s="11" t="e">
        <v>#N/A</v>
      </c>
      <c r="F341" s="11" t="e">
        <v>#N/A</v>
      </c>
    </row>
    <row r="342" spans="1:6" ht="14" customHeight="1" x14ac:dyDescent="0.2">
      <c r="A342" s="16" t="s">
        <v>503</v>
      </c>
      <c r="B342" s="11">
        <v>0</v>
      </c>
      <c r="C342" s="11">
        <v>0</v>
      </c>
      <c r="D342" s="11">
        <v>0</v>
      </c>
      <c r="E342" s="11">
        <v>0</v>
      </c>
      <c r="F342" s="11">
        <v>2677</v>
      </c>
    </row>
    <row r="343" spans="1:6" ht="14.5" customHeight="1" x14ac:dyDescent="0.2">
      <c r="A343" s="17" t="s">
        <v>504</v>
      </c>
      <c r="B343" s="11" t="e">
        <v>#N/A</v>
      </c>
      <c r="C343" s="11" t="e">
        <v>#N/A</v>
      </c>
      <c r="D343" s="11" t="e">
        <v>#N/A</v>
      </c>
      <c r="E343" s="11" t="e">
        <v>#N/A</v>
      </c>
      <c r="F343" s="11" t="e">
        <v>#N/A</v>
      </c>
    </row>
    <row r="344" spans="1:6" ht="14" customHeight="1" x14ac:dyDescent="0.2">
      <c r="A344" s="16" t="s">
        <v>505</v>
      </c>
      <c r="B344" s="11" t="e">
        <v>#N/A</v>
      </c>
      <c r="C344" s="11" t="e">
        <v>#N/A</v>
      </c>
      <c r="D344" s="11" t="e">
        <v>#N/A</v>
      </c>
      <c r="E344" s="11" t="e">
        <v>#N/A</v>
      </c>
      <c r="F344" s="11" t="e">
        <v>#N/A</v>
      </c>
    </row>
    <row r="345" spans="1:6" ht="14.5" customHeight="1" x14ac:dyDescent="0.2">
      <c r="A345" s="17" t="s">
        <v>506</v>
      </c>
      <c r="B345" s="11" t="e">
        <v>#N/A</v>
      </c>
      <c r="C345" s="11" t="e">
        <v>#N/A</v>
      </c>
      <c r="D345" s="11" t="e">
        <v>#N/A</v>
      </c>
      <c r="E345" s="11" t="e">
        <v>#N/A</v>
      </c>
      <c r="F345" s="11" t="e">
        <v>#N/A</v>
      </c>
    </row>
    <row r="346" spans="1:6" ht="14" customHeight="1" x14ac:dyDescent="0.2">
      <c r="A346" s="16" t="s">
        <v>507</v>
      </c>
      <c r="B346" s="11" t="e">
        <v>#N/A</v>
      </c>
      <c r="C346" s="11" t="e">
        <v>#N/A</v>
      </c>
      <c r="D346" s="11" t="e">
        <v>#N/A</v>
      </c>
      <c r="E346" s="11" t="e">
        <v>#N/A</v>
      </c>
      <c r="F346" s="11" t="e">
        <v>#N/A</v>
      </c>
    </row>
    <row r="347" spans="1:6" ht="14" customHeight="1" x14ac:dyDescent="0.2">
      <c r="A347" s="16" t="s">
        <v>508</v>
      </c>
      <c r="B347" s="11">
        <v>0</v>
      </c>
      <c r="C347" s="11">
        <v>0</v>
      </c>
      <c r="D347" s="11">
        <v>165</v>
      </c>
      <c r="E347" s="11">
        <v>2660</v>
      </c>
      <c r="F347" s="11">
        <v>2378</v>
      </c>
    </row>
    <row r="348" spans="1:6" ht="14" customHeight="1" x14ac:dyDescent="0.2">
      <c r="A348" s="16" t="s">
        <v>509</v>
      </c>
      <c r="B348" s="11">
        <v>0</v>
      </c>
      <c r="C348" s="11">
        <v>1570</v>
      </c>
      <c r="D348" s="11">
        <v>7696</v>
      </c>
      <c r="E348" s="11">
        <v>7457</v>
      </c>
      <c r="F348" s="11">
        <v>0</v>
      </c>
    </row>
    <row r="349" spans="1:6" ht="14" customHeight="1" x14ac:dyDescent="0.2">
      <c r="A349" s="16" t="s">
        <v>510</v>
      </c>
      <c r="B349" s="11">
        <v>16768</v>
      </c>
      <c r="C349" s="11">
        <v>756</v>
      </c>
      <c r="D349" s="11">
        <v>3007</v>
      </c>
      <c r="E349" s="11">
        <v>59124</v>
      </c>
      <c r="F349" s="11">
        <v>54940</v>
      </c>
    </row>
    <row r="350" spans="1:6" ht="14" customHeight="1" x14ac:dyDescent="0.2">
      <c r="A350" s="16" t="s">
        <v>511</v>
      </c>
      <c r="B350" s="11" t="e">
        <v>#N/A</v>
      </c>
      <c r="C350" s="11" t="e">
        <v>#N/A</v>
      </c>
      <c r="D350" s="11" t="e">
        <v>#N/A</v>
      </c>
      <c r="E350" s="11" t="e">
        <v>#N/A</v>
      </c>
      <c r="F350" s="11" t="e">
        <v>#N/A</v>
      </c>
    </row>
    <row r="351" spans="1:6" ht="14" customHeight="1" x14ac:dyDescent="0.2">
      <c r="A351" s="16" t="s">
        <v>512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</row>
    <row r="352" spans="1:6" ht="14" customHeight="1" x14ac:dyDescent="0.2">
      <c r="A352" s="16" t="s">
        <v>513</v>
      </c>
      <c r="B352" s="11" t="e">
        <v>#N/A</v>
      </c>
      <c r="C352" s="11" t="e">
        <v>#N/A</v>
      </c>
      <c r="D352" s="11" t="e">
        <v>#N/A</v>
      </c>
      <c r="E352" s="11" t="e">
        <v>#N/A</v>
      </c>
      <c r="F352" s="11" t="e">
        <v>#N/A</v>
      </c>
    </row>
    <row r="353" spans="1:6" ht="14" customHeight="1" x14ac:dyDescent="0.2">
      <c r="A353" s="16" t="s">
        <v>514</v>
      </c>
      <c r="B353" s="11">
        <v>0</v>
      </c>
      <c r="C353" s="11">
        <v>0</v>
      </c>
      <c r="D353" s="11">
        <v>130</v>
      </c>
      <c r="E353" s="11">
        <v>622</v>
      </c>
      <c r="F353" s="11">
        <v>0</v>
      </c>
    </row>
    <row r="354" spans="1:6" ht="14" customHeight="1" x14ac:dyDescent="0.2">
      <c r="A354" s="16" t="s">
        <v>515</v>
      </c>
      <c r="B354" s="11" t="e">
        <v>#N/A</v>
      </c>
      <c r="C354" s="11" t="e">
        <v>#N/A</v>
      </c>
      <c r="D354" s="11" t="e">
        <v>#N/A</v>
      </c>
      <c r="E354" s="11" t="e">
        <v>#N/A</v>
      </c>
      <c r="F354" s="11" t="e">
        <v>#N/A</v>
      </c>
    </row>
    <row r="355" spans="1:6" ht="14" customHeight="1" x14ac:dyDescent="0.2">
      <c r="A355" s="16" t="s">
        <v>516</v>
      </c>
      <c r="B355" s="11">
        <v>2966</v>
      </c>
      <c r="C355" s="11">
        <v>5200</v>
      </c>
      <c r="D355" s="11">
        <v>18846</v>
      </c>
      <c r="E355" s="11">
        <v>25523</v>
      </c>
      <c r="F355" s="11">
        <v>514</v>
      </c>
    </row>
    <row r="356" spans="1:6" ht="14" customHeight="1" x14ac:dyDescent="0.2">
      <c r="A356" s="16" t="s">
        <v>517</v>
      </c>
      <c r="B356" s="11" t="e">
        <v>#N/A</v>
      </c>
      <c r="C356" s="11" t="e">
        <v>#N/A</v>
      </c>
      <c r="D356" s="11" t="e">
        <v>#N/A</v>
      </c>
      <c r="E356" s="11" t="e">
        <v>#N/A</v>
      </c>
      <c r="F356" s="11" t="e">
        <v>#N/A</v>
      </c>
    </row>
    <row r="357" spans="1:6" ht="14" customHeight="1" x14ac:dyDescent="0.2">
      <c r="A357" s="16" t="s">
        <v>518</v>
      </c>
      <c r="B357" s="11" t="e">
        <v>#N/A</v>
      </c>
      <c r="C357" s="11" t="e">
        <v>#N/A</v>
      </c>
      <c r="D357" s="11" t="e">
        <v>#N/A</v>
      </c>
      <c r="E357" s="11" t="e">
        <v>#N/A</v>
      </c>
      <c r="F357" s="11" t="e">
        <v>#N/A</v>
      </c>
    </row>
    <row r="358" spans="1:6" ht="14" customHeight="1" x14ac:dyDescent="0.2">
      <c r="A358" s="16" t="s">
        <v>519</v>
      </c>
      <c r="B358" s="11" t="e">
        <v>#N/A</v>
      </c>
      <c r="C358" s="11" t="e">
        <v>#N/A</v>
      </c>
      <c r="D358" s="11" t="e">
        <v>#N/A</v>
      </c>
      <c r="E358" s="11" t="e">
        <v>#N/A</v>
      </c>
      <c r="F358" s="11" t="e">
        <v>#N/A</v>
      </c>
    </row>
    <row r="359" spans="1:6" ht="14" customHeight="1" x14ac:dyDescent="0.2">
      <c r="A359" s="16" t="s">
        <v>520</v>
      </c>
      <c r="B359" s="11" t="e">
        <v>#N/A</v>
      </c>
      <c r="C359" s="11" t="e">
        <v>#N/A</v>
      </c>
      <c r="D359" s="11" t="e">
        <v>#N/A</v>
      </c>
      <c r="E359" s="11" t="e">
        <v>#N/A</v>
      </c>
      <c r="F359" s="11" t="e">
        <v>#N/A</v>
      </c>
    </row>
    <row r="360" spans="1:6" ht="14" customHeight="1" x14ac:dyDescent="0.2">
      <c r="A360" s="16" t="s">
        <v>521</v>
      </c>
      <c r="B360" s="11">
        <v>2599</v>
      </c>
      <c r="C360" s="11">
        <v>19</v>
      </c>
      <c r="D360" s="11">
        <v>2521</v>
      </c>
      <c r="E360" s="11">
        <v>32366</v>
      </c>
      <c r="F360" s="11">
        <v>31422</v>
      </c>
    </row>
    <row r="361" spans="1:6" ht="14" customHeight="1" x14ac:dyDescent="0.2">
      <c r="A361" s="16" t="s">
        <v>522</v>
      </c>
      <c r="B361" s="11">
        <v>0</v>
      </c>
      <c r="C361" s="11">
        <v>1071</v>
      </c>
      <c r="D361" s="11">
        <v>2815</v>
      </c>
      <c r="E361" s="11">
        <v>3839</v>
      </c>
      <c r="F361" s="11">
        <v>40450</v>
      </c>
    </row>
    <row r="362" spans="1:6" ht="14" customHeight="1" x14ac:dyDescent="0.2">
      <c r="A362" s="16" t="s">
        <v>523</v>
      </c>
      <c r="B362" s="11">
        <v>0</v>
      </c>
      <c r="C362" s="11">
        <v>1789</v>
      </c>
      <c r="D362" s="11">
        <v>702</v>
      </c>
      <c r="E362" s="11">
        <v>7948</v>
      </c>
      <c r="F362" s="11">
        <v>22651</v>
      </c>
    </row>
    <row r="363" spans="1:6" ht="14" customHeight="1" x14ac:dyDescent="0.2">
      <c r="A363" s="16" t="s">
        <v>524</v>
      </c>
      <c r="B363" s="11" t="e">
        <v>#N/A</v>
      </c>
      <c r="C363" s="11" t="e">
        <v>#N/A</v>
      </c>
      <c r="D363" s="11" t="e">
        <v>#N/A</v>
      </c>
      <c r="E363" s="11" t="e">
        <v>#N/A</v>
      </c>
      <c r="F363" s="11" t="e">
        <v>#N/A</v>
      </c>
    </row>
    <row r="364" spans="1:6" ht="14" customHeight="1" x14ac:dyDescent="0.2">
      <c r="A364" s="16" t="s">
        <v>525</v>
      </c>
      <c r="B364" s="11" t="e">
        <v>#N/A</v>
      </c>
      <c r="C364" s="11" t="e">
        <v>#N/A</v>
      </c>
      <c r="D364" s="11" t="e">
        <v>#N/A</v>
      </c>
      <c r="E364" s="11" t="e">
        <v>#N/A</v>
      </c>
      <c r="F364" s="11" t="e">
        <v>#N/A</v>
      </c>
    </row>
    <row r="365" spans="1:6" ht="14" customHeight="1" x14ac:dyDescent="0.2">
      <c r="A365" s="16" t="s">
        <v>526</v>
      </c>
      <c r="B365" s="11" t="e">
        <v>#N/A</v>
      </c>
      <c r="C365" s="11" t="e">
        <v>#N/A</v>
      </c>
      <c r="D365" s="11" t="e">
        <v>#N/A</v>
      </c>
      <c r="E365" s="11" t="e">
        <v>#N/A</v>
      </c>
      <c r="F365" s="11" t="e">
        <v>#N/A</v>
      </c>
    </row>
    <row r="366" spans="1:6" ht="14" customHeight="1" x14ac:dyDescent="0.2">
      <c r="A366" s="16" t="s">
        <v>527</v>
      </c>
      <c r="B366" s="11" t="e">
        <v>#N/A</v>
      </c>
      <c r="C366" s="11" t="e">
        <v>#N/A</v>
      </c>
      <c r="D366" s="11" t="e">
        <v>#N/A</v>
      </c>
      <c r="E366" s="11" t="e">
        <v>#N/A</v>
      </c>
      <c r="F366" s="11" t="e">
        <v>#N/A</v>
      </c>
    </row>
    <row r="367" spans="1:6" ht="14" customHeight="1" x14ac:dyDescent="0.2">
      <c r="A367" s="16" t="s">
        <v>528</v>
      </c>
      <c r="B367" s="11">
        <v>0</v>
      </c>
      <c r="C367" s="11">
        <v>0</v>
      </c>
      <c r="D367" s="11">
        <v>729</v>
      </c>
      <c r="E367" s="11">
        <v>0</v>
      </c>
      <c r="F367" s="11">
        <v>6833</v>
      </c>
    </row>
    <row r="368" spans="1:6" ht="14" customHeight="1" x14ac:dyDescent="0.2">
      <c r="A368" s="16" t="s">
        <v>529</v>
      </c>
      <c r="B368" s="11" t="e">
        <v>#N/A</v>
      </c>
      <c r="C368" s="11" t="e">
        <v>#N/A</v>
      </c>
      <c r="D368" s="11" t="e">
        <v>#N/A</v>
      </c>
      <c r="E368" s="11" t="e">
        <v>#N/A</v>
      </c>
      <c r="F368" s="11" t="e">
        <v>#N/A</v>
      </c>
    </row>
    <row r="369" spans="1:6" ht="14" customHeight="1" x14ac:dyDescent="0.2">
      <c r="A369" s="16" t="s">
        <v>530</v>
      </c>
      <c r="B369" s="11" t="e">
        <v>#N/A</v>
      </c>
      <c r="C369" s="11" t="e">
        <v>#N/A</v>
      </c>
      <c r="D369" s="11" t="e">
        <v>#N/A</v>
      </c>
      <c r="E369" s="11" t="e">
        <v>#N/A</v>
      </c>
      <c r="F369" s="11" t="e">
        <v>#N/A</v>
      </c>
    </row>
    <row r="370" spans="1:6" ht="14" customHeight="1" x14ac:dyDescent="0.2">
      <c r="A370" s="16" t="s">
        <v>531</v>
      </c>
      <c r="B370" s="11" t="e">
        <v>#N/A</v>
      </c>
      <c r="C370" s="11" t="e">
        <v>#N/A</v>
      </c>
      <c r="D370" s="11" t="e">
        <v>#N/A</v>
      </c>
      <c r="E370" s="11" t="e">
        <v>#N/A</v>
      </c>
      <c r="F370" s="11" t="e">
        <v>#N/A</v>
      </c>
    </row>
    <row r="371" spans="1:6" ht="14.5" customHeight="1" x14ac:dyDescent="0.2">
      <c r="A371" s="17" t="s">
        <v>532</v>
      </c>
      <c r="B371" s="11" t="e">
        <v>#N/A</v>
      </c>
      <c r="C371" s="11" t="e">
        <v>#N/A</v>
      </c>
      <c r="D371" s="11" t="e">
        <v>#N/A</v>
      </c>
      <c r="E371" s="11" t="e">
        <v>#N/A</v>
      </c>
      <c r="F371" s="11" t="e">
        <v>#N/A</v>
      </c>
    </row>
    <row r="372" spans="1:6" ht="14" customHeight="1" x14ac:dyDescent="0.2">
      <c r="A372" s="16" t="s">
        <v>533</v>
      </c>
      <c r="B372" s="11" t="e">
        <v>#N/A</v>
      </c>
      <c r="C372" s="11" t="e">
        <v>#N/A</v>
      </c>
      <c r="D372" s="11" t="e">
        <v>#N/A</v>
      </c>
      <c r="E372" s="11" t="e">
        <v>#N/A</v>
      </c>
      <c r="F372" s="11" t="e">
        <v>#N/A</v>
      </c>
    </row>
    <row r="373" spans="1:6" ht="14" customHeight="1" x14ac:dyDescent="0.2">
      <c r="A373" s="16" t="s">
        <v>534</v>
      </c>
      <c r="B373" s="11">
        <v>0</v>
      </c>
      <c r="C373" s="11">
        <v>1409</v>
      </c>
      <c r="D373" s="11">
        <v>5130</v>
      </c>
      <c r="E373" s="11">
        <v>3020</v>
      </c>
      <c r="F373" s="11">
        <v>0</v>
      </c>
    </row>
    <row r="374" spans="1:6" ht="14" customHeight="1" x14ac:dyDescent="0.2">
      <c r="A374" s="16" t="s">
        <v>535</v>
      </c>
      <c r="B374" s="11" t="e">
        <v>#N/A</v>
      </c>
      <c r="C374" s="11" t="e">
        <v>#N/A</v>
      </c>
      <c r="D374" s="11" t="e">
        <v>#N/A</v>
      </c>
      <c r="E374" s="11" t="e">
        <v>#N/A</v>
      </c>
      <c r="F374" s="11" t="e">
        <v>#N/A</v>
      </c>
    </row>
    <row r="375" spans="1:6" ht="14" customHeight="1" x14ac:dyDescent="0.2">
      <c r="A375" s="16" t="s">
        <v>536</v>
      </c>
      <c r="B375" s="11">
        <v>0</v>
      </c>
      <c r="C375" s="11">
        <v>0</v>
      </c>
      <c r="D375" s="11">
        <v>228</v>
      </c>
      <c r="E375" s="11">
        <v>0</v>
      </c>
      <c r="F375" s="11">
        <v>0</v>
      </c>
    </row>
    <row r="376" spans="1:6" ht="14" customHeight="1" x14ac:dyDescent="0.2">
      <c r="A376" s="16" t="s">
        <v>537</v>
      </c>
      <c r="B376" s="11" t="e">
        <v>#N/A</v>
      </c>
      <c r="C376" s="11" t="e">
        <v>#N/A</v>
      </c>
      <c r="D376" s="11" t="e">
        <v>#N/A</v>
      </c>
      <c r="E376" s="11" t="e">
        <v>#N/A</v>
      </c>
      <c r="F376" s="11" t="e">
        <v>#N/A</v>
      </c>
    </row>
    <row r="377" spans="1:6" ht="14" customHeight="1" x14ac:dyDescent="0.2">
      <c r="A377" s="16" t="s">
        <v>538</v>
      </c>
      <c r="B377" s="11" t="e">
        <v>#N/A</v>
      </c>
      <c r="C377" s="11" t="e">
        <v>#N/A</v>
      </c>
      <c r="D377" s="11" t="e">
        <v>#N/A</v>
      </c>
      <c r="E377" s="11" t="e">
        <v>#N/A</v>
      </c>
      <c r="F377" s="11" t="e">
        <v>#N/A</v>
      </c>
    </row>
    <row r="378" spans="1:6" ht="14" customHeight="1" x14ac:dyDescent="0.2">
      <c r="A378" s="16" t="s">
        <v>539</v>
      </c>
      <c r="B378" s="11">
        <v>0</v>
      </c>
      <c r="C378" s="11">
        <v>0</v>
      </c>
      <c r="D378" s="11">
        <v>0</v>
      </c>
      <c r="E378" s="11">
        <v>0</v>
      </c>
      <c r="F378" s="11">
        <v>2527</v>
      </c>
    </row>
    <row r="379" spans="1:6" ht="14" customHeight="1" x14ac:dyDescent="0.2">
      <c r="A379" s="16" t="s">
        <v>540</v>
      </c>
      <c r="B379" s="11">
        <v>0</v>
      </c>
      <c r="C379" s="11">
        <v>0</v>
      </c>
      <c r="D379" s="11">
        <v>519</v>
      </c>
      <c r="E379" s="11">
        <v>0</v>
      </c>
      <c r="F379" s="11">
        <v>0</v>
      </c>
    </row>
    <row r="380" spans="1:6" ht="14" customHeight="1" x14ac:dyDescent="0.2">
      <c r="A380" s="16" t="s">
        <v>541</v>
      </c>
      <c r="B380" s="11">
        <v>0</v>
      </c>
      <c r="C380" s="11">
        <v>150</v>
      </c>
      <c r="D380" s="11">
        <v>73</v>
      </c>
      <c r="E380" s="11">
        <v>0</v>
      </c>
      <c r="F380" s="11">
        <v>996</v>
      </c>
    </row>
    <row r="381" spans="1:6" ht="14" customHeight="1" x14ac:dyDescent="0.2">
      <c r="A381" s="16" t="s">
        <v>542</v>
      </c>
      <c r="B381" s="11">
        <v>0</v>
      </c>
      <c r="C381" s="11">
        <v>2261</v>
      </c>
      <c r="D381" s="11">
        <v>3440</v>
      </c>
      <c r="E381" s="11">
        <v>4330</v>
      </c>
      <c r="F381" s="11">
        <v>34420</v>
      </c>
    </row>
    <row r="382" spans="1:6" ht="14" customHeight="1" x14ac:dyDescent="0.2">
      <c r="A382" s="16" t="s">
        <v>543</v>
      </c>
      <c r="B382" s="11" t="e">
        <v>#N/A</v>
      </c>
      <c r="C382" s="11" t="e">
        <v>#N/A</v>
      </c>
      <c r="D382" s="11" t="e">
        <v>#N/A</v>
      </c>
      <c r="E382" s="11" t="e">
        <v>#N/A</v>
      </c>
      <c r="F382" s="11" t="e">
        <v>#N/A</v>
      </c>
    </row>
    <row r="383" spans="1:6" ht="14" customHeight="1" x14ac:dyDescent="0.2">
      <c r="A383" s="16" t="s">
        <v>544</v>
      </c>
      <c r="B383" s="11">
        <v>0</v>
      </c>
      <c r="C383" s="11">
        <v>1403</v>
      </c>
      <c r="D383" s="11">
        <v>11661</v>
      </c>
      <c r="E383" s="11">
        <v>24884</v>
      </c>
      <c r="F383" s="11">
        <v>0</v>
      </c>
    </row>
    <row r="384" spans="1:6" ht="14" customHeight="1" x14ac:dyDescent="0.2">
      <c r="A384" s="16" t="s">
        <v>545</v>
      </c>
      <c r="B384" s="11" t="e">
        <v>#N/A</v>
      </c>
      <c r="C384" s="11" t="e">
        <v>#N/A</v>
      </c>
      <c r="D384" s="11" t="e">
        <v>#N/A</v>
      </c>
      <c r="E384" s="11" t="e">
        <v>#N/A</v>
      </c>
      <c r="F384" s="11" t="e">
        <v>#N/A</v>
      </c>
    </row>
    <row r="385" spans="1:6" ht="14" customHeight="1" x14ac:dyDescent="0.2">
      <c r="A385" s="16" t="s">
        <v>546</v>
      </c>
      <c r="B385" s="11" t="e">
        <v>#N/A</v>
      </c>
      <c r="C385" s="11" t="e">
        <v>#N/A</v>
      </c>
      <c r="D385" s="11" t="e">
        <v>#N/A</v>
      </c>
      <c r="E385" s="11" t="e">
        <v>#N/A</v>
      </c>
      <c r="F385" s="11" t="e">
        <v>#N/A</v>
      </c>
    </row>
    <row r="386" spans="1:6" ht="14" customHeight="1" x14ac:dyDescent="0.2">
      <c r="A386" s="16" t="s">
        <v>547</v>
      </c>
      <c r="B386" s="11">
        <v>0</v>
      </c>
      <c r="C386" s="11">
        <v>0</v>
      </c>
      <c r="D386" s="11">
        <v>7164</v>
      </c>
      <c r="E386" s="11">
        <v>6139</v>
      </c>
      <c r="F386" s="11">
        <v>0</v>
      </c>
    </row>
    <row r="387" spans="1:6" ht="14" customHeight="1" x14ac:dyDescent="0.2">
      <c r="A387" s="16" t="s">
        <v>548</v>
      </c>
      <c r="B387" s="11" t="e">
        <v>#N/A</v>
      </c>
      <c r="C387" s="11" t="e">
        <v>#N/A</v>
      </c>
      <c r="D387" s="11" t="e">
        <v>#N/A</v>
      </c>
      <c r="E387" s="11" t="e">
        <v>#N/A</v>
      </c>
      <c r="F387" s="11" t="e">
        <v>#N/A</v>
      </c>
    </row>
    <row r="388" spans="1:6" ht="14.5" customHeight="1" x14ac:dyDescent="0.2">
      <c r="A388" s="17" t="s">
        <v>549</v>
      </c>
      <c r="B388" s="11" t="e">
        <v>#N/A</v>
      </c>
      <c r="C388" s="11" t="e">
        <v>#N/A</v>
      </c>
      <c r="D388" s="11" t="e">
        <v>#N/A</v>
      </c>
      <c r="E388" s="11" t="e">
        <v>#N/A</v>
      </c>
      <c r="F388" s="11" t="e">
        <v>#N/A</v>
      </c>
    </row>
    <row r="389" spans="1:6" ht="14" customHeight="1" x14ac:dyDescent="0.2">
      <c r="A389" s="16" t="s">
        <v>550</v>
      </c>
      <c r="B389" s="11">
        <v>13327</v>
      </c>
      <c r="C389" s="11">
        <v>0</v>
      </c>
      <c r="D389" s="11">
        <v>0</v>
      </c>
      <c r="E389" s="11">
        <v>3749</v>
      </c>
      <c r="F389" s="11">
        <v>0</v>
      </c>
    </row>
    <row r="390" spans="1:6" ht="14" customHeight="1" x14ac:dyDescent="0.2">
      <c r="A390" s="16" t="s">
        <v>551</v>
      </c>
      <c r="B390" s="11">
        <v>0</v>
      </c>
      <c r="C390" s="11">
        <v>0</v>
      </c>
      <c r="D390" s="11">
        <v>477</v>
      </c>
      <c r="E390" s="11">
        <v>5779</v>
      </c>
      <c r="F390" s="11">
        <v>1692</v>
      </c>
    </row>
    <row r="391" spans="1:6" ht="14" customHeight="1" x14ac:dyDescent="0.2">
      <c r="A391" s="16" t="s">
        <v>552</v>
      </c>
      <c r="B391" s="11" t="e">
        <v>#N/A</v>
      </c>
      <c r="C391" s="11" t="e">
        <v>#N/A</v>
      </c>
      <c r="D391" s="11" t="e">
        <v>#N/A</v>
      </c>
      <c r="E391" s="11" t="e">
        <v>#N/A</v>
      </c>
      <c r="F391" s="11" t="e">
        <v>#N/A</v>
      </c>
    </row>
    <row r="392" spans="1:6" ht="14" customHeight="1" x14ac:dyDescent="0.2">
      <c r="A392" s="16" t="s">
        <v>553</v>
      </c>
      <c r="B392" s="11" t="e">
        <v>#N/A</v>
      </c>
      <c r="C392" s="11" t="e">
        <v>#N/A</v>
      </c>
      <c r="D392" s="11" t="e">
        <v>#N/A</v>
      </c>
      <c r="E392" s="11" t="e">
        <v>#N/A</v>
      </c>
      <c r="F392" s="11" t="e">
        <v>#N/A</v>
      </c>
    </row>
    <row r="393" spans="1:6" ht="14" customHeight="1" x14ac:dyDescent="0.2">
      <c r="A393" s="16" t="s">
        <v>554</v>
      </c>
      <c r="B393" s="11" t="e">
        <v>#N/A</v>
      </c>
      <c r="C393" s="11" t="e">
        <v>#N/A</v>
      </c>
      <c r="D393" s="11" t="e">
        <v>#N/A</v>
      </c>
      <c r="E393" s="11" t="e">
        <v>#N/A</v>
      </c>
      <c r="F393" s="11" t="e">
        <v>#N/A</v>
      </c>
    </row>
    <row r="394" spans="1:6" ht="14" customHeight="1" x14ac:dyDescent="0.2">
      <c r="A394" s="16" t="s">
        <v>555</v>
      </c>
      <c r="B394" s="11">
        <v>0</v>
      </c>
      <c r="C394" s="11">
        <v>1862</v>
      </c>
      <c r="D394" s="11">
        <v>8433</v>
      </c>
      <c r="E394" s="11">
        <v>10723</v>
      </c>
      <c r="F394" s="11">
        <v>0</v>
      </c>
    </row>
    <row r="395" spans="1:6" ht="14" customHeight="1" x14ac:dyDescent="0.2">
      <c r="A395" s="16" t="s">
        <v>556</v>
      </c>
      <c r="B395" s="11">
        <v>0</v>
      </c>
      <c r="C395" s="11">
        <v>92</v>
      </c>
      <c r="D395" s="11">
        <v>0</v>
      </c>
      <c r="E395" s="11">
        <v>0</v>
      </c>
      <c r="F395" s="11">
        <v>0</v>
      </c>
    </row>
    <row r="396" spans="1:6" ht="14" customHeight="1" x14ac:dyDescent="0.2">
      <c r="A396" s="16" t="s">
        <v>557</v>
      </c>
      <c r="B396" s="11">
        <v>0</v>
      </c>
      <c r="C396" s="11">
        <v>0</v>
      </c>
      <c r="D396" s="11">
        <v>4333</v>
      </c>
      <c r="E396" s="11">
        <v>794</v>
      </c>
      <c r="F396" s="11">
        <v>0</v>
      </c>
    </row>
    <row r="397" spans="1:6" ht="14" customHeight="1" x14ac:dyDescent="0.2">
      <c r="A397" s="16" t="s">
        <v>558</v>
      </c>
      <c r="B397" s="11">
        <v>0</v>
      </c>
      <c r="C397" s="11">
        <v>0</v>
      </c>
      <c r="D397" s="11">
        <v>189</v>
      </c>
      <c r="E397" s="11">
        <v>0</v>
      </c>
      <c r="F397" s="11">
        <v>3020</v>
      </c>
    </row>
    <row r="398" spans="1:6" ht="14" customHeight="1" x14ac:dyDescent="0.2">
      <c r="A398" s="16" t="s">
        <v>559</v>
      </c>
      <c r="B398" s="11">
        <v>0</v>
      </c>
      <c r="C398" s="11">
        <v>0</v>
      </c>
      <c r="D398" s="11">
        <v>0</v>
      </c>
      <c r="E398" s="11">
        <v>41</v>
      </c>
      <c r="F398" s="11">
        <v>0</v>
      </c>
    </row>
    <row r="399" spans="1:6" ht="14" customHeight="1" x14ac:dyDescent="0.2">
      <c r="A399" s="16" t="s">
        <v>560</v>
      </c>
      <c r="B399" s="11" t="e">
        <v>#N/A</v>
      </c>
      <c r="C399" s="11" t="e">
        <v>#N/A</v>
      </c>
      <c r="D399" s="11" t="e">
        <v>#N/A</v>
      </c>
      <c r="E399" s="11" t="e">
        <v>#N/A</v>
      </c>
      <c r="F399" s="11" t="e">
        <v>#N/A</v>
      </c>
    </row>
    <row r="400" spans="1:6" ht="14" customHeight="1" x14ac:dyDescent="0.2">
      <c r="A400" s="16" t="s">
        <v>561</v>
      </c>
      <c r="B400" s="11" t="e">
        <v>#N/A</v>
      </c>
      <c r="C400" s="11" t="e">
        <v>#N/A</v>
      </c>
      <c r="D400" s="11" t="e">
        <v>#N/A</v>
      </c>
      <c r="E400" s="11" t="e">
        <v>#N/A</v>
      </c>
      <c r="F400" s="11" t="e">
        <v>#N/A</v>
      </c>
    </row>
    <row r="401" spans="1:6" ht="14" customHeight="1" x14ac:dyDescent="0.2">
      <c r="A401" s="16" t="s">
        <v>562</v>
      </c>
      <c r="B401" s="11">
        <v>0</v>
      </c>
      <c r="C401" s="11">
        <v>685</v>
      </c>
      <c r="D401" s="11">
        <v>2041</v>
      </c>
      <c r="E401" s="11">
        <v>2161</v>
      </c>
      <c r="F401" s="11">
        <v>0</v>
      </c>
    </row>
    <row r="402" spans="1:6" ht="14" customHeight="1" x14ac:dyDescent="0.2">
      <c r="A402" s="16" t="s">
        <v>563</v>
      </c>
      <c r="B402" s="11" t="e">
        <v>#N/A</v>
      </c>
      <c r="C402" s="11" t="e">
        <v>#N/A</v>
      </c>
      <c r="D402" s="11" t="e">
        <v>#N/A</v>
      </c>
      <c r="E402" s="11" t="e">
        <v>#N/A</v>
      </c>
      <c r="F402" s="11" t="e">
        <v>#N/A</v>
      </c>
    </row>
    <row r="403" spans="1:6" ht="14" customHeight="1" x14ac:dyDescent="0.2">
      <c r="A403" s="16" t="s">
        <v>564</v>
      </c>
      <c r="B403" s="11">
        <v>0</v>
      </c>
      <c r="C403" s="11">
        <v>0</v>
      </c>
      <c r="D403" s="11">
        <v>0</v>
      </c>
      <c r="E403" s="11">
        <v>123</v>
      </c>
      <c r="F403" s="11">
        <v>11052</v>
      </c>
    </row>
    <row r="404" spans="1:6" ht="14" customHeight="1" x14ac:dyDescent="0.2">
      <c r="A404" s="16" t="s">
        <v>565</v>
      </c>
      <c r="B404" s="11">
        <v>0</v>
      </c>
      <c r="C404" s="11">
        <v>2269</v>
      </c>
      <c r="D404" s="11">
        <v>585</v>
      </c>
      <c r="E404" s="11">
        <v>0</v>
      </c>
      <c r="F404" s="11">
        <v>1960</v>
      </c>
    </row>
    <row r="405" spans="1:6" ht="14" customHeight="1" x14ac:dyDescent="0.2">
      <c r="A405" s="16" t="s">
        <v>566</v>
      </c>
      <c r="B405" s="11">
        <v>0</v>
      </c>
      <c r="C405" s="11">
        <v>0</v>
      </c>
      <c r="D405" s="11">
        <v>0</v>
      </c>
      <c r="E405" s="11">
        <v>2562</v>
      </c>
      <c r="F405" s="11">
        <v>0</v>
      </c>
    </row>
    <row r="406" spans="1:6" ht="14" customHeight="1" x14ac:dyDescent="0.2">
      <c r="A406" s="16" t="s">
        <v>567</v>
      </c>
      <c r="B406" s="11" t="e">
        <v>#N/A</v>
      </c>
      <c r="C406" s="11" t="e">
        <v>#N/A</v>
      </c>
      <c r="D406" s="11" t="e">
        <v>#N/A</v>
      </c>
      <c r="E406" s="11" t="e">
        <v>#N/A</v>
      </c>
      <c r="F406" s="11" t="e">
        <v>#N/A</v>
      </c>
    </row>
    <row r="407" spans="1:6" ht="14" customHeight="1" x14ac:dyDescent="0.2">
      <c r="A407" s="16" t="s">
        <v>568</v>
      </c>
      <c r="B407" s="11">
        <v>0</v>
      </c>
      <c r="C407" s="11">
        <v>0</v>
      </c>
      <c r="D407" s="11">
        <v>421</v>
      </c>
      <c r="E407" s="11">
        <v>0</v>
      </c>
      <c r="F407" s="11">
        <v>0</v>
      </c>
    </row>
    <row r="408" spans="1:6" ht="14" customHeight="1" x14ac:dyDescent="0.2">
      <c r="A408" s="16" t="s">
        <v>569</v>
      </c>
      <c r="B408" s="11">
        <v>0</v>
      </c>
      <c r="C408" s="11">
        <v>0</v>
      </c>
      <c r="D408" s="11">
        <v>53</v>
      </c>
      <c r="E408" s="11">
        <v>0</v>
      </c>
      <c r="F408" s="11">
        <v>0</v>
      </c>
    </row>
    <row r="409" spans="1:6" ht="14" customHeight="1" x14ac:dyDescent="0.2">
      <c r="A409" s="16" t="s">
        <v>570</v>
      </c>
      <c r="B409" s="11">
        <v>0</v>
      </c>
      <c r="C409" s="11">
        <v>278</v>
      </c>
      <c r="D409" s="11">
        <v>0</v>
      </c>
      <c r="E409" s="11">
        <v>311</v>
      </c>
      <c r="F409" s="11">
        <v>18260</v>
      </c>
    </row>
    <row r="410" spans="1:6" ht="14" customHeight="1" x14ac:dyDescent="0.2">
      <c r="A410" s="16" t="s">
        <v>571</v>
      </c>
      <c r="B410" s="11" t="e">
        <v>#N/A</v>
      </c>
      <c r="C410" s="11" t="e">
        <v>#N/A</v>
      </c>
      <c r="D410" s="11" t="e">
        <v>#N/A</v>
      </c>
      <c r="E410" s="11" t="e">
        <v>#N/A</v>
      </c>
      <c r="F410" s="11" t="e">
        <v>#N/A</v>
      </c>
    </row>
    <row r="411" spans="1:6" ht="14" customHeight="1" x14ac:dyDescent="0.2">
      <c r="A411" s="16" t="s">
        <v>572</v>
      </c>
      <c r="B411" s="11" t="e">
        <v>#N/A</v>
      </c>
      <c r="C411" s="11" t="e">
        <v>#N/A</v>
      </c>
      <c r="D411" s="11" t="e">
        <v>#N/A</v>
      </c>
      <c r="E411" s="11" t="e">
        <v>#N/A</v>
      </c>
      <c r="F411" s="11" t="e">
        <v>#N/A</v>
      </c>
    </row>
    <row r="412" spans="1:6" ht="14" customHeight="1" x14ac:dyDescent="0.2">
      <c r="A412" s="16" t="s">
        <v>573</v>
      </c>
      <c r="B412" s="11">
        <v>0</v>
      </c>
      <c r="C412" s="11">
        <v>367</v>
      </c>
      <c r="D412" s="11">
        <v>9577</v>
      </c>
      <c r="E412" s="11">
        <v>13334</v>
      </c>
      <c r="F412" s="11">
        <v>3545</v>
      </c>
    </row>
    <row r="413" spans="1:6" ht="14" customHeight="1" x14ac:dyDescent="0.2">
      <c r="A413" s="16" t="s">
        <v>574</v>
      </c>
      <c r="B413" s="11">
        <v>0</v>
      </c>
      <c r="C413" s="11">
        <v>0</v>
      </c>
      <c r="D413" s="11">
        <v>107</v>
      </c>
      <c r="E413" s="11">
        <v>2709</v>
      </c>
      <c r="F413" s="11">
        <v>7539</v>
      </c>
    </row>
    <row r="414" spans="1:6" ht="14" customHeight="1" x14ac:dyDescent="0.2">
      <c r="A414" s="16" t="s">
        <v>575</v>
      </c>
      <c r="B414" s="11">
        <v>0</v>
      </c>
      <c r="C414" s="11">
        <v>0</v>
      </c>
      <c r="D414" s="11">
        <v>18</v>
      </c>
      <c r="E414" s="11">
        <v>0</v>
      </c>
      <c r="F414" s="11">
        <v>0</v>
      </c>
    </row>
    <row r="415" spans="1:6" ht="14" customHeight="1" x14ac:dyDescent="0.2">
      <c r="A415" s="16" t="s">
        <v>576</v>
      </c>
      <c r="B415" s="11" t="e">
        <v>#N/A</v>
      </c>
      <c r="C415" s="11" t="e">
        <v>#N/A</v>
      </c>
      <c r="D415" s="11" t="e">
        <v>#N/A</v>
      </c>
      <c r="E415" s="11" t="e">
        <v>#N/A</v>
      </c>
      <c r="F415" s="11" t="e">
        <v>#N/A</v>
      </c>
    </row>
    <row r="416" spans="1:6" ht="14" customHeight="1" x14ac:dyDescent="0.2">
      <c r="A416" s="16" t="s">
        <v>577</v>
      </c>
      <c r="B416" s="11" t="e">
        <v>#N/A</v>
      </c>
      <c r="C416" s="11" t="e">
        <v>#N/A</v>
      </c>
      <c r="D416" s="11" t="e">
        <v>#N/A</v>
      </c>
      <c r="E416" s="11" t="e">
        <v>#N/A</v>
      </c>
      <c r="F416" s="11" t="e">
        <v>#N/A</v>
      </c>
    </row>
    <row r="417" spans="1:6" ht="14" customHeight="1" x14ac:dyDescent="0.2">
      <c r="A417" s="16" t="s">
        <v>578</v>
      </c>
      <c r="B417" s="11">
        <v>30717</v>
      </c>
      <c r="C417" s="11">
        <v>12270</v>
      </c>
      <c r="D417" s="11">
        <v>260</v>
      </c>
      <c r="E417" s="11">
        <v>0</v>
      </c>
      <c r="F417" s="11">
        <v>0</v>
      </c>
    </row>
    <row r="418" spans="1:6" ht="14" customHeight="1" x14ac:dyDescent="0.2">
      <c r="A418" s="16" t="s">
        <v>579</v>
      </c>
      <c r="B418" s="11">
        <v>0</v>
      </c>
      <c r="C418" s="11">
        <v>19</v>
      </c>
      <c r="D418" s="11">
        <v>40</v>
      </c>
      <c r="E418" s="11">
        <v>1244</v>
      </c>
      <c r="F418" s="11">
        <v>1681</v>
      </c>
    </row>
    <row r="419" spans="1:6" ht="14" customHeight="1" x14ac:dyDescent="0.2">
      <c r="A419" s="16" t="s">
        <v>580</v>
      </c>
      <c r="B419" s="11" t="e">
        <v>#N/A</v>
      </c>
      <c r="C419" s="11" t="e">
        <v>#N/A</v>
      </c>
      <c r="D419" s="11" t="e">
        <v>#N/A</v>
      </c>
      <c r="E419" s="11" t="e">
        <v>#N/A</v>
      </c>
      <c r="F419" s="11" t="e">
        <v>#N/A</v>
      </c>
    </row>
    <row r="420" spans="1:6" ht="14" customHeight="1" x14ac:dyDescent="0.2">
      <c r="A420" s="16" t="s">
        <v>581</v>
      </c>
      <c r="B420" s="11" t="e">
        <v>#N/A</v>
      </c>
      <c r="C420" s="11" t="e">
        <v>#N/A</v>
      </c>
      <c r="D420" s="11" t="e">
        <v>#N/A</v>
      </c>
      <c r="E420" s="11" t="e">
        <v>#N/A</v>
      </c>
      <c r="F420" s="11" t="e">
        <v>#N/A</v>
      </c>
    </row>
    <row r="421" spans="1:6" ht="14" customHeight="1" x14ac:dyDescent="0.2">
      <c r="A421" s="16" t="s">
        <v>582</v>
      </c>
      <c r="B421" s="11" t="e">
        <v>#N/A</v>
      </c>
      <c r="C421" s="11" t="e">
        <v>#N/A</v>
      </c>
      <c r="D421" s="11" t="e">
        <v>#N/A</v>
      </c>
      <c r="E421" s="11" t="e">
        <v>#N/A</v>
      </c>
      <c r="F421" s="11" t="e">
        <v>#N/A</v>
      </c>
    </row>
    <row r="422" spans="1:6" ht="14" customHeight="1" x14ac:dyDescent="0.2">
      <c r="A422" s="16" t="s">
        <v>583</v>
      </c>
      <c r="B422" s="11">
        <v>0</v>
      </c>
      <c r="C422" s="11">
        <v>113</v>
      </c>
      <c r="D422" s="11">
        <v>0</v>
      </c>
      <c r="E422" s="11">
        <v>221</v>
      </c>
      <c r="F422" s="11">
        <v>0</v>
      </c>
    </row>
    <row r="423" spans="1:6" ht="14" customHeight="1" x14ac:dyDescent="0.2">
      <c r="A423" s="16" t="s">
        <v>584</v>
      </c>
      <c r="B423" s="11">
        <v>0</v>
      </c>
      <c r="C423" s="11">
        <v>1342</v>
      </c>
      <c r="D423" s="11">
        <v>1222</v>
      </c>
      <c r="E423" s="11">
        <v>26734</v>
      </c>
      <c r="F423" s="11">
        <v>278</v>
      </c>
    </row>
    <row r="424" spans="1:6" ht="14" customHeight="1" x14ac:dyDescent="0.2">
      <c r="A424" s="16" t="s">
        <v>585</v>
      </c>
      <c r="B424" s="11">
        <v>0</v>
      </c>
      <c r="C424" s="11">
        <v>3277</v>
      </c>
      <c r="D424" s="11">
        <v>0</v>
      </c>
      <c r="E424" s="11">
        <v>15733</v>
      </c>
      <c r="F424" s="11">
        <v>2624</v>
      </c>
    </row>
    <row r="425" spans="1:6" ht="14" customHeight="1" x14ac:dyDescent="0.2">
      <c r="A425" s="16" t="s">
        <v>586</v>
      </c>
      <c r="B425" s="11" t="e">
        <v>#N/A</v>
      </c>
      <c r="C425" s="11" t="e">
        <v>#N/A</v>
      </c>
      <c r="D425" s="11" t="e">
        <v>#N/A</v>
      </c>
      <c r="E425" s="11" t="e">
        <v>#N/A</v>
      </c>
      <c r="F425" s="11" t="e">
        <v>#N/A</v>
      </c>
    </row>
    <row r="426" spans="1:6" ht="14" customHeight="1" x14ac:dyDescent="0.2">
      <c r="A426" s="16" t="s">
        <v>587</v>
      </c>
      <c r="B426" s="11" t="e">
        <v>#N/A</v>
      </c>
      <c r="C426" s="11" t="e">
        <v>#N/A</v>
      </c>
      <c r="D426" s="11" t="e">
        <v>#N/A</v>
      </c>
      <c r="E426" s="11" t="e">
        <v>#N/A</v>
      </c>
      <c r="F426" s="11" t="e">
        <v>#N/A</v>
      </c>
    </row>
    <row r="427" spans="1:6" ht="14" customHeight="1" x14ac:dyDescent="0.2">
      <c r="A427" s="16" t="s">
        <v>588</v>
      </c>
      <c r="B427" s="11" t="e">
        <v>#N/A</v>
      </c>
      <c r="C427" s="11" t="e">
        <v>#N/A</v>
      </c>
      <c r="D427" s="11" t="e">
        <v>#N/A</v>
      </c>
      <c r="E427" s="11" t="e">
        <v>#N/A</v>
      </c>
      <c r="F427" s="11" t="e">
        <v>#N/A</v>
      </c>
    </row>
    <row r="428" spans="1:6" ht="14" customHeight="1" x14ac:dyDescent="0.2">
      <c r="A428" s="16" t="s">
        <v>589</v>
      </c>
      <c r="B428" s="11" t="e">
        <v>#N/A</v>
      </c>
      <c r="C428" s="11" t="e">
        <v>#N/A</v>
      </c>
      <c r="D428" s="11" t="e">
        <v>#N/A</v>
      </c>
      <c r="E428" s="11" t="e">
        <v>#N/A</v>
      </c>
      <c r="F428" s="11" t="e">
        <v>#N/A</v>
      </c>
    </row>
    <row r="429" spans="1:6" ht="14" customHeight="1" x14ac:dyDescent="0.2">
      <c r="A429" s="16" t="s">
        <v>590</v>
      </c>
      <c r="B429" s="11" t="e">
        <v>#N/A</v>
      </c>
      <c r="C429" s="11" t="e">
        <v>#N/A</v>
      </c>
      <c r="D429" s="11" t="e">
        <v>#N/A</v>
      </c>
      <c r="E429" s="11" t="e">
        <v>#N/A</v>
      </c>
      <c r="F429" s="11" t="e">
        <v>#N/A</v>
      </c>
    </row>
    <row r="430" spans="1:6" ht="14" customHeight="1" x14ac:dyDescent="0.2">
      <c r="A430" s="16" t="s">
        <v>591</v>
      </c>
      <c r="B430" s="11">
        <v>3167</v>
      </c>
      <c r="C430" s="11">
        <v>7586</v>
      </c>
      <c r="D430" s="11">
        <v>0</v>
      </c>
      <c r="E430" s="11">
        <v>0</v>
      </c>
      <c r="F430" s="11">
        <v>0</v>
      </c>
    </row>
    <row r="431" spans="1:6" ht="14" customHeight="1" x14ac:dyDescent="0.2">
      <c r="A431" s="16" t="s">
        <v>592</v>
      </c>
      <c r="B431" s="11">
        <v>0</v>
      </c>
      <c r="C431" s="11">
        <v>171</v>
      </c>
      <c r="D431" s="11">
        <v>0</v>
      </c>
      <c r="E431" s="11">
        <v>0</v>
      </c>
      <c r="F431" s="11">
        <v>0</v>
      </c>
    </row>
    <row r="432" spans="1:6" ht="14" customHeight="1" x14ac:dyDescent="0.2">
      <c r="A432" s="16" t="s">
        <v>593</v>
      </c>
      <c r="B432" s="11" t="e">
        <v>#N/A</v>
      </c>
      <c r="C432" s="11" t="e">
        <v>#N/A</v>
      </c>
      <c r="D432" s="11" t="e">
        <v>#N/A</v>
      </c>
      <c r="E432" s="11" t="e">
        <v>#N/A</v>
      </c>
      <c r="F432" s="11" t="e">
        <v>#N/A</v>
      </c>
    </row>
    <row r="433" spans="1:6" ht="14" customHeight="1" x14ac:dyDescent="0.2">
      <c r="A433" s="16" t="s">
        <v>594</v>
      </c>
      <c r="B433" s="11">
        <v>0</v>
      </c>
      <c r="C433" s="11">
        <v>202</v>
      </c>
      <c r="D433" s="11">
        <v>6785</v>
      </c>
      <c r="E433" s="11">
        <v>36254</v>
      </c>
      <c r="F433" s="11">
        <v>73039</v>
      </c>
    </row>
    <row r="434" spans="1:6" ht="14" customHeight="1" x14ac:dyDescent="0.2">
      <c r="A434" s="16" t="s">
        <v>595</v>
      </c>
      <c r="B434" s="11">
        <v>0</v>
      </c>
      <c r="C434" s="11">
        <v>202</v>
      </c>
      <c r="D434" s="11">
        <v>6785</v>
      </c>
      <c r="E434" s="11">
        <v>36254</v>
      </c>
      <c r="F434" s="11">
        <v>73039</v>
      </c>
    </row>
    <row r="435" spans="1:6" ht="14" customHeight="1" x14ac:dyDescent="0.2">
      <c r="A435" s="16" t="s">
        <v>596</v>
      </c>
      <c r="B435" s="11" t="e">
        <v>#N/A</v>
      </c>
      <c r="C435" s="11" t="e">
        <v>#N/A</v>
      </c>
      <c r="D435" s="11" t="e">
        <v>#N/A</v>
      </c>
      <c r="E435" s="11" t="e">
        <v>#N/A</v>
      </c>
      <c r="F435" s="11" t="e">
        <v>#N/A</v>
      </c>
    </row>
    <row r="436" spans="1:6" ht="14" customHeight="1" x14ac:dyDescent="0.2">
      <c r="A436" s="16" t="s">
        <v>597</v>
      </c>
      <c r="B436" s="11">
        <v>0</v>
      </c>
      <c r="C436" s="11">
        <v>2914</v>
      </c>
      <c r="D436" s="11">
        <v>13821</v>
      </c>
      <c r="E436" s="11">
        <v>0</v>
      </c>
      <c r="F436" s="11">
        <v>0</v>
      </c>
    </row>
    <row r="437" spans="1:6" ht="14" customHeight="1" x14ac:dyDescent="0.2">
      <c r="A437" s="16" t="s">
        <v>598</v>
      </c>
      <c r="B437" s="11" t="e">
        <v>#N/A</v>
      </c>
      <c r="C437" s="11" t="e">
        <v>#N/A</v>
      </c>
      <c r="D437" s="11" t="e">
        <v>#N/A</v>
      </c>
      <c r="E437" s="11" t="e">
        <v>#N/A</v>
      </c>
      <c r="F437" s="11" t="e">
        <v>#N/A</v>
      </c>
    </row>
    <row r="438" spans="1:6" ht="14" customHeight="1" x14ac:dyDescent="0.2">
      <c r="A438" s="16" t="s">
        <v>599</v>
      </c>
      <c r="B438" s="11" t="e">
        <v>#N/A</v>
      </c>
      <c r="C438" s="11" t="e">
        <v>#N/A</v>
      </c>
      <c r="D438" s="11" t="e">
        <v>#N/A</v>
      </c>
      <c r="E438" s="11" t="e">
        <v>#N/A</v>
      </c>
      <c r="F438" s="11" t="e">
        <v>#N/A</v>
      </c>
    </row>
    <row r="439" spans="1:6" ht="14" customHeight="1" x14ac:dyDescent="0.2">
      <c r="A439" s="16" t="s">
        <v>600</v>
      </c>
      <c r="B439" s="11" t="e">
        <v>#N/A</v>
      </c>
      <c r="C439" s="11" t="e">
        <v>#N/A</v>
      </c>
      <c r="D439" s="11" t="e">
        <v>#N/A</v>
      </c>
      <c r="E439" s="11" t="e">
        <v>#N/A</v>
      </c>
      <c r="F439" s="11" t="e">
        <v>#N/A</v>
      </c>
    </row>
    <row r="440" spans="1:6" ht="14" customHeight="1" x14ac:dyDescent="0.2">
      <c r="A440" s="16" t="s">
        <v>601</v>
      </c>
      <c r="B440" s="11">
        <v>0</v>
      </c>
      <c r="C440" s="11">
        <v>2261</v>
      </c>
      <c r="D440" s="11">
        <v>3440</v>
      </c>
      <c r="E440" s="11">
        <v>4330</v>
      </c>
      <c r="F440" s="11">
        <v>34420</v>
      </c>
    </row>
    <row r="441" spans="1:6" ht="14" customHeight="1" x14ac:dyDescent="0.2">
      <c r="A441" s="16" t="s">
        <v>602</v>
      </c>
      <c r="B441" s="11">
        <v>0</v>
      </c>
      <c r="C441" s="11">
        <v>451</v>
      </c>
      <c r="D441" s="11">
        <v>3777</v>
      </c>
      <c r="E441" s="11">
        <v>0</v>
      </c>
      <c r="F441" s="11">
        <v>0</v>
      </c>
    </row>
    <row r="442" spans="1:6" ht="14" customHeight="1" x14ac:dyDescent="0.2">
      <c r="A442" s="16" t="s">
        <v>603</v>
      </c>
      <c r="B442" s="11">
        <v>0</v>
      </c>
      <c r="C442" s="11">
        <v>0</v>
      </c>
      <c r="D442" s="11">
        <v>252</v>
      </c>
      <c r="E442" s="11">
        <v>0</v>
      </c>
      <c r="F442" s="11">
        <v>11170</v>
      </c>
    </row>
    <row r="443" spans="1:6" ht="14" customHeight="1" x14ac:dyDescent="0.2">
      <c r="A443" s="16" t="s">
        <v>604</v>
      </c>
      <c r="B443" s="11">
        <v>4888</v>
      </c>
      <c r="C443" s="11">
        <v>10154</v>
      </c>
      <c r="D443" s="11">
        <v>34119</v>
      </c>
      <c r="E443" s="11">
        <v>8750</v>
      </c>
      <c r="F443" s="11">
        <v>20819</v>
      </c>
    </row>
    <row r="444" spans="1:6" ht="14" customHeight="1" x14ac:dyDescent="0.2">
      <c r="A444" s="16" t="s">
        <v>605</v>
      </c>
      <c r="B444" s="11">
        <v>0</v>
      </c>
      <c r="C444" s="11">
        <v>52</v>
      </c>
      <c r="D444" s="11">
        <v>768</v>
      </c>
      <c r="E444" s="11">
        <v>0</v>
      </c>
      <c r="F444" s="11">
        <v>0</v>
      </c>
    </row>
    <row r="445" spans="1:6" ht="14" customHeight="1" x14ac:dyDescent="0.2">
      <c r="A445" s="16" t="s">
        <v>606</v>
      </c>
      <c r="B445" s="11" t="e">
        <v>#N/A</v>
      </c>
      <c r="C445" s="11" t="e">
        <v>#N/A</v>
      </c>
      <c r="D445" s="11" t="e">
        <v>#N/A</v>
      </c>
      <c r="E445" s="11" t="e">
        <v>#N/A</v>
      </c>
      <c r="F445" s="11" t="e">
        <v>#N/A</v>
      </c>
    </row>
    <row r="446" spans="1:6" ht="14" customHeight="1" x14ac:dyDescent="0.2">
      <c r="A446" s="16" t="s">
        <v>607</v>
      </c>
      <c r="B446" s="11">
        <v>0</v>
      </c>
      <c r="C446" s="11">
        <v>0</v>
      </c>
      <c r="D446" s="11">
        <v>1124</v>
      </c>
      <c r="E446" s="11">
        <v>0</v>
      </c>
      <c r="F446" s="11">
        <v>0</v>
      </c>
    </row>
    <row r="447" spans="1:6" ht="14" customHeight="1" x14ac:dyDescent="0.2">
      <c r="A447" s="16" t="s">
        <v>608</v>
      </c>
      <c r="B447" s="11" t="e">
        <v>#N/A</v>
      </c>
      <c r="C447" s="11" t="e">
        <v>#N/A</v>
      </c>
      <c r="D447" s="11" t="e">
        <v>#N/A</v>
      </c>
      <c r="E447" s="11" t="e">
        <v>#N/A</v>
      </c>
      <c r="F447" s="11" t="e">
        <v>#N/A</v>
      </c>
    </row>
    <row r="448" spans="1:6" ht="14" customHeight="1" x14ac:dyDescent="0.2">
      <c r="A448" s="16" t="s">
        <v>609</v>
      </c>
      <c r="B448" s="11" t="e">
        <v>#N/A</v>
      </c>
      <c r="C448" s="11" t="e">
        <v>#N/A</v>
      </c>
      <c r="D448" s="11" t="e">
        <v>#N/A</v>
      </c>
      <c r="E448" s="11" t="e">
        <v>#N/A</v>
      </c>
      <c r="F448" s="11" t="e">
        <v>#N/A</v>
      </c>
    </row>
    <row r="449" spans="1:6" ht="14" customHeight="1" x14ac:dyDescent="0.2">
      <c r="A449" s="16" t="s">
        <v>610</v>
      </c>
      <c r="B449" s="11" t="e">
        <v>#N/A</v>
      </c>
      <c r="C449" s="11" t="e">
        <v>#N/A</v>
      </c>
      <c r="D449" s="11" t="e">
        <v>#N/A</v>
      </c>
      <c r="E449" s="11" t="e">
        <v>#N/A</v>
      </c>
      <c r="F449" s="11" t="e">
        <v>#N/A</v>
      </c>
    </row>
    <row r="450" spans="1:6" ht="14" customHeight="1" x14ac:dyDescent="0.2">
      <c r="A450" s="16" t="s">
        <v>611</v>
      </c>
      <c r="B450" s="11">
        <v>0</v>
      </c>
      <c r="C450" s="11">
        <v>1977</v>
      </c>
      <c r="D450" s="11">
        <v>8410</v>
      </c>
      <c r="E450" s="11">
        <v>0</v>
      </c>
      <c r="F450" s="11">
        <v>0</v>
      </c>
    </row>
    <row r="451" spans="1:6" ht="14" customHeight="1" x14ac:dyDescent="0.2">
      <c r="A451" s="16" t="s">
        <v>612</v>
      </c>
      <c r="B451" s="11" t="e">
        <v>#N/A</v>
      </c>
      <c r="C451" s="11" t="e">
        <v>#N/A</v>
      </c>
      <c r="D451" s="11" t="e">
        <v>#N/A</v>
      </c>
      <c r="E451" s="11" t="e">
        <v>#N/A</v>
      </c>
      <c r="F451" s="11" t="e">
        <v>#N/A</v>
      </c>
    </row>
    <row r="452" spans="1:6" ht="14" customHeight="1" x14ac:dyDescent="0.2">
      <c r="A452" s="16" t="s">
        <v>613</v>
      </c>
      <c r="B452" s="11">
        <v>2691</v>
      </c>
      <c r="C452" s="11">
        <v>6453</v>
      </c>
      <c r="D452" s="11">
        <v>12020</v>
      </c>
      <c r="E452" s="11">
        <v>10936</v>
      </c>
      <c r="F452" s="11">
        <v>44016</v>
      </c>
    </row>
    <row r="453" spans="1:6" ht="14" customHeight="1" x14ac:dyDescent="0.2">
      <c r="A453" s="16" t="s">
        <v>614</v>
      </c>
      <c r="B453" s="11" t="e">
        <v>#N/A</v>
      </c>
      <c r="C453" s="11" t="e">
        <v>#N/A</v>
      </c>
      <c r="D453" s="11" t="e">
        <v>#N/A</v>
      </c>
      <c r="E453" s="11" t="e">
        <v>#N/A</v>
      </c>
      <c r="F453" s="11" t="e">
        <v>#N/A</v>
      </c>
    </row>
    <row r="454" spans="1:6" ht="14" customHeight="1" x14ac:dyDescent="0.2">
      <c r="A454" s="16" t="s">
        <v>615</v>
      </c>
      <c r="B454" s="11" t="e">
        <v>#N/A</v>
      </c>
      <c r="C454" s="11" t="e">
        <v>#N/A</v>
      </c>
      <c r="D454" s="11" t="e">
        <v>#N/A</v>
      </c>
      <c r="E454" s="11" t="e">
        <v>#N/A</v>
      </c>
      <c r="F454" s="11" t="e">
        <v>#N/A</v>
      </c>
    </row>
    <row r="455" spans="1:6" ht="14" customHeight="1" x14ac:dyDescent="0.2">
      <c r="A455" s="16" t="s">
        <v>616</v>
      </c>
      <c r="B455" s="11" t="e">
        <v>#N/A</v>
      </c>
      <c r="C455" s="11" t="e">
        <v>#N/A</v>
      </c>
      <c r="D455" s="11" t="e">
        <v>#N/A</v>
      </c>
      <c r="E455" s="11" t="e">
        <v>#N/A</v>
      </c>
      <c r="F455" s="11" t="e">
        <v>#N/A</v>
      </c>
    </row>
    <row r="456" spans="1:6" ht="14" customHeight="1" x14ac:dyDescent="0.2">
      <c r="A456" s="16" t="s">
        <v>617</v>
      </c>
      <c r="B456" s="11" t="e">
        <v>#N/A</v>
      </c>
      <c r="C456" s="11" t="e">
        <v>#N/A</v>
      </c>
      <c r="D456" s="11" t="e">
        <v>#N/A</v>
      </c>
      <c r="E456" s="11" t="e">
        <v>#N/A</v>
      </c>
      <c r="F456" s="11" t="e">
        <v>#N/A</v>
      </c>
    </row>
    <row r="457" spans="1:6" ht="14" customHeight="1" x14ac:dyDescent="0.2">
      <c r="A457" s="16" t="s">
        <v>618</v>
      </c>
      <c r="B457" s="11">
        <v>0</v>
      </c>
      <c r="C457" s="11">
        <v>0</v>
      </c>
      <c r="D457" s="11">
        <v>1</v>
      </c>
      <c r="E457" s="11">
        <v>0</v>
      </c>
      <c r="F457" s="11">
        <v>0</v>
      </c>
    </row>
    <row r="458" spans="1:6" ht="14" customHeight="1" x14ac:dyDescent="0.2">
      <c r="A458" s="16" t="s">
        <v>619</v>
      </c>
      <c r="B458" s="11">
        <v>0</v>
      </c>
      <c r="C458" s="11">
        <v>1271</v>
      </c>
      <c r="D458" s="11">
        <v>7879</v>
      </c>
      <c r="E458" s="11">
        <v>0</v>
      </c>
      <c r="F458" s="11">
        <v>2313</v>
      </c>
    </row>
    <row r="459" spans="1:6" ht="14" customHeight="1" x14ac:dyDescent="0.2">
      <c r="A459" s="16" t="s">
        <v>620</v>
      </c>
      <c r="B459" s="11" t="e">
        <v>#N/A</v>
      </c>
      <c r="C459" s="11" t="e">
        <v>#N/A</v>
      </c>
      <c r="D459" s="11" t="e">
        <v>#N/A</v>
      </c>
      <c r="E459" s="11" t="e">
        <v>#N/A</v>
      </c>
      <c r="F459" s="11" t="e">
        <v>#N/A</v>
      </c>
    </row>
    <row r="460" spans="1:6" ht="14" customHeight="1" x14ac:dyDescent="0.2">
      <c r="A460" s="16" t="s">
        <v>621</v>
      </c>
      <c r="B460" s="11">
        <v>0</v>
      </c>
      <c r="C460" s="11">
        <v>202</v>
      </c>
      <c r="D460" s="11">
        <v>6785</v>
      </c>
      <c r="E460" s="11">
        <v>36254</v>
      </c>
      <c r="F460" s="11">
        <v>73039</v>
      </c>
    </row>
    <row r="461" spans="1:6" ht="14" customHeight="1" x14ac:dyDescent="0.2">
      <c r="A461" s="16" t="s">
        <v>622</v>
      </c>
      <c r="B461" s="11">
        <v>0</v>
      </c>
      <c r="C461" s="11">
        <v>202</v>
      </c>
      <c r="D461" s="11">
        <v>6785</v>
      </c>
      <c r="E461" s="11">
        <v>36254</v>
      </c>
      <c r="F461" s="11">
        <v>73039</v>
      </c>
    </row>
    <row r="462" spans="1:6" ht="14" customHeight="1" x14ac:dyDescent="0.2">
      <c r="A462" s="16" t="s">
        <v>623</v>
      </c>
      <c r="B462" s="11">
        <v>2691</v>
      </c>
      <c r="C462" s="11">
        <v>4643</v>
      </c>
      <c r="D462" s="11">
        <v>9068</v>
      </c>
      <c r="E462" s="11">
        <v>10936</v>
      </c>
      <c r="F462" s="11">
        <v>44016</v>
      </c>
    </row>
    <row r="463" spans="1:6" ht="14" customHeight="1" x14ac:dyDescent="0.2">
      <c r="A463" s="16" t="s">
        <v>624</v>
      </c>
      <c r="B463" s="11" t="e">
        <v>#N/A</v>
      </c>
      <c r="C463" s="11" t="e">
        <v>#N/A</v>
      </c>
      <c r="D463" s="11" t="e">
        <v>#N/A</v>
      </c>
      <c r="E463" s="11" t="e">
        <v>#N/A</v>
      </c>
      <c r="F463" s="11" t="e">
        <v>#N/A</v>
      </c>
    </row>
    <row r="464" spans="1:6" ht="14" customHeight="1" x14ac:dyDescent="0.2">
      <c r="A464" s="16" t="s">
        <v>625</v>
      </c>
      <c r="B464" s="11">
        <v>0</v>
      </c>
      <c r="C464" s="11">
        <v>52</v>
      </c>
      <c r="D464" s="11">
        <v>66</v>
      </c>
      <c r="E464" s="11">
        <v>0</v>
      </c>
      <c r="F464" s="11">
        <v>0</v>
      </c>
    </row>
    <row r="465" spans="1:6" ht="14" customHeight="1" x14ac:dyDescent="0.2">
      <c r="A465" s="16" t="s">
        <v>626</v>
      </c>
      <c r="B465" s="11">
        <v>0</v>
      </c>
      <c r="C465" s="11">
        <v>202</v>
      </c>
      <c r="D465" s="11">
        <v>6785</v>
      </c>
      <c r="E465" s="11">
        <v>36254</v>
      </c>
      <c r="F465" s="11">
        <v>73039</v>
      </c>
    </row>
    <row r="466" spans="1:6" ht="14" customHeight="1" x14ac:dyDescent="0.2">
      <c r="A466" s="16" t="s">
        <v>627</v>
      </c>
      <c r="B466" s="11">
        <v>0</v>
      </c>
      <c r="C466" s="11">
        <v>315</v>
      </c>
      <c r="D466" s="11">
        <v>471</v>
      </c>
      <c r="E466" s="11">
        <v>0</v>
      </c>
      <c r="F466" s="11">
        <v>0</v>
      </c>
    </row>
    <row r="467" spans="1:6" ht="14" customHeight="1" x14ac:dyDescent="0.2">
      <c r="A467" s="16" t="s">
        <v>628</v>
      </c>
      <c r="B467" s="11">
        <v>0</v>
      </c>
      <c r="C467" s="11">
        <v>1271</v>
      </c>
      <c r="D467" s="11">
        <v>7879</v>
      </c>
      <c r="E467" s="11">
        <v>0</v>
      </c>
      <c r="F467" s="11">
        <v>2313</v>
      </c>
    </row>
    <row r="468" spans="1:6" ht="14" customHeight="1" x14ac:dyDescent="0.2">
      <c r="A468" s="16" t="s">
        <v>629</v>
      </c>
      <c r="B468" s="11" t="e">
        <v>#N/A</v>
      </c>
      <c r="C468" s="11" t="e">
        <v>#N/A</v>
      </c>
      <c r="D468" s="11" t="e">
        <v>#N/A</v>
      </c>
      <c r="E468" s="11" t="e">
        <v>#N/A</v>
      </c>
      <c r="F468" s="11" t="e">
        <v>#N/A</v>
      </c>
    </row>
    <row r="469" spans="1:6" ht="14" customHeight="1" x14ac:dyDescent="0.2">
      <c r="A469" s="16" t="s">
        <v>630</v>
      </c>
      <c r="B469" s="11">
        <v>0</v>
      </c>
      <c r="C469" s="11">
        <v>1998</v>
      </c>
      <c r="D469" s="11">
        <v>260</v>
      </c>
      <c r="E469" s="11">
        <v>0</v>
      </c>
      <c r="F469" s="11">
        <v>19191</v>
      </c>
    </row>
    <row r="470" spans="1:6" ht="14" customHeight="1" x14ac:dyDescent="0.2">
      <c r="A470" s="16" t="s">
        <v>631</v>
      </c>
      <c r="B470" s="11" t="e">
        <v>#N/A</v>
      </c>
      <c r="C470" s="11" t="e">
        <v>#N/A</v>
      </c>
      <c r="D470" s="11" t="e">
        <v>#N/A</v>
      </c>
      <c r="E470" s="11" t="e">
        <v>#N/A</v>
      </c>
      <c r="F470" s="11" t="e">
        <v>#N/A</v>
      </c>
    </row>
    <row r="471" spans="1:6" ht="14" customHeight="1" x14ac:dyDescent="0.2">
      <c r="A471" s="16" t="s">
        <v>632</v>
      </c>
      <c r="B471" s="11">
        <v>15304</v>
      </c>
      <c r="C471" s="11">
        <v>19666</v>
      </c>
      <c r="D471" s="11">
        <v>68195</v>
      </c>
      <c r="E471" s="11">
        <v>2873</v>
      </c>
      <c r="F471" s="11">
        <v>5837</v>
      </c>
    </row>
    <row r="472" spans="1:6" ht="14" customHeight="1" x14ac:dyDescent="0.2">
      <c r="A472" s="16" t="s">
        <v>633</v>
      </c>
      <c r="B472" s="11" t="e">
        <v>#N/A</v>
      </c>
      <c r="C472" s="11" t="e">
        <v>#N/A</v>
      </c>
      <c r="D472" s="11" t="e">
        <v>#N/A</v>
      </c>
      <c r="E472" s="11" t="e">
        <v>#N/A</v>
      </c>
      <c r="F472" s="11" t="e">
        <v>#N/A</v>
      </c>
    </row>
    <row r="473" spans="1:6" ht="14" customHeight="1" x14ac:dyDescent="0.2">
      <c r="A473" s="16" t="s">
        <v>634</v>
      </c>
      <c r="B473" s="11" t="e">
        <v>#N/A</v>
      </c>
      <c r="C473" s="11" t="e">
        <v>#N/A</v>
      </c>
      <c r="D473" s="11" t="e">
        <v>#N/A</v>
      </c>
      <c r="E473" s="11" t="e">
        <v>#N/A</v>
      </c>
      <c r="F473" s="11" t="e">
        <v>#N/A</v>
      </c>
    </row>
    <row r="474" spans="1:6" ht="14" customHeight="1" x14ac:dyDescent="0.2">
      <c r="A474" s="16" t="s">
        <v>635</v>
      </c>
      <c r="B474" s="11" t="e">
        <v>#N/A</v>
      </c>
      <c r="C474" s="11" t="e">
        <v>#N/A</v>
      </c>
      <c r="D474" s="11" t="e">
        <v>#N/A</v>
      </c>
      <c r="E474" s="11" t="e">
        <v>#N/A</v>
      </c>
      <c r="F474" s="11" t="e">
        <v>#N/A</v>
      </c>
    </row>
    <row r="475" spans="1:6" ht="14" customHeight="1" x14ac:dyDescent="0.2">
      <c r="A475" s="16" t="s">
        <v>636</v>
      </c>
      <c r="B475" s="11">
        <v>2691</v>
      </c>
      <c r="C475" s="11">
        <v>4169</v>
      </c>
      <c r="D475" s="11">
        <v>3879</v>
      </c>
      <c r="E475" s="11">
        <v>6025</v>
      </c>
      <c r="F475" s="11">
        <v>34420</v>
      </c>
    </row>
    <row r="476" spans="1:6" ht="14" customHeight="1" x14ac:dyDescent="0.2">
      <c r="A476" s="16" t="s">
        <v>637</v>
      </c>
      <c r="B476" s="11" t="e">
        <v>#N/A</v>
      </c>
      <c r="C476" s="11" t="e">
        <v>#N/A</v>
      </c>
      <c r="D476" s="11" t="e">
        <v>#N/A</v>
      </c>
      <c r="E476" s="11" t="e">
        <v>#N/A</v>
      </c>
      <c r="F476" s="11" t="e">
        <v>#N/A</v>
      </c>
    </row>
    <row r="477" spans="1:6" ht="14" customHeight="1" x14ac:dyDescent="0.2">
      <c r="A477" s="16" t="s">
        <v>638</v>
      </c>
      <c r="B477" s="11" t="e">
        <v>#N/A</v>
      </c>
      <c r="C477" s="11" t="e">
        <v>#N/A</v>
      </c>
      <c r="D477" s="11" t="e">
        <v>#N/A</v>
      </c>
      <c r="E477" s="11" t="e">
        <v>#N/A</v>
      </c>
      <c r="F477" s="11" t="e">
        <v>#N/A</v>
      </c>
    </row>
    <row r="478" spans="1:6" ht="14" customHeight="1" x14ac:dyDescent="0.2">
      <c r="A478" s="16" t="s">
        <v>639</v>
      </c>
      <c r="B478" s="11">
        <v>0</v>
      </c>
      <c r="C478" s="11">
        <v>543</v>
      </c>
      <c r="D478" s="11">
        <v>1346</v>
      </c>
      <c r="E478" s="11">
        <v>0</v>
      </c>
      <c r="F478" s="11">
        <v>0</v>
      </c>
    </row>
    <row r="479" spans="1:6" ht="14" customHeight="1" x14ac:dyDescent="0.2">
      <c r="A479" s="16" t="s">
        <v>640</v>
      </c>
      <c r="B479" s="11" t="e">
        <v>#N/A</v>
      </c>
      <c r="C479" s="11" t="e">
        <v>#N/A</v>
      </c>
      <c r="D479" s="11" t="e">
        <v>#N/A</v>
      </c>
      <c r="E479" s="11" t="e">
        <v>#N/A</v>
      </c>
      <c r="F479" s="11" t="e">
        <v>#N/A</v>
      </c>
    </row>
    <row r="480" spans="1:6" ht="14" customHeight="1" x14ac:dyDescent="0.2">
      <c r="A480" s="16" t="s">
        <v>641</v>
      </c>
      <c r="B480" s="11">
        <v>0</v>
      </c>
      <c r="C480" s="11">
        <v>315</v>
      </c>
      <c r="D480" s="11">
        <v>530</v>
      </c>
      <c r="E480" s="11">
        <v>0</v>
      </c>
      <c r="F480" s="11">
        <v>0</v>
      </c>
    </row>
    <row r="481" spans="1:6" ht="14" customHeight="1" x14ac:dyDescent="0.2">
      <c r="A481" s="16" t="s">
        <v>642</v>
      </c>
      <c r="B481" s="11">
        <v>0</v>
      </c>
      <c r="C481" s="11">
        <v>0</v>
      </c>
      <c r="D481" s="11">
        <v>0</v>
      </c>
      <c r="E481" s="11">
        <v>0</v>
      </c>
      <c r="F481" s="11">
        <v>2774</v>
      </c>
    </row>
    <row r="482" spans="1:6" ht="14" customHeight="1" x14ac:dyDescent="0.2">
      <c r="A482" s="16" t="s">
        <v>643</v>
      </c>
      <c r="B482" s="11" t="e">
        <v>#N/A</v>
      </c>
      <c r="C482" s="11" t="e">
        <v>#N/A</v>
      </c>
      <c r="D482" s="11" t="e">
        <v>#N/A</v>
      </c>
      <c r="E482" s="11" t="e">
        <v>#N/A</v>
      </c>
      <c r="F482" s="11" t="e">
        <v>#N/A</v>
      </c>
    </row>
    <row r="483" spans="1:6" ht="14" customHeight="1" x14ac:dyDescent="0.2">
      <c r="A483" s="16" t="s">
        <v>644</v>
      </c>
      <c r="B483" s="11" t="e">
        <v>#N/A</v>
      </c>
      <c r="C483" s="11" t="e">
        <v>#N/A</v>
      </c>
      <c r="D483" s="11" t="e">
        <v>#N/A</v>
      </c>
      <c r="E483" s="11" t="e">
        <v>#N/A</v>
      </c>
      <c r="F483" s="11" t="e">
        <v>#N/A</v>
      </c>
    </row>
    <row r="484" spans="1:6" ht="14" customHeight="1" x14ac:dyDescent="0.2">
      <c r="A484" s="16" t="s">
        <v>645</v>
      </c>
      <c r="B484" s="11" t="e">
        <v>#N/A</v>
      </c>
      <c r="C484" s="11" t="e">
        <v>#N/A</v>
      </c>
      <c r="D484" s="11" t="e">
        <v>#N/A</v>
      </c>
      <c r="E484" s="11" t="e">
        <v>#N/A</v>
      </c>
      <c r="F484" s="11" t="e">
        <v>#N/A</v>
      </c>
    </row>
    <row r="485" spans="1:6" ht="14" customHeight="1" x14ac:dyDescent="0.2">
      <c r="A485" s="16" t="s">
        <v>646</v>
      </c>
      <c r="B485" s="11" t="e">
        <v>#N/A</v>
      </c>
      <c r="C485" s="11" t="e">
        <v>#N/A</v>
      </c>
      <c r="D485" s="11" t="e">
        <v>#N/A</v>
      </c>
      <c r="E485" s="11" t="e">
        <v>#N/A</v>
      </c>
      <c r="F485" s="11" t="e">
        <v>#N/A</v>
      </c>
    </row>
    <row r="486" spans="1:6" ht="14" customHeight="1" x14ac:dyDescent="0.2">
      <c r="A486" s="16" t="s">
        <v>647</v>
      </c>
      <c r="B486" s="11" t="e">
        <v>#N/A</v>
      </c>
      <c r="C486" s="11" t="e">
        <v>#N/A</v>
      </c>
      <c r="D486" s="11" t="e">
        <v>#N/A</v>
      </c>
      <c r="E486" s="11" t="e">
        <v>#N/A</v>
      </c>
      <c r="F486" s="11" t="e">
        <v>#N/A</v>
      </c>
    </row>
    <row r="487" spans="1:6" ht="14" customHeight="1" x14ac:dyDescent="0.2">
      <c r="A487" s="16" t="s">
        <v>648</v>
      </c>
      <c r="B487" s="11">
        <v>0</v>
      </c>
      <c r="C487" s="11">
        <v>1455</v>
      </c>
      <c r="D487" s="11">
        <v>7087</v>
      </c>
      <c r="E487" s="11">
        <v>0</v>
      </c>
      <c r="F487" s="11">
        <v>0</v>
      </c>
    </row>
    <row r="488" spans="1:6" ht="14" customHeight="1" x14ac:dyDescent="0.2">
      <c r="A488" s="16" t="s">
        <v>649</v>
      </c>
      <c r="B488" s="11" t="e">
        <v>#N/A</v>
      </c>
      <c r="C488" s="11" t="e">
        <v>#N/A</v>
      </c>
      <c r="D488" s="11" t="e">
        <v>#N/A</v>
      </c>
      <c r="E488" s="11" t="e">
        <v>#N/A</v>
      </c>
      <c r="F488" s="11" t="e">
        <v>#N/A</v>
      </c>
    </row>
    <row r="489" spans="1:6" ht="14" customHeight="1" x14ac:dyDescent="0.2">
      <c r="A489" s="16" t="s">
        <v>650</v>
      </c>
      <c r="B489" s="11">
        <v>0</v>
      </c>
      <c r="C489" s="11">
        <v>2261</v>
      </c>
      <c r="D489" s="11">
        <v>3440</v>
      </c>
      <c r="E489" s="11">
        <v>4330</v>
      </c>
      <c r="F489" s="11">
        <v>36220</v>
      </c>
    </row>
    <row r="490" spans="1:6" ht="14" customHeight="1" x14ac:dyDescent="0.2">
      <c r="A490" s="16" t="s">
        <v>651</v>
      </c>
      <c r="B490" s="11">
        <v>0</v>
      </c>
      <c r="C490" s="11">
        <v>2261</v>
      </c>
      <c r="D490" s="11">
        <v>3440</v>
      </c>
      <c r="E490" s="11">
        <v>4330</v>
      </c>
      <c r="F490" s="11">
        <v>34420</v>
      </c>
    </row>
    <row r="491" spans="1:6" ht="14" customHeight="1" x14ac:dyDescent="0.2">
      <c r="A491" s="16" t="s">
        <v>652</v>
      </c>
      <c r="B491" s="11">
        <v>0</v>
      </c>
      <c r="C491" s="11">
        <v>315</v>
      </c>
      <c r="D491" s="11">
        <v>531</v>
      </c>
      <c r="E491" s="11">
        <v>0</v>
      </c>
      <c r="F491" s="11">
        <v>0</v>
      </c>
    </row>
    <row r="492" spans="1:6" ht="14" customHeight="1" x14ac:dyDescent="0.2">
      <c r="A492" s="16" t="s">
        <v>653</v>
      </c>
      <c r="B492" s="11">
        <v>0</v>
      </c>
      <c r="C492" s="11">
        <v>1271</v>
      </c>
      <c r="D492" s="11">
        <v>7879</v>
      </c>
      <c r="E492" s="11">
        <v>0</v>
      </c>
      <c r="F492" s="11">
        <v>2313</v>
      </c>
    </row>
    <row r="493" spans="1:6" ht="14" customHeight="1" x14ac:dyDescent="0.2">
      <c r="A493" s="16" t="s">
        <v>654</v>
      </c>
      <c r="B493" s="11" t="e">
        <v>#N/A</v>
      </c>
      <c r="C493" s="11" t="e">
        <v>#N/A</v>
      </c>
      <c r="D493" s="11" t="e">
        <v>#N/A</v>
      </c>
      <c r="E493" s="11" t="e">
        <v>#N/A</v>
      </c>
      <c r="F493" s="11" t="e">
        <v>#N/A</v>
      </c>
    </row>
    <row r="494" spans="1:6" ht="14" customHeight="1" x14ac:dyDescent="0.2">
      <c r="A494" s="16" t="s">
        <v>655</v>
      </c>
      <c r="B494" s="11">
        <v>2691</v>
      </c>
      <c r="C494" s="11">
        <v>5068</v>
      </c>
      <c r="D494" s="11">
        <v>10157</v>
      </c>
      <c r="E494" s="11">
        <v>10936</v>
      </c>
      <c r="F494" s="11">
        <v>44016</v>
      </c>
    </row>
    <row r="495" spans="1:6" ht="14" customHeight="1" x14ac:dyDescent="0.2">
      <c r="A495" s="16" t="s">
        <v>656</v>
      </c>
      <c r="B495" s="11" t="e">
        <v>#N/A</v>
      </c>
      <c r="C495" s="11" t="e">
        <v>#N/A</v>
      </c>
      <c r="D495" s="11" t="e">
        <v>#N/A</v>
      </c>
      <c r="E495" s="11" t="e">
        <v>#N/A</v>
      </c>
      <c r="F495" s="11" t="e">
        <v>#N/A</v>
      </c>
    </row>
    <row r="496" spans="1:6" ht="14" customHeight="1" x14ac:dyDescent="0.2">
      <c r="A496" s="16" t="s">
        <v>657</v>
      </c>
      <c r="B496" s="11" t="e">
        <v>#N/A</v>
      </c>
      <c r="C496" s="11" t="e">
        <v>#N/A</v>
      </c>
      <c r="D496" s="11" t="e">
        <v>#N/A</v>
      </c>
      <c r="E496" s="11" t="e">
        <v>#N/A</v>
      </c>
      <c r="F496" s="11" t="e">
        <v>#N/A</v>
      </c>
    </row>
    <row r="497" spans="1:6" ht="14" customHeight="1" x14ac:dyDescent="0.2">
      <c r="A497" s="16" t="s">
        <v>658</v>
      </c>
      <c r="B497" s="11" t="e">
        <v>#N/A</v>
      </c>
      <c r="C497" s="11" t="e">
        <v>#N/A</v>
      </c>
      <c r="D497" s="11" t="e">
        <v>#N/A</v>
      </c>
      <c r="E497" s="11" t="e">
        <v>#N/A</v>
      </c>
      <c r="F497" s="11" t="e">
        <v>#N/A</v>
      </c>
    </row>
    <row r="498" spans="1:6" ht="14" customHeight="1" x14ac:dyDescent="0.2">
      <c r="A498" s="16" t="s">
        <v>659</v>
      </c>
      <c r="B498" s="11">
        <v>0</v>
      </c>
      <c r="C498" s="11">
        <v>0</v>
      </c>
      <c r="D498" s="11">
        <v>0</v>
      </c>
      <c r="E498" s="11">
        <v>0</v>
      </c>
      <c r="F498" s="11">
        <v>107</v>
      </c>
    </row>
    <row r="499" spans="1:6" ht="14" customHeight="1" x14ac:dyDescent="0.2">
      <c r="A499" s="16" t="s">
        <v>660</v>
      </c>
      <c r="B499" s="11" t="e">
        <v>#N/A</v>
      </c>
      <c r="C499" s="11" t="e">
        <v>#N/A</v>
      </c>
      <c r="D499" s="11" t="e">
        <v>#N/A</v>
      </c>
      <c r="E499" s="11" t="e">
        <v>#N/A</v>
      </c>
      <c r="F499" s="11" t="e">
        <v>#N/A</v>
      </c>
    </row>
    <row r="500" spans="1:6" ht="14" customHeight="1" x14ac:dyDescent="0.2">
      <c r="A500" s="16" t="s">
        <v>661</v>
      </c>
      <c r="B500" s="11">
        <v>2087</v>
      </c>
      <c r="C500" s="11">
        <v>2436</v>
      </c>
      <c r="D500" s="11">
        <v>13934</v>
      </c>
      <c r="E500" s="11">
        <v>0</v>
      </c>
      <c r="F500" s="11">
        <v>0</v>
      </c>
    </row>
    <row r="501" spans="1:6" ht="14" customHeight="1" x14ac:dyDescent="0.2">
      <c r="A501" s="16" t="s">
        <v>662</v>
      </c>
      <c r="B501" s="11">
        <v>0</v>
      </c>
      <c r="C501" s="11">
        <v>0</v>
      </c>
      <c r="D501" s="11">
        <v>0</v>
      </c>
      <c r="E501" s="11">
        <v>0</v>
      </c>
      <c r="F501" s="11">
        <v>33114</v>
      </c>
    </row>
    <row r="502" spans="1:6" ht="14" customHeight="1" x14ac:dyDescent="0.2">
      <c r="A502" s="16" t="s">
        <v>663</v>
      </c>
      <c r="B502" s="11">
        <v>0</v>
      </c>
      <c r="C502" s="11">
        <v>0</v>
      </c>
      <c r="D502" s="11">
        <v>351</v>
      </c>
      <c r="E502" s="11">
        <v>0</v>
      </c>
      <c r="F502" s="11">
        <v>0</v>
      </c>
    </row>
    <row r="503" spans="1:6" ht="14" customHeight="1" x14ac:dyDescent="0.2">
      <c r="A503" s="16" t="s">
        <v>664</v>
      </c>
      <c r="B503" s="11" t="e">
        <v>#N/A</v>
      </c>
      <c r="C503" s="11" t="e">
        <v>#N/A</v>
      </c>
      <c r="D503" s="11" t="e">
        <v>#N/A</v>
      </c>
      <c r="E503" s="11" t="e">
        <v>#N/A</v>
      </c>
      <c r="F503" s="11" t="e">
        <v>#N/A</v>
      </c>
    </row>
    <row r="504" spans="1:6" ht="14" customHeight="1" x14ac:dyDescent="0.2">
      <c r="A504" s="16" t="s">
        <v>665</v>
      </c>
      <c r="B504" s="11">
        <v>0</v>
      </c>
      <c r="C504" s="11">
        <v>315</v>
      </c>
      <c r="D504" s="11">
        <v>618</v>
      </c>
      <c r="E504" s="11">
        <v>0</v>
      </c>
      <c r="F504" s="11">
        <v>0</v>
      </c>
    </row>
    <row r="505" spans="1:6" ht="14" customHeight="1" x14ac:dyDescent="0.2">
      <c r="A505" s="16" t="s">
        <v>666</v>
      </c>
      <c r="B505" s="11">
        <v>0</v>
      </c>
      <c r="C505" s="11">
        <v>2261</v>
      </c>
      <c r="D505" s="11">
        <v>3440</v>
      </c>
      <c r="E505" s="11">
        <v>4330</v>
      </c>
      <c r="F505" s="11">
        <v>34420</v>
      </c>
    </row>
    <row r="506" spans="1:6" ht="14" customHeight="1" x14ac:dyDescent="0.2">
      <c r="A506" s="16" t="s">
        <v>667</v>
      </c>
      <c r="B506" s="11">
        <v>0</v>
      </c>
      <c r="C506" s="11">
        <v>1428</v>
      </c>
      <c r="D506" s="11">
        <v>1397</v>
      </c>
      <c r="E506" s="11">
        <v>0</v>
      </c>
      <c r="F506" s="11">
        <v>0</v>
      </c>
    </row>
    <row r="507" spans="1:6" ht="14" customHeight="1" x14ac:dyDescent="0.2">
      <c r="A507" s="16" t="s">
        <v>668</v>
      </c>
      <c r="B507" s="11">
        <v>0</v>
      </c>
      <c r="C507" s="11">
        <v>202</v>
      </c>
      <c r="D507" s="11">
        <v>6785</v>
      </c>
      <c r="E507" s="11">
        <v>36254</v>
      </c>
      <c r="F507" s="11">
        <v>73039</v>
      </c>
    </row>
    <row r="508" spans="1:6" ht="14" customHeight="1" x14ac:dyDescent="0.2">
      <c r="A508" s="16" t="s">
        <v>669</v>
      </c>
      <c r="B508" s="11" t="e">
        <v>#N/A</v>
      </c>
      <c r="C508" s="11" t="e">
        <v>#N/A</v>
      </c>
      <c r="D508" s="11" t="e">
        <v>#N/A</v>
      </c>
      <c r="E508" s="11" t="e">
        <v>#N/A</v>
      </c>
      <c r="F508" s="11" t="e">
        <v>#N/A</v>
      </c>
    </row>
    <row r="509" spans="1:6" ht="14" customHeight="1" x14ac:dyDescent="0.2">
      <c r="A509" s="16" t="s">
        <v>670</v>
      </c>
      <c r="B509" s="11" t="e">
        <v>#N/A</v>
      </c>
      <c r="C509" s="11" t="e">
        <v>#N/A</v>
      </c>
      <c r="D509" s="11" t="e">
        <v>#N/A</v>
      </c>
      <c r="E509" s="11" t="e">
        <v>#N/A</v>
      </c>
      <c r="F509" s="11" t="e">
        <v>#N/A</v>
      </c>
    </row>
    <row r="510" spans="1:6" ht="14" customHeight="1" x14ac:dyDescent="0.2">
      <c r="A510" s="16" t="s">
        <v>671</v>
      </c>
      <c r="B510" s="11" t="e">
        <v>#N/A</v>
      </c>
      <c r="C510" s="11" t="e">
        <v>#N/A</v>
      </c>
      <c r="D510" s="11" t="e">
        <v>#N/A</v>
      </c>
      <c r="E510" s="11" t="e">
        <v>#N/A</v>
      </c>
      <c r="F510" s="11" t="e">
        <v>#N/A</v>
      </c>
    </row>
    <row r="511" spans="1:6" ht="14" customHeight="1" x14ac:dyDescent="0.2">
      <c r="A511" s="16" t="s">
        <v>672</v>
      </c>
      <c r="B511" s="11">
        <v>0</v>
      </c>
      <c r="C511" s="11">
        <v>315</v>
      </c>
      <c r="D511" s="11">
        <v>508</v>
      </c>
      <c r="E511" s="11">
        <v>0</v>
      </c>
      <c r="F511" s="11">
        <v>0</v>
      </c>
    </row>
    <row r="512" spans="1:6" ht="14" customHeight="1" x14ac:dyDescent="0.2">
      <c r="A512" s="16" t="s">
        <v>673</v>
      </c>
      <c r="B512" s="11">
        <v>0</v>
      </c>
      <c r="C512" s="11">
        <v>0</v>
      </c>
      <c r="D512" s="11">
        <v>0</v>
      </c>
      <c r="E512" s="11">
        <v>0</v>
      </c>
      <c r="F512" s="11">
        <v>1060</v>
      </c>
    </row>
    <row r="513" spans="1:6" ht="14" customHeight="1" x14ac:dyDescent="0.2">
      <c r="A513" s="16" t="s">
        <v>674</v>
      </c>
      <c r="B513" s="11">
        <v>0</v>
      </c>
      <c r="C513" s="11">
        <v>202</v>
      </c>
      <c r="D513" s="11">
        <v>6785</v>
      </c>
      <c r="E513" s="11">
        <v>36254</v>
      </c>
      <c r="F513" s="11">
        <v>73039</v>
      </c>
    </row>
    <row r="514" spans="1:6" ht="14" customHeight="1" x14ac:dyDescent="0.2">
      <c r="A514" s="16" t="s">
        <v>675</v>
      </c>
      <c r="B514" s="11" t="e">
        <v>#N/A</v>
      </c>
      <c r="C514" s="11" t="e">
        <v>#N/A</v>
      </c>
      <c r="D514" s="11" t="e">
        <v>#N/A</v>
      </c>
      <c r="E514" s="11" t="e">
        <v>#N/A</v>
      </c>
      <c r="F514" s="11" t="e">
        <v>#N/A</v>
      </c>
    </row>
    <row r="515" spans="1:6" ht="14" customHeight="1" x14ac:dyDescent="0.2">
      <c r="A515" s="16" t="s">
        <v>676</v>
      </c>
      <c r="B515" s="11">
        <v>0</v>
      </c>
      <c r="C515" s="11">
        <v>2261</v>
      </c>
      <c r="D515" s="11">
        <v>3440</v>
      </c>
      <c r="E515" s="11">
        <v>4330</v>
      </c>
      <c r="F515" s="11">
        <v>34420</v>
      </c>
    </row>
    <row r="516" spans="1:6" ht="14" customHeight="1" x14ac:dyDescent="0.2">
      <c r="A516" s="16" t="s">
        <v>677</v>
      </c>
      <c r="B516" s="11">
        <v>0</v>
      </c>
      <c r="C516" s="11">
        <v>2733</v>
      </c>
      <c r="D516" s="11">
        <v>8629</v>
      </c>
      <c r="E516" s="11">
        <v>9250</v>
      </c>
      <c r="F516" s="11">
        <v>44016</v>
      </c>
    </row>
    <row r="517" spans="1:6" ht="14" customHeight="1" x14ac:dyDescent="0.2">
      <c r="A517" s="16" t="s">
        <v>678</v>
      </c>
      <c r="B517" s="11">
        <v>0</v>
      </c>
      <c r="C517" s="11">
        <v>315</v>
      </c>
      <c r="D517" s="11">
        <v>471</v>
      </c>
      <c r="E517" s="11">
        <v>0</v>
      </c>
      <c r="F517" s="11">
        <v>0</v>
      </c>
    </row>
    <row r="518" spans="1:6" ht="14" customHeight="1" x14ac:dyDescent="0.2">
      <c r="A518" s="16" t="s">
        <v>679</v>
      </c>
      <c r="B518" s="11" t="e">
        <v>#N/A</v>
      </c>
      <c r="C518" s="11" t="e">
        <v>#N/A</v>
      </c>
      <c r="D518" s="11" t="e">
        <v>#N/A</v>
      </c>
      <c r="E518" s="11" t="e">
        <v>#N/A</v>
      </c>
      <c r="F518" s="11" t="e">
        <v>#N/A</v>
      </c>
    </row>
    <row r="519" spans="1:6" ht="14" customHeight="1" x14ac:dyDescent="0.2">
      <c r="A519" s="16" t="s">
        <v>680</v>
      </c>
      <c r="B519" s="11">
        <v>0</v>
      </c>
      <c r="C519" s="11">
        <v>315</v>
      </c>
      <c r="D519" s="11">
        <v>471</v>
      </c>
      <c r="E519" s="11">
        <v>0</v>
      </c>
      <c r="F519" s="11">
        <v>0</v>
      </c>
    </row>
    <row r="520" spans="1:6" ht="14" customHeight="1" x14ac:dyDescent="0.2">
      <c r="A520" s="16" t="s">
        <v>681</v>
      </c>
      <c r="B520" s="11">
        <v>0</v>
      </c>
      <c r="C520" s="11">
        <v>2261</v>
      </c>
      <c r="D520" s="11">
        <v>3440</v>
      </c>
      <c r="E520" s="11">
        <v>4330</v>
      </c>
      <c r="F520" s="11">
        <v>34420</v>
      </c>
    </row>
    <row r="521" spans="1:6" ht="14" customHeight="1" x14ac:dyDescent="0.2">
      <c r="A521" s="16" t="s">
        <v>682</v>
      </c>
      <c r="B521" s="11" t="e">
        <v>#N/A</v>
      </c>
      <c r="C521" s="11" t="e">
        <v>#N/A</v>
      </c>
      <c r="D521" s="11" t="e">
        <v>#N/A</v>
      </c>
      <c r="E521" s="11" t="e">
        <v>#N/A</v>
      </c>
      <c r="F521" s="11" t="e">
        <v>#N/A</v>
      </c>
    </row>
    <row r="522" spans="1:6" ht="14" customHeight="1" x14ac:dyDescent="0.2">
      <c r="A522" s="16" t="s">
        <v>683</v>
      </c>
      <c r="B522" s="11" t="e">
        <v>#N/A</v>
      </c>
      <c r="C522" s="11" t="e">
        <v>#N/A</v>
      </c>
      <c r="D522" s="11" t="e">
        <v>#N/A</v>
      </c>
      <c r="E522" s="11" t="e">
        <v>#N/A</v>
      </c>
      <c r="F522" s="11" t="e">
        <v>#N/A</v>
      </c>
    </row>
  </sheetData>
  <hyperlinks>
    <hyperlink ref="A13" r:id="rId1" display="http://www.uniprot.org/uniprot/Q8NEV1" xr:uid="{00000000-0004-0000-0400-000000000000}"/>
    <hyperlink ref="A17" r:id="rId2" display="http://www.uniprot.org/uniprot/Q8C0V7" xr:uid="{00000000-0004-0000-0400-000001000000}"/>
    <hyperlink ref="A18" r:id="rId3" display="http://www.uniprot.org/uniprot/Q8C0N0" xr:uid="{00000000-0004-0000-0400-000002000000}"/>
    <hyperlink ref="A19" r:id="rId4" display="http://www.uniprot.org/uniprot/A0AUV4" xr:uid="{00000000-0004-0000-0400-000003000000}"/>
    <hyperlink ref="A21" r:id="rId5" display="http://www.uniprot.org/uniprot/Q6A1A2" xr:uid="{00000000-0004-0000-0400-000004000000}"/>
    <hyperlink ref="A24" r:id="rId6" display="http://www.uniprot.org/uniprot/P22612" xr:uid="{00000000-0004-0000-0400-000005000000}"/>
    <hyperlink ref="A30" r:id="rId7" display="http://www.uniprot.org/uniprot/Q9QYZ4" xr:uid="{00000000-0004-0000-0400-000006000000}"/>
    <hyperlink ref="A31" r:id="rId8" display="http://www.uniprot.org/uniprot/Q9QYZ6" xr:uid="{00000000-0004-0000-0400-000007000000}"/>
    <hyperlink ref="A32" r:id="rId9" display="http://www.uniprot.org/uniprot/Q9QYZ3" xr:uid="{00000000-0004-0000-0400-000008000000}"/>
    <hyperlink ref="A33" r:id="rId10" display="http://www.uniprot.org/uniprot/Q9QYZ5" xr:uid="{00000000-0004-0000-0400-000009000000}"/>
    <hyperlink ref="A34" r:id="rId11" display="http://www.uniprot.org/uniprot/A0JLX3" xr:uid="{00000000-0004-0000-0400-00000A000000}"/>
    <hyperlink ref="A35" r:id="rId12" display="http://www.uniprot.org/uniprot/A2KF29" xr:uid="{00000000-0004-0000-0400-00000B000000}"/>
    <hyperlink ref="A144" r:id="rId13" display="http://www.uniprot.org/uniprot/Q96QS6" xr:uid="{00000000-0004-0000-0400-00000C000000}"/>
    <hyperlink ref="A207" r:id="rId14" display="http://www.uniprot.org/uniprot/Q02846" xr:uid="{00000000-0004-0000-0400-00000D000000}"/>
    <hyperlink ref="A208" r:id="rId15" display="http://www.uniprot.org/uniprot/P52785" xr:uid="{00000000-0004-0000-0400-00000E000000}"/>
    <hyperlink ref="A210" r:id="rId16" display="http://www.uniprot.org/uniprot/Q6TL19" xr:uid="{00000000-0004-0000-0400-00000F000000}"/>
    <hyperlink ref="A301" r:id="rId17" display="http://www.uniprot.org/uniprot/Q8WTQ7" xr:uid="{00000000-0004-0000-0400-000010000000}"/>
    <hyperlink ref="A334" r:id="rId18" display="http://www.uniprot.org/uniprot/Q8N752" xr:uid="{00000000-0004-0000-0400-000011000000}"/>
    <hyperlink ref="A343" r:id="rId19" display="http://www.uniprot.org/uniprot/Q9UEE5" xr:uid="{00000000-0004-0000-0400-000012000000}"/>
    <hyperlink ref="A345" r:id="rId20" display="http://www.uniprot.org/uniprot/Q9UQ88" xr:uid="{00000000-0004-0000-0400-000013000000}"/>
    <hyperlink ref="A371" r:id="rId21" display="http://www.uniprot.org/uniprot/Q8C1R0" xr:uid="{00000000-0004-0000-0400-000014000000}"/>
    <hyperlink ref="A388" r:id="rId22" display="http://www.uniprot.org/uniprot/O43930" xr:uid="{00000000-0004-0000-0400-000015000000}"/>
    <hyperlink ref="A13" r:id="rId23" display="http://www.uniprot.org/uniprot/Q8NEV1" xr:uid="{00000000-0004-0000-0400-000016000000}"/>
    <hyperlink ref="A17" r:id="rId24" display="http://www.uniprot.org/uniprot/Q8C0V7" xr:uid="{00000000-0004-0000-0400-000017000000}"/>
    <hyperlink ref="A18" r:id="rId25" display="http://www.uniprot.org/uniprot/Q8C0N0" xr:uid="{00000000-0004-0000-0400-000018000000}"/>
    <hyperlink ref="A19" r:id="rId26" display="http://www.uniprot.org/uniprot/A0AUV4" xr:uid="{00000000-0004-0000-0400-000019000000}"/>
    <hyperlink ref="A21" r:id="rId27" display="http://www.uniprot.org/uniprot/Q6A1A2" xr:uid="{00000000-0004-0000-0400-00001A000000}"/>
    <hyperlink ref="A24" r:id="rId28" display="http://www.uniprot.org/uniprot/P22612" xr:uid="{00000000-0004-0000-0400-00001B000000}"/>
    <hyperlink ref="A30" r:id="rId29" display="http://www.uniprot.org/uniprot/Q9QYZ4" xr:uid="{00000000-0004-0000-0400-00001C000000}"/>
    <hyperlink ref="A31" r:id="rId30" display="http://www.uniprot.org/uniprot/Q9QYZ6" xr:uid="{00000000-0004-0000-0400-00001D000000}"/>
    <hyperlink ref="A32" r:id="rId31" display="http://www.uniprot.org/uniprot/Q9QYZ3" xr:uid="{00000000-0004-0000-0400-00001E000000}"/>
    <hyperlink ref="A33" r:id="rId32" display="http://www.uniprot.org/uniprot/Q9QYZ5" xr:uid="{00000000-0004-0000-0400-00001F000000}"/>
    <hyperlink ref="A34" r:id="rId33" display="http://www.uniprot.org/uniprot/A0JLX3" xr:uid="{00000000-0004-0000-0400-000020000000}"/>
    <hyperlink ref="A35" r:id="rId34" display="http://www.uniprot.org/uniprot/A2KF29" xr:uid="{00000000-0004-0000-0400-000021000000}"/>
    <hyperlink ref="A144" r:id="rId35" display="http://www.uniprot.org/uniprot/Q96QS6" xr:uid="{00000000-0004-0000-0400-000022000000}"/>
    <hyperlink ref="A207" r:id="rId36" display="http://www.uniprot.org/uniprot/Q02846" xr:uid="{00000000-0004-0000-0400-000023000000}"/>
    <hyperlink ref="A208" r:id="rId37" display="http://www.uniprot.org/uniprot/P52785" xr:uid="{00000000-0004-0000-0400-000024000000}"/>
    <hyperlink ref="A210" r:id="rId38" display="http://www.uniprot.org/uniprot/Q6TL19" xr:uid="{00000000-0004-0000-0400-000025000000}"/>
    <hyperlink ref="A301" r:id="rId39" display="http://www.uniprot.org/uniprot/Q8WTQ7" xr:uid="{00000000-0004-0000-0400-000026000000}"/>
    <hyperlink ref="A334" r:id="rId40" display="http://www.uniprot.org/uniprot/Q8N752" xr:uid="{00000000-0004-0000-0400-000027000000}"/>
    <hyperlink ref="A343" r:id="rId41" display="http://www.uniprot.org/uniprot/Q9UEE5" xr:uid="{00000000-0004-0000-0400-000028000000}"/>
    <hyperlink ref="A345" r:id="rId42" display="http://www.uniprot.org/uniprot/Q9UQ88" xr:uid="{00000000-0004-0000-0400-000029000000}"/>
    <hyperlink ref="A371" r:id="rId43" display="http://www.uniprot.org/uniprot/Q8C1R0" xr:uid="{00000000-0004-0000-0400-00002A000000}"/>
    <hyperlink ref="A388" r:id="rId44" display="http://www.uniprot.org/uniprot/O43930" xr:uid="{00000000-0004-0000-0400-00002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22"/>
  <sheetViews>
    <sheetView workbookViewId="0">
      <selection activeCell="B7" sqref="B7"/>
    </sheetView>
  </sheetViews>
  <sheetFormatPr baseColWidth="10" defaultColWidth="8.7109375" defaultRowHeight="14" x14ac:dyDescent="0.15"/>
  <sheetData>
    <row r="1" spans="1:15" x14ac:dyDescent="0.15">
      <c r="A1" s="9" t="s">
        <v>162</v>
      </c>
      <c r="B1" s="10" t="s">
        <v>18</v>
      </c>
      <c r="C1" s="10" t="s">
        <v>26</v>
      </c>
      <c r="D1" s="10" t="s">
        <v>43</v>
      </c>
      <c r="E1" s="10" t="s">
        <v>54</v>
      </c>
      <c r="F1" s="10" t="s">
        <v>9</v>
      </c>
      <c r="G1" s="10" t="s">
        <v>72</v>
      </c>
      <c r="H1" s="10" t="s">
        <v>90</v>
      </c>
      <c r="I1" s="10" t="s">
        <v>101</v>
      </c>
      <c r="J1" s="10" t="s">
        <v>107</v>
      </c>
      <c r="K1" s="10" t="s">
        <v>118</v>
      </c>
      <c r="L1" s="10" t="s">
        <v>125</v>
      </c>
      <c r="M1" s="10" t="s">
        <v>141</v>
      </c>
      <c r="N1" s="10" t="s">
        <v>148</v>
      </c>
      <c r="O1" s="10" t="s">
        <v>153</v>
      </c>
    </row>
    <row r="2" spans="1:15" x14ac:dyDescent="0.15">
      <c r="A2" s="10" t="s">
        <v>202</v>
      </c>
      <c r="B2">
        <v>34192120.799999997</v>
      </c>
      <c r="C2">
        <v>998578309.375</v>
      </c>
      <c r="D2">
        <v>1471272991.2222221</v>
      </c>
      <c r="E2">
        <v>322083934.08333331</v>
      </c>
      <c r="F2">
        <v>312220180.85714293</v>
      </c>
      <c r="G2">
        <v>531437893.07692307</v>
      </c>
      <c r="H2">
        <v>185933024.66666669</v>
      </c>
      <c r="I2">
        <v>296668705.75</v>
      </c>
      <c r="J2">
        <v>209615464.22222221</v>
      </c>
      <c r="K2">
        <v>39045321.333333343</v>
      </c>
      <c r="L2">
        <v>1402665783.071429</v>
      </c>
      <c r="M2">
        <v>575658079.875</v>
      </c>
      <c r="N2">
        <v>175459241.66666669</v>
      </c>
      <c r="O2">
        <v>760353888</v>
      </c>
    </row>
    <row r="3" spans="1:15" x14ac:dyDescent="0.15">
      <c r="A3" s="10" t="s">
        <v>606</v>
      </c>
    </row>
    <row r="4" spans="1:15" x14ac:dyDescent="0.15">
      <c r="A4" s="10" t="s">
        <v>618</v>
      </c>
      <c r="B4">
        <v>3529.8</v>
      </c>
      <c r="C4">
        <v>83205.9375</v>
      </c>
      <c r="D4">
        <v>139451.22222222219</v>
      </c>
      <c r="E4">
        <v>32415</v>
      </c>
      <c r="F4">
        <v>15889.428571428571</v>
      </c>
      <c r="G4">
        <v>25157.461538461539</v>
      </c>
      <c r="H4">
        <v>4131.333333333333</v>
      </c>
      <c r="I4">
        <v>3622</v>
      </c>
      <c r="J4">
        <v>6271.666666666667</v>
      </c>
      <c r="K4">
        <v>1177.666666666667</v>
      </c>
      <c r="L4">
        <v>59790.714285714283</v>
      </c>
      <c r="M4">
        <v>46433.375</v>
      </c>
      <c r="N4">
        <v>1541</v>
      </c>
      <c r="O4">
        <v>53689.666666666657</v>
      </c>
    </row>
    <row r="5" spans="1:15" x14ac:dyDescent="0.15">
      <c r="A5" s="10" t="s">
        <v>635</v>
      </c>
    </row>
    <row r="6" spans="1:15" x14ac:dyDescent="0.15">
      <c r="A6" s="10" t="s">
        <v>284</v>
      </c>
    </row>
    <row r="7" spans="1:15" x14ac:dyDescent="0.15">
      <c r="A7" s="10" t="s">
        <v>399</v>
      </c>
    </row>
    <row r="8" spans="1:15" x14ac:dyDescent="0.15">
      <c r="A8" s="10" t="s">
        <v>400</v>
      </c>
    </row>
    <row r="9" spans="1:15" x14ac:dyDescent="0.15">
      <c r="A9" s="10" t="s">
        <v>283</v>
      </c>
    </row>
    <row r="10" spans="1:15" x14ac:dyDescent="0.15">
      <c r="A10" s="10" t="s">
        <v>432</v>
      </c>
    </row>
    <row r="11" spans="1:15" x14ac:dyDescent="0.15">
      <c r="A11" s="10" t="s">
        <v>315</v>
      </c>
    </row>
    <row r="12" spans="1:15" x14ac:dyDescent="0.15">
      <c r="A12" s="10" t="s">
        <v>163</v>
      </c>
      <c r="B12">
        <v>217922.4</v>
      </c>
      <c r="C12">
        <v>30978624.8125</v>
      </c>
      <c r="D12">
        <v>49897827.444444448</v>
      </c>
      <c r="E12">
        <v>11536584.66666667</v>
      </c>
      <c r="F12">
        <v>1707443.142857143</v>
      </c>
      <c r="G12">
        <v>16704279.69230769</v>
      </c>
      <c r="H12">
        <v>2389224.666666667</v>
      </c>
      <c r="I12">
        <v>3994963.75</v>
      </c>
      <c r="J12">
        <v>4785798.1111111119</v>
      </c>
      <c r="K12">
        <v>552279.33333333337</v>
      </c>
      <c r="L12">
        <v>24839438.28571428</v>
      </c>
      <c r="M12">
        <v>17994292</v>
      </c>
      <c r="N12">
        <v>634112.33333333326</v>
      </c>
      <c r="O12">
        <v>19041866.5</v>
      </c>
    </row>
    <row r="13" spans="1:15" x14ac:dyDescent="0.15">
      <c r="A13" s="10" t="s">
        <v>164</v>
      </c>
    </row>
    <row r="14" spans="1:15" x14ac:dyDescent="0.15">
      <c r="A14" s="10" t="s">
        <v>165</v>
      </c>
    </row>
    <row r="15" spans="1:15" x14ac:dyDescent="0.15">
      <c r="A15" s="10" t="s">
        <v>166</v>
      </c>
    </row>
    <row r="16" spans="1:15" x14ac:dyDescent="0.15">
      <c r="A16" s="10" t="s">
        <v>167</v>
      </c>
      <c r="B16">
        <v>53071.199999999997</v>
      </c>
      <c r="C16">
        <v>7544303.8125</v>
      </c>
      <c r="D16">
        <v>12151745.66666667</v>
      </c>
      <c r="E16">
        <v>2809534</v>
      </c>
      <c r="F16">
        <v>415818</v>
      </c>
      <c r="G16">
        <v>4068036</v>
      </c>
      <c r="H16">
        <v>581854</v>
      </c>
      <c r="I16">
        <v>972903.75</v>
      </c>
      <c r="J16">
        <v>1165497.666666667</v>
      </c>
      <c r="K16">
        <v>134498</v>
      </c>
      <c r="L16">
        <v>6049212</v>
      </c>
      <c r="M16">
        <v>4382196</v>
      </c>
      <c r="N16">
        <v>154427</v>
      </c>
      <c r="O16">
        <v>4637314.5</v>
      </c>
    </row>
    <row r="17" spans="1:15" x14ac:dyDescent="0.15">
      <c r="A17" s="10" t="s">
        <v>360</v>
      </c>
      <c r="B17">
        <v>33416320.600000009</v>
      </c>
      <c r="C17">
        <v>1242818159.6875</v>
      </c>
      <c r="D17">
        <v>1862102313.5555561</v>
      </c>
      <c r="E17">
        <v>404171299.91666669</v>
      </c>
      <c r="F17">
        <v>371644310.28571433</v>
      </c>
      <c r="G17">
        <v>606254502.07692313</v>
      </c>
      <c r="H17">
        <v>218217609.33333331</v>
      </c>
      <c r="I17">
        <v>369985875.25</v>
      </c>
      <c r="J17">
        <v>222069501.44444439</v>
      </c>
      <c r="K17">
        <v>45262162.333333343</v>
      </c>
      <c r="L17">
        <v>1633973651.6428571</v>
      </c>
      <c r="M17">
        <v>716956793.25</v>
      </c>
      <c r="N17">
        <v>218857629.33333331</v>
      </c>
      <c r="O17">
        <v>951937301</v>
      </c>
    </row>
    <row r="18" spans="1:15" x14ac:dyDescent="0.15">
      <c r="A18" s="10" t="s">
        <v>267</v>
      </c>
      <c r="B18">
        <v>12683684.199999999</v>
      </c>
      <c r="C18">
        <v>470793984.75</v>
      </c>
      <c r="D18">
        <v>708416716.11111104</v>
      </c>
      <c r="E18">
        <v>154147773.33333331</v>
      </c>
      <c r="F18">
        <v>138257060.4285714</v>
      </c>
      <c r="G18">
        <v>226934891.0769231</v>
      </c>
      <c r="H18">
        <v>80529817.333333343</v>
      </c>
      <c r="I18">
        <v>136248443</v>
      </c>
      <c r="J18">
        <v>82312611.222222209</v>
      </c>
      <c r="K18">
        <v>16753652.33333334</v>
      </c>
      <c r="L18">
        <v>608177086.21428573</v>
      </c>
      <c r="M18">
        <v>271372689.25</v>
      </c>
      <c r="N18">
        <v>80279949.666666657</v>
      </c>
      <c r="O18">
        <v>358518990.83333331</v>
      </c>
    </row>
    <row r="19" spans="1:15" x14ac:dyDescent="0.15">
      <c r="A19" s="10" t="s">
        <v>405</v>
      </c>
      <c r="B19">
        <v>115744801.8</v>
      </c>
      <c r="C19">
        <v>2445153850.0625</v>
      </c>
      <c r="D19">
        <v>3503920777.8888888</v>
      </c>
      <c r="E19">
        <v>781077796.33333337</v>
      </c>
      <c r="F19">
        <v>811042621.71428573</v>
      </c>
      <c r="G19">
        <v>1491417378.2307689</v>
      </c>
      <c r="H19">
        <v>493591503.33333331</v>
      </c>
      <c r="I19">
        <v>708303905</v>
      </c>
      <c r="J19">
        <v>645657071.22222233</v>
      </c>
      <c r="K19">
        <v>105865905.6666667</v>
      </c>
      <c r="L19">
        <v>3788155003.142858</v>
      </c>
      <c r="M19">
        <v>1407305737.625</v>
      </c>
      <c r="N19">
        <v>416367991.66666669</v>
      </c>
      <c r="O19">
        <v>1831936264</v>
      </c>
    </row>
    <row r="20" spans="1:15" x14ac:dyDescent="0.15">
      <c r="A20" s="10" t="s">
        <v>389</v>
      </c>
      <c r="B20">
        <v>22726458.199999999</v>
      </c>
      <c r="C20">
        <v>554172447.875</v>
      </c>
      <c r="D20">
        <v>803135892.55555558</v>
      </c>
      <c r="E20">
        <v>177274594.25</v>
      </c>
      <c r="F20">
        <v>180017273.1428571</v>
      </c>
      <c r="G20">
        <v>319102538.84615391</v>
      </c>
      <c r="H20">
        <v>108885400.6666667</v>
      </c>
      <c r="I20">
        <v>164645849</v>
      </c>
      <c r="J20">
        <v>133045376</v>
      </c>
      <c r="K20">
        <v>23096293.666666672</v>
      </c>
      <c r="L20">
        <v>826138713.49999988</v>
      </c>
      <c r="M20">
        <v>319334676.5</v>
      </c>
      <c r="N20">
        <v>97202946.999999985</v>
      </c>
      <c r="O20">
        <v>419512048.5</v>
      </c>
    </row>
    <row r="21" spans="1:15" x14ac:dyDescent="0.15">
      <c r="A21" s="10" t="s">
        <v>382</v>
      </c>
      <c r="B21">
        <v>20119014.399999999</v>
      </c>
      <c r="C21">
        <v>470610321.6875</v>
      </c>
      <c r="D21">
        <v>679657714.77777779</v>
      </c>
      <c r="E21">
        <v>150390133</v>
      </c>
      <c r="F21">
        <v>154009524.2857143</v>
      </c>
      <c r="G21">
        <v>275625560.30769229</v>
      </c>
      <c r="H21">
        <v>93358538</v>
      </c>
      <c r="I21">
        <v>139214233.25</v>
      </c>
      <c r="J21">
        <v>116243298.3333333</v>
      </c>
      <c r="K21">
        <v>19859132.666666672</v>
      </c>
      <c r="L21">
        <v>710125401.14285719</v>
      </c>
      <c r="M21">
        <v>271112029.5</v>
      </c>
      <c r="N21">
        <v>82128845</v>
      </c>
      <c r="O21">
        <v>355445143.5</v>
      </c>
    </row>
    <row r="22" spans="1:15" x14ac:dyDescent="0.15">
      <c r="A22" s="10" t="s">
        <v>610</v>
      </c>
    </row>
    <row r="23" spans="1:15" x14ac:dyDescent="0.15">
      <c r="A23" s="10" t="s">
        <v>168</v>
      </c>
    </row>
    <row r="24" spans="1:15" x14ac:dyDescent="0.15">
      <c r="A24" s="10" t="s">
        <v>169</v>
      </c>
    </row>
    <row r="25" spans="1:15" x14ac:dyDescent="0.15">
      <c r="A25" s="10" t="s">
        <v>170</v>
      </c>
    </row>
    <row r="26" spans="1:15" x14ac:dyDescent="0.15">
      <c r="A26" s="10" t="s">
        <v>433</v>
      </c>
    </row>
    <row r="27" spans="1:15" x14ac:dyDescent="0.15">
      <c r="A27" s="10" t="s">
        <v>465</v>
      </c>
    </row>
    <row r="28" spans="1:15" x14ac:dyDescent="0.15">
      <c r="A28" s="10" t="s">
        <v>584</v>
      </c>
      <c r="B28">
        <v>192821827.19999999</v>
      </c>
      <c r="C28">
        <v>814654499.875</v>
      </c>
      <c r="D28">
        <v>738017059.55555558</v>
      </c>
      <c r="E28">
        <v>234918971.5</v>
      </c>
      <c r="F28">
        <v>485869206.85714293</v>
      </c>
      <c r="G28">
        <v>1333332606.461539</v>
      </c>
      <c r="H28">
        <v>323607048</v>
      </c>
      <c r="I28">
        <v>110733851</v>
      </c>
      <c r="J28">
        <v>809273044.66666663</v>
      </c>
      <c r="K28">
        <v>79720828.000000015</v>
      </c>
      <c r="L28">
        <v>2820246575.8571429</v>
      </c>
      <c r="M28">
        <v>453668848.75</v>
      </c>
      <c r="N28">
        <v>56644948</v>
      </c>
      <c r="O28">
        <v>458940995.66666669</v>
      </c>
    </row>
    <row r="29" spans="1:15" x14ac:dyDescent="0.15">
      <c r="A29" s="10" t="s">
        <v>171</v>
      </c>
      <c r="B29">
        <v>897494</v>
      </c>
      <c r="C29">
        <v>7303808.75</v>
      </c>
      <c r="D29">
        <v>9980806.666666666</v>
      </c>
      <c r="E29">
        <v>2556575.166666667</v>
      </c>
      <c r="F29">
        <v>2605295.7142857141</v>
      </c>
      <c r="G29">
        <v>6129228</v>
      </c>
      <c r="H29">
        <v>1375206.666666667</v>
      </c>
      <c r="I29">
        <v>538392.5</v>
      </c>
      <c r="J29">
        <v>3263630.444444444</v>
      </c>
      <c r="K29">
        <v>349012.66666666669</v>
      </c>
      <c r="L29">
        <v>13326948.85714286</v>
      </c>
      <c r="M29">
        <v>4066090.75</v>
      </c>
      <c r="N29">
        <v>260105.33333333331</v>
      </c>
      <c r="O29">
        <v>4451525</v>
      </c>
    </row>
    <row r="30" spans="1:15" x14ac:dyDescent="0.15">
      <c r="A30" s="10" t="s">
        <v>172</v>
      </c>
      <c r="B30">
        <v>3529.8</v>
      </c>
      <c r="C30">
        <v>83205.9375</v>
      </c>
      <c r="D30">
        <v>139451.22222222219</v>
      </c>
      <c r="E30">
        <v>32415</v>
      </c>
      <c r="F30">
        <v>15889.428571428571</v>
      </c>
      <c r="G30">
        <v>25157.461538461539</v>
      </c>
      <c r="H30">
        <v>4131.333333333333</v>
      </c>
      <c r="I30">
        <v>3622</v>
      </c>
      <c r="J30">
        <v>6271.666666666667</v>
      </c>
      <c r="K30">
        <v>1177.666666666667</v>
      </c>
      <c r="L30">
        <v>59790.714285714283</v>
      </c>
      <c r="M30">
        <v>46433.375</v>
      </c>
      <c r="N30">
        <v>1541</v>
      </c>
      <c r="O30">
        <v>53689.666666666657</v>
      </c>
    </row>
    <row r="31" spans="1:15" x14ac:dyDescent="0.15">
      <c r="A31" s="10" t="s">
        <v>512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15">
      <c r="A32" s="10" t="s">
        <v>472</v>
      </c>
    </row>
    <row r="33" spans="1:15" x14ac:dyDescent="0.15">
      <c r="A33" s="10" t="s">
        <v>553</v>
      </c>
    </row>
    <row r="34" spans="1:15" x14ac:dyDescent="0.15">
      <c r="A34" s="10" t="s">
        <v>675</v>
      </c>
    </row>
    <row r="35" spans="1:15" x14ac:dyDescent="0.15">
      <c r="A35" s="10" t="s">
        <v>173</v>
      </c>
    </row>
    <row r="36" spans="1:15" x14ac:dyDescent="0.15">
      <c r="A36" s="10" t="s">
        <v>676</v>
      </c>
      <c r="B36">
        <v>190182892.40000001</v>
      </c>
      <c r="C36">
        <v>6064037739.8125</v>
      </c>
      <c r="D36">
        <v>9027952474.1111107</v>
      </c>
      <c r="E36">
        <v>1973728527.166667</v>
      </c>
      <c r="F36">
        <v>1835811136</v>
      </c>
      <c r="G36">
        <v>3089779456.6153851</v>
      </c>
      <c r="H36">
        <v>1080168604.666667</v>
      </c>
      <c r="I36">
        <v>1760401811.25</v>
      </c>
      <c r="J36">
        <v>1177509728.1111109</v>
      </c>
      <c r="K36">
        <v>226347242.66666669</v>
      </c>
      <c r="L36">
        <v>8182785552.5714283</v>
      </c>
      <c r="M36">
        <v>3494332125.75</v>
      </c>
      <c r="N36">
        <v>1037890412.333333</v>
      </c>
      <c r="O36">
        <v>4605680204.833333</v>
      </c>
    </row>
    <row r="37" spans="1:15" x14ac:dyDescent="0.15">
      <c r="A37" s="10" t="s">
        <v>203</v>
      </c>
    </row>
    <row r="38" spans="1:15" x14ac:dyDescent="0.15">
      <c r="A38" s="10" t="s">
        <v>317</v>
      </c>
    </row>
    <row r="39" spans="1:15" x14ac:dyDescent="0.15">
      <c r="A39" s="10" t="s">
        <v>268</v>
      </c>
    </row>
    <row r="40" spans="1:15" x14ac:dyDescent="0.15">
      <c r="A40" s="10" t="s">
        <v>571</v>
      </c>
    </row>
    <row r="41" spans="1:15" x14ac:dyDescent="0.15">
      <c r="A41" s="10" t="s">
        <v>633</v>
      </c>
    </row>
    <row r="42" spans="1:15" x14ac:dyDescent="0.15">
      <c r="A42" s="10" t="s">
        <v>566</v>
      </c>
      <c r="B42">
        <v>17926314</v>
      </c>
      <c r="C42">
        <v>60427972.5</v>
      </c>
      <c r="D42">
        <v>42187600</v>
      </c>
      <c r="E42">
        <v>15990936.5</v>
      </c>
      <c r="F42">
        <v>43186170</v>
      </c>
      <c r="G42">
        <v>120774256.61538459</v>
      </c>
      <c r="H42">
        <v>29471540</v>
      </c>
      <c r="I42">
        <v>8393752.5</v>
      </c>
      <c r="J42">
        <v>75483067.333333328</v>
      </c>
      <c r="K42">
        <v>7276934</v>
      </c>
      <c r="L42">
        <v>254618514</v>
      </c>
      <c r="M42">
        <v>33465164.25</v>
      </c>
      <c r="N42">
        <v>4382728</v>
      </c>
      <c r="O42">
        <v>32159505</v>
      </c>
    </row>
    <row r="43" spans="1:15" x14ac:dyDescent="0.15">
      <c r="A43" s="10" t="s">
        <v>436</v>
      </c>
    </row>
    <row r="44" spans="1:15" x14ac:dyDescent="0.15">
      <c r="A44" s="10" t="s">
        <v>431</v>
      </c>
    </row>
    <row r="45" spans="1:15" x14ac:dyDescent="0.15">
      <c r="A45" s="10" t="s">
        <v>620</v>
      </c>
    </row>
    <row r="46" spans="1:15" x14ac:dyDescent="0.15">
      <c r="A46" s="10" t="s">
        <v>237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15">
      <c r="A47" s="10" t="s">
        <v>318</v>
      </c>
      <c r="B47">
        <v>141180454</v>
      </c>
      <c r="C47">
        <v>3756344899.25</v>
      </c>
      <c r="D47">
        <v>5554330942.333334</v>
      </c>
      <c r="E47">
        <v>1374902573.75</v>
      </c>
      <c r="F47">
        <v>1085625035.8571429</v>
      </c>
      <c r="G47">
        <v>1935519673.2307689</v>
      </c>
      <c r="H47">
        <v>614472083.44444442</v>
      </c>
      <c r="I47">
        <v>1190550314.5</v>
      </c>
      <c r="J47">
        <v>893312088.22222209</v>
      </c>
      <c r="K47">
        <v>209484559</v>
      </c>
      <c r="L47">
        <v>5154785650.5714283</v>
      </c>
      <c r="M47">
        <v>2135998038.625</v>
      </c>
      <c r="N47">
        <v>582837153.33333337</v>
      </c>
      <c r="O47">
        <v>2744287922.666667</v>
      </c>
    </row>
    <row r="48" spans="1:15" x14ac:dyDescent="0.15">
      <c r="A48" s="10" t="s">
        <v>575</v>
      </c>
      <c r="B48">
        <v>63536.4</v>
      </c>
      <c r="C48">
        <v>1497706.875</v>
      </c>
      <c r="D48">
        <v>2510122</v>
      </c>
      <c r="E48">
        <v>583470</v>
      </c>
      <c r="F48">
        <v>286009.71428571432</v>
      </c>
      <c r="G48">
        <v>452834.30769230769</v>
      </c>
      <c r="H48">
        <v>74364</v>
      </c>
      <c r="I48">
        <v>65196</v>
      </c>
      <c r="J48">
        <v>112890</v>
      </c>
      <c r="K48">
        <v>21198</v>
      </c>
      <c r="L48">
        <v>1076232.857142857</v>
      </c>
      <c r="M48">
        <v>835800.75</v>
      </c>
      <c r="N48">
        <v>27738</v>
      </c>
      <c r="O48">
        <v>966414</v>
      </c>
    </row>
    <row r="49" spans="1:15" x14ac:dyDescent="0.15">
      <c r="A49" s="10" t="s">
        <v>349</v>
      </c>
    </row>
    <row r="50" spans="1:15" x14ac:dyDescent="0.15">
      <c r="A50" s="10" t="s">
        <v>576</v>
      </c>
    </row>
    <row r="51" spans="1:15" x14ac:dyDescent="0.15">
      <c r="A51" s="10" t="s">
        <v>377</v>
      </c>
      <c r="B51">
        <v>439357717</v>
      </c>
      <c r="C51">
        <v>4600947939.75</v>
      </c>
      <c r="D51">
        <v>6046561449.1111107</v>
      </c>
      <c r="E51">
        <v>1640968854.666667</v>
      </c>
      <c r="F51">
        <v>1694491530.2857139</v>
      </c>
      <c r="G51">
        <v>3851248693.9230771</v>
      </c>
      <c r="H51">
        <v>1032514723.777778</v>
      </c>
      <c r="I51">
        <v>1251170453.75</v>
      </c>
      <c r="J51">
        <v>2141208923.333333</v>
      </c>
      <c r="K51">
        <v>336009588.33333337</v>
      </c>
      <c r="L51">
        <v>9045278376.4285717</v>
      </c>
      <c r="M51">
        <v>2591237509.625</v>
      </c>
      <c r="N51">
        <v>571097322.66666663</v>
      </c>
      <c r="O51">
        <v>3093619102.166667</v>
      </c>
    </row>
    <row r="52" spans="1:15" x14ac:dyDescent="0.15">
      <c r="A52" s="10" t="s">
        <v>335</v>
      </c>
      <c r="B52">
        <v>440319746.80000001</v>
      </c>
      <c r="C52">
        <v>4626783482.5</v>
      </c>
      <c r="D52">
        <v>6089614151.7777777</v>
      </c>
      <c r="E52">
        <v>1650968742.333333</v>
      </c>
      <c r="F52">
        <v>1698910899.428571</v>
      </c>
      <c r="G52">
        <v>3859956889.8461542</v>
      </c>
      <c r="H52">
        <v>1033901519.777778</v>
      </c>
      <c r="I52">
        <v>1252618517.5</v>
      </c>
      <c r="J52">
        <v>2143455798.4444449</v>
      </c>
      <c r="K52">
        <v>336389165.33333337</v>
      </c>
      <c r="L52">
        <v>9064158600.8571434</v>
      </c>
      <c r="M52">
        <v>2605741478</v>
      </c>
      <c r="N52">
        <v>571583184</v>
      </c>
      <c r="O52">
        <v>3110174014.333333</v>
      </c>
    </row>
    <row r="53" spans="1:15" x14ac:dyDescent="0.15">
      <c r="A53" s="10" t="s">
        <v>341</v>
      </c>
      <c r="B53">
        <v>798376860.79999995</v>
      </c>
      <c r="C53">
        <v>8235115120.3125</v>
      </c>
      <c r="D53">
        <v>10813257685.444441</v>
      </c>
      <c r="E53">
        <v>3075076547.5</v>
      </c>
      <c r="F53">
        <v>2969649907.8571429</v>
      </c>
      <c r="G53">
        <v>6870784552.7692299</v>
      </c>
      <c r="H53">
        <v>1789150292.5555561</v>
      </c>
      <c r="I53">
        <v>2332656786</v>
      </c>
      <c r="J53">
        <v>3947177016.7777781</v>
      </c>
      <c r="K53">
        <v>660488513</v>
      </c>
      <c r="L53">
        <v>16174232865.07143</v>
      </c>
      <c r="M53">
        <v>4613583325</v>
      </c>
      <c r="N53">
        <v>969926670.66666663</v>
      </c>
      <c r="O53">
        <v>5445108671.166667</v>
      </c>
    </row>
    <row r="54" spans="1:15" x14ac:dyDescent="0.15">
      <c r="A54" s="10" t="s">
        <v>397</v>
      </c>
      <c r="B54">
        <v>453523582.39999998</v>
      </c>
      <c r="C54">
        <v>4632572544.6875</v>
      </c>
      <c r="D54">
        <v>6049476604.7777777</v>
      </c>
      <c r="E54">
        <v>1646855458.916667</v>
      </c>
      <c r="F54">
        <v>1726709681.8571429</v>
      </c>
      <c r="G54">
        <v>3948167258.0769229</v>
      </c>
      <c r="H54">
        <v>1056516909.111111</v>
      </c>
      <c r="I54">
        <v>1257731747.75</v>
      </c>
      <c r="J54">
        <v>2203718866</v>
      </c>
      <c r="K54">
        <v>341887652.66666663</v>
      </c>
      <c r="L54">
        <v>9246458288.5714283</v>
      </c>
      <c r="M54">
        <v>2608755407.5</v>
      </c>
      <c r="N54">
        <v>574443171.66666663</v>
      </c>
      <c r="O54">
        <v>3108146477.833333</v>
      </c>
    </row>
    <row r="55" spans="1:15" x14ac:dyDescent="0.15">
      <c r="A55" s="10" t="s">
        <v>417</v>
      </c>
    </row>
    <row r="56" spans="1:15" x14ac:dyDescent="0.15">
      <c r="A56" s="10" t="s">
        <v>211</v>
      </c>
    </row>
    <row r="57" spans="1:15" x14ac:dyDescent="0.15">
      <c r="A57" s="10" t="s">
        <v>201</v>
      </c>
      <c r="B57">
        <v>13155490.4</v>
      </c>
      <c r="C57">
        <v>501306575.125</v>
      </c>
      <c r="D57">
        <v>748074977.77777779</v>
      </c>
      <c r="E57">
        <v>161820483.33333331</v>
      </c>
      <c r="F57">
        <v>152245998</v>
      </c>
      <c r="G57">
        <v>246976273.69230771</v>
      </c>
      <c r="H57">
        <v>90320268</v>
      </c>
      <c r="I57">
        <v>154119601</v>
      </c>
      <c r="J57">
        <v>90979470.222222224</v>
      </c>
      <c r="K57">
        <v>18655081.33333334</v>
      </c>
      <c r="L57">
        <v>669517419.57142854</v>
      </c>
      <c r="M57">
        <v>289515852.25</v>
      </c>
      <c r="N57">
        <v>91443302.666666657</v>
      </c>
      <c r="O57">
        <v>386547815</v>
      </c>
    </row>
    <row r="58" spans="1:15" x14ac:dyDescent="0.15">
      <c r="A58" s="10" t="s">
        <v>418</v>
      </c>
    </row>
    <row r="59" spans="1:15" x14ac:dyDescent="0.15">
      <c r="A59" s="10" t="s">
        <v>449</v>
      </c>
      <c r="B59">
        <v>36507672.000000007</v>
      </c>
      <c r="C59">
        <v>880122653.5</v>
      </c>
      <c r="D59">
        <v>1473535865.7777779</v>
      </c>
      <c r="E59">
        <v>342471890.66666669</v>
      </c>
      <c r="F59">
        <v>164889181.7142857</v>
      </c>
      <c r="G59">
        <v>271657467.69230771</v>
      </c>
      <c r="H59">
        <v>44343578.666666657</v>
      </c>
      <c r="I59">
        <v>40314172</v>
      </c>
      <c r="J59">
        <v>68193380.444444448</v>
      </c>
      <c r="K59">
        <v>12543037.33333333</v>
      </c>
      <c r="L59">
        <v>634395420.57142854</v>
      </c>
      <c r="M59">
        <v>491690125</v>
      </c>
      <c r="N59">
        <v>16345821.33333333</v>
      </c>
      <c r="O59">
        <v>567193360</v>
      </c>
    </row>
    <row r="60" spans="1:15" x14ac:dyDescent="0.15">
      <c r="A60" s="10" t="s">
        <v>338</v>
      </c>
      <c r="B60">
        <v>27653774.199999999</v>
      </c>
      <c r="C60">
        <v>887191955</v>
      </c>
      <c r="D60">
        <v>1381143802.333333</v>
      </c>
      <c r="E60">
        <v>307332504.66666663</v>
      </c>
      <c r="F60">
        <v>230355742.1428571</v>
      </c>
      <c r="G60">
        <v>381622509.69230771</v>
      </c>
      <c r="H60">
        <v>118762638.6666667</v>
      </c>
      <c r="I60">
        <v>190360094.5</v>
      </c>
      <c r="J60">
        <v>128892486.77777781</v>
      </c>
      <c r="K60">
        <v>25730137</v>
      </c>
      <c r="L60">
        <v>989636269.07142854</v>
      </c>
      <c r="M60">
        <v>506667124.5</v>
      </c>
      <c r="N60">
        <v>109511880.3333333</v>
      </c>
      <c r="O60">
        <v>643206451.83333325</v>
      </c>
    </row>
    <row r="61" spans="1:15" x14ac:dyDescent="0.15">
      <c r="A61" s="10" t="s">
        <v>258</v>
      </c>
      <c r="B61">
        <v>655954027.79999995</v>
      </c>
      <c r="C61">
        <v>13031379080.1875</v>
      </c>
      <c r="D61">
        <v>19233479843</v>
      </c>
      <c r="E61">
        <v>4506662554.5</v>
      </c>
      <c r="F61">
        <v>3849968208.1428571</v>
      </c>
      <c r="G61">
        <v>7366589555.9230766</v>
      </c>
      <c r="H61">
        <v>2168421625.666667</v>
      </c>
      <c r="I61">
        <v>3103172359.25</v>
      </c>
      <c r="J61">
        <v>3222164126.333333</v>
      </c>
      <c r="K61">
        <v>553486804.66666675</v>
      </c>
      <c r="L61">
        <v>18206434412.785709</v>
      </c>
      <c r="M61">
        <v>7424113622.125</v>
      </c>
      <c r="N61">
        <v>1669692400</v>
      </c>
      <c r="O61">
        <v>9282432468</v>
      </c>
    </row>
    <row r="62" spans="1:15" x14ac:dyDescent="0.15">
      <c r="A62" s="10" t="s">
        <v>259</v>
      </c>
      <c r="B62">
        <v>47015468</v>
      </c>
      <c r="C62">
        <v>1468472241.25</v>
      </c>
      <c r="D62">
        <v>2168929370</v>
      </c>
      <c r="E62">
        <v>472955074.83333331</v>
      </c>
      <c r="F62">
        <v>457373945.71428567</v>
      </c>
      <c r="G62">
        <v>767654185.84615397</v>
      </c>
      <c r="H62">
        <v>272606913.33333331</v>
      </c>
      <c r="I62">
        <v>443430912.5</v>
      </c>
      <c r="J62">
        <v>298144452.8888889</v>
      </c>
      <c r="K62">
        <v>56952044</v>
      </c>
      <c r="L62">
        <v>2042919711.8571429</v>
      </c>
      <c r="M62">
        <v>847136819.25</v>
      </c>
      <c r="N62">
        <v>262716784.66666669</v>
      </c>
      <c r="O62">
        <v>1123613636.666667</v>
      </c>
    </row>
    <row r="63" spans="1:15" x14ac:dyDescent="0.15">
      <c r="A63" s="10" t="s">
        <v>408</v>
      </c>
    </row>
    <row r="64" spans="1:15" x14ac:dyDescent="0.15">
      <c r="A64" s="10" t="s">
        <v>333</v>
      </c>
      <c r="B64">
        <v>908940393.60000014</v>
      </c>
      <c r="C64">
        <v>23879294215</v>
      </c>
      <c r="D64">
        <v>35052801063.666656</v>
      </c>
      <c r="E64">
        <v>7822886916.916666</v>
      </c>
      <c r="F64">
        <v>7419741482.1428576</v>
      </c>
      <c r="G64">
        <v>13083640700.615391</v>
      </c>
      <c r="H64">
        <v>4410157465.4444447</v>
      </c>
      <c r="I64">
        <v>6934443418.5</v>
      </c>
      <c r="J64">
        <v>5360519718.666666</v>
      </c>
      <c r="K64">
        <v>982872137.66666675</v>
      </c>
      <c r="L64">
        <v>33968440966.142849</v>
      </c>
      <c r="M64">
        <v>13734712565.375</v>
      </c>
      <c r="N64">
        <v>4003828852.666667</v>
      </c>
      <c r="O64">
        <v>17942638289.666672</v>
      </c>
    </row>
    <row r="65" spans="1:15" x14ac:dyDescent="0.15">
      <c r="A65" s="10" t="s">
        <v>505</v>
      </c>
    </row>
    <row r="66" spans="1:15" x14ac:dyDescent="0.15">
      <c r="A66" s="10" t="s">
        <v>506</v>
      </c>
    </row>
    <row r="67" spans="1:15" x14ac:dyDescent="0.15">
      <c r="A67" s="10" t="s">
        <v>565</v>
      </c>
      <c r="B67">
        <v>10894042.6</v>
      </c>
      <c r="C67">
        <v>431014805.5</v>
      </c>
      <c r="D67">
        <v>659553329.77777779</v>
      </c>
      <c r="E67">
        <v>145491477</v>
      </c>
      <c r="F67">
        <v>109824246.8571429</v>
      </c>
      <c r="G67">
        <v>206001493.76923081</v>
      </c>
      <c r="H67">
        <v>64841545.333333343</v>
      </c>
      <c r="I67">
        <v>108472558.75</v>
      </c>
      <c r="J67">
        <v>71364821.333333343</v>
      </c>
      <c r="K67">
        <v>13701382.33333333</v>
      </c>
      <c r="L67">
        <v>512142858.14285707</v>
      </c>
      <c r="M67">
        <v>248182477.375</v>
      </c>
      <c r="N67">
        <v>60489755.999999993</v>
      </c>
      <c r="O67">
        <v>316415923.5</v>
      </c>
    </row>
    <row r="68" spans="1:15" x14ac:dyDescent="0.15">
      <c r="A68" s="10" t="s">
        <v>223</v>
      </c>
      <c r="B68">
        <v>190182892.40000001</v>
      </c>
      <c r="C68">
        <v>6064037739.8125</v>
      </c>
      <c r="D68">
        <v>9027952474.1111107</v>
      </c>
      <c r="E68">
        <v>1973728527.166667</v>
      </c>
      <c r="F68">
        <v>1835811136</v>
      </c>
      <c r="G68">
        <v>3089779456.6153851</v>
      </c>
      <c r="H68">
        <v>1080168604.666667</v>
      </c>
      <c r="I68">
        <v>1760401811.25</v>
      </c>
      <c r="J68">
        <v>1177509728.1111109</v>
      </c>
      <c r="K68">
        <v>226347242.66666669</v>
      </c>
      <c r="L68">
        <v>8182785552.5714283</v>
      </c>
      <c r="M68">
        <v>3494332125.75</v>
      </c>
      <c r="N68">
        <v>1037890412.333333</v>
      </c>
      <c r="O68">
        <v>4605680204.833333</v>
      </c>
    </row>
    <row r="69" spans="1:15" x14ac:dyDescent="0.15">
      <c r="A69" s="10" t="s">
        <v>394</v>
      </c>
      <c r="B69">
        <v>191924689.59999999</v>
      </c>
      <c r="C69">
        <v>6130411121.75</v>
      </c>
      <c r="D69">
        <v>9126998185.2222233</v>
      </c>
      <c r="E69">
        <v>1995153685.5</v>
      </c>
      <c r="F69">
        <v>1855968625</v>
      </c>
      <c r="G69">
        <v>3122479308.0769229</v>
      </c>
      <c r="H69">
        <v>1092127078.666667</v>
      </c>
      <c r="I69">
        <v>1780807366.75</v>
      </c>
      <c r="J69">
        <v>1189555481</v>
      </c>
      <c r="K69">
        <v>228817190</v>
      </c>
      <c r="L69">
        <v>8271430181.6428566</v>
      </c>
      <c r="M69">
        <v>3532664250.625</v>
      </c>
      <c r="N69">
        <v>1049997577</v>
      </c>
      <c r="O69">
        <v>4656859437.333333</v>
      </c>
    </row>
    <row r="70" spans="1:15" x14ac:dyDescent="0.15">
      <c r="A70" s="10" t="s">
        <v>542</v>
      </c>
      <c r="B70">
        <v>190182892.40000001</v>
      </c>
      <c r="C70">
        <v>6064037739.8125</v>
      </c>
      <c r="D70">
        <v>9027952474.1111107</v>
      </c>
      <c r="E70">
        <v>1973728527.166667</v>
      </c>
      <c r="F70">
        <v>1835811136</v>
      </c>
      <c r="G70">
        <v>3089779456.6153851</v>
      </c>
      <c r="H70">
        <v>1080168604.666667</v>
      </c>
      <c r="I70">
        <v>1760401811.25</v>
      </c>
      <c r="J70">
        <v>1177509728.1111109</v>
      </c>
      <c r="K70">
        <v>226347242.66666669</v>
      </c>
      <c r="L70">
        <v>8182785552.5714283</v>
      </c>
      <c r="M70">
        <v>3494332125.75</v>
      </c>
      <c r="N70">
        <v>1037890412.333333</v>
      </c>
      <c r="O70">
        <v>4605680204.833333</v>
      </c>
    </row>
    <row r="71" spans="1:15" x14ac:dyDescent="0.15">
      <c r="A71" s="10" t="s">
        <v>345</v>
      </c>
      <c r="B71">
        <v>204030331</v>
      </c>
      <c r="C71">
        <v>6111571882.3125</v>
      </c>
      <c r="D71">
        <v>9062114622.1111107</v>
      </c>
      <c r="E71">
        <v>1986432151.083333</v>
      </c>
      <c r="F71">
        <v>1869259542.7142861</v>
      </c>
      <c r="G71">
        <v>3183089780.307693</v>
      </c>
      <c r="H71">
        <v>1102914257.333333</v>
      </c>
      <c r="I71">
        <v>1766909316.5</v>
      </c>
      <c r="J71">
        <v>1235714610.2222221</v>
      </c>
      <c r="K71">
        <v>231965352.3333334</v>
      </c>
      <c r="L71">
        <v>8379585136.4285717</v>
      </c>
      <c r="M71">
        <v>3520660898.875</v>
      </c>
      <c r="N71">
        <v>1041284049.666667</v>
      </c>
      <c r="O71">
        <v>4631090563.333333</v>
      </c>
    </row>
    <row r="72" spans="1:15" x14ac:dyDescent="0.15">
      <c r="A72" s="10" t="s">
        <v>457</v>
      </c>
      <c r="B72">
        <v>194239531.40000001</v>
      </c>
      <c r="C72">
        <v>6146492129.8125</v>
      </c>
      <c r="D72">
        <v>9148773673.1111107</v>
      </c>
      <c r="E72">
        <v>2001144823.916667</v>
      </c>
      <c r="F72">
        <v>1860420692.8571429</v>
      </c>
      <c r="G72">
        <v>3138559316.2307692</v>
      </c>
      <c r="H72">
        <v>1094728328</v>
      </c>
      <c r="I72">
        <v>1780019480.75</v>
      </c>
      <c r="J72">
        <v>1198180617.4444439</v>
      </c>
      <c r="K72">
        <v>229550192.33333331</v>
      </c>
      <c r="L72">
        <v>8300810052.3571434</v>
      </c>
      <c r="M72">
        <v>3541572106.75</v>
      </c>
      <c r="N72">
        <v>1048964629.333333</v>
      </c>
      <c r="O72">
        <v>4664935064.333333</v>
      </c>
    </row>
    <row r="73" spans="1:15" x14ac:dyDescent="0.15">
      <c r="A73" s="10" t="s">
        <v>346</v>
      </c>
      <c r="B73">
        <v>221955160</v>
      </c>
      <c r="C73">
        <v>6282244479</v>
      </c>
      <c r="D73">
        <v>9291112928.7777786</v>
      </c>
      <c r="E73">
        <v>2043114500</v>
      </c>
      <c r="F73">
        <v>1931346300.1428571</v>
      </c>
      <c r="G73">
        <v>3327815923</v>
      </c>
      <c r="H73">
        <v>1139621754.666667</v>
      </c>
      <c r="I73">
        <v>1794523128.75</v>
      </c>
      <c r="J73">
        <v>1310662264.333333</v>
      </c>
      <c r="K73">
        <v>240716330</v>
      </c>
      <c r="L73">
        <v>8702265473.0714283</v>
      </c>
      <c r="M73">
        <v>3617042481.125</v>
      </c>
      <c r="N73">
        <v>1056177421</v>
      </c>
      <c r="O73">
        <v>4742598332</v>
      </c>
    </row>
    <row r="74" spans="1:15" x14ac:dyDescent="0.15">
      <c r="A74" s="10" t="s">
        <v>347</v>
      </c>
      <c r="B74">
        <v>261817030.40000001</v>
      </c>
      <c r="C74">
        <v>6460304750.3125</v>
      </c>
      <c r="D74">
        <v>9463087734.8888893</v>
      </c>
      <c r="E74">
        <v>2096228666.333333</v>
      </c>
      <c r="F74">
        <v>2031218838.7142861</v>
      </c>
      <c r="G74">
        <v>3602355803.9230771</v>
      </c>
      <c r="H74">
        <v>1205092480.666667</v>
      </c>
      <c r="I74">
        <v>1815466405.5</v>
      </c>
      <c r="J74">
        <v>1475879974.8888891</v>
      </c>
      <c r="K74">
        <v>256941882.66666669</v>
      </c>
      <c r="L74">
        <v>9280551129.0714283</v>
      </c>
      <c r="M74">
        <v>3716110708.625</v>
      </c>
      <c r="N74">
        <v>1066441306.666667</v>
      </c>
      <c r="O74">
        <v>4842622261.833333</v>
      </c>
    </row>
    <row r="75" spans="1:15" x14ac:dyDescent="0.15">
      <c r="A75" s="10" t="s">
        <v>507</v>
      </c>
    </row>
    <row r="76" spans="1:15" x14ac:dyDescent="0.15">
      <c r="A76" s="10" t="s">
        <v>385</v>
      </c>
      <c r="B76">
        <v>457389732</v>
      </c>
      <c r="C76">
        <v>13893444562.0625</v>
      </c>
      <c r="D76">
        <v>20593327623.777779</v>
      </c>
      <c r="E76">
        <v>4580015310.333333</v>
      </c>
      <c r="F76">
        <v>4223046384.2857141</v>
      </c>
      <c r="G76">
        <v>7197158031.4615393</v>
      </c>
      <c r="H76">
        <v>2487658782.5555549</v>
      </c>
      <c r="I76">
        <v>4121465867.75</v>
      </c>
      <c r="J76">
        <v>2848007388.666667</v>
      </c>
      <c r="K76">
        <v>560161151.66666675</v>
      </c>
      <c r="L76">
        <v>19043785881.285709</v>
      </c>
      <c r="M76">
        <v>7994555498.375</v>
      </c>
      <c r="N76">
        <v>2374044670.333333</v>
      </c>
      <c r="O76">
        <v>10511762797.16667</v>
      </c>
    </row>
    <row r="77" spans="1:15" x14ac:dyDescent="0.15">
      <c r="A77" s="10" t="s">
        <v>395</v>
      </c>
      <c r="B77">
        <v>190182892.40000001</v>
      </c>
      <c r="C77">
        <v>6064037739.8125</v>
      </c>
      <c r="D77">
        <v>9027952474.1111107</v>
      </c>
      <c r="E77">
        <v>1973728527.166667</v>
      </c>
      <c r="F77">
        <v>1835811136</v>
      </c>
      <c r="G77">
        <v>3089779456.6153851</v>
      </c>
      <c r="H77">
        <v>1080168604.666667</v>
      </c>
      <c r="I77">
        <v>1760401811.25</v>
      </c>
      <c r="J77">
        <v>1177509728.1111109</v>
      </c>
      <c r="K77">
        <v>226347242.66666669</v>
      </c>
      <c r="L77">
        <v>8182785552.5714283</v>
      </c>
      <c r="M77">
        <v>3494332125.75</v>
      </c>
      <c r="N77">
        <v>1037890412.333333</v>
      </c>
      <c r="O77">
        <v>4605680204.833333</v>
      </c>
    </row>
    <row r="78" spans="1:15" x14ac:dyDescent="0.15">
      <c r="A78" s="10" t="s">
        <v>381</v>
      </c>
    </row>
    <row r="79" spans="1:15" x14ac:dyDescent="0.15">
      <c r="A79" s="10" t="s">
        <v>493</v>
      </c>
      <c r="B79">
        <v>372938738.19999999</v>
      </c>
      <c r="C79">
        <v>8793021946</v>
      </c>
      <c r="D79">
        <v>12795993841</v>
      </c>
      <c r="E79">
        <v>2838789144.333333</v>
      </c>
      <c r="F79">
        <v>2811154805</v>
      </c>
      <c r="G79">
        <v>5038003737.6923084</v>
      </c>
      <c r="H79">
        <v>1681936577.333333</v>
      </c>
      <c r="I79">
        <v>2499683498.5</v>
      </c>
      <c r="J79">
        <v>2100127579.2222221</v>
      </c>
      <c r="K79">
        <v>359120658.33333331</v>
      </c>
      <c r="L79">
        <v>12929010132.214291</v>
      </c>
      <c r="M79">
        <v>5059237437.5</v>
      </c>
      <c r="N79">
        <v>1469040305.666667</v>
      </c>
      <c r="O79">
        <v>6593851960.5</v>
      </c>
    </row>
    <row r="80" spans="1:15" x14ac:dyDescent="0.15">
      <c r="A80" s="10" t="s">
        <v>348</v>
      </c>
      <c r="B80">
        <v>248641178.80000001</v>
      </c>
      <c r="C80">
        <v>7839165759.125</v>
      </c>
      <c r="D80">
        <v>11666245204.111111</v>
      </c>
      <c r="E80">
        <v>2552839979.5</v>
      </c>
      <c r="F80">
        <v>2369675336.4285712</v>
      </c>
      <c r="G80">
        <v>4012226574.6923079</v>
      </c>
      <c r="H80">
        <v>1395884920</v>
      </c>
      <c r="I80">
        <v>2266181525.75</v>
      </c>
      <c r="J80">
        <v>1533345984.333333</v>
      </c>
      <c r="K80">
        <v>292831194.66666663</v>
      </c>
      <c r="L80">
        <v>10591519133.92857</v>
      </c>
      <c r="M80">
        <v>4516892581.875</v>
      </c>
      <c r="N80">
        <v>1334166779</v>
      </c>
      <c r="O80">
        <v>5945279476</v>
      </c>
    </row>
    <row r="81" spans="1:15" x14ac:dyDescent="0.15">
      <c r="A81" s="10" t="s">
        <v>282</v>
      </c>
      <c r="B81">
        <v>240746735.19999999</v>
      </c>
      <c r="C81">
        <v>7987348319</v>
      </c>
      <c r="D81">
        <v>11899053135</v>
      </c>
      <c r="E81">
        <v>2594946105.5</v>
      </c>
      <c r="F81">
        <v>2419279610.1428571</v>
      </c>
      <c r="G81">
        <v>4036250737.307693</v>
      </c>
      <c r="H81">
        <v>1425952473.333333</v>
      </c>
      <c r="I81">
        <v>2350203210.75</v>
      </c>
      <c r="J81">
        <v>1525960791.666667</v>
      </c>
      <c r="K81">
        <v>297788775.33333331</v>
      </c>
      <c r="L81">
        <v>10747962361.07143</v>
      </c>
      <c r="M81">
        <v>4604977203.125</v>
      </c>
      <c r="N81">
        <v>1387794093</v>
      </c>
      <c r="O81">
        <v>6087995954.666667</v>
      </c>
    </row>
    <row r="82" spans="1:15" x14ac:dyDescent="0.15">
      <c r="A82" s="10" t="s">
        <v>508</v>
      </c>
      <c r="B82">
        <v>29371325.800000001</v>
      </c>
      <c r="C82">
        <v>464271604.3125</v>
      </c>
      <c r="D82">
        <v>645510296.11111116</v>
      </c>
      <c r="E82">
        <v>147132970</v>
      </c>
      <c r="F82">
        <v>165235061.7142857</v>
      </c>
      <c r="G82">
        <v>320602135.46153837</v>
      </c>
      <c r="H82">
        <v>101150932.6666667</v>
      </c>
      <c r="I82">
        <v>128537052</v>
      </c>
      <c r="J82">
        <v>149785567.66666669</v>
      </c>
      <c r="K82">
        <v>22180891</v>
      </c>
      <c r="L82">
        <v>792152057.71428573</v>
      </c>
      <c r="M82">
        <v>266371852.625</v>
      </c>
      <c r="N82">
        <v>75543796.999999985</v>
      </c>
      <c r="O82">
        <v>341276000</v>
      </c>
    </row>
    <row r="83" spans="1:15" x14ac:dyDescent="0.15">
      <c r="A83" s="10" t="s">
        <v>412</v>
      </c>
    </row>
    <row r="84" spans="1:15" x14ac:dyDescent="0.15">
      <c r="A84" s="10" t="s">
        <v>396</v>
      </c>
      <c r="B84">
        <v>445756389</v>
      </c>
      <c r="C84">
        <v>7958101113.8125</v>
      </c>
      <c r="D84">
        <v>11266375954.222219</v>
      </c>
      <c r="E84">
        <v>2545875709.166667</v>
      </c>
      <c r="F84">
        <v>2714075756.4285722</v>
      </c>
      <c r="G84">
        <v>5149350061.6923084</v>
      </c>
      <c r="H84">
        <v>1644889275.333333</v>
      </c>
      <c r="I84">
        <v>2196216627.75</v>
      </c>
      <c r="J84">
        <v>2321893387.7777781</v>
      </c>
      <c r="K84">
        <v>358171151.66666669</v>
      </c>
      <c r="L84">
        <v>12846940821.92857</v>
      </c>
      <c r="M84">
        <v>4568845048.25</v>
      </c>
      <c r="N84">
        <v>1288462099.333333</v>
      </c>
      <c r="O84">
        <v>5876300465.333333</v>
      </c>
    </row>
    <row r="85" spans="1:15" x14ac:dyDescent="0.15">
      <c r="A85" s="10" t="s">
        <v>325</v>
      </c>
      <c r="B85">
        <v>27061718.399999999</v>
      </c>
      <c r="C85">
        <v>101062996.875</v>
      </c>
      <c r="D85">
        <v>81784668.666666672</v>
      </c>
      <c r="E85">
        <v>28178803.5</v>
      </c>
      <c r="F85">
        <v>66213456.857142858</v>
      </c>
      <c r="G85">
        <v>182511786.9230769</v>
      </c>
      <c r="H85">
        <v>44259784</v>
      </c>
      <c r="I85">
        <v>12943033.5</v>
      </c>
      <c r="J85">
        <v>112764276</v>
      </c>
      <c r="K85">
        <v>10950104</v>
      </c>
      <c r="L85">
        <v>385706667.42857152</v>
      </c>
      <c r="M85">
        <v>56017756.5</v>
      </c>
      <c r="N85">
        <v>6709770</v>
      </c>
      <c r="O85">
        <v>55083569</v>
      </c>
    </row>
    <row r="86" spans="1:15" x14ac:dyDescent="0.15">
      <c r="A86" s="10" t="s">
        <v>326</v>
      </c>
    </row>
    <row r="87" spans="1:15" x14ac:dyDescent="0.15">
      <c r="A87" s="10" t="s">
        <v>327</v>
      </c>
    </row>
    <row r="88" spans="1:15" x14ac:dyDescent="0.15">
      <c r="A88" s="10" t="s">
        <v>328</v>
      </c>
    </row>
    <row r="89" spans="1:15" x14ac:dyDescent="0.15">
      <c r="A89" s="10" t="s">
        <v>329</v>
      </c>
    </row>
    <row r="90" spans="1:15" x14ac:dyDescent="0.15">
      <c r="A90" s="10" t="s">
        <v>350</v>
      </c>
      <c r="B90">
        <v>2055900.6</v>
      </c>
      <c r="C90">
        <v>66076554.3125</v>
      </c>
      <c r="D90">
        <v>103718184.4444444</v>
      </c>
      <c r="E90">
        <v>23217029.33333334</v>
      </c>
      <c r="F90">
        <v>16165426.428571429</v>
      </c>
      <c r="G90">
        <v>27989202.61538462</v>
      </c>
      <c r="H90">
        <v>8189100.666666666</v>
      </c>
      <c r="I90">
        <v>12930443.25</v>
      </c>
      <c r="J90">
        <v>9217239.555555556</v>
      </c>
      <c r="K90">
        <v>1797276.333333333</v>
      </c>
      <c r="L90">
        <v>70480871.928571433</v>
      </c>
      <c r="M90">
        <v>37687588</v>
      </c>
      <c r="N90">
        <v>7245800.666666667</v>
      </c>
      <c r="O90">
        <v>47120657.666666657</v>
      </c>
    </row>
    <row r="91" spans="1:15" x14ac:dyDescent="0.15">
      <c r="A91" s="10" t="s">
        <v>261</v>
      </c>
    </row>
    <row r="92" spans="1:15" x14ac:dyDescent="0.15">
      <c r="A92" s="10" t="s">
        <v>451</v>
      </c>
    </row>
    <row r="93" spans="1:15" x14ac:dyDescent="0.15">
      <c r="A93" s="10" t="s">
        <v>543</v>
      </c>
    </row>
    <row r="94" spans="1:15" x14ac:dyDescent="0.15">
      <c r="A94" s="10" t="s">
        <v>428</v>
      </c>
    </row>
    <row r="95" spans="1:15" x14ac:dyDescent="0.15">
      <c r="A95" s="10" t="s">
        <v>535</v>
      </c>
    </row>
    <row r="96" spans="1:15" x14ac:dyDescent="0.15">
      <c r="A96" s="10" t="s">
        <v>538</v>
      </c>
    </row>
    <row r="97" spans="1:15" x14ac:dyDescent="0.15">
      <c r="A97" s="10" t="s">
        <v>580</v>
      </c>
    </row>
    <row r="98" spans="1:15" x14ac:dyDescent="0.15">
      <c r="A98" s="10" t="s">
        <v>638</v>
      </c>
    </row>
    <row r="99" spans="1:15" x14ac:dyDescent="0.15">
      <c r="A99" s="10" t="s">
        <v>630</v>
      </c>
      <c r="B99">
        <v>83435962.800000012</v>
      </c>
      <c r="C99">
        <v>3206507783.0625</v>
      </c>
      <c r="D99">
        <v>4795428538.4444447</v>
      </c>
      <c r="E99">
        <v>1039236209</v>
      </c>
      <c r="F99">
        <v>957647147.85714293</v>
      </c>
      <c r="G99">
        <v>1578187921.9230771</v>
      </c>
      <c r="H99">
        <v>569202512.66666663</v>
      </c>
      <c r="I99">
        <v>970231664</v>
      </c>
      <c r="J99">
        <v>578145904.66666675</v>
      </c>
      <c r="K99">
        <v>117754323.3333333</v>
      </c>
      <c r="L99">
        <v>4239619011.3571429</v>
      </c>
      <c r="M99">
        <v>1851593734.375</v>
      </c>
      <c r="N99">
        <v>572411936</v>
      </c>
      <c r="O99">
        <v>2461118612.833333</v>
      </c>
    </row>
    <row r="100" spans="1:15" x14ac:dyDescent="0.15">
      <c r="A100" s="10" t="s">
        <v>494</v>
      </c>
      <c r="B100">
        <v>162443219.59999999</v>
      </c>
      <c r="C100">
        <v>829009208.25</v>
      </c>
      <c r="D100">
        <v>856010243.55555558</v>
      </c>
      <c r="E100">
        <v>249869164.25</v>
      </c>
      <c r="F100">
        <v>427428651.28571433</v>
      </c>
      <c r="G100">
        <v>1177007819</v>
      </c>
      <c r="H100">
        <v>284398283.33333337</v>
      </c>
      <c r="I100">
        <v>119176410</v>
      </c>
      <c r="J100">
        <v>692238148.33333325</v>
      </c>
      <c r="K100">
        <v>69630320</v>
      </c>
      <c r="L100">
        <v>2482792351.1428571</v>
      </c>
      <c r="M100">
        <v>464607958</v>
      </c>
      <c r="N100">
        <v>58881544</v>
      </c>
      <c r="O100">
        <v>484462378</v>
      </c>
    </row>
    <row r="101" spans="1:15" x14ac:dyDescent="0.15">
      <c r="A101" s="10" t="s">
        <v>495</v>
      </c>
    </row>
    <row r="102" spans="1:15" x14ac:dyDescent="0.15">
      <c r="A102" s="10" t="s">
        <v>334</v>
      </c>
      <c r="B102">
        <v>19565680.199999999</v>
      </c>
      <c r="C102">
        <v>365641755.5625</v>
      </c>
      <c r="D102">
        <v>585377440.77777779</v>
      </c>
      <c r="E102">
        <v>138420975.75</v>
      </c>
      <c r="F102">
        <v>74476129.571428567</v>
      </c>
      <c r="G102">
        <v>165404821.69230771</v>
      </c>
      <c r="H102">
        <v>30339526.66666666</v>
      </c>
      <c r="I102">
        <v>23239256</v>
      </c>
      <c r="J102">
        <v>60531953.333333343</v>
      </c>
      <c r="K102">
        <v>7955274.333333334</v>
      </c>
      <c r="L102">
        <v>351968037.5714286</v>
      </c>
      <c r="M102">
        <v>205285766.125</v>
      </c>
      <c r="N102">
        <v>8189503</v>
      </c>
      <c r="O102">
        <v>231408980.33333331</v>
      </c>
    </row>
    <row r="103" spans="1:15" x14ac:dyDescent="0.15">
      <c r="A103" s="10" t="s">
        <v>344</v>
      </c>
      <c r="B103">
        <v>16545514.199999999</v>
      </c>
      <c r="C103">
        <v>260285567.8125</v>
      </c>
      <c r="D103">
        <v>411475575.44444442</v>
      </c>
      <c r="E103">
        <v>98080009.75</v>
      </c>
      <c r="F103">
        <v>59920414.142857142</v>
      </c>
      <c r="G103">
        <v>123849322.4615384</v>
      </c>
      <c r="H103">
        <v>23983238.66666666</v>
      </c>
      <c r="I103">
        <v>15154350.5</v>
      </c>
      <c r="J103">
        <v>49350696</v>
      </c>
      <c r="K103">
        <v>6313628.333333334</v>
      </c>
      <c r="L103">
        <v>272851445.28571433</v>
      </c>
      <c r="M103">
        <v>145557269.875</v>
      </c>
      <c r="N103">
        <v>6158451</v>
      </c>
      <c r="O103">
        <v>164679185.33333331</v>
      </c>
    </row>
    <row r="104" spans="1:15" x14ac:dyDescent="0.15">
      <c r="A104" s="10" t="s">
        <v>435</v>
      </c>
    </row>
    <row r="105" spans="1:15" x14ac:dyDescent="0.15">
      <c r="A105" s="10" t="s">
        <v>458</v>
      </c>
    </row>
    <row r="106" spans="1:15" x14ac:dyDescent="0.15">
      <c r="A106" s="10" t="s">
        <v>501</v>
      </c>
    </row>
    <row r="107" spans="1:15" x14ac:dyDescent="0.15">
      <c r="A107" s="10" t="s">
        <v>427</v>
      </c>
      <c r="B107">
        <v>819629276.20000005</v>
      </c>
      <c r="C107">
        <v>36395108828.8125</v>
      </c>
      <c r="D107">
        <v>52348754742.222221</v>
      </c>
      <c r="E107">
        <v>24570006268.83334</v>
      </c>
      <c r="F107">
        <v>5630602444</v>
      </c>
      <c r="G107">
        <v>13984774136.615391</v>
      </c>
      <c r="H107">
        <v>2252002642.333333</v>
      </c>
      <c r="I107">
        <v>27108778055.5</v>
      </c>
      <c r="J107">
        <v>16549200364.222231</v>
      </c>
      <c r="K107">
        <v>7570211598.666667</v>
      </c>
      <c r="L107">
        <v>49697585665.999992</v>
      </c>
      <c r="M107">
        <v>19035242436.5</v>
      </c>
      <c r="N107">
        <v>5347622615.666666</v>
      </c>
      <c r="O107">
        <v>22381632426.666672</v>
      </c>
    </row>
    <row r="108" spans="1:15" x14ac:dyDescent="0.15">
      <c r="A108" s="10" t="s">
        <v>425</v>
      </c>
      <c r="B108">
        <v>343900264.60000002</v>
      </c>
      <c r="C108">
        <v>30925998636.875</v>
      </c>
      <c r="D108">
        <v>45135262627.333344</v>
      </c>
      <c r="E108">
        <v>22706914720.75</v>
      </c>
      <c r="F108">
        <v>3575699738.4285722</v>
      </c>
      <c r="G108">
        <v>9523565566.4615383</v>
      </c>
      <c r="H108">
        <v>976946031.77777791</v>
      </c>
      <c r="I108">
        <v>25521126249.25</v>
      </c>
      <c r="J108">
        <v>14154249661.222219</v>
      </c>
      <c r="K108">
        <v>7198445352.999999</v>
      </c>
      <c r="L108">
        <v>39027988959.285713</v>
      </c>
      <c r="M108">
        <v>15932944408.375</v>
      </c>
      <c r="N108">
        <v>4550292083.333333</v>
      </c>
      <c r="O108">
        <v>18565965369.166672</v>
      </c>
    </row>
    <row r="109" spans="1:15" x14ac:dyDescent="0.15">
      <c r="A109" s="10" t="s">
        <v>174</v>
      </c>
    </row>
    <row r="110" spans="1:15" x14ac:dyDescent="0.15">
      <c r="A110" s="10" t="s">
        <v>502</v>
      </c>
    </row>
    <row r="111" spans="1:15" x14ac:dyDescent="0.15">
      <c r="A111" s="10" t="s">
        <v>253</v>
      </c>
    </row>
    <row r="112" spans="1:15" x14ac:dyDescent="0.15">
      <c r="A112" s="10" t="s">
        <v>254</v>
      </c>
      <c r="B112">
        <v>4002760.6</v>
      </c>
      <c r="C112">
        <v>22548969.0625</v>
      </c>
      <c r="D112">
        <v>26075371.888888892</v>
      </c>
      <c r="E112">
        <v>7287429.333333333</v>
      </c>
      <c r="F112">
        <v>10581023.14285714</v>
      </c>
      <c r="G112">
        <v>27142430.230769228</v>
      </c>
      <c r="H112">
        <v>6368372.666666667</v>
      </c>
      <c r="I112">
        <v>2124329</v>
      </c>
      <c r="J112">
        <v>15763479.88888889</v>
      </c>
      <c r="K112">
        <v>1592453</v>
      </c>
      <c r="L112">
        <v>58079839.571428567</v>
      </c>
      <c r="M112">
        <v>12532598.125</v>
      </c>
      <c r="N112">
        <v>1064725.666666667</v>
      </c>
      <c r="O112">
        <v>13195257.66666667</v>
      </c>
    </row>
    <row r="113" spans="1:15" x14ac:dyDescent="0.15">
      <c r="A113" s="10" t="s">
        <v>302</v>
      </c>
    </row>
    <row r="114" spans="1:15" x14ac:dyDescent="0.15">
      <c r="A114" s="10" t="s">
        <v>262</v>
      </c>
    </row>
    <row r="115" spans="1:15" x14ac:dyDescent="0.15">
      <c r="A115" s="10" t="s">
        <v>303</v>
      </c>
    </row>
    <row r="116" spans="1:15" x14ac:dyDescent="0.15">
      <c r="A116" s="10" t="s">
        <v>600</v>
      </c>
    </row>
    <row r="117" spans="1:15" x14ac:dyDescent="0.15">
      <c r="A117" s="10" t="s">
        <v>649</v>
      </c>
    </row>
    <row r="118" spans="1:15" x14ac:dyDescent="0.15">
      <c r="A118" s="10" t="s">
        <v>332</v>
      </c>
    </row>
    <row r="119" spans="1:15" x14ac:dyDescent="0.15">
      <c r="A119" s="10" t="s">
        <v>366</v>
      </c>
    </row>
    <row r="120" spans="1:15" x14ac:dyDescent="0.15">
      <c r="A120" s="10" t="s">
        <v>471</v>
      </c>
      <c r="B120">
        <v>187079.4</v>
      </c>
      <c r="C120">
        <v>4409914.6875</v>
      </c>
      <c r="D120">
        <v>7390914.777777778</v>
      </c>
      <c r="E120">
        <v>1717995</v>
      </c>
      <c r="F120">
        <v>842139.7142857142</v>
      </c>
      <c r="G120">
        <v>1333345.461538462</v>
      </c>
      <c r="H120">
        <v>218960.66666666669</v>
      </c>
      <c r="I120">
        <v>191966</v>
      </c>
      <c r="J120">
        <v>332398.33333333337</v>
      </c>
      <c r="K120">
        <v>62416.333333333343</v>
      </c>
      <c r="L120">
        <v>3168907.8571428568</v>
      </c>
      <c r="M120">
        <v>2460968.875</v>
      </c>
      <c r="N120">
        <v>81673</v>
      </c>
      <c r="O120">
        <v>2845552.333333333</v>
      </c>
    </row>
    <row r="121" spans="1:15" x14ac:dyDescent="0.15">
      <c r="A121" s="10" t="s">
        <v>569</v>
      </c>
      <c r="B121">
        <v>187079.4</v>
      </c>
      <c r="C121">
        <v>4409914.6875</v>
      </c>
      <c r="D121">
        <v>7390914.777777778</v>
      </c>
      <c r="E121">
        <v>1717995</v>
      </c>
      <c r="F121">
        <v>842139.7142857142</v>
      </c>
      <c r="G121">
        <v>1333345.461538462</v>
      </c>
      <c r="H121">
        <v>218960.66666666669</v>
      </c>
      <c r="I121">
        <v>191966</v>
      </c>
      <c r="J121">
        <v>332398.33333333337</v>
      </c>
      <c r="K121">
        <v>62416.333333333343</v>
      </c>
      <c r="L121">
        <v>3168907.8571428568</v>
      </c>
      <c r="M121">
        <v>2460968.875</v>
      </c>
      <c r="N121">
        <v>81673</v>
      </c>
      <c r="O121">
        <v>2845552.333333333</v>
      </c>
    </row>
    <row r="122" spans="1:15" x14ac:dyDescent="0.15">
      <c r="A122" s="10" t="s">
        <v>340</v>
      </c>
    </row>
    <row r="123" spans="1:15" x14ac:dyDescent="0.15">
      <c r="A123" s="10" t="s">
        <v>314</v>
      </c>
    </row>
    <row r="124" spans="1:15" x14ac:dyDescent="0.15">
      <c r="A124" s="10" t="s">
        <v>406</v>
      </c>
    </row>
    <row r="125" spans="1:15" x14ac:dyDescent="0.15">
      <c r="A125" s="10" t="s">
        <v>212</v>
      </c>
      <c r="B125">
        <v>16360910.800000001</v>
      </c>
      <c r="C125">
        <v>623453167.4375</v>
      </c>
      <c r="D125">
        <v>930348288.88888896</v>
      </c>
      <c r="E125">
        <v>201249091.66666669</v>
      </c>
      <c r="F125">
        <v>189341721</v>
      </c>
      <c r="G125">
        <v>307153641.61538458</v>
      </c>
      <c r="H125">
        <v>112327386</v>
      </c>
      <c r="I125">
        <v>191671839.5</v>
      </c>
      <c r="J125">
        <v>113147207.1111111</v>
      </c>
      <c r="K125">
        <v>23200512.666666672</v>
      </c>
      <c r="L125">
        <v>832649673.07142854</v>
      </c>
      <c r="M125">
        <v>360058263.875</v>
      </c>
      <c r="N125">
        <v>113724055.3333333</v>
      </c>
      <c r="O125">
        <v>480732692.5</v>
      </c>
    </row>
    <row r="126" spans="1:15" x14ac:dyDescent="0.15">
      <c r="A126" s="10" t="s">
        <v>661</v>
      </c>
      <c r="B126">
        <v>49657791.600000001</v>
      </c>
      <c r="C126">
        <v>1403955846.3125</v>
      </c>
      <c r="D126">
        <v>2314205763.7777781</v>
      </c>
      <c r="E126">
        <v>614926481.16666663</v>
      </c>
      <c r="F126">
        <v>239697033.4285714</v>
      </c>
      <c r="G126">
        <v>428962498.53846163</v>
      </c>
      <c r="H126">
        <v>63853137.888888888</v>
      </c>
      <c r="I126">
        <v>216658741.75</v>
      </c>
      <c r="J126">
        <v>177743126.22222221</v>
      </c>
      <c r="K126">
        <v>62092757</v>
      </c>
      <c r="L126">
        <v>1092650623.1428571</v>
      </c>
      <c r="M126">
        <v>776416331.125</v>
      </c>
      <c r="N126">
        <v>49186111</v>
      </c>
      <c r="O126">
        <v>894324765.5</v>
      </c>
    </row>
    <row r="127" spans="1:15" x14ac:dyDescent="0.15">
      <c r="A127" s="10" t="s">
        <v>351</v>
      </c>
    </row>
    <row r="128" spans="1:15" x14ac:dyDescent="0.15">
      <c r="A128" s="10" t="s">
        <v>573</v>
      </c>
      <c r="B128">
        <v>142345419.40000001</v>
      </c>
      <c r="C128">
        <v>1699621346.1875</v>
      </c>
      <c r="D128">
        <v>2434122196.2222219</v>
      </c>
      <c r="E128">
        <v>584055354.83333325</v>
      </c>
      <c r="F128">
        <v>553068884.42857146</v>
      </c>
      <c r="G128">
        <v>1159792842.9230771</v>
      </c>
      <c r="H128">
        <v>297892615.33333331</v>
      </c>
      <c r="I128">
        <v>257415200.25</v>
      </c>
      <c r="J128">
        <v>559403667.55555558</v>
      </c>
      <c r="K128">
        <v>70845750.333333343</v>
      </c>
      <c r="L128">
        <v>2678018127.0714278</v>
      </c>
      <c r="M128">
        <v>958629524.25</v>
      </c>
      <c r="N128">
        <v>143230082.66666669</v>
      </c>
      <c r="O128">
        <v>1133569905.666667</v>
      </c>
    </row>
    <row r="129" spans="1:15" x14ac:dyDescent="0.15">
      <c r="A129" s="10" t="s">
        <v>257</v>
      </c>
    </row>
    <row r="130" spans="1:15" x14ac:dyDescent="0.15">
      <c r="A130" s="10" t="s">
        <v>536</v>
      </c>
      <c r="B130">
        <v>804794.4</v>
      </c>
      <c r="C130">
        <v>18970953.75</v>
      </c>
      <c r="D130">
        <v>31794878.66666666</v>
      </c>
      <c r="E130">
        <v>7390620</v>
      </c>
      <c r="F130">
        <v>3622789.7142857141</v>
      </c>
      <c r="G130">
        <v>5735901.230769231</v>
      </c>
      <c r="H130">
        <v>941943.99999999988</v>
      </c>
      <c r="I130">
        <v>825816</v>
      </c>
      <c r="J130">
        <v>1429940</v>
      </c>
      <c r="K130">
        <v>268508</v>
      </c>
      <c r="L130">
        <v>13632282.85714286</v>
      </c>
      <c r="M130">
        <v>10586809.5</v>
      </c>
      <c r="N130">
        <v>351348</v>
      </c>
      <c r="O130">
        <v>12241244</v>
      </c>
    </row>
    <row r="131" spans="1:15" x14ac:dyDescent="0.15">
      <c r="A131" s="10" t="s">
        <v>657</v>
      </c>
    </row>
    <row r="132" spans="1:15" x14ac:dyDescent="0.15">
      <c r="A132" s="10" t="s">
        <v>658</v>
      </c>
    </row>
    <row r="133" spans="1:15" x14ac:dyDescent="0.15">
      <c r="A133" s="10" t="s">
        <v>641</v>
      </c>
      <c r="B133">
        <v>1932030</v>
      </c>
      <c r="C133">
        <v>52804112.8125</v>
      </c>
      <c r="D133">
        <v>87930392.777777776</v>
      </c>
      <c r="E133">
        <v>20421720</v>
      </c>
      <c r="F133">
        <v>8901187.1428571418</v>
      </c>
      <c r="G133">
        <v>18027342.307692312</v>
      </c>
      <c r="H133">
        <v>2860976.666666667</v>
      </c>
      <c r="I133">
        <v>3042241.25</v>
      </c>
      <c r="J133">
        <v>4668788.333333334</v>
      </c>
      <c r="K133">
        <v>779353.33333333337</v>
      </c>
      <c r="L133">
        <v>38668938.571428567</v>
      </c>
      <c r="M133">
        <v>29666068.75</v>
      </c>
      <c r="N133">
        <v>994915</v>
      </c>
      <c r="O133">
        <v>33806270.833333328</v>
      </c>
    </row>
    <row r="134" spans="1:15" x14ac:dyDescent="0.15">
      <c r="A134" s="10" t="s">
        <v>643</v>
      </c>
    </row>
    <row r="135" spans="1:15" x14ac:dyDescent="0.15">
      <c r="A135" s="10" t="s">
        <v>678</v>
      </c>
      <c r="B135">
        <v>1723771.8</v>
      </c>
      <c r="C135">
        <v>47894962.5</v>
      </c>
      <c r="D135">
        <v>79702770.666666657</v>
      </c>
      <c r="E135">
        <v>18509235</v>
      </c>
      <c r="F135">
        <v>7963710.8571428563</v>
      </c>
      <c r="G135">
        <v>16543052.07692308</v>
      </c>
      <c r="H135">
        <v>2617228</v>
      </c>
      <c r="I135">
        <v>2828543.25</v>
      </c>
      <c r="J135">
        <v>4298760</v>
      </c>
      <c r="K135">
        <v>709871</v>
      </c>
      <c r="L135">
        <v>35141286.428571433</v>
      </c>
      <c r="M135">
        <v>26926499.625</v>
      </c>
      <c r="N135">
        <v>903996</v>
      </c>
      <c r="O135">
        <v>30638580.5</v>
      </c>
    </row>
    <row r="136" spans="1:15" x14ac:dyDescent="0.15">
      <c r="A136" s="10" t="s">
        <v>656</v>
      </c>
    </row>
    <row r="137" spans="1:15" x14ac:dyDescent="0.15">
      <c r="A137" s="10" t="s">
        <v>627</v>
      </c>
      <c r="B137">
        <v>1723771.8</v>
      </c>
      <c r="C137">
        <v>47894962.5</v>
      </c>
      <c r="D137">
        <v>79702770.666666657</v>
      </c>
      <c r="E137">
        <v>18509235</v>
      </c>
      <c r="F137">
        <v>7963710.8571428563</v>
      </c>
      <c r="G137">
        <v>16543052.07692308</v>
      </c>
      <c r="H137">
        <v>2617228</v>
      </c>
      <c r="I137">
        <v>2828543.25</v>
      </c>
      <c r="J137">
        <v>4298760</v>
      </c>
      <c r="K137">
        <v>709871</v>
      </c>
      <c r="L137">
        <v>35141286.428571433</v>
      </c>
      <c r="M137">
        <v>26926499.625</v>
      </c>
      <c r="N137">
        <v>903996</v>
      </c>
      <c r="O137">
        <v>30638580.5</v>
      </c>
    </row>
    <row r="138" spans="1:15" x14ac:dyDescent="0.15">
      <c r="A138" s="10" t="s">
        <v>680</v>
      </c>
      <c r="B138">
        <v>1723771.8</v>
      </c>
      <c r="C138">
        <v>47894962.5</v>
      </c>
      <c r="D138">
        <v>79702770.666666657</v>
      </c>
      <c r="E138">
        <v>18509235</v>
      </c>
      <c r="F138">
        <v>7963710.8571428563</v>
      </c>
      <c r="G138">
        <v>16543052.07692308</v>
      </c>
      <c r="H138">
        <v>2617228</v>
      </c>
      <c r="I138">
        <v>2828543.25</v>
      </c>
      <c r="J138">
        <v>4298760</v>
      </c>
      <c r="K138">
        <v>709871</v>
      </c>
      <c r="L138">
        <v>35141286.428571433</v>
      </c>
      <c r="M138">
        <v>26926499.625</v>
      </c>
      <c r="N138">
        <v>903996</v>
      </c>
      <c r="O138">
        <v>30638580.5</v>
      </c>
    </row>
    <row r="139" spans="1:15" x14ac:dyDescent="0.15">
      <c r="A139" s="10" t="s">
        <v>644</v>
      </c>
    </row>
    <row r="140" spans="1:15" x14ac:dyDescent="0.15">
      <c r="A140" s="10" t="s">
        <v>672</v>
      </c>
      <c r="B140">
        <v>1854374.4</v>
      </c>
      <c r="C140">
        <v>50973582.1875</v>
      </c>
      <c r="D140">
        <v>84862465.888888881</v>
      </c>
      <c r="E140">
        <v>19708590</v>
      </c>
      <c r="F140">
        <v>8551619.7142857127</v>
      </c>
      <c r="G140">
        <v>17473878.153846148</v>
      </c>
      <c r="H140">
        <v>2770087.333333333</v>
      </c>
      <c r="I140">
        <v>2962557.25</v>
      </c>
      <c r="J140">
        <v>4530811.666666667</v>
      </c>
      <c r="K140">
        <v>753444.66666666674</v>
      </c>
      <c r="L140">
        <v>37353542.857142851</v>
      </c>
      <c r="M140">
        <v>28644534.5</v>
      </c>
      <c r="N140">
        <v>961013</v>
      </c>
      <c r="O140">
        <v>32625098.16666666</v>
      </c>
    </row>
    <row r="141" spans="1:15" x14ac:dyDescent="0.15">
      <c r="A141" s="10" t="s">
        <v>667</v>
      </c>
      <c r="B141">
        <v>5208733.8000000007</v>
      </c>
      <c r="C141">
        <v>155701206.9375</v>
      </c>
      <c r="D141">
        <v>258376334.77777779</v>
      </c>
      <c r="E141">
        <v>59979779</v>
      </c>
      <c r="F141">
        <v>24372579.714285709</v>
      </c>
      <c r="G141">
        <v>56423931.307692297</v>
      </c>
      <c r="H141">
        <v>8815016.666666666</v>
      </c>
      <c r="I141">
        <v>10148969</v>
      </c>
      <c r="J141">
        <v>14857967.66666667</v>
      </c>
      <c r="K141">
        <v>2348728.333333333</v>
      </c>
      <c r="L141">
        <v>115169659.8571429</v>
      </c>
      <c r="M141">
        <v>87789680.875</v>
      </c>
      <c r="N141">
        <v>2960549</v>
      </c>
      <c r="O141">
        <v>99261186.333333328</v>
      </c>
    </row>
    <row r="142" spans="1:15" x14ac:dyDescent="0.15">
      <c r="A142" s="10" t="s">
        <v>652</v>
      </c>
      <c r="B142">
        <v>1935559.8</v>
      </c>
      <c r="C142">
        <v>52887318.75</v>
      </c>
      <c r="D142">
        <v>88069844</v>
      </c>
      <c r="E142">
        <v>20454135</v>
      </c>
      <c r="F142">
        <v>8917076.5714285709</v>
      </c>
      <c r="G142">
        <v>18052499.769230772</v>
      </c>
      <c r="H142">
        <v>2865108</v>
      </c>
      <c r="I142">
        <v>3045863.25</v>
      </c>
      <c r="J142">
        <v>4675060</v>
      </c>
      <c r="K142">
        <v>780531</v>
      </c>
      <c r="L142">
        <v>38728729.285714284</v>
      </c>
      <c r="M142">
        <v>29712502.125</v>
      </c>
      <c r="N142">
        <v>996456</v>
      </c>
      <c r="O142">
        <v>33859960.5</v>
      </c>
    </row>
    <row r="143" spans="1:15" x14ac:dyDescent="0.15">
      <c r="A143" s="10" t="s">
        <v>665</v>
      </c>
      <c r="B143">
        <v>2242652.4</v>
      </c>
      <c r="C143">
        <v>60126235.3125</v>
      </c>
      <c r="D143">
        <v>100202100.3333333</v>
      </c>
      <c r="E143">
        <v>23274240</v>
      </c>
      <c r="F143">
        <v>10299456.85714286</v>
      </c>
      <c r="G143">
        <v>20241198.92307692</v>
      </c>
      <c r="H143">
        <v>3224534</v>
      </c>
      <c r="I143">
        <v>3360977.25</v>
      </c>
      <c r="J143">
        <v>5220695</v>
      </c>
      <c r="K143">
        <v>882988</v>
      </c>
      <c r="L143">
        <v>43930521.428571433</v>
      </c>
      <c r="M143">
        <v>33752205.75</v>
      </c>
      <c r="N143">
        <v>1130523</v>
      </c>
      <c r="O143">
        <v>38530961.5</v>
      </c>
    </row>
    <row r="144" spans="1:15" x14ac:dyDescent="0.15">
      <c r="A144" s="10" t="s">
        <v>659</v>
      </c>
      <c r="B144">
        <v>457917.2</v>
      </c>
      <c r="C144">
        <v>17449513.1875</v>
      </c>
      <c r="D144">
        <v>26039044.44444444</v>
      </c>
      <c r="E144">
        <v>5632658.333333333</v>
      </c>
      <c r="F144">
        <v>5299389</v>
      </c>
      <c r="G144">
        <v>8596766.846153846</v>
      </c>
      <c r="H144">
        <v>3143874</v>
      </c>
      <c r="I144">
        <v>5364605.5</v>
      </c>
      <c r="J144">
        <v>3166819.555555556</v>
      </c>
      <c r="K144">
        <v>649347.33333333337</v>
      </c>
      <c r="L144">
        <v>23304607.642857142</v>
      </c>
      <c r="M144">
        <v>10077487.375</v>
      </c>
      <c r="N144">
        <v>3182964.666666667</v>
      </c>
      <c r="O144">
        <v>13454982.5</v>
      </c>
    </row>
    <row r="145" spans="1:15" x14ac:dyDescent="0.15">
      <c r="A145" s="10" t="s">
        <v>597</v>
      </c>
      <c r="B145">
        <v>49351847.400000013</v>
      </c>
      <c r="C145">
        <v>1230517105.8125</v>
      </c>
      <c r="D145">
        <v>2057062986.5555561</v>
      </c>
      <c r="E145">
        <v>477996660.33333331</v>
      </c>
      <c r="F145">
        <v>224046230.5714286</v>
      </c>
      <c r="G145">
        <v>391123462.38461542</v>
      </c>
      <c r="H145">
        <v>63309863.333333328</v>
      </c>
      <c r="I145">
        <v>60444429.5</v>
      </c>
      <c r="J145">
        <v>99121218.555555552</v>
      </c>
      <c r="K145">
        <v>17712161.666666672</v>
      </c>
      <c r="L145">
        <v>890936706.71428561</v>
      </c>
      <c r="M145">
        <v>688531203.875</v>
      </c>
      <c r="N145">
        <v>22946513.666666672</v>
      </c>
      <c r="O145">
        <v>791543544</v>
      </c>
    </row>
    <row r="146" spans="1:15" x14ac:dyDescent="0.15">
      <c r="A146" s="10" t="s">
        <v>647</v>
      </c>
    </row>
    <row r="147" spans="1:15" x14ac:dyDescent="0.15">
      <c r="A147" s="10" t="s">
        <v>648</v>
      </c>
      <c r="B147">
        <v>25298544.600000001</v>
      </c>
      <c r="C147">
        <v>629889131.25</v>
      </c>
      <c r="D147">
        <v>1053055610.222222</v>
      </c>
      <c r="E147">
        <v>244698995</v>
      </c>
      <c r="F147">
        <v>114824553.1428571</v>
      </c>
      <c r="G147">
        <v>199972220.69230771</v>
      </c>
      <c r="H147">
        <v>32379849.333333328</v>
      </c>
      <c r="I147">
        <v>30854370.25</v>
      </c>
      <c r="J147">
        <v>50659020.000000007</v>
      </c>
      <c r="K147">
        <v>9062953.6666666679</v>
      </c>
      <c r="L147">
        <v>455977097.85714293</v>
      </c>
      <c r="M147">
        <v>352428988.625</v>
      </c>
      <c r="N147">
        <v>11744112</v>
      </c>
      <c r="O147">
        <v>405214025.16666663</v>
      </c>
    </row>
    <row r="148" spans="1:15" x14ac:dyDescent="0.15">
      <c r="A148" s="10" t="s">
        <v>175</v>
      </c>
    </row>
    <row r="149" spans="1:15" x14ac:dyDescent="0.15">
      <c r="A149" s="10" t="s">
        <v>176</v>
      </c>
    </row>
    <row r="150" spans="1:15" x14ac:dyDescent="0.15">
      <c r="A150" s="10" t="s">
        <v>177</v>
      </c>
    </row>
    <row r="151" spans="1:15" x14ac:dyDescent="0.15">
      <c r="A151" s="10" t="s">
        <v>629</v>
      </c>
    </row>
    <row r="152" spans="1:15" x14ac:dyDescent="0.15">
      <c r="A152" s="10" t="s">
        <v>646</v>
      </c>
    </row>
    <row r="153" spans="1:15" x14ac:dyDescent="0.15">
      <c r="A153" s="10" t="s">
        <v>666</v>
      </c>
      <c r="B153">
        <v>190182892.40000001</v>
      </c>
      <c r="C153">
        <v>6064037739.8125</v>
      </c>
      <c r="D153">
        <v>9027952474.1111107</v>
      </c>
      <c r="E153">
        <v>1973728527.166667</v>
      </c>
      <c r="F153">
        <v>1835811136</v>
      </c>
      <c r="G153">
        <v>3089779456.6153851</v>
      </c>
      <c r="H153">
        <v>1080168604.666667</v>
      </c>
      <c r="I153">
        <v>1760401811.25</v>
      </c>
      <c r="J153">
        <v>1177509728.1111109</v>
      </c>
      <c r="K153">
        <v>226347242.66666669</v>
      </c>
      <c r="L153">
        <v>8182785552.5714283</v>
      </c>
      <c r="M153">
        <v>3494332125.75</v>
      </c>
      <c r="N153">
        <v>1037890412.333333</v>
      </c>
      <c r="O153">
        <v>4605680204.833333</v>
      </c>
    </row>
    <row r="154" spans="1:15" x14ac:dyDescent="0.15">
      <c r="A154" s="10" t="s">
        <v>651</v>
      </c>
      <c r="B154">
        <v>190182892.40000001</v>
      </c>
      <c r="C154">
        <v>6064037739.8125</v>
      </c>
      <c r="D154">
        <v>9027952474.1111107</v>
      </c>
      <c r="E154">
        <v>1973728527.166667</v>
      </c>
      <c r="F154">
        <v>1835811136</v>
      </c>
      <c r="G154">
        <v>3089779456.6153851</v>
      </c>
      <c r="H154">
        <v>1080168604.666667</v>
      </c>
      <c r="I154">
        <v>1760401811.25</v>
      </c>
      <c r="J154">
        <v>1177509728.1111109</v>
      </c>
      <c r="K154">
        <v>226347242.66666669</v>
      </c>
      <c r="L154">
        <v>8182785552.5714283</v>
      </c>
      <c r="M154">
        <v>3494332125.75</v>
      </c>
      <c r="N154">
        <v>1037890412.333333</v>
      </c>
      <c r="O154">
        <v>4605680204.833333</v>
      </c>
    </row>
    <row r="155" spans="1:15" x14ac:dyDescent="0.15">
      <c r="A155" s="10" t="s">
        <v>650</v>
      </c>
      <c r="B155">
        <v>197886172.40000001</v>
      </c>
      <c r="C155">
        <v>6357580952.3125</v>
      </c>
      <c r="D155">
        <v>9465992474.1111126</v>
      </c>
      <c r="E155">
        <v>2068483527.166667</v>
      </c>
      <c r="F155">
        <v>1924959736</v>
      </c>
      <c r="G155">
        <v>3234397964.307693</v>
      </c>
      <c r="H155">
        <v>1133056204.666667</v>
      </c>
      <c r="I155">
        <v>1850647511.25</v>
      </c>
      <c r="J155">
        <v>1230783328.1111109</v>
      </c>
      <c r="K155">
        <v>237270842.66666669</v>
      </c>
      <c r="L155">
        <v>8574825681.1428566</v>
      </c>
      <c r="M155">
        <v>3663859950.75</v>
      </c>
      <c r="N155">
        <v>1091435612.333333</v>
      </c>
      <c r="O155">
        <v>4832025704.833333</v>
      </c>
    </row>
    <row r="156" spans="1:15" x14ac:dyDescent="0.15">
      <c r="A156" s="10" t="s">
        <v>681</v>
      </c>
      <c r="B156">
        <v>190182892.40000001</v>
      </c>
      <c r="C156">
        <v>6064037739.8125</v>
      </c>
      <c r="D156">
        <v>9027952474.1111107</v>
      </c>
      <c r="E156">
        <v>1973728527.166667</v>
      </c>
      <c r="F156">
        <v>1835811136</v>
      </c>
      <c r="G156">
        <v>3089779456.6153851</v>
      </c>
      <c r="H156">
        <v>1080168604.666667</v>
      </c>
      <c r="I156">
        <v>1760401811.25</v>
      </c>
      <c r="J156">
        <v>1177509728.1111109</v>
      </c>
      <c r="K156">
        <v>226347242.66666669</v>
      </c>
      <c r="L156">
        <v>8182785552.5714283</v>
      </c>
      <c r="M156">
        <v>3494332125.75</v>
      </c>
      <c r="N156">
        <v>1037890412.333333</v>
      </c>
      <c r="O156">
        <v>4605680204.833333</v>
      </c>
    </row>
    <row r="157" spans="1:15" x14ac:dyDescent="0.15">
      <c r="A157" s="10" t="s">
        <v>601</v>
      </c>
      <c r="B157">
        <v>190182892.40000001</v>
      </c>
      <c r="C157">
        <v>6064037739.8125</v>
      </c>
      <c r="D157">
        <v>9027952474.1111107</v>
      </c>
      <c r="E157">
        <v>1973728527.166667</v>
      </c>
      <c r="F157">
        <v>1835811136</v>
      </c>
      <c r="G157">
        <v>3089779456.6153851</v>
      </c>
      <c r="H157">
        <v>1080168604.666667</v>
      </c>
      <c r="I157">
        <v>1760401811.25</v>
      </c>
      <c r="J157">
        <v>1177509728.1111109</v>
      </c>
      <c r="K157">
        <v>226347242.66666669</v>
      </c>
      <c r="L157">
        <v>8182785552.5714283</v>
      </c>
      <c r="M157">
        <v>3494332125.75</v>
      </c>
      <c r="N157">
        <v>1037890412.333333</v>
      </c>
      <c r="O157">
        <v>4605680204.833333</v>
      </c>
    </row>
    <row r="158" spans="1:15" x14ac:dyDescent="0.15">
      <c r="A158" s="10" t="s">
        <v>622</v>
      </c>
      <c r="B158">
        <v>590235904.20000005</v>
      </c>
      <c r="C158">
        <v>13336398591</v>
      </c>
      <c r="D158">
        <v>19326596899.888889</v>
      </c>
      <c r="E158">
        <v>4293191678.166667</v>
      </c>
      <c r="F158">
        <v>4336632962.1428576</v>
      </c>
      <c r="G158">
        <v>7750956619.3846159</v>
      </c>
      <c r="H158">
        <v>2591535370.666667</v>
      </c>
      <c r="I158">
        <v>3805992138.5</v>
      </c>
      <c r="J158">
        <v>3273245836.1111112</v>
      </c>
      <c r="K158">
        <v>554312776.33333337</v>
      </c>
      <c r="L158">
        <v>19921076310.92857</v>
      </c>
      <c r="M158">
        <v>7670815461</v>
      </c>
      <c r="N158">
        <v>2245303938.333333</v>
      </c>
      <c r="O158">
        <v>10007265648.83333</v>
      </c>
    </row>
    <row r="159" spans="1:15" x14ac:dyDescent="0.15">
      <c r="A159" s="10" t="s">
        <v>668</v>
      </c>
      <c r="B159">
        <v>590235904.20000005</v>
      </c>
      <c r="C159">
        <v>13336398591</v>
      </c>
      <c r="D159">
        <v>19326596899.888889</v>
      </c>
      <c r="E159">
        <v>4293191678.166667</v>
      </c>
      <c r="F159">
        <v>4336632962.1428576</v>
      </c>
      <c r="G159">
        <v>7750956619.3846159</v>
      </c>
      <c r="H159">
        <v>2591535370.666667</v>
      </c>
      <c r="I159">
        <v>3805992138.5</v>
      </c>
      <c r="J159">
        <v>3273245836.1111112</v>
      </c>
      <c r="K159">
        <v>554312776.33333337</v>
      </c>
      <c r="L159">
        <v>19921076310.92857</v>
      </c>
      <c r="M159">
        <v>7670815461</v>
      </c>
      <c r="N159">
        <v>2245303938.333333</v>
      </c>
      <c r="O159">
        <v>10007265648.83333</v>
      </c>
    </row>
    <row r="160" spans="1:15" x14ac:dyDescent="0.15">
      <c r="A160" s="10" t="s">
        <v>595</v>
      </c>
      <c r="B160">
        <v>590235904.20000005</v>
      </c>
      <c r="C160">
        <v>13336398591</v>
      </c>
      <c r="D160">
        <v>19326596899.888889</v>
      </c>
      <c r="E160">
        <v>4293191678.166667</v>
      </c>
      <c r="F160">
        <v>4336632962.1428576</v>
      </c>
      <c r="G160">
        <v>7750956619.3846159</v>
      </c>
      <c r="H160">
        <v>2591535370.666667</v>
      </c>
      <c r="I160">
        <v>3805992138.5</v>
      </c>
      <c r="J160">
        <v>3273245836.1111112</v>
      </c>
      <c r="K160">
        <v>554312776.33333337</v>
      </c>
      <c r="L160">
        <v>19921076310.92857</v>
      </c>
      <c r="M160">
        <v>7670815461</v>
      </c>
      <c r="N160">
        <v>2245303938.333333</v>
      </c>
      <c r="O160">
        <v>10007265648.83333</v>
      </c>
    </row>
    <row r="161" spans="1:15" x14ac:dyDescent="0.15">
      <c r="A161" s="10" t="s">
        <v>632</v>
      </c>
      <c r="B161">
        <v>289620187.60000002</v>
      </c>
      <c r="C161">
        <v>8537100553.5</v>
      </c>
      <c r="D161">
        <v>13779122241.444441</v>
      </c>
      <c r="E161">
        <v>3751452964.916666</v>
      </c>
      <c r="F161">
        <v>1557991306.571429</v>
      </c>
      <c r="G161">
        <v>2921920806.7692308</v>
      </c>
      <c r="H161">
        <v>536234087.77777779</v>
      </c>
      <c r="I161">
        <v>1774158424.25</v>
      </c>
      <c r="J161">
        <v>1355358242.666667</v>
      </c>
      <c r="K161">
        <v>459777403.33333331</v>
      </c>
      <c r="L161">
        <v>7577313495.2142849</v>
      </c>
      <c r="M161">
        <v>4731723093.875</v>
      </c>
      <c r="N161">
        <v>487884001.66666669</v>
      </c>
      <c r="O161">
        <v>5534222794.666666</v>
      </c>
    </row>
    <row r="162" spans="1:15" x14ac:dyDescent="0.15">
      <c r="A162" s="10" t="s">
        <v>655</v>
      </c>
      <c r="B162">
        <v>301727463.39999998</v>
      </c>
      <c r="C162">
        <v>8649767951.625</v>
      </c>
      <c r="D162">
        <v>12872288413</v>
      </c>
      <c r="E162">
        <v>2944907922.166667</v>
      </c>
      <c r="F162">
        <v>2552234488</v>
      </c>
      <c r="G162">
        <v>4437286846</v>
      </c>
      <c r="H162">
        <v>1473254292.333333</v>
      </c>
      <c r="I162">
        <v>2500580126.75</v>
      </c>
      <c r="J162">
        <v>1813350748.7777779</v>
      </c>
      <c r="K162">
        <v>369995583.33333337</v>
      </c>
      <c r="L162">
        <v>11658167143.285721</v>
      </c>
      <c r="M162">
        <v>4957791118.25</v>
      </c>
      <c r="N162">
        <v>1380542939.333333</v>
      </c>
      <c r="O162">
        <v>6438763489.833333</v>
      </c>
    </row>
    <row r="163" spans="1:15" x14ac:dyDescent="0.15">
      <c r="A163" s="10" t="s">
        <v>204</v>
      </c>
      <c r="B163">
        <v>22027922</v>
      </c>
      <c r="C163">
        <v>736388275.1875</v>
      </c>
      <c r="D163">
        <v>1129572298.666667</v>
      </c>
      <c r="E163">
        <v>248861378.33333331</v>
      </c>
      <c r="F163">
        <v>204804729.5714286</v>
      </c>
      <c r="G163">
        <v>330995744.07692307</v>
      </c>
      <c r="H163">
        <v>110868279.3333333</v>
      </c>
      <c r="I163">
        <v>182299497.5</v>
      </c>
      <c r="J163">
        <v>115914694.22222219</v>
      </c>
      <c r="K163">
        <v>23550470</v>
      </c>
      <c r="L163">
        <v>880399803.64285707</v>
      </c>
      <c r="M163">
        <v>422028015.375</v>
      </c>
      <c r="N163">
        <v>106942268.6666667</v>
      </c>
      <c r="O163">
        <v>546793373.16666663</v>
      </c>
    </row>
    <row r="164" spans="1:15" x14ac:dyDescent="0.15">
      <c r="A164" s="10" t="s">
        <v>178</v>
      </c>
    </row>
    <row r="165" spans="1:15" x14ac:dyDescent="0.15">
      <c r="A165" s="10" t="s">
        <v>179</v>
      </c>
    </row>
    <row r="166" spans="1:15" x14ac:dyDescent="0.15">
      <c r="A166" s="10" t="s">
        <v>180</v>
      </c>
    </row>
    <row r="167" spans="1:15" x14ac:dyDescent="0.15">
      <c r="A167" s="10" t="s">
        <v>492</v>
      </c>
    </row>
    <row r="168" spans="1:15" x14ac:dyDescent="0.15">
      <c r="A168" s="10" t="s">
        <v>363</v>
      </c>
    </row>
    <row r="169" spans="1:15" x14ac:dyDescent="0.15">
      <c r="A169" s="10" t="s">
        <v>364</v>
      </c>
    </row>
    <row r="170" spans="1:15" x14ac:dyDescent="0.15">
      <c r="A170" s="10" t="s">
        <v>365</v>
      </c>
    </row>
    <row r="171" spans="1:15" x14ac:dyDescent="0.15">
      <c r="A171" s="10" t="s">
        <v>462</v>
      </c>
    </row>
    <row r="172" spans="1:15" x14ac:dyDescent="0.15">
      <c r="A172" s="10" t="s">
        <v>271</v>
      </c>
    </row>
    <row r="173" spans="1:15" x14ac:dyDescent="0.15">
      <c r="A173" s="10" t="s">
        <v>331</v>
      </c>
      <c r="B173">
        <v>20600050.800000001</v>
      </c>
      <c r="C173">
        <v>760908633.6875</v>
      </c>
      <c r="D173">
        <v>1135022680.666667</v>
      </c>
      <c r="E173">
        <v>246311957.41666669</v>
      </c>
      <c r="F173">
        <v>228469452.8571429</v>
      </c>
      <c r="G173">
        <v>380113207.84615391</v>
      </c>
      <c r="H173">
        <v>136283222.66666669</v>
      </c>
      <c r="I173">
        <v>230150911.5</v>
      </c>
      <c r="J173">
        <v>140967728.77777779</v>
      </c>
      <c r="K173">
        <v>28249581.33333334</v>
      </c>
      <c r="L173">
        <v>1016371038.642857</v>
      </c>
      <c r="M173">
        <v>439373735.375</v>
      </c>
      <c r="N173">
        <v>135666105.33333331</v>
      </c>
      <c r="O173">
        <v>583330106.16666663</v>
      </c>
    </row>
    <row r="174" spans="1:15" x14ac:dyDescent="0.15">
      <c r="A174" s="10" t="s">
        <v>330</v>
      </c>
      <c r="B174">
        <v>211137020.40000001</v>
      </c>
      <c r="C174">
        <v>6296870154.5</v>
      </c>
      <c r="D174">
        <v>9338677235.1111107</v>
      </c>
      <c r="E174">
        <v>2047716269.583333</v>
      </c>
      <c r="F174">
        <v>1925444874.1428571</v>
      </c>
      <c r="G174">
        <v>3278267271.6153851</v>
      </c>
      <c r="H174">
        <v>1134674984.666667</v>
      </c>
      <c r="I174">
        <v>1815486078</v>
      </c>
      <c r="J174">
        <v>1273091593.2222221</v>
      </c>
      <c r="K174">
        <v>238760601.33333331</v>
      </c>
      <c r="L174">
        <v>8628564328.8571415</v>
      </c>
      <c r="M174">
        <v>3626943818.5</v>
      </c>
      <c r="N174">
        <v>1069964638.666667</v>
      </c>
      <c r="O174">
        <v>4769134048.666667</v>
      </c>
    </row>
    <row r="175" spans="1:15" x14ac:dyDescent="0.15">
      <c r="A175" s="10" t="s">
        <v>367</v>
      </c>
    </row>
    <row r="176" spans="1:15" x14ac:dyDescent="0.15">
      <c r="A176" s="10" t="s">
        <v>368</v>
      </c>
      <c r="B176">
        <v>98834.400000000009</v>
      </c>
      <c r="C176">
        <v>2329766.25</v>
      </c>
      <c r="D176">
        <v>3904634.222222222</v>
      </c>
      <c r="E176">
        <v>907620</v>
      </c>
      <c r="F176">
        <v>444904</v>
      </c>
      <c r="G176">
        <v>704408.92307692312</v>
      </c>
      <c r="H176">
        <v>115677.3333333333</v>
      </c>
      <c r="I176">
        <v>101416</v>
      </c>
      <c r="J176">
        <v>175606.66666666669</v>
      </c>
      <c r="K176">
        <v>32974.666666666672</v>
      </c>
      <c r="L176">
        <v>1674140</v>
      </c>
      <c r="M176">
        <v>1300134.5</v>
      </c>
      <c r="N176">
        <v>43148</v>
      </c>
      <c r="O176">
        <v>1503310.666666667</v>
      </c>
    </row>
    <row r="177" spans="1:15" x14ac:dyDescent="0.15">
      <c r="A177" s="10" t="s">
        <v>369</v>
      </c>
    </row>
    <row r="178" spans="1:15" x14ac:dyDescent="0.15">
      <c r="A178" s="10" t="s">
        <v>370</v>
      </c>
      <c r="B178">
        <v>141180454</v>
      </c>
      <c r="C178">
        <v>3756344899.25</v>
      </c>
      <c r="D178">
        <v>5554330942.333334</v>
      </c>
      <c r="E178">
        <v>1374902573.75</v>
      </c>
      <c r="F178">
        <v>1085625035.8571429</v>
      </c>
      <c r="G178">
        <v>1935519673.2307689</v>
      </c>
      <c r="H178">
        <v>614472083.44444442</v>
      </c>
      <c r="I178">
        <v>1190550314.5</v>
      </c>
      <c r="J178">
        <v>893312088.22222209</v>
      </c>
      <c r="K178">
        <v>209484559</v>
      </c>
      <c r="L178">
        <v>5154785650.5714283</v>
      </c>
      <c r="M178">
        <v>2135998038.625</v>
      </c>
      <c r="N178">
        <v>582837153.33333337</v>
      </c>
      <c r="O178">
        <v>2744287922.666667</v>
      </c>
    </row>
    <row r="179" spans="1:15" x14ac:dyDescent="0.15">
      <c r="A179" s="10" t="s">
        <v>371</v>
      </c>
    </row>
    <row r="180" spans="1:15" x14ac:dyDescent="0.15">
      <c r="A180" s="10" t="s">
        <v>623</v>
      </c>
      <c r="B180">
        <v>297800891.19999999</v>
      </c>
      <c r="C180">
        <v>8547411890.375</v>
      </c>
      <c r="D180">
        <v>12701508479.222219</v>
      </c>
      <c r="E180">
        <v>2905234170.5</v>
      </c>
      <c r="F180">
        <v>2534283564.5714278</v>
      </c>
      <c r="G180">
        <v>4403557347.3076925</v>
      </c>
      <c r="H180">
        <v>1467849453.666667</v>
      </c>
      <c r="I180">
        <v>2495121175</v>
      </c>
      <c r="J180">
        <v>1804706484.333333</v>
      </c>
      <c r="K180">
        <v>368503721</v>
      </c>
      <c r="L180">
        <v>11583637784</v>
      </c>
      <c r="M180">
        <v>4900403072.875</v>
      </c>
      <c r="N180">
        <v>1378624382</v>
      </c>
      <c r="O180">
        <v>6373076180.333333</v>
      </c>
    </row>
    <row r="181" spans="1:15" x14ac:dyDescent="0.15">
      <c r="A181" s="10" t="s">
        <v>301</v>
      </c>
    </row>
    <row r="182" spans="1:15" x14ac:dyDescent="0.15">
      <c r="A182" s="10" t="s">
        <v>434</v>
      </c>
    </row>
    <row r="183" spans="1:15" x14ac:dyDescent="0.15">
      <c r="A183" s="10" t="s">
        <v>386</v>
      </c>
    </row>
    <row r="184" spans="1:15" x14ac:dyDescent="0.15">
      <c r="A184" s="10" t="s">
        <v>500</v>
      </c>
    </row>
    <row r="185" spans="1:15" x14ac:dyDescent="0.15">
      <c r="A185" s="10" t="s">
        <v>517</v>
      </c>
    </row>
    <row r="186" spans="1:15" x14ac:dyDescent="0.15">
      <c r="A186" s="10" t="s">
        <v>250</v>
      </c>
      <c r="B186">
        <v>190182892.40000001</v>
      </c>
      <c r="C186">
        <v>6064037739.8125</v>
      </c>
      <c r="D186">
        <v>9027952474.1111107</v>
      </c>
      <c r="E186">
        <v>1973728527.166667</v>
      </c>
      <c r="F186">
        <v>1835811136</v>
      </c>
      <c r="G186">
        <v>3089779456.6153851</v>
      </c>
      <c r="H186">
        <v>1080168604.666667</v>
      </c>
      <c r="I186">
        <v>1760401811.25</v>
      </c>
      <c r="J186">
        <v>1177509728.1111109</v>
      </c>
      <c r="K186">
        <v>226347242.66666669</v>
      </c>
      <c r="L186">
        <v>8182785552.5714283</v>
      </c>
      <c r="M186">
        <v>3494332125.75</v>
      </c>
      <c r="N186">
        <v>1037890412.333333</v>
      </c>
      <c r="O186">
        <v>4605680204.833333</v>
      </c>
    </row>
    <row r="187" spans="1:15" x14ac:dyDescent="0.15">
      <c r="A187" s="10" t="s">
        <v>602</v>
      </c>
      <c r="B187">
        <v>13419729</v>
      </c>
      <c r="C187">
        <v>326732126.375</v>
      </c>
      <c r="D187">
        <v>546782128.22222221</v>
      </c>
      <c r="E187">
        <v>127072846.3333333</v>
      </c>
      <c r="F187">
        <v>60701309.142857127</v>
      </c>
      <c r="G187">
        <v>101740187.3076923</v>
      </c>
      <c r="H187">
        <v>16565277.33333333</v>
      </c>
      <c r="I187">
        <v>15287545.25</v>
      </c>
      <c r="J187">
        <v>25613504.22222222</v>
      </c>
      <c r="K187">
        <v>4670239.666666667</v>
      </c>
      <c r="L187">
        <v>235822914.7142857</v>
      </c>
      <c r="M187">
        <v>182618309.375</v>
      </c>
      <c r="N187">
        <v>6075472.666666667</v>
      </c>
      <c r="O187">
        <v>210446782.5</v>
      </c>
    </row>
    <row r="188" spans="1:15" x14ac:dyDescent="0.15">
      <c r="A188" s="10" t="s">
        <v>463</v>
      </c>
      <c r="B188">
        <v>35094865</v>
      </c>
      <c r="C188">
        <v>1105034211.125</v>
      </c>
      <c r="D188">
        <v>1633163820.8888891</v>
      </c>
      <c r="E188">
        <v>356022233.91666663</v>
      </c>
      <c r="F188">
        <v>343627928.14285707</v>
      </c>
      <c r="G188">
        <v>575842250.92307699</v>
      </c>
      <c r="H188">
        <v>204688646</v>
      </c>
      <c r="I188">
        <v>333646906.25</v>
      </c>
      <c r="J188">
        <v>223088087.44444439</v>
      </c>
      <c r="K188">
        <v>42745457.666666672</v>
      </c>
      <c r="L188">
        <v>1533612740</v>
      </c>
      <c r="M188">
        <v>637485242.375</v>
      </c>
      <c r="N188">
        <v>197678417.33333331</v>
      </c>
      <c r="O188">
        <v>845683001.5</v>
      </c>
    </row>
    <row r="189" spans="1:15" x14ac:dyDescent="0.15">
      <c r="A189" s="10" t="s">
        <v>437</v>
      </c>
    </row>
    <row r="190" spans="1:15" x14ac:dyDescent="0.15">
      <c r="A190" s="10" t="s">
        <v>585</v>
      </c>
      <c r="B190">
        <v>121950520.2</v>
      </c>
      <c r="C190">
        <v>889562523.8125</v>
      </c>
      <c r="D190">
        <v>1043500504.333333</v>
      </c>
      <c r="E190">
        <v>270055263.25</v>
      </c>
      <c r="F190">
        <v>400152377.85714293</v>
      </c>
      <c r="G190">
        <v>1001316281.846154</v>
      </c>
      <c r="H190">
        <v>265064690.66666669</v>
      </c>
      <c r="I190">
        <v>194781826</v>
      </c>
      <c r="J190">
        <v>555185698</v>
      </c>
      <c r="K190">
        <v>62225614.333333343</v>
      </c>
      <c r="L190">
        <v>2207708333.5714288</v>
      </c>
      <c r="M190">
        <v>505242712.625</v>
      </c>
      <c r="N190">
        <v>106824611</v>
      </c>
      <c r="O190">
        <v>583114683</v>
      </c>
    </row>
    <row r="191" spans="1:15" x14ac:dyDescent="0.15">
      <c r="A191" s="10" t="s">
        <v>605</v>
      </c>
      <c r="B191">
        <v>2720995.2</v>
      </c>
      <c r="C191">
        <v>65339170.25</v>
      </c>
      <c r="D191">
        <v>109413156.8888889</v>
      </c>
      <c r="E191">
        <v>25429869.333333328</v>
      </c>
      <c r="F191">
        <v>12282284.571428571</v>
      </c>
      <c r="G191">
        <v>20095794.46153846</v>
      </c>
      <c r="H191">
        <v>3283693.333333333</v>
      </c>
      <c r="I191">
        <v>2967011</v>
      </c>
      <c r="J191">
        <v>5038639.555555556</v>
      </c>
      <c r="K191">
        <v>930066.66666666663</v>
      </c>
      <c r="L191">
        <v>47071499.428571433</v>
      </c>
      <c r="M191">
        <v>36495536</v>
      </c>
      <c r="N191">
        <v>1212902.666666667</v>
      </c>
      <c r="O191">
        <v>42116962</v>
      </c>
    </row>
    <row r="192" spans="1:15" x14ac:dyDescent="0.15">
      <c r="A192" s="10" t="s">
        <v>625</v>
      </c>
      <c r="B192">
        <v>243075.6</v>
      </c>
      <c r="C192">
        <v>6928602.125</v>
      </c>
      <c r="D192">
        <v>11518398.88888889</v>
      </c>
      <c r="E192">
        <v>2674539.333333333</v>
      </c>
      <c r="F192">
        <v>1127905.7142857141</v>
      </c>
      <c r="G192">
        <v>2435256.461538462</v>
      </c>
      <c r="H192">
        <v>383497.33333333337</v>
      </c>
      <c r="I192">
        <v>424367</v>
      </c>
      <c r="J192">
        <v>635929.5555555555</v>
      </c>
      <c r="K192">
        <v>103344.6666666667</v>
      </c>
      <c r="L192">
        <v>5098418</v>
      </c>
      <c r="M192">
        <v>3899306.75</v>
      </c>
      <c r="N192">
        <v>131120.66666666669</v>
      </c>
      <c r="O192">
        <v>4426816</v>
      </c>
    </row>
    <row r="193" spans="1:15" x14ac:dyDescent="0.15">
      <c r="A193" s="10" t="s">
        <v>289</v>
      </c>
    </row>
    <row r="194" spans="1:15" x14ac:dyDescent="0.15">
      <c r="A194" s="10" t="s">
        <v>290</v>
      </c>
    </row>
    <row r="195" spans="1:15" x14ac:dyDescent="0.15">
      <c r="A195" s="10" t="s">
        <v>291</v>
      </c>
    </row>
    <row r="196" spans="1:15" x14ac:dyDescent="0.15">
      <c r="A196" s="10" t="s">
        <v>255</v>
      </c>
      <c r="B196">
        <v>13259711.6</v>
      </c>
      <c r="C196">
        <v>462631365.6875</v>
      </c>
      <c r="D196">
        <v>705823122.22222221</v>
      </c>
      <c r="E196">
        <v>155009413</v>
      </c>
      <c r="F196">
        <v>129574709.5714286</v>
      </c>
      <c r="G196">
        <v>213291384.0769231</v>
      </c>
      <c r="H196">
        <v>72214124.666666672</v>
      </c>
      <c r="I196">
        <v>119952885.5</v>
      </c>
      <c r="J196">
        <v>75369841.333333328</v>
      </c>
      <c r="K196">
        <v>15238396.66666667</v>
      </c>
      <c r="L196">
        <v>564834014.21428573</v>
      </c>
      <c r="M196">
        <v>265671665.375</v>
      </c>
      <c r="N196">
        <v>70136413.999999985</v>
      </c>
      <c r="O196">
        <v>345522300.5</v>
      </c>
    </row>
    <row r="197" spans="1:15" x14ac:dyDescent="0.15">
      <c r="A197" s="10" t="s">
        <v>617</v>
      </c>
    </row>
    <row r="198" spans="1:15" x14ac:dyDescent="0.15">
      <c r="A198" s="10" t="s">
        <v>607</v>
      </c>
      <c r="B198">
        <v>3967495.2</v>
      </c>
      <c r="C198">
        <v>93523473.75</v>
      </c>
      <c r="D198">
        <v>156743173.77777779</v>
      </c>
      <c r="E198">
        <v>36434460</v>
      </c>
      <c r="F198">
        <v>17859717.714285709</v>
      </c>
      <c r="G198">
        <v>28276986.769230772</v>
      </c>
      <c r="H198">
        <v>4643618.666666666</v>
      </c>
      <c r="I198">
        <v>4071128</v>
      </c>
      <c r="J198">
        <v>7049353.333333334</v>
      </c>
      <c r="K198">
        <v>1323697.333333333</v>
      </c>
      <c r="L198">
        <v>67204762.857142851</v>
      </c>
      <c r="M198">
        <v>52191113.5</v>
      </c>
      <c r="N198">
        <v>1732084</v>
      </c>
      <c r="O198">
        <v>60347185.333333328</v>
      </c>
    </row>
    <row r="199" spans="1:15" x14ac:dyDescent="0.15">
      <c r="A199" s="10" t="s">
        <v>662</v>
      </c>
      <c r="B199">
        <v>141714674.40000001</v>
      </c>
      <c r="C199">
        <v>5400216632.625</v>
      </c>
      <c r="D199">
        <v>8058475866.666667</v>
      </c>
      <c r="E199">
        <v>1743176150</v>
      </c>
      <c r="F199">
        <v>1640037078</v>
      </c>
      <c r="G199">
        <v>2660498479.8461542</v>
      </c>
      <c r="H199">
        <v>972955548</v>
      </c>
      <c r="I199">
        <v>1660220061</v>
      </c>
      <c r="J199">
        <v>980056661.33333337</v>
      </c>
      <c r="K199">
        <v>200957828</v>
      </c>
      <c r="L199">
        <v>7212231565.2857141</v>
      </c>
      <c r="M199">
        <v>3118746887.25</v>
      </c>
      <c r="N199">
        <v>985053196</v>
      </c>
      <c r="O199">
        <v>4164002715</v>
      </c>
    </row>
    <row r="200" spans="1:15" x14ac:dyDescent="0.15">
      <c r="A200" s="10" t="s">
        <v>637</v>
      </c>
    </row>
    <row r="201" spans="1:15" x14ac:dyDescent="0.15">
      <c r="A201" s="10" t="s">
        <v>503</v>
      </c>
      <c r="B201">
        <v>11456489.199999999</v>
      </c>
      <c r="C201">
        <v>436563988.8125</v>
      </c>
      <c r="D201">
        <v>651462822.22222221</v>
      </c>
      <c r="E201">
        <v>140921741.66666669</v>
      </c>
      <c r="F201">
        <v>132583779</v>
      </c>
      <c r="G201">
        <v>215079858.38461539</v>
      </c>
      <c r="H201">
        <v>78655614</v>
      </c>
      <c r="I201">
        <v>134215410.5</v>
      </c>
      <c r="J201">
        <v>79229681.777777776</v>
      </c>
      <c r="K201">
        <v>16245820.66666667</v>
      </c>
      <c r="L201">
        <v>583050791.21428573</v>
      </c>
      <c r="M201">
        <v>252125548.625</v>
      </c>
      <c r="N201">
        <v>79633611.333333328</v>
      </c>
      <c r="O201">
        <v>336626057.5</v>
      </c>
    </row>
    <row r="202" spans="1:15" x14ac:dyDescent="0.15">
      <c r="A202" s="10" t="s">
        <v>594</v>
      </c>
      <c r="B202">
        <v>590235904.20000005</v>
      </c>
      <c r="C202">
        <v>13336398591</v>
      </c>
      <c r="D202">
        <v>19326596899.888889</v>
      </c>
      <c r="E202">
        <v>4293191678.166667</v>
      </c>
      <c r="F202">
        <v>4336632962.1428576</v>
      </c>
      <c r="G202">
        <v>7750956619.3846159</v>
      </c>
      <c r="H202">
        <v>2591535370.666667</v>
      </c>
      <c r="I202">
        <v>3805992138.5</v>
      </c>
      <c r="J202">
        <v>3273245836.1111112</v>
      </c>
      <c r="K202">
        <v>554312776.33333337</v>
      </c>
      <c r="L202">
        <v>19921076310.92857</v>
      </c>
      <c r="M202">
        <v>7670815461</v>
      </c>
      <c r="N202">
        <v>2245303938.333333</v>
      </c>
      <c r="O202">
        <v>10007265648.83333</v>
      </c>
    </row>
    <row r="203" spans="1:15" x14ac:dyDescent="0.15">
      <c r="A203" s="10" t="s">
        <v>674</v>
      </c>
      <c r="B203">
        <v>590235904.20000005</v>
      </c>
      <c r="C203">
        <v>13336398591</v>
      </c>
      <c r="D203">
        <v>19326596899.888889</v>
      </c>
      <c r="E203">
        <v>4293191678.166667</v>
      </c>
      <c r="F203">
        <v>4336632962.1428576</v>
      </c>
      <c r="G203">
        <v>7750956619.3846159</v>
      </c>
      <c r="H203">
        <v>2591535370.666667</v>
      </c>
      <c r="I203">
        <v>3805992138.5</v>
      </c>
      <c r="J203">
        <v>3273245836.1111112</v>
      </c>
      <c r="K203">
        <v>554312776.33333337</v>
      </c>
      <c r="L203">
        <v>19921076310.92857</v>
      </c>
      <c r="M203">
        <v>7670815461</v>
      </c>
      <c r="N203">
        <v>2245303938.333333</v>
      </c>
      <c r="O203">
        <v>10007265648.83333</v>
      </c>
    </row>
    <row r="204" spans="1:15" x14ac:dyDescent="0.15">
      <c r="A204" s="10" t="s">
        <v>586</v>
      </c>
    </row>
    <row r="205" spans="1:15" x14ac:dyDescent="0.15">
      <c r="A205" s="10" t="s">
        <v>587</v>
      </c>
    </row>
    <row r="206" spans="1:15" x14ac:dyDescent="0.15">
      <c r="A206" s="10" t="s">
        <v>561</v>
      </c>
    </row>
    <row r="207" spans="1:15" x14ac:dyDescent="0.15">
      <c r="A207" s="10" t="s">
        <v>552</v>
      </c>
    </row>
    <row r="208" spans="1:15" x14ac:dyDescent="0.15">
      <c r="A208" s="10" t="s">
        <v>677</v>
      </c>
      <c r="B208">
        <v>284083063</v>
      </c>
      <c r="C208">
        <v>8189792812.75</v>
      </c>
      <c r="D208">
        <v>12188830388.888889</v>
      </c>
      <c r="E208">
        <v>2682645494.833333</v>
      </c>
      <c r="F208">
        <v>2477175024.857142</v>
      </c>
      <c r="G208">
        <v>4230264066.3846149</v>
      </c>
      <c r="H208">
        <v>1441158154.666667</v>
      </c>
      <c r="I208">
        <v>2278107463.25</v>
      </c>
      <c r="J208">
        <v>1641031733.5555561</v>
      </c>
      <c r="K208">
        <v>304900059</v>
      </c>
      <c r="L208">
        <v>11082470719.57143</v>
      </c>
      <c r="M208">
        <v>4710888779.125</v>
      </c>
      <c r="N208">
        <v>1340025546.666667</v>
      </c>
      <c r="O208">
        <v>6160724823.166667</v>
      </c>
    </row>
    <row r="209" spans="1:15" x14ac:dyDescent="0.15">
      <c r="A209" s="10" t="s">
        <v>588</v>
      </c>
    </row>
    <row r="210" spans="1:15" x14ac:dyDescent="0.15">
      <c r="A210" s="10" t="s">
        <v>583</v>
      </c>
      <c r="B210">
        <v>1568304.2</v>
      </c>
      <c r="C210">
        <v>8335295.0625</v>
      </c>
      <c r="D210">
        <v>8668976.777777778</v>
      </c>
      <c r="E210">
        <v>2542310.583333333</v>
      </c>
      <c r="F210">
        <v>3897385.8571428568</v>
      </c>
      <c r="G210">
        <v>12101915.07692308</v>
      </c>
      <c r="H210">
        <v>2783077.333333333</v>
      </c>
      <c r="I210">
        <v>1126755</v>
      </c>
      <c r="J210">
        <v>6993646.888888889</v>
      </c>
      <c r="K210">
        <v>683385.00000000012</v>
      </c>
      <c r="L210">
        <v>24467466.142857142</v>
      </c>
      <c r="M210">
        <v>4700605.625</v>
      </c>
      <c r="N210">
        <v>441977.66666666669</v>
      </c>
      <c r="O210">
        <v>4693577</v>
      </c>
    </row>
    <row r="211" spans="1:15" x14ac:dyDescent="0.15">
      <c r="A211" s="10" t="s">
        <v>663</v>
      </c>
      <c r="B211">
        <v>1238959.8</v>
      </c>
      <c r="C211">
        <v>29205284.0625</v>
      </c>
      <c r="D211">
        <v>48947379</v>
      </c>
      <c r="E211">
        <v>11377665</v>
      </c>
      <c r="F211">
        <v>5577189.4285714282</v>
      </c>
      <c r="G211">
        <v>8830269</v>
      </c>
      <c r="H211">
        <v>1450098</v>
      </c>
      <c r="I211">
        <v>1271322</v>
      </c>
      <c r="J211">
        <v>2201355</v>
      </c>
      <c r="K211">
        <v>413361</v>
      </c>
      <c r="L211">
        <v>20986540.714285709</v>
      </c>
      <c r="M211">
        <v>16298114.625</v>
      </c>
      <c r="N211">
        <v>540891</v>
      </c>
      <c r="O211">
        <v>18845073</v>
      </c>
    </row>
    <row r="212" spans="1:15" x14ac:dyDescent="0.15">
      <c r="A212" s="10" t="s">
        <v>608</v>
      </c>
    </row>
    <row r="213" spans="1:15" x14ac:dyDescent="0.15">
      <c r="A213" s="10" t="s">
        <v>466</v>
      </c>
      <c r="B213">
        <v>77338.8</v>
      </c>
      <c r="C213">
        <v>3459778.5625</v>
      </c>
      <c r="D213">
        <v>5670466.111111111</v>
      </c>
      <c r="E213">
        <v>1314154.666666667</v>
      </c>
      <c r="F213">
        <v>394152.8571428571</v>
      </c>
      <c r="G213">
        <v>1510821.692307692</v>
      </c>
      <c r="H213">
        <v>225688.66666666669</v>
      </c>
      <c r="I213">
        <v>318222.25</v>
      </c>
      <c r="J213">
        <v>416004.77777777781</v>
      </c>
      <c r="K213">
        <v>56177.333333333343</v>
      </c>
      <c r="L213">
        <v>2649471.1428571432</v>
      </c>
      <c r="M213">
        <v>1975492.75</v>
      </c>
      <c r="N213">
        <v>67900.333333333328</v>
      </c>
      <c r="O213">
        <v>2172455.5</v>
      </c>
    </row>
    <row r="214" spans="1:15" x14ac:dyDescent="0.15">
      <c r="A214" s="10" t="s">
        <v>467</v>
      </c>
      <c r="B214">
        <v>122083.2</v>
      </c>
      <c r="C214">
        <v>2840719794</v>
      </c>
      <c r="D214">
        <v>4211910330.2222219</v>
      </c>
      <c r="E214">
        <v>2207642388.666667</v>
      </c>
      <c r="F214">
        <v>233256107.4285714</v>
      </c>
      <c r="G214">
        <v>680275594.7692306</v>
      </c>
      <c r="H214">
        <v>18784189.77777778</v>
      </c>
      <c r="I214">
        <v>2511204270</v>
      </c>
      <c r="J214">
        <v>1276273486.666667</v>
      </c>
      <c r="K214">
        <v>708883091.99999988</v>
      </c>
      <c r="L214">
        <v>3288126461.7142849</v>
      </c>
      <c r="M214">
        <v>1448652423.5</v>
      </c>
      <c r="N214">
        <v>419861274.66666669</v>
      </c>
      <c r="O214">
        <v>1680574589.333333</v>
      </c>
    </row>
    <row r="215" spans="1:15" x14ac:dyDescent="0.15">
      <c r="A215" s="10" t="s">
        <v>679</v>
      </c>
    </row>
    <row r="216" spans="1:15" x14ac:dyDescent="0.15">
      <c r="A216" s="10" t="s">
        <v>636</v>
      </c>
      <c r="B216">
        <v>203963304.80000001</v>
      </c>
      <c r="C216">
        <v>6421813824.0625</v>
      </c>
      <c r="D216">
        <v>9540689740.6666679</v>
      </c>
      <c r="E216">
        <v>2196352794.416667</v>
      </c>
      <c r="F216">
        <v>1893068337.2857139</v>
      </c>
      <c r="G216">
        <v>3263467200.6153851</v>
      </c>
      <c r="H216">
        <v>1106959171</v>
      </c>
      <c r="I216">
        <v>1977437881.75</v>
      </c>
      <c r="J216">
        <v>1341441103.4444449</v>
      </c>
      <c r="K216">
        <v>289975482.33333337</v>
      </c>
      <c r="L216">
        <v>8684802744.8571434</v>
      </c>
      <c r="M216">
        <v>3683931874.625</v>
      </c>
      <c r="N216">
        <v>1076503512.333333</v>
      </c>
      <c r="O216">
        <v>4818110561.5</v>
      </c>
    </row>
    <row r="217" spans="1:15" x14ac:dyDescent="0.15">
      <c r="A217" s="10" t="s">
        <v>251</v>
      </c>
      <c r="B217">
        <v>190182892.40000001</v>
      </c>
      <c r="C217">
        <v>6064037739.8125</v>
      </c>
      <c r="D217">
        <v>9027952474.1111107</v>
      </c>
      <c r="E217">
        <v>1973728527.166667</v>
      </c>
      <c r="F217">
        <v>1835811136</v>
      </c>
      <c r="G217">
        <v>3089779456.6153851</v>
      </c>
      <c r="H217">
        <v>1080168604.666667</v>
      </c>
      <c r="I217">
        <v>1760401811.25</v>
      </c>
      <c r="J217">
        <v>1177509728.1111109</v>
      </c>
      <c r="K217">
        <v>226347242.66666669</v>
      </c>
      <c r="L217">
        <v>8182785552.5714283</v>
      </c>
      <c r="M217">
        <v>3494332125.75</v>
      </c>
      <c r="N217">
        <v>1037890412.333333</v>
      </c>
      <c r="O217">
        <v>4605680204.833333</v>
      </c>
    </row>
    <row r="218" spans="1:15" x14ac:dyDescent="0.15">
      <c r="A218" s="10" t="s">
        <v>281</v>
      </c>
      <c r="B218">
        <v>393577251</v>
      </c>
      <c r="C218">
        <v>12765531779.125</v>
      </c>
      <c r="D218">
        <v>18979544615.222221</v>
      </c>
      <c r="E218">
        <v>4141075439.583333</v>
      </c>
      <c r="F218">
        <v>3891876470.2857151</v>
      </c>
      <c r="G218">
        <v>6508145540.6923075</v>
      </c>
      <c r="H218">
        <v>2297757408.666667</v>
      </c>
      <c r="I218">
        <v>3766961032</v>
      </c>
      <c r="J218">
        <v>2479802774.2222219</v>
      </c>
      <c r="K218">
        <v>480242188.33333337</v>
      </c>
      <c r="L218">
        <v>17315046461.214279</v>
      </c>
      <c r="M218">
        <v>7359741559.5</v>
      </c>
      <c r="N218">
        <v>2225915981.666667</v>
      </c>
      <c r="O218">
        <v>9731740212.5</v>
      </c>
    </row>
    <row r="219" spans="1:15" x14ac:dyDescent="0.15">
      <c r="A219" s="10" t="s">
        <v>238</v>
      </c>
      <c r="B219">
        <v>360310913.60000002</v>
      </c>
      <c r="C219">
        <v>12969913334.25</v>
      </c>
      <c r="D219">
        <v>19385174053.888889</v>
      </c>
      <c r="E219">
        <v>4212754995.416667</v>
      </c>
      <c r="F219">
        <v>3894026554.8571429</v>
      </c>
      <c r="G219">
        <v>6420268879.3846159</v>
      </c>
      <c r="H219">
        <v>2296899588.666667</v>
      </c>
      <c r="I219">
        <v>3862015237.75</v>
      </c>
      <c r="J219">
        <v>2378345679.7777781</v>
      </c>
      <c r="K219">
        <v>477225658.66666669</v>
      </c>
      <c r="L219">
        <v>17214877752.92857</v>
      </c>
      <c r="M219">
        <v>7482477897.125</v>
      </c>
      <c r="N219">
        <v>2281445852.333333</v>
      </c>
      <c r="O219">
        <v>9922709151.666666</v>
      </c>
    </row>
    <row r="220" spans="1:15" x14ac:dyDescent="0.15">
      <c r="A220" s="10" t="s">
        <v>579</v>
      </c>
      <c r="B220">
        <v>16043161.199999999</v>
      </c>
      <c r="C220">
        <v>307331338.5</v>
      </c>
      <c r="D220">
        <v>435988997</v>
      </c>
      <c r="E220">
        <v>97747306.666666657</v>
      </c>
      <c r="F220">
        <v>104888801</v>
      </c>
      <c r="G220">
        <v>194989964.84615389</v>
      </c>
      <c r="H220">
        <v>63907037.333333343</v>
      </c>
      <c r="I220">
        <v>88567702.75</v>
      </c>
      <c r="J220">
        <v>86735024.111111104</v>
      </c>
      <c r="K220">
        <v>13791270.66666667</v>
      </c>
      <c r="L220">
        <v>492566652.64285707</v>
      </c>
      <c r="M220">
        <v>176731758.625</v>
      </c>
      <c r="N220">
        <v>52205724.333333328</v>
      </c>
      <c r="O220">
        <v>229467187.66666669</v>
      </c>
    </row>
    <row r="221" spans="1:15" x14ac:dyDescent="0.15">
      <c r="A221" s="10" t="s">
        <v>570</v>
      </c>
      <c r="B221">
        <v>80375606.200000003</v>
      </c>
      <c r="C221">
        <v>2992850612.875</v>
      </c>
      <c r="D221">
        <v>4461167882.8888884</v>
      </c>
      <c r="E221">
        <v>966038956.41666651</v>
      </c>
      <c r="F221">
        <v>910028803</v>
      </c>
      <c r="G221">
        <v>1485877690.461539</v>
      </c>
      <c r="H221">
        <v>540685367.33333325</v>
      </c>
      <c r="I221">
        <v>917502126.25</v>
      </c>
      <c r="J221">
        <v>550780774.11111116</v>
      </c>
      <c r="K221">
        <v>111834158.3333333</v>
      </c>
      <c r="L221">
        <v>4014097331.857142</v>
      </c>
      <c r="M221">
        <v>1728290379.375</v>
      </c>
      <c r="N221">
        <v>543875579.33333337</v>
      </c>
      <c r="O221">
        <v>2304775424.5</v>
      </c>
    </row>
    <row r="222" spans="1:15" x14ac:dyDescent="0.15">
      <c r="A222" s="10" t="s">
        <v>248</v>
      </c>
    </row>
    <row r="223" spans="1:15" x14ac:dyDescent="0.15">
      <c r="A223" s="10" t="s">
        <v>563</v>
      </c>
    </row>
    <row r="224" spans="1:15" x14ac:dyDescent="0.15">
      <c r="A224" s="10" t="s">
        <v>490</v>
      </c>
      <c r="B224">
        <v>1166.4000000000001</v>
      </c>
      <c r="C224">
        <v>165808.875</v>
      </c>
      <c r="D224">
        <v>267071.33333333337</v>
      </c>
      <c r="E224">
        <v>61748</v>
      </c>
      <c r="F224">
        <v>9138.8571428571431</v>
      </c>
      <c r="G224">
        <v>89407.384615384624</v>
      </c>
      <c r="H224">
        <v>12788</v>
      </c>
      <c r="I224">
        <v>21382.5</v>
      </c>
      <c r="J224">
        <v>25615.333333333339</v>
      </c>
      <c r="K224">
        <v>2956</v>
      </c>
      <c r="L224">
        <v>132949.71428571429</v>
      </c>
      <c r="M224">
        <v>96312</v>
      </c>
      <c r="N224">
        <v>3394</v>
      </c>
      <c r="O224">
        <v>101919</v>
      </c>
    </row>
    <row r="225" spans="1:15" x14ac:dyDescent="0.15">
      <c r="A225" s="10" t="s">
        <v>273</v>
      </c>
    </row>
    <row r="226" spans="1:15" x14ac:dyDescent="0.15">
      <c r="A226" s="10" t="s">
        <v>244</v>
      </c>
      <c r="B226">
        <v>4768759.8</v>
      </c>
      <c r="C226">
        <v>112411221.5625</v>
      </c>
      <c r="D226">
        <v>188398601.22222221</v>
      </c>
      <c r="E226">
        <v>43792665</v>
      </c>
      <c r="F226">
        <v>21466618</v>
      </c>
      <c r="G226">
        <v>33987730.538461544</v>
      </c>
      <c r="H226">
        <v>5581431.333333333</v>
      </c>
      <c r="I226">
        <v>4893322</v>
      </c>
      <c r="J226">
        <v>8473021.6666666679</v>
      </c>
      <c r="K226">
        <v>1591027.666666667</v>
      </c>
      <c r="L226">
        <v>80777255</v>
      </c>
      <c r="M226">
        <v>62731489.625</v>
      </c>
      <c r="N226">
        <v>2081891</v>
      </c>
      <c r="O226">
        <v>72534739.666666657</v>
      </c>
    </row>
    <row r="227" spans="1:15" x14ac:dyDescent="0.15">
      <c r="A227" s="10" t="s">
        <v>288</v>
      </c>
      <c r="B227">
        <v>4768759.8</v>
      </c>
      <c r="C227">
        <v>112411221.5625</v>
      </c>
      <c r="D227">
        <v>188398601.22222221</v>
      </c>
      <c r="E227">
        <v>43792665</v>
      </c>
      <c r="F227">
        <v>21466618</v>
      </c>
      <c r="G227">
        <v>33987730.538461544</v>
      </c>
      <c r="H227">
        <v>5581431.333333333</v>
      </c>
      <c r="I227">
        <v>4893322</v>
      </c>
      <c r="J227">
        <v>8473021.6666666679</v>
      </c>
      <c r="K227">
        <v>1591027.666666667</v>
      </c>
      <c r="L227">
        <v>80777255</v>
      </c>
      <c r="M227">
        <v>62731489.625</v>
      </c>
      <c r="N227">
        <v>2081891</v>
      </c>
      <c r="O227">
        <v>72534739.666666657</v>
      </c>
    </row>
    <row r="228" spans="1:15" x14ac:dyDescent="0.15">
      <c r="A228" s="10" t="s">
        <v>589</v>
      </c>
    </row>
    <row r="229" spans="1:15" x14ac:dyDescent="0.15">
      <c r="A229" s="10" t="s">
        <v>424</v>
      </c>
    </row>
    <row r="230" spans="1:15" x14ac:dyDescent="0.15">
      <c r="A230" s="10" t="s">
        <v>249</v>
      </c>
      <c r="B230">
        <v>388.8</v>
      </c>
      <c r="C230">
        <v>55269.625</v>
      </c>
      <c r="D230">
        <v>89023.777777777781</v>
      </c>
      <c r="E230">
        <v>20582.666666666672</v>
      </c>
      <c r="F230">
        <v>3046.2857142857142</v>
      </c>
      <c r="G230">
        <v>29802.461538461539</v>
      </c>
      <c r="H230">
        <v>4262.666666666667</v>
      </c>
      <c r="I230">
        <v>7127.5</v>
      </c>
      <c r="J230">
        <v>8538.4444444444453</v>
      </c>
      <c r="K230">
        <v>985.33333333333337</v>
      </c>
      <c r="L230">
        <v>44316.571428571428</v>
      </c>
      <c r="M230">
        <v>32104</v>
      </c>
      <c r="N230">
        <v>1131.333333333333</v>
      </c>
      <c r="O230">
        <v>33973</v>
      </c>
    </row>
    <row r="231" spans="1:15" x14ac:dyDescent="0.15">
      <c r="A231" s="10" t="s">
        <v>233</v>
      </c>
      <c r="B231">
        <v>3267599</v>
      </c>
      <c r="C231">
        <v>11014778.75</v>
      </c>
      <c r="D231">
        <v>7689933.333333334</v>
      </c>
      <c r="E231">
        <v>2914819.416666667</v>
      </c>
      <c r="F231">
        <v>7871952.1428571437</v>
      </c>
      <c r="G231">
        <v>22014667.38461538</v>
      </c>
      <c r="H231">
        <v>5372056.666666667</v>
      </c>
      <c r="I231">
        <v>1530008.75</v>
      </c>
      <c r="J231">
        <v>13759013.44444444</v>
      </c>
      <c r="K231">
        <v>1326435.666666667</v>
      </c>
      <c r="L231">
        <v>46411727.571428567</v>
      </c>
      <c r="M231">
        <v>6100012.375</v>
      </c>
      <c r="N231">
        <v>798881.33333333337</v>
      </c>
      <c r="O231">
        <v>5862017.5</v>
      </c>
    </row>
    <row r="232" spans="1:15" x14ac:dyDescent="0.15">
      <c r="A232" s="10" t="s">
        <v>234</v>
      </c>
    </row>
    <row r="233" spans="1:15" x14ac:dyDescent="0.15">
      <c r="A233" s="10" t="s">
        <v>235</v>
      </c>
      <c r="B233">
        <v>2567760</v>
      </c>
      <c r="C233">
        <v>97847737.5</v>
      </c>
      <c r="D233">
        <v>146013333.33333331</v>
      </c>
      <c r="E233">
        <v>31585000</v>
      </c>
      <c r="F233">
        <v>29716200</v>
      </c>
      <c r="G233">
        <v>48206169.230769232</v>
      </c>
      <c r="H233">
        <v>17629200</v>
      </c>
      <c r="I233">
        <v>30081900</v>
      </c>
      <c r="J233">
        <v>17757866.666666672</v>
      </c>
      <c r="K233">
        <v>3641200</v>
      </c>
      <c r="L233">
        <v>130680042.8571429</v>
      </c>
      <c r="M233">
        <v>56509275</v>
      </c>
      <c r="N233">
        <v>17848400</v>
      </c>
      <c r="O233">
        <v>75448500</v>
      </c>
    </row>
    <row r="234" spans="1:15" x14ac:dyDescent="0.15">
      <c r="A234" s="10" t="s">
        <v>236</v>
      </c>
      <c r="B234">
        <v>24443340.600000001</v>
      </c>
      <c r="C234">
        <v>885939887.8125</v>
      </c>
      <c r="D234">
        <v>1335603900.7777779</v>
      </c>
      <c r="E234">
        <v>290907605</v>
      </c>
      <c r="F234">
        <v>260738383.1428571</v>
      </c>
      <c r="G234">
        <v>422425873</v>
      </c>
      <c r="H234">
        <v>149986852.66666669</v>
      </c>
      <c r="I234">
        <v>252892484</v>
      </c>
      <c r="J234">
        <v>152953261.66666669</v>
      </c>
      <c r="K234">
        <v>31266550.333333328</v>
      </c>
      <c r="L234">
        <v>1137678719.2857139</v>
      </c>
      <c r="M234">
        <v>510213386.125</v>
      </c>
      <c r="N234">
        <v>149508587</v>
      </c>
      <c r="O234">
        <v>673845284.33333337</v>
      </c>
    </row>
    <row r="235" spans="1:15" x14ac:dyDescent="0.15">
      <c r="A235" s="10" t="s">
        <v>559</v>
      </c>
      <c r="B235">
        <v>286877</v>
      </c>
      <c r="C235">
        <v>967036.25</v>
      </c>
      <c r="D235">
        <v>675133.33333333337</v>
      </c>
      <c r="E235">
        <v>255904.91666666669</v>
      </c>
      <c r="F235">
        <v>691113.57142857148</v>
      </c>
      <c r="G235">
        <v>1932765.230769231</v>
      </c>
      <c r="H235">
        <v>471636.66666666669</v>
      </c>
      <c r="I235">
        <v>134326.25</v>
      </c>
      <c r="J235">
        <v>1207964.777777778</v>
      </c>
      <c r="K235">
        <v>116453.6666666667</v>
      </c>
      <c r="L235">
        <v>4074691.2857142859</v>
      </c>
      <c r="M235">
        <v>535547.125</v>
      </c>
      <c r="N235">
        <v>70137.333333333343</v>
      </c>
      <c r="O235">
        <v>514652.5</v>
      </c>
    </row>
    <row r="236" spans="1:15" x14ac:dyDescent="0.15">
      <c r="A236" s="10" t="s">
        <v>402</v>
      </c>
      <c r="B236">
        <v>43655392.600000001</v>
      </c>
      <c r="C236">
        <v>180108010.125</v>
      </c>
      <c r="D236">
        <v>162997778.44444439</v>
      </c>
      <c r="E236">
        <v>52407321.666666657</v>
      </c>
      <c r="F236">
        <v>108476645.14285719</v>
      </c>
      <c r="G236">
        <v>295551042.84615391</v>
      </c>
      <c r="H236">
        <v>71147720</v>
      </c>
      <c r="I236">
        <v>21517366.75</v>
      </c>
      <c r="J236">
        <v>180260418.44444439</v>
      </c>
      <c r="K236">
        <v>17634493.666666672</v>
      </c>
      <c r="L236">
        <v>625486188.14285719</v>
      </c>
      <c r="M236">
        <v>99945167.625</v>
      </c>
      <c r="N236">
        <v>11002375.33333333</v>
      </c>
      <c r="O236">
        <v>100121780.1666667</v>
      </c>
    </row>
    <row r="237" spans="1:15" x14ac:dyDescent="0.15">
      <c r="A237" s="10" t="s">
        <v>274</v>
      </c>
    </row>
    <row r="238" spans="1:15" x14ac:dyDescent="0.15">
      <c r="A238" s="10" t="s">
        <v>560</v>
      </c>
    </row>
    <row r="239" spans="1:15" x14ac:dyDescent="0.15">
      <c r="A239" s="10" t="s">
        <v>440</v>
      </c>
    </row>
    <row r="240" spans="1:15" x14ac:dyDescent="0.15">
      <c r="A240" s="10" t="s">
        <v>276</v>
      </c>
      <c r="B240">
        <v>4768759.8</v>
      </c>
      <c r="C240">
        <v>112411221.5625</v>
      </c>
      <c r="D240">
        <v>188398601.22222221</v>
      </c>
      <c r="E240">
        <v>43792665</v>
      </c>
      <c r="F240">
        <v>21466618</v>
      </c>
      <c r="G240">
        <v>33987730.538461544</v>
      </c>
      <c r="H240">
        <v>5581431.333333333</v>
      </c>
      <c r="I240">
        <v>4893322</v>
      </c>
      <c r="J240">
        <v>8473021.6666666679</v>
      </c>
      <c r="K240">
        <v>1591027.666666667</v>
      </c>
      <c r="L240">
        <v>80777255</v>
      </c>
      <c r="M240">
        <v>62731489.625</v>
      </c>
      <c r="N240">
        <v>2081891</v>
      </c>
      <c r="O240">
        <v>72534739.666666657</v>
      </c>
    </row>
    <row r="241" spans="1:15" x14ac:dyDescent="0.15">
      <c r="A241" s="10" t="s">
        <v>213</v>
      </c>
    </row>
    <row r="242" spans="1:15" x14ac:dyDescent="0.15">
      <c r="A242" s="10" t="s">
        <v>214</v>
      </c>
      <c r="B242">
        <v>5550721.2000000002</v>
      </c>
      <c r="C242">
        <v>128184249.8125</v>
      </c>
      <c r="D242">
        <v>187766356.77777779</v>
      </c>
      <c r="E242">
        <v>41789864.083333328</v>
      </c>
      <c r="F242">
        <v>40527581</v>
      </c>
      <c r="G242">
        <v>71807668.692307696</v>
      </c>
      <c r="H242">
        <v>23711016</v>
      </c>
      <c r="I242">
        <v>34856471.75</v>
      </c>
      <c r="J242">
        <v>29761915.55555556</v>
      </c>
      <c r="K242">
        <v>5090766</v>
      </c>
      <c r="L242">
        <v>184555669.4285714</v>
      </c>
      <c r="M242">
        <v>73610691.5</v>
      </c>
      <c r="N242">
        <v>20516937.66666666</v>
      </c>
      <c r="O242">
        <v>95507307.166666672</v>
      </c>
    </row>
    <row r="243" spans="1:15" x14ac:dyDescent="0.15">
      <c r="A243" s="10" t="s">
        <v>231</v>
      </c>
      <c r="B243">
        <v>174925</v>
      </c>
      <c r="C243">
        <v>589656.25</v>
      </c>
      <c r="D243">
        <v>411666.66666666669</v>
      </c>
      <c r="E243">
        <v>156039.58333333331</v>
      </c>
      <c r="F243">
        <v>421410.71428571432</v>
      </c>
      <c r="G243">
        <v>1178515.384615385</v>
      </c>
      <c r="H243">
        <v>287583.33333333337</v>
      </c>
      <c r="I243">
        <v>81906.25</v>
      </c>
      <c r="J243">
        <v>736563.88888888888</v>
      </c>
      <c r="K243">
        <v>71008.333333333343</v>
      </c>
      <c r="L243">
        <v>2484567.8571428568</v>
      </c>
      <c r="M243">
        <v>326553.125</v>
      </c>
      <c r="N243">
        <v>42766.666666666672</v>
      </c>
      <c r="O243">
        <v>313812.5</v>
      </c>
    </row>
    <row r="244" spans="1:15" x14ac:dyDescent="0.15">
      <c r="A244" s="10" t="s">
        <v>215</v>
      </c>
      <c r="B244">
        <v>871860.60000000009</v>
      </c>
      <c r="C244">
        <v>20551866.5625</v>
      </c>
      <c r="D244">
        <v>34444451.888888888</v>
      </c>
      <c r="E244">
        <v>8006505</v>
      </c>
      <c r="F244">
        <v>3924688.8571428568</v>
      </c>
      <c r="G244">
        <v>6213893</v>
      </c>
      <c r="H244">
        <v>1020439.333333333</v>
      </c>
      <c r="I244">
        <v>894634</v>
      </c>
      <c r="J244">
        <v>1549101.666666667</v>
      </c>
      <c r="K244">
        <v>290883.66666666669</v>
      </c>
      <c r="L244">
        <v>14768306.428571429</v>
      </c>
      <c r="M244">
        <v>11469043.625</v>
      </c>
      <c r="N244">
        <v>380627</v>
      </c>
      <c r="O244">
        <v>13261347.66666667</v>
      </c>
    </row>
    <row r="245" spans="1:15" x14ac:dyDescent="0.15">
      <c r="A245" s="10" t="s">
        <v>232</v>
      </c>
      <c r="B245">
        <v>99956541.599999994</v>
      </c>
      <c r="C245">
        <v>1452585776.25</v>
      </c>
      <c r="D245">
        <v>2033086430.1111109</v>
      </c>
      <c r="E245">
        <v>470866434.75</v>
      </c>
      <c r="F245">
        <v>500463627.71428567</v>
      </c>
      <c r="G245">
        <v>1011376888.461538</v>
      </c>
      <c r="H245">
        <v>300217252.66666669</v>
      </c>
      <c r="I245">
        <v>351882643.25</v>
      </c>
      <c r="J245">
        <v>476653821.33333331</v>
      </c>
      <c r="K245">
        <v>67158461.333333328</v>
      </c>
      <c r="L245">
        <v>2433214851.3571429</v>
      </c>
      <c r="M245">
        <v>830042944.375</v>
      </c>
      <c r="N245">
        <v>203131093</v>
      </c>
      <c r="O245">
        <v>1037458292.333333</v>
      </c>
    </row>
    <row r="246" spans="1:15" x14ac:dyDescent="0.15">
      <c r="A246" s="10" t="s">
        <v>306</v>
      </c>
      <c r="B246">
        <v>2348962466.1999998</v>
      </c>
      <c r="C246">
        <v>55838404756.0625</v>
      </c>
      <c r="D246">
        <v>81181215864.888901</v>
      </c>
      <c r="E246">
        <v>18392533957</v>
      </c>
      <c r="F246">
        <v>17813933622.285709</v>
      </c>
      <c r="G246">
        <v>31713122688.615391</v>
      </c>
      <c r="H246">
        <v>10595757626.555559</v>
      </c>
      <c r="I246">
        <v>16522289866.5</v>
      </c>
      <c r="J246">
        <v>13569246535.111111</v>
      </c>
      <c r="K246">
        <v>2479863489.333333</v>
      </c>
      <c r="L246">
        <v>82259244504.428574</v>
      </c>
      <c r="M246">
        <v>32068091230.25</v>
      </c>
      <c r="N246">
        <v>9418256525.666666</v>
      </c>
      <c r="O246">
        <v>41831599902.333328</v>
      </c>
    </row>
    <row r="247" spans="1:15" x14ac:dyDescent="0.15">
      <c r="A247" s="10" t="s">
        <v>379</v>
      </c>
      <c r="B247">
        <v>259642874.19999999</v>
      </c>
      <c r="C247">
        <v>7543249276.375</v>
      </c>
      <c r="D247">
        <v>11146710351.111111</v>
      </c>
      <c r="E247">
        <v>2444806037.166666</v>
      </c>
      <c r="F247">
        <v>2332425066.2857141</v>
      </c>
      <c r="G247">
        <v>3985454686.8461542</v>
      </c>
      <c r="H247">
        <v>1381002622.666667</v>
      </c>
      <c r="I247">
        <v>2195639512.25</v>
      </c>
      <c r="J247">
        <v>1565079635.7777779</v>
      </c>
      <c r="K247">
        <v>290707027</v>
      </c>
      <c r="L247">
        <v>10480780718.285709</v>
      </c>
      <c r="M247">
        <v>4345755815.375</v>
      </c>
      <c r="N247">
        <v>1295459845.333333</v>
      </c>
      <c r="O247">
        <v>5719817460.166667</v>
      </c>
    </row>
    <row r="248" spans="1:15" x14ac:dyDescent="0.15">
      <c r="A248" s="10" t="s">
        <v>279</v>
      </c>
      <c r="B248">
        <v>257822642.80000001</v>
      </c>
      <c r="C248">
        <v>7527599623.125</v>
      </c>
      <c r="D248">
        <v>11127496462.222219</v>
      </c>
      <c r="E248">
        <v>2440057580.583333</v>
      </c>
      <c r="F248">
        <v>2325530067.5714278</v>
      </c>
      <c r="G248">
        <v>3969894619.4615378</v>
      </c>
      <c r="H248">
        <v>1376579938</v>
      </c>
      <c r="I248">
        <v>2191706725</v>
      </c>
      <c r="J248">
        <v>1556674238.5555561</v>
      </c>
      <c r="K248">
        <v>289690918.66666669</v>
      </c>
      <c r="L248">
        <v>10444877933.85714</v>
      </c>
      <c r="M248">
        <v>4336841429.75</v>
      </c>
      <c r="N248">
        <v>1293177958.666667</v>
      </c>
      <c r="O248">
        <v>5708995517.666667</v>
      </c>
    </row>
    <row r="249" spans="1:15" x14ac:dyDescent="0.15">
      <c r="A249" s="10" t="s">
        <v>287</v>
      </c>
      <c r="B249">
        <v>424800482.80000007</v>
      </c>
      <c r="C249">
        <v>13872063452.75</v>
      </c>
      <c r="D249">
        <v>20613839083.111111</v>
      </c>
      <c r="E249">
        <v>4495131479.916666</v>
      </c>
      <c r="F249">
        <v>4233829170.1428571</v>
      </c>
      <c r="G249">
        <v>7082801347.9230766</v>
      </c>
      <c r="H249">
        <v>2505547939.333333</v>
      </c>
      <c r="I249">
        <v>4114869678</v>
      </c>
      <c r="J249">
        <v>2698870998.1111112</v>
      </c>
      <c r="K249">
        <v>523246961.33333337</v>
      </c>
      <c r="L249">
        <v>18849639946.85714</v>
      </c>
      <c r="M249">
        <v>7999547686</v>
      </c>
      <c r="N249">
        <v>2431462537.333333</v>
      </c>
      <c r="O249">
        <v>10585226462.66667</v>
      </c>
    </row>
    <row r="250" spans="1:15" x14ac:dyDescent="0.15">
      <c r="A250" s="10" t="s">
        <v>294</v>
      </c>
      <c r="B250">
        <v>332582797</v>
      </c>
      <c r="C250">
        <v>9431811753.1875</v>
      </c>
      <c r="D250">
        <v>13962369039.222219</v>
      </c>
      <c r="E250">
        <v>3071184061.166667</v>
      </c>
      <c r="F250">
        <v>2890605088.5714288</v>
      </c>
      <c r="G250">
        <v>4980519538.8461542</v>
      </c>
      <c r="H250">
        <v>1702649988.666667</v>
      </c>
      <c r="I250">
        <v>2681312334</v>
      </c>
      <c r="J250">
        <v>1957562738.1111109</v>
      </c>
      <c r="K250">
        <v>359784987</v>
      </c>
      <c r="L250">
        <v>13018767956.42857</v>
      </c>
      <c r="M250">
        <v>5429647052.875</v>
      </c>
      <c r="N250">
        <v>1577341758.333333</v>
      </c>
      <c r="O250">
        <v>7114362447</v>
      </c>
    </row>
    <row r="251" spans="1:15" x14ac:dyDescent="0.15">
      <c r="A251" s="10" t="s">
        <v>272</v>
      </c>
      <c r="B251">
        <v>448096985.19999999</v>
      </c>
      <c r="C251">
        <v>14338321943.25</v>
      </c>
      <c r="D251">
        <v>21256994118.33334</v>
      </c>
      <c r="E251">
        <v>4636087204.833333</v>
      </c>
      <c r="F251">
        <v>4411423767</v>
      </c>
      <c r="G251">
        <v>7389477474.8461542</v>
      </c>
      <c r="H251">
        <v>2616733742.666667</v>
      </c>
      <c r="I251">
        <v>4278266184.75</v>
      </c>
      <c r="J251">
        <v>2838226207.8888888</v>
      </c>
      <c r="K251">
        <v>546678568</v>
      </c>
      <c r="L251">
        <v>19663445381.785709</v>
      </c>
      <c r="M251">
        <v>8269166986.125</v>
      </c>
      <c r="N251">
        <v>2530764845.666667</v>
      </c>
      <c r="O251">
        <v>10950366941</v>
      </c>
    </row>
    <row r="252" spans="1:15" x14ac:dyDescent="0.15">
      <c r="A252" s="10" t="s">
        <v>264</v>
      </c>
      <c r="B252">
        <v>590235904.20000005</v>
      </c>
      <c r="C252">
        <v>13336398591</v>
      </c>
      <c r="D252">
        <v>19326596899.888889</v>
      </c>
      <c r="E252">
        <v>4293191678.166667</v>
      </c>
      <c r="F252">
        <v>4336632962.1428576</v>
      </c>
      <c r="G252">
        <v>7750956619.3846159</v>
      </c>
      <c r="H252">
        <v>2591535370.666667</v>
      </c>
      <c r="I252">
        <v>3805992138.5</v>
      </c>
      <c r="J252">
        <v>3273245836.1111112</v>
      </c>
      <c r="K252">
        <v>554312776.33333337</v>
      </c>
      <c r="L252">
        <v>19921076310.92857</v>
      </c>
      <c r="M252">
        <v>7670815461</v>
      </c>
      <c r="N252">
        <v>2245303938.333333</v>
      </c>
      <c r="O252">
        <v>10007265648.83333</v>
      </c>
    </row>
    <row r="253" spans="1:15" x14ac:dyDescent="0.15">
      <c r="A253" s="10" t="s">
        <v>277</v>
      </c>
      <c r="B253">
        <v>2137321726.8</v>
      </c>
      <c r="C253">
        <v>52288660444.375</v>
      </c>
      <c r="D253">
        <v>76182225248.666656</v>
      </c>
      <c r="E253">
        <v>17236791464.16666</v>
      </c>
      <c r="F253">
        <v>16586984918.85714</v>
      </c>
      <c r="G253">
        <v>29385746389.846149</v>
      </c>
      <c r="H253">
        <v>9860557498.8888893</v>
      </c>
      <c r="I253">
        <v>15532377512.5</v>
      </c>
      <c r="J253">
        <v>12484538158.222219</v>
      </c>
      <c r="K253">
        <v>2307531985.333333</v>
      </c>
      <c r="L253">
        <v>76430436165.571426</v>
      </c>
      <c r="M253">
        <v>30036113553.25</v>
      </c>
      <c r="N253">
        <v>8851237528</v>
      </c>
      <c r="O253">
        <v>39227186402.666656</v>
      </c>
    </row>
    <row r="254" spans="1:15" x14ac:dyDescent="0.15">
      <c r="A254" s="10" t="s">
        <v>265</v>
      </c>
      <c r="B254">
        <v>12427083.4</v>
      </c>
      <c r="C254">
        <v>285190197.5</v>
      </c>
      <c r="D254">
        <v>434902875.22222221</v>
      </c>
      <c r="E254">
        <v>98373665</v>
      </c>
      <c r="F254">
        <v>79046562.142857134</v>
      </c>
      <c r="G254">
        <v>140267863.69230771</v>
      </c>
      <c r="H254">
        <v>41441790.666666672</v>
      </c>
      <c r="I254">
        <v>57810094</v>
      </c>
      <c r="J254">
        <v>54220910.333333328</v>
      </c>
      <c r="K254">
        <v>9212843</v>
      </c>
      <c r="L254">
        <v>351531128.21428567</v>
      </c>
      <c r="M254">
        <v>162441753.25</v>
      </c>
      <c r="N254">
        <v>33150707</v>
      </c>
      <c r="O254">
        <v>203317142.83333331</v>
      </c>
    </row>
    <row r="255" spans="1:15" x14ac:dyDescent="0.15">
      <c r="A255" s="10" t="s">
        <v>266</v>
      </c>
      <c r="B255">
        <v>12427083.4</v>
      </c>
      <c r="C255">
        <v>285190197.5</v>
      </c>
      <c r="D255">
        <v>434902875.22222221</v>
      </c>
      <c r="E255">
        <v>98373665</v>
      </c>
      <c r="F255">
        <v>79046562.142857134</v>
      </c>
      <c r="G255">
        <v>140267863.69230771</v>
      </c>
      <c r="H255">
        <v>41441790.666666672</v>
      </c>
      <c r="I255">
        <v>57810094</v>
      </c>
      <c r="J255">
        <v>54220910.333333328</v>
      </c>
      <c r="K255">
        <v>9212843</v>
      </c>
      <c r="L255">
        <v>351531128.21428567</v>
      </c>
      <c r="M255">
        <v>162441753.25</v>
      </c>
      <c r="N255">
        <v>33150707</v>
      </c>
      <c r="O255">
        <v>203317142.83333331</v>
      </c>
    </row>
    <row r="256" spans="1:15" x14ac:dyDescent="0.15">
      <c r="A256" s="10" t="s">
        <v>286</v>
      </c>
      <c r="B256">
        <v>3698197.2</v>
      </c>
      <c r="C256">
        <v>139795840.5</v>
      </c>
      <c r="D256">
        <v>208946726.8888889</v>
      </c>
      <c r="E256">
        <v>45247980</v>
      </c>
      <c r="F256">
        <v>42249409.428571433</v>
      </c>
      <c r="G256">
        <v>68524162.769230783</v>
      </c>
      <c r="H256">
        <v>24948061.333333328</v>
      </c>
      <c r="I256">
        <v>42495163</v>
      </c>
      <c r="J256">
        <v>25176568.666666672</v>
      </c>
      <c r="K256">
        <v>5160000.666666667</v>
      </c>
      <c r="L256">
        <v>185574256.1428571</v>
      </c>
      <c r="M256">
        <v>80699612</v>
      </c>
      <c r="N256">
        <v>25200146</v>
      </c>
      <c r="O256">
        <v>107563557.6666667</v>
      </c>
    </row>
    <row r="257" spans="1:15" x14ac:dyDescent="0.15">
      <c r="A257" s="10" t="s">
        <v>297</v>
      </c>
      <c r="B257">
        <v>257822642.80000001</v>
      </c>
      <c r="C257">
        <v>7527599623.125</v>
      </c>
      <c r="D257">
        <v>11127496462.222219</v>
      </c>
      <c r="E257">
        <v>2440057580.583333</v>
      </c>
      <c r="F257">
        <v>2325530067.5714278</v>
      </c>
      <c r="G257">
        <v>3969894619.4615378</v>
      </c>
      <c r="H257">
        <v>1376579938</v>
      </c>
      <c r="I257">
        <v>2191706725</v>
      </c>
      <c r="J257">
        <v>1556674238.5555561</v>
      </c>
      <c r="K257">
        <v>289690918.66666669</v>
      </c>
      <c r="L257">
        <v>10444877933.85714</v>
      </c>
      <c r="M257">
        <v>4336841429.75</v>
      </c>
      <c r="N257">
        <v>1293177958.666667</v>
      </c>
      <c r="O257">
        <v>5708995517.666667</v>
      </c>
    </row>
    <row r="258" spans="1:15" x14ac:dyDescent="0.15">
      <c r="A258" s="10" t="s">
        <v>388</v>
      </c>
      <c r="B258">
        <v>263490234.59999999</v>
      </c>
      <c r="C258">
        <v>7689857803.0625</v>
      </c>
      <c r="D258">
        <v>11365486995.555559</v>
      </c>
      <c r="E258">
        <v>2492130895.5</v>
      </c>
      <c r="F258">
        <v>2376949839.2857151</v>
      </c>
      <c r="G258">
        <v>4057683597.0769229</v>
      </c>
      <c r="H258">
        <v>1407417040.666667</v>
      </c>
      <c r="I258">
        <v>2240712225.75</v>
      </c>
      <c r="J258">
        <v>1591686839.333333</v>
      </c>
      <c r="K258">
        <v>296162758.33333337</v>
      </c>
      <c r="L258">
        <v>10676582982.5</v>
      </c>
      <c r="M258">
        <v>4430425545.75</v>
      </c>
      <c r="N258">
        <v>1322202698</v>
      </c>
      <c r="O258">
        <v>5832864462.666667</v>
      </c>
    </row>
    <row r="259" spans="1:15" x14ac:dyDescent="0.15">
      <c r="A259" s="10" t="s">
        <v>485</v>
      </c>
      <c r="B259">
        <v>28279596.800000001</v>
      </c>
      <c r="C259">
        <v>1077629749</v>
      </c>
      <c r="D259">
        <v>1608093511.1111109</v>
      </c>
      <c r="E259">
        <v>347856133.33333331</v>
      </c>
      <c r="F259">
        <v>327274416</v>
      </c>
      <c r="G259">
        <v>530910610.46153849</v>
      </c>
      <c r="H259">
        <v>194156256</v>
      </c>
      <c r="I259">
        <v>331301992</v>
      </c>
      <c r="J259">
        <v>195573304.8888889</v>
      </c>
      <c r="K259">
        <v>40101749.333333343</v>
      </c>
      <c r="L259">
        <v>1439222872</v>
      </c>
      <c r="M259">
        <v>622355482</v>
      </c>
      <c r="N259">
        <v>196570378.66666669</v>
      </c>
      <c r="O259">
        <v>830939480</v>
      </c>
    </row>
    <row r="260" spans="1:15" x14ac:dyDescent="0.15">
      <c r="A260" s="10" t="s">
        <v>478</v>
      </c>
      <c r="B260">
        <v>35520680</v>
      </c>
      <c r="C260">
        <v>1353560368.75</v>
      </c>
      <c r="D260">
        <v>2019851111.1111109</v>
      </c>
      <c r="E260">
        <v>436925833.33333331</v>
      </c>
      <c r="F260">
        <v>411074100</v>
      </c>
      <c r="G260">
        <v>666852007.69230771</v>
      </c>
      <c r="H260">
        <v>243870600</v>
      </c>
      <c r="I260">
        <v>416132950</v>
      </c>
      <c r="J260">
        <v>245650488.8888889</v>
      </c>
      <c r="K260">
        <v>50369933.333333343</v>
      </c>
      <c r="L260">
        <v>1807740592.8571429</v>
      </c>
      <c r="M260">
        <v>781711637.5</v>
      </c>
      <c r="N260">
        <v>246902866.66666669</v>
      </c>
      <c r="O260">
        <v>1043704250</v>
      </c>
    </row>
    <row r="261" spans="1:15" x14ac:dyDescent="0.15">
      <c r="A261" s="10" t="s">
        <v>479</v>
      </c>
      <c r="B261">
        <v>10814549.199999999</v>
      </c>
      <c r="C261">
        <v>412102054.4375</v>
      </c>
      <c r="D261">
        <v>614959488.88888896</v>
      </c>
      <c r="E261">
        <v>133025491.6666667</v>
      </c>
      <c r="F261">
        <v>125154729</v>
      </c>
      <c r="G261">
        <v>203028316.0769231</v>
      </c>
      <c r="H261">
        <v>74248314</v>
      </c>
      <c r="I261">
        <v>126694935.5</v>
      </c>
      <c r="J261">
        <v>74790215.111111119</v>
      </c>
      <c r="K261">
        <v>15335520.66666667</v>
      </c>
      <c r="L261">
        <v>550380780.5</v>
      </c>
      <c r="M261">
        <v>237998229.875</v>
      </c>
      <c r="N261">
        <v>75171511.333333328</v>
      </c>
      <c r="O261">
        <v>317763932.5</v>
      </c>
    </row>
    <row r="262" spans="1:15" x14ac:dyDescent="0.15">
      <c r="A262" s="10" t="s">
        <v>534</v>
      </c>
      <c r="B262">
        <v>39512723.600000001</v>
      </c>
      <c r="C262">
        <v>537014385.1875</v>
      </c>
      <c r="D262">
        <v>827831354.77777779</v>
      </c>
      <c r="E262">
        <v>199639020.33333331</v>
      </c>
      <c r="F262">
        <v>134565291.14285719</v>
      </c>
      <c r="G262">
        <v>292418270.30769229</v>
      </c>
      <c r="H262">
        <v>58936855.333333343</v>
      </c>
      <c r="I262">
        <v>33496458.75</v>
      </c>
      <c r="J262">
        <v>127165901.8888889</v>
      </c>
      <c r="K262">
        <v>15313404</v>
      </c>
      <c r="L262">
        <v>638083186</v>
      </c>
      <c r="M262">
        <v>300268099.25</v>
      </c>
      <c r="N262">
        <v>13868567.66666667</v>
      </c>
      <c r="O262">
        <v>337270518.5</v>
      </c>
    </row>
    <row r="263" spans="1:15" x14ac:dyDescent="0.15">
      <c r="A263" s="10" t="s">
        <v>516</v>
      </c>
      <c r="B263">
        <v>248317636.19999999</v>
      </c>
      <c r="C263">
        <v>2649512993.375</v>
      </c>
      <c r="D263">
        <v>3778211941.1111112</v>
      </c>
      <c r="E263">
        <v>1047157035.083333</v>
      </c>
      <c r="F263">
        <v>783781578.71428585</v>
      </c>
      <c r="G263">
        <v>1855929136.153846</v>
      </c>
      <c r="H263">
        <v>399200456.8888889</v>
      </c>
      <c r="I263">
        <v>420029329.25</v>
      </c>
      <c r="J263">
        <v>1021209941.666667</v>
      </c>
      <c r="K263">
        <v>163587607.66666669</v>
      </c>
      <c r="L263">
        <v>4182655328</v>
      </c>
      <c r="M263">
        <v>1468696102.625</v>
      </c>
      <c r="N263">
        <v>128362581.3333333</v>
      </c>
      <c r="O263">
        <v>1634164548.166667</v>
      </c>
    </row>
    <row r="264" spans="1:15" x14ac:dyDescent="0.15">
      <c r="A264" s="10" t="s">
        <v>509</v>
      </c>
      <c r="B264">
        <v>79647177.799999997</v>
      </c>
      <c r="C264">
        <v>859622216.875</v>
      </c>
      <c r="D264">
        <v>1265892205.1111109</v>
      </c>
      <c r="E264">
        <v>312166720.25</v>
      </c>
      <c r="F264">
        <v>250374764.4285714</v>
      </c>
      <c r="G264">
        <v>568534325.23076916</v>
      </c>
      <c r="H264">
        <v>120921291.3333333</v>
      </c>
      <c r="I264">
        <v>57900995.75</v>
      </c>
      <c r="J264">
        <v>274671702.33333331</v>
      </c>
      <c r="K264">
        <v>31017175</v>
      </c>
      <c r="L264">
        <v>1236034746.1428571</v>
      </c>
      <c r="M264">
        <v>479957160.125</v>
      </c>
      <c r="N264">
        <v>25504074</v>
      </c>
      <c r="O264">
        <v>533468472.16666663</v>
      </c>
    </row>
    <row r="265" spans="1:15" x14ac:dyDescent="0.15">
      <c r="A265" s="10" t="s">
        <v>562</v>
      </c>
      <c r="B265">
        <v>22458002.800000001</v>
      </c>
      <c r="C265">
        <v>239723051.25</v>
      </c>
      <c r="D265">
        <v>350695055.1111111</v>
      </c>
      <c r="E265">
        <v>86696639.916666657</v>
      </c>
      <c r="F265">
        <v>69900418.714285702</v>
      </c>
      <c r="G265">
        <v>163424591.9230769</v>
      </c>
      <c r="H265">
        <v>34750718</v>
      </c>
      <c r="I265">
        <v>16913647</v>
      </c>
      <c r="J265">
        <v>79393471.444444448</v>
      </c>
      <c r="K265">
        <v>8879054.666666666</v>
      </c>
      <c r="L265">
        <v>351977319.14285707</v>
      </c>
      <c r="M265">
        <v>133993390.5</v>
      </c>
      <c r="N265">
        <v>7229413.333333334</v>
      </c>
      <c r="O265">
        <v>148342314.66666669</v>
      </c>
    </row>
    <row r="266" spans="1:15" x14ac:dyDescent="0.15">
      <c r="A266" s="10" t="s">
        <v>524</v>
      </c>
    </row>
    <row r="267" spans="1:15" x14ac:dyDescent="0.15">
      <c r="A267" s="10" t="s">
        <v>520</v>
      </c>
    </row>
    <row r="268" spans="1:15" x14ac:dyDescent="0.15">
      <c r="A268" s="10" t="s">
        <v>525</v>
      </c>
    </row>
    <row r="269" spans="1:15" x14ac:dyDescent="0.15">
      <c r="A269" s="10" t="s">
        <v>526</v>
      </c>
    </row>
    <row r="270" spans="1:15" x14ac:dyDescent="0.15">
      <c r="A270" s="10" t="s">
        <v>527</v>
      </c>
    </row>
    <row r="271" spans="1:15" x14ac:dyDescent="0.15">
      <c r="A271" s="10" t="s">
        <v>592</v>
      </c>
      <c r="B271">
        <v>33242.400000000001</v>
      </c>
      <c r="C271">
        <v>4725552.9375</v>
      </c>
      <c r="D271">
        <v>7611533</v>
      </c>
      <c r="E271">
        <v>1759818</v>
      </c>
      <c r="F271">
        <v>260457.42857142861</v>
      </c>
      <c r="G271">
        <v>2548110.461538462</v>
      </c>
      <c r="H271">
        <v>364458</v>
      </c>
      <c r="I271">
        <v>609401.25</v>
      </c>
      <c r="J271">
        <v>730037.00000000012</v>
      </c>
      <c r="K271">
        <v>84246</v>
      </c>
      <c r="L271">
        <v>3789066.8571428568</v>
      </c>
      <c r="M271">
        <v>2744892</v>
      </c>
      <c r="N271">
        <v>96729</v>
      </c>
      <c r="O271">
        <v>2904691.5</v>
      </c>
    </row>
    <row r="272" spans="1:15" x14ac:dyDescent="0.15">
      <c r="A272" s="10" t="s">
        <v>572</v>
      </c>
    </row>
    <row r="273" spans="1:15" x14ac:dyDescent="0.15">
      <c r="A273" s="10" t="s">
        <v>682</v>
      </c>
    </row>
    <row r="274" spans="1:15" x14ac:dyDescent="0.15">
      <c r="A274" s="10" t="s">
        <v>628</v>
      </c>
      <c r="B274">
        <v>37957091.400000013</v>
      </c>
      <c r="C274">
        <v>1067906456.3125</v>
      </c>
      <c r="D274">
        <v>1718192190.666667</v>
      </c>
      <c r="E274">
        <v>390238244.66666663</v>
      </c>
      <c r="F274">
        <v>241684673.2857143</v>
      </c>
      <c r="G274">
        <v>402989886.15384609</v>
      </c>
      <c r="H274">
        <v>103220266</v>
      </c>
      <c r="I274">
        <v>149032988.75</v>
      </c>
      <c r="J274">
        <v>123297219.1111111</v>
      </c>
      <c r="K274">
        <v>23941841</v>
      </c>
      <c r="L274">
        <v>1003025784.214286</v>
      </c>
      <c r="M274">
        <v>604093908.75</v>
      </c>
      <c r="N274">
        <v>81666083.333333328</v>
      </c>
      <c r="O274">
        <v>735464692.66666663</v>
      </c>
    </row>
    <row r="275" spans="1:15" x14ac:dyDescent="0.15">
      <c r="A275" s="10" t="s">
        <v>205</v>
      </c>
      <c r="B275">
        <v>871860.60000000009</v>
      </c>
      <c r="C275">
        <v>20551866.5625</v>
      </c>
      <c r="D275">
        <v>34444451.888888888</v>
      </c>
      <c r="E275">
        <v>8006505</v>
      </c>
      <c r="F275">
        <v>3924688.8571428568</v>
      </c>
      <c r="G275">
        <v>6213893</v>
      </c>
      <c r="H275">
        <v>1020439.333333333</v>
      </c>
      <c r="I275">
        <v>894634</v>
      </c>
      <c r="J275">
        <v>1549101.666666667</v>
      </c>
      <c r="K275">
        <v>290883.66666666669</v>
      </c>
      <c r="L275">
        <v>14768306.428571429</v>
      </c>
      <c r="M275">
        <v>11469043.625</v>
      </c>
      <c r="N275">
        <v>380627</v>
      </c>
      <c r="O275">
        <v>13261347.66666667</v>
      </c>
    </row>
    <row r="276" spans="1:15" x14ac:dyDescent="0.15">
      <c r="A276" s="10" t="s">
        <v>475</v>
      </c>
    </row>
    <row r="277" spans="1:15" x14ac:dyDescent="0.15">
      <c r="A277" s="10" t="s">
        <v>514</v>
      </c>
      <c r="B277">
        <v>4811008</v>
      </c>
      <c r="C277">
        <v>25487419.375</v>
      </c>
      <c r="D277">
        <v>28370925.55555556</v>
      </c>
      <c r="E277">
        <v>8096214.833333333</v>
      </c>
      <c r="F277">
        <v>12550324.285714289</v>
      </c>
      <c r="G277">
        <v>32591932.769230772</v>
      </c>
      <c r="H277">
        <v>7692146.666666667</v>
      </c>
      <c r="I277">
        <v>2508687.5</v>
      </c>
      <c r="J277">
        <v>19141026.22222222</v>
      </c>
      <c r="K277">
        <v>1919784</v>
      </c>
      <c r="L277">
        <v>69588841.142857149</v>
      </c>
      <c r="M277">
        <v>14160980.5</v>
      </c>
      <c r="N277">
        <v>1264364.666666667</v>
      </c>
      <c r="O277">
        <v>14787311.66666667</v>
      </c>
    </row>
    <row r="278" spans="1:15" x14ac:dyDescent="0.15">
      <c r="A278" s="10" t="s">
        <v>590</v>
      </c>
    </row>
    <row r="279" spans="1:15" x14ac:dyDescent="0.15">
      <c r="A279" s="10" t="s">
        <v>372</v>
      </c>
      <c r="B279">
        <v>37027077.400000013</v>
      </c>
      <c r="C279">
        <v>1267811057.3125</v>
      </c>
      <c r="D279">
        <v>1880859733.333333</v>
      </c>
      <c r="E279">
        <v>408438067.58333331</v>
      </c>
      <c r="F279">
        <v>390741539.4285714</v>
      </c>
      <c r="G279">
        <v>645527881.15384614</v>
      </c>
      <c r="H279">
        <v>232693661.33333331</v>
      </c>
      <c r="I279">
        <v>387429259.75</v>
      </c>
      <c r="J279">
        <v>244920506.55555561</v>
      </c>
      <c r="K279">
        <v>48334934.333333343</v>
      </c>
      <c r="L279">
        <v>1733201167.928571</v>
      </c>
      <c r="M279">
        <v>731859950.75</v>
      </c>
      <c r="N279">
        <v>229734828.66666669</v>
      </c>
      <c r="O279">
        <v>974265950</v>
      </c>
    </row>
    <row r="280" spans="1:15" x14ac:dyDescent="0.15">
      <c r="A280" s="10" t="s">
        <v>245</v>
      </c>
    </row>
    <row r="281" spans="1:15" x14ac:dyDescent="0.15">
      <c r="A281" s="10" t="s">
        <v>270</v>
      </c>
    </row>
    <row r="282" spans="1:15" x14ac:dyDescent="0.15">
      <c r="A282" s="10" t="s">
        <v>515</v>
      </c>
    </row>
    <row r="283" spans="1:15" x14ac:dyDescent="0.15">
      <c r="A283" s="10" t="s">
        <v>653</v>
      </c>
      <c r="B283">
        <v>37957091.400000013</v>
      </c>
      <c r="C283">
        <v>1067906456.3125</v>
      </c>
      <c r="D283">
        <v>1718192190.666667</v>
      </c>
      <c r="E283">
        <v>390238244.66666663</v>
      </c>
      <c r="F283">
        <v>241684673.2857143</v>
      </c>
      <c r="G283">
        <v>402989886.15384609</v>
      </c>
      <c r="H283">
        <v>103220266</v>
      </c>
      <c r="I283">
        <v>149032988.75</v>
      </c>
      <c r="J283">
        <v>123297219.1111111</v>
      </c>
      <c r="K283">
        <v>23941841</v>
      </c>
      <c r="L283">
        <v>1003025784.214286</v>
      </c>
      <c r="M283">
        <v>604093908.75</v>
      </c>
      <c r="N283">
        <v>81666083.333333328</v>
      </c>
      <c r="O283">
        <v>735464692.66666663</v>
      </c>
    </row>
    <row r="284" spans="1:15" x14ac:dyDescent="0.15">
      <c r="A284" s="10" t="s">
        <v>222</v>
      </c>
    </row>
    <row r="285" spans="1:15" x14ac:dyDescent="0.15">
      <c r="A285" s="10" t="s">
        <v>555</v>
      </c>
      <c r="B285">
        <v>105157607.2</v>
      </c>
      <c r="C285">
        <v>1006047050.5625</v>
      </c>
      <c r="D285">
        <v>1435445360.7777779</v>
      </c>
      <c r="E285">
        <v>359446655.75</v>
      </c>
      <c r="F285">
        <v>317583126.71428567</v>
      </c>
      <c r="G285">
        <v>745387783.61538458</v>
      </c>
      <c r="H285">
        <v>162158320</v>
      </c>
      <c r="I285">
        <v>72311257.25</v>
      </c>
      <c r="J285">
        <v>376765240</v>
      </c>
      <c r="K285">
        <v>41305502.666666672</v>
      </c>
      <c r="L285">
        <v>1611154666.8571429</v>
      </c>
      <c r="M285">
        <v>561526641.75</v>
      </c>
      <c r="N285">
        <v>32392003</v>
      </c>
      <c r="O285">
        <v>618994279.5</v>
      </c>
    </row>
    <row r="286" spans="1:15" x14ac:dyDescent="0.15">
      <c r="A286" s="10" t="s">
        <v>598</v>
      </c>
    </row>
    <row r="287" spans="1:15" x14ac:dyDescent="0.15">
      <c r="A287" s="10" t="s">
        <v>404</v>
      </c>
      <c r="B287">
        <v>642438725.60000002</v>
      </c>
      <c r="C287">
        <v>23563021201.8125</v>
      </c>
      <c r="D287">
        <v>35078942053</v>
      </c>
      <c r="E287">
        <v>8310856599</v>
      </c>
      <c r="F287">
        <v>6837658215.8571434</v>
      </c>
      <c r="G287">
        <v>11455913022.46154</v>
      </c>
      <c r="H287">
        <v>3978803530.5555549</v>
      </c>
      <c r="I287">
        <v>7931163085.5</v>
      </c>
      <c r="J287">
        <v>4848146644.1111116</v>
      </c>
      <c r="K287">
        <v>1199877592.333333</v>
      </c>
      <c r="L287">
        <v>31468028399.5</v>
      </c>
      <c r="M287">
        <v>13492671253</v>
      </c>
      <c r="N287">
        <v>4131655228.666667</v>
      </c>
      <c r="O287">
        <v>17777316217.83334</v>
      </c>
    </row>
    <row r="288" spans="1:15" x14ac:dyDescent="0.15">
      <c r="A288" s="10" t="s">
        <v>307</v>
      </c>
      <c r="B288">
        <v>257822642.80000001</v>
      </c>
      <c r="C288">
        <v>7527599623.125</v>
      </c>
      <c r="D288">
        <v>11127496462.222219</v>
      </c>
      <c r="E288">
        <v>2440057580.583333</v>
      </c>
      <c r="F288">
        <v>2325530067.5714278</v>
      </c>
      <c r="G288">
        <v>3969894619.4615378</v>
      </c>
      <c r="H288">
        <v>1376579938</v>
      </c>
      <c r="I288">
        <v>2191706725</v>
      </c>
      <c r="J288">
        <v>1556674238.5555561</v>
      </c>
      <c r="K288">
        <v>289690918.66666669</v>
      </c>
      <c r="L288">
        <v>10444877933.85714</v>
      </c>
      <c r="M288">
        <v>4336841429.75</v>
      </c>
      <c r="N288">
        <v>1293177958.666667</v>
      </c>
      <c r="O288">
        <v>5708995517.666667</v>
      </c>
    </row>
    <row r="289" spans="1:15" x14ac:dyDescent="0.15">
      <c r="A289" s="10" t="s">
        <v>308</v>
      </c>
      <c r="B289">
        <v>257822642.80000001</v>
      </c>
      <c r="C289">
        <v>7527599623.125</v>
      </c>
      <c r="D289">
        <v>11127496462.222219</v>
      </c>
      <c r="E289">
        <v>2440057580.583333</v>
      </c>
      <c r="F289">
        <v>2325530067.5714278</v>
      </c>
      <c r="G289">
        <v>3969894619.4615378</v>
      </c>
      <c r="H289">
        <v>1376579938</v>
      </c>
      <c r="I289">
        <v>2191706725</v>
      </c>
      <c r="J289">
        <v>1556674238.5555561</v>
      </c>
      <c r="K289">
        <v>289690918.66666669</v>
      </c>
      <c r="L289">
        <v>10444877933.85714</v>
      </c>
      <c r="M289">
        <v>4336841429.75</v>
      </c>
      <c r="N289">
        <v>1293177958.666667</v>
      </c>
      <c r="O289">
        <v>5708995517.666667</v>
      </c>
    </row>
    <row r="290" spans="1:15" x14ac:dyDescent="0.15">
      <c r="A290" s="10" t="s">
        <v>309</v>
      </c>
      <c r="B290">
        <v>257822642.80000001</v>
      </c>
      <c r="C290">
        <v>7527599623.125</v>
      </c>
      <c r="D290">
        <v>11127496462.222219</v>
      </c>
      <c r="E290">
        <v>2440057580.583333</v>
      </c>
      <c r="F290">
        <v>2325530067.5714278</v>
      </c>
      <c r="G290">
        <v>3969894619.4615378</v>
      </c>
      <c r="H290">
        <v>1376579938</v>
      </c>
      <c r="I290">
        <v>2191706725</v>
      </c>
      <c r="J290">
        <v>1556674238.5555561</v>
      </c>
      <c r="K290">
        <v>289690918.66666669</v>
      </c>
      <c r="L290">
        <v>10444877933.85714</v>
      </c>
      <c r="M290">
        <v>4336841429.75</v>
      </c>
      <c r="N290">
        <v>1293177958.666667</v>
      </c>
      <c r="O290">
        <v>5708995517.666667</v>
      </c>
    </row>
    <row r="291" spans="1:15" x14ac:dyDescent="0.15">
      <c r="A291" s="10" t="s">
        <v>206</v>
      </c>
    </row>
    <row r="292" spans="1:15" x14ac:dyDescent="0.15">
      <c r="A292" s="10" t="s">
        <v>207</v>
      </c>
      <c r="B292">
        <v>391807.8</v>
      </c>
      <c r="C292">
        <v>9235859.0625</v>
      </c>
      <c r="D292">
        <v>15479085.66666667</v>
      </c>
      <c r="E292">
        <v>3598065</v>
      </c>
      <c r="F292">
        <v>1763726.5714285709</v>
      </c>
      <c r="G292">
        <v>2792478.230769231</v>
      </c>
      <c r="H292">
        <v>458577.99999999988</v>
      </c>
      <c r="I292">
        <v>402042</v>
      </c>
      <c r="J292">
        <v>696155</v>
      </c>
      <c r="K292">
        <v>130721</v>
      </c>
      <c r="L292">
        <v>6636769.2857142854</v>
      </c>
      <c r="M292">
        <v>5154104.625</v>
      </c>
      <c r="N292">
        <v>171051</v>
      </c>
      <c r="O292">
        <v>5959553</v>
      </c>
    </row>
    <row r="293" spans="1:15" x14ac:dyDescent="0.15">
      <c r="A293" s="10" t="s">
        <v>241</v>
      </c>
      <c r="B293">
        <v>3137598.2</v>
      </c>
      <c r="C293">
        <v>371771264.25</v>
      </c>
      <c r="D293">
        <v>545034492.22222221</v>
      </c>
      <c r="E293">
        <v>281922251.25</v>
      </c>
      <c r="F293">
        <v>37419753.571428567</v>
      </c>
      <c r="G293">
        <v>105506250.7692308</v>
      </c>
      <c r="H293">
        <v>7191604.444444444</v>
      </c>
      <c r="I293">
        <v>316671241.75</v>
      </c>
      <c r="J293">
        <v>172311816.55555561</v>
      </c>
      <c r="K293">
        <v>90215701.666666657</v>
      </c>
      <c r="L293">
        <v>456571248.14285707</v>
      </c>
      <c r="M293">
        <v>190224673.125</v>
      </c>
      <c r="N293">
        <v>53502537.333333343</v>
      </c>
      <c r="O293">
        <v>219748053.5</v>
      </c>
    </row>
    <row r="294" spans="1:15" x14ac:dyDescent="0.15">
      <c r="A294" s="10" t="s">
        <v>292</v>
      </c>
    </row>
    <row r="295" spans="1:15" x14ac:dyDescent="0.15">
      <c r="A295" s="10" t="s">
        <v>227</v>
      </c>
    </row>
    <row r="296" spans="1:15" x14ac:dyDescent="0.15">
      <c r="A296" s="10" t="s">
        <v>280</v>
      </c>
    </row>
    <row r="297" spans="1:15" x14ac:dyDescent="0.15">
      <c r="A297" s="10" t="s">
        <v>242</v>
      </c>
    </row>
    <row r="298" spans="1:15" x14ac:dyDescent="0.15">
      <c r="A298" s="10" t="s">
        <v>221</v>
      </c>
    </row>
    <row r="299" spans="1:15" x14ac:dyDescent="0.15">
      <c r="A299" s="10" t="s">
        <v>243</v>
      </c>
    </row>
    <row r="300" spans="1:15" x14ac:dyDescent="0.15">
      <c r="A300" s="10" t="s">
        <v>293</v>
      </c>
      <c r="B300">
        <v>19664172.199999999</v>
      </c>
      <c r="C300">
        <v>356313172.5</v>
      </c>
      <c r="D300">
        <v>507077881.55555558</v>
      </c>
      <c r="E300">
        <v>114517088.75</v>
      </c>
      <c r="F300">
        <v>120527108.4285714</v>
      </c>
      <c r="G300">
        <v>226121894.46153849</v>
      </c>
      <c r="H300">
        <v>72283715.333333343</v>
      </c>
      <c r="I300">
        <v>96906501.75</v>
      </c>
      <c r="J300">
        <v>101227708.3333333</v>
      </c>
      <c r="K300">
        <v>15747239</v>
      </c>
      <c r="L300">
        <v>566336720</v>
      </c>
      <c r="M300">
        <v>204432662.875</v>
      </c>
      <c r="N300">
        <v>56955813.999999993</v>
      </c>
      <c r="O300">
        <v>262906874.5</v>
      </c>
    </row>
    <row r="301" spans="1:15" x14ac:dyDescent="0.15">
      <c r="A301" s="10" t="s">
        <v>387</v>
      </c>
      <c r="B301">
        <v>86586969.800000012</v>
      </c>
      <c r="C301">
        <v>1449914185.8125</v>
      </c>
      <c r="D301">
        <v>2036523626.333333</v>
      </c>
      <c r="E301">
        <v>464690109</v>
      </c>
      <c r="F301">
        <v>488377958.85714293</v>
      </c>
      <c r="G301">
        <v>986694341.92307699</v>
      </c>
      <c r="H301">
        <v>302756967.33333331</v>
      </c>
      <c r="I301">
        <v>387471748</v>
      </c>
      <c r="J301">
        <v>452008525</v>
      </c>
      <c r="K301">
        <v>66481015</v>
      </c>
      <c r="L301">
        <v>2389711766.5714288</v>
      </c>
      <c r="M301">
        <v>832486208.625</v>
      </c>
      <c r="N301">
        <v>222688129</v>
      </c>
      <c r="O301">
        <v>1054665071.333333</v>
      </c>
    </row>
    <row r="302" spans="1:15" x14ac:dyDescent="0.15">
      <c r="A302" s="10" t="s">
        <v>358</v>
      </c>
    </row>
    <row r="303" spans="1:15" x14ac:dyDescent="0.15">
      <c r="A303" s="10" t="s">
        <v>359</v>
      </c>
      <c r="B303">
        <v>57267271.799999997</v>
      </c>
      <c r="C303">
        <v>1575211664.75</v>
      </c>
      <c r="D303">
        <v>2318106651.333333</v>
      </c>
      <c r="E303">
        <v>509385259.91666663</v>
      </c>
      <c r="F303">
        <v>494121289.28571433</v>
      </c>
      <c r="G303">
        <v>847455625.84615397</v>
      </c>
      <c r="H303">
        <v>292728596.66666669</v>
      </c>
      <c r="I303">
        <v>458677808.25</v>
      </c>
      <c r="J303">
        <v>338276825.44444448</v>
      </c>
      <c r="K303">
        <v>61789066.333333343</v>
      </c>
      <c r="L303">
        <v>2224587882.8571429</v>
      </c>
      <c r="M303">
        <v>907208560.625</v>
      </c>
      <c r="N303">
        <v>271148747.33333331</v>
      </c>
      <c r="O303">
        <v>1193657280.166667</v>
      </c>
    </row>
    <row r="304" spans="1:15" x14ac:dyDescent="0.15">
      <c r="A304" s="10" t="s">
        <v>518</v>
      </c>
    </row>
    <row r="305" spans="1:15" x14ac:dyDescent="0.15">
      <c r="A305" s="10" t="s">
        <v>275</v>
      </c>
      <c r="B305">
        <v>590235904.20000005</v>
      </c>
      <c r="C305">
        <v>13336398591</v>
      </c>
      <c r="D305">
        <v>19326596899.888889</v>
      </c>
      <c r="E305">
        <v>4293191678.166667</v>
      </c>
      <c r="F305">
        <v>4336632962.1428576</v>
      </c>
      <c r="G305">
        <v>7750956619.3846159</v>
      </c>
      <c r="H305">
        <v>2591535370.666667</v>
      </c>
      <c r="I305">
        <v>3805992138.5</v>
      </c>
      <c r="J305">
        <v>3273245836.1111112</v>
      </c>
      <c r="K305">
        <v>554312776.33333337</v>
      </c>
      <c r="L305">
        <v>19921076310.92857</v>
      </c>
      <c r="M305">
        <v>7670815461</v>
      </c>
      <c r="N305">
        <v>2245303938.333333</v>
      </c>
      <c r="O305">
        <v>10007265648.83333</v>
      </c>
    </row>
    <row r="306" spans="1:15" x14ac:dyDescent="0.15">
      <c r="A306" s="10" t="s">
        <v>373</v>
      </c>
    </row>
    <row r="307" spans="1:15" x14ac:dyDescent="0.15">
      <c r="A307" s="10" t="s">
        <v>374</v>
      </c>
    </row>
    <row r="308" spans="1:15" x14ac:dyDescent="0.15">
      <c r="A308" s="10" t="s">
        <v>390</v>
      </c>
      <c r="B308">
        <v>10660066.6</v>
      </c>
      <c r="C308">
        <v>128536637.6875</v>
      </c>
      <c r="D308">
        <v>178510951.66666669</v>
      </c>
      <c r="E308">
        <v>42517592.333333328</v>
      </c>
      <c r="F308">
        <v>44392167.714285716</v>
      </c>
      <c r="G308">
        <v>95221804.84615384</v>
      </c>
      <c r="H308">
        <v>26023675.33333334</v>
      </c>
      <c r="I308">
        <v>25474579</v>
      </c>
      <c r="J308">
        <v>46612536.555555552</v>
      </c>
      <c r="K308">
        <v>6013664.333333334</v>
      </c>
      <c r="L308">
        <v>220990828.7142857</v>
      </c>
      <c r="M308">
        <v>72993596.375</v>
      </c>
      <c r="N308">
        <v>14339703.66666667</v>
      </c>
      <c r="O308">
        <v>88054175</v>
      </c>
    </row>
    <row r="309" spans="1:15" x14ac:dyDescent="0.15">
      <c r="A309" s="10" t="s">
        <v>391</v>
      </c>
      <c r="B309">
        <v>5546361.6000000006</v>
      </c>
      <c r="C309">
        <v>211351113</v>
      </c>
      <c r="D309">
        <v>315388800</v>
      </c>
      <c r="E309">
        <v>68223600</v>
      </c>
      <c r="F309">
        <v>64186992</v>
      </c>
      <c r="G309">
        <v>104125325.5384616</v>
      </c>
      <c r="H309">
        <v>38079072</v>
      </c>
      <c r="I309">
        <v>64976904</v>
      </c>
      <c r="J309">
        <v>38356992</v>
      </c>
      <c r="K309">
        <v>7864992</v>
      </c>
      <c r="L309">
        <v>282268892.57142848</v>
      </c>
      <c r="M309">
        <v>122060034</v>
      </c>
      <c r="N309">
        <v>38552544</v>
      </c>
      <c r="O309">
        <v>162968760</v>
      </c>
    </row>
    <row r="310" spans="1:15" x14ac:dyDescent="0.15">
      <c r="A310" s="10" t="s">
        <v>208</v>
      </c>
    </row>
    <row r="311" spans="1:15" x14ac:dyDescent="0.15">
      <c r="A311" s="10" t="s">
        <v>596</v>
      </c>
    </row>
    <row r="312" spans="1:15" x14ac:dyDescent="0.15">
      <c r="A312" s="10" t="s">
        <v>609</v>
      </c>
    </row>
    <row r="313" spans="1:15" x14ac:dyDescent="0.15">
      <c r="A313" s="10" t="s">
        <v>593</v>
      </c>
    </row>
    <row r="314" spans="1:15" x14ac:dyDescent="0.15">
      <c r="A314" s="10" t="s">
        <v>438</v>
      </c>
    </row>
    <row r="315" spans="1:15" x14ac:dyDescent="0.15">
      <c r="A315" s="10" t="s">
        <v>430</v>
      </c>
    </row>
    <row r="316" spans="1:15" x14ac:dyDescent="0.15">
      <c r="A316" s="10" t="s">
        <v>310</v>
      </c>
    </row>
    <row r="317" spans="1:15" x14ac:dyDescent="0.15">
      <c r="A317" s="10" t="s">
        <v>218</v>
      </c>
      <c r="B317">
        <v>76380530.800000012</v>
      </c>
      <c r="C317">
        <v>970061988.3125</v>
      </c>
      <c r="D317">
        <v>1361982300.2222221</v>
      </c>
      <c r="E317">
        <v>323753165.33333331</v>
      </c>
      <c r="F317">
        <v>319323341</v>
      </c>
      <c r="G317">
        <v>702390918.23076916</v>
      </c>
      <c r="H317">
        <v>188187067.33333331</v>
      </c>
      <c r="I317">
        <v>186448068</v>
      </c>
      <c r="J317">
        <v>337705133.55555552</v>
      </c>
      <c r="K317">
        <v>43535651.333333343</v>
      </c>
      <c r="L317">
        <v>1609840167.0714281</v>
      </c>
      <c r="M317">
        <v>551297335.875</v>
      </c>
      <c r="N317">
        <v>102480626.6666667</v>
      </c>
      <c r="O317">
        <v>660616012.16666663</v>
      </c>
    </row>
    <row r="318" spans="1:15" x14ac:dyDescent="0.15">
      <c r="A318" s="10" t="s">
        <v>443</v>
      </c>
      <c r="B318">
        <v>377354775.19999999</v>
      </c>
      <c r="C318">
        <v>13413637224.0625</v>
      </c>
      <c r="D318">
        <v>19979484056.222221</v>
      </c>
      <c r="E318">
        <v>4337253472.583333</v>
      </c>
      <c r="F318">
        <v>4080062184.2857151</v>
      </c>
      <c r="G318">
        <v>6716689365.8461542</v>
      </c>
      <c r="H318">
        <v>2419218158.666667</v>
      </c>
      <c r="I318">
        <v>4060300842</v>
      </c>
      <c r="J318">
        <v>2512091217.8888888</v>
      </c>
      <c r="K318">
        <v>502099868.66666669</v>
      </c>
      <c r="L318">
        <v>18050209221.92857</v>
      </c>
      <c r="M318">
        <v>7741887813.875</v>
      </c>
      <c r="N318">
        <v>2404079278.666667</v>
      </c>
      <c r="O318">
        <v>10294744646.83333</v>
      </c>
    </row>
    <row r="319" spans="1:15" x14ac:dyDescent="0.15">
      <c r="A319" s="10" t="s">
        <v>429</v>
      </c>
      <c r="B319">
        <v>1054853459</v>
      </c>
      <c r="C319">
        <v>33919111947.1875</v>
      </c>
      <c r="D319">
        <v>50346801981.333344</v>
      </c>
      <c r="E319">
        <v>10983325789.83333</v>
      </c>
      <c r="F319">
        <v>10393082765.85714</v>
      </c>
      <c r="G319">
        <v>17406533820.153851</v>
      </c>
      <c r="H319">
        <v>6153263116.666667</v>
      </c>
      <c r="I319">
        <v>10068831915.25</v>
      </c>
      <c r="J319">
        <v>6664342425.5555563</v>
      </c>
      <c r="K319">
        <v>1285873325.666667</v>
      </c>
      <c r="L319">
        <v>46300977477.214287</v>
      </c>
      <c r="M319">
        <v>19558940214.25</v>
      </c>
      <c r="N319">
        <v>5952538576.666666</v>
      </c>
      <c r="O319">
        <v>25880968310.666672</v>
      </c>
    </row>
    <row r="320" spans="1:15" x14ac:dyDescent="0.15">
      <c r="A320" s="10" t="s">
        <v>426</v>
      </c>
      <c r="B320">
        <v>413524024.80000007</v>
      </c>
      <c r="C320">
        <v>14173554906</v>
      </c>
      <c r="D320">
        <v>21067161910.555561</v>
      </c>
      <c r="E320">
        <v>4578825356.583333</v>
      </c>
      <c r="F320">
        <v>4339135969.1428566</v>
      </c>
      <c r="G320">
        <v>7174272427.6923075</v>
      </c>
      <c r="H320">
        <v>2574721710</v>
      </c>
      <c r="I320">
        <v>4285303409.25</v>
      </c>
      <c r="J320">
        <v>2710796378.8888888</v>
      </c>
      <c r="K320">
        <v>535353268</v>
      </c>
      <c r="L320">
        <v>19236083566.785709</v>
      </c>
      <c r="M320">
        <v>8179071641.875</v>
      </c>
      <c r="N320">
        <v>2538278603.666667</v>
      </c>
      <c r="O320">
        <v>10869195707</v>
      </c>
    </row>
    <row r="321" spans="1:15" x14ac:dyDescent="0.15">
      <c r="A321" s="10" t="s">
        <v>540</v>
      </c>
      <c r="B321">
        <v>1831966.2</v>
      </c>
      <c r="C321">
        <v>43183881.5625</v>
      </c>
      <c r="D321">
        <v>72375184.333333328</v>
      </c>
      <c r="E321">
        <v>16823385</v>
      </c>
      <c r="F321">
        <v>8246613.4285714282</v>
      </c>
      <c r="G321">
        <v>13056722.53846154</v>
      </c>
      <c r="H321">
        <v>2144162</v>
      </c>
      <c r="I321">
        <v>1879818</v>
      </c>
      <c r="J321">
        <v>3254995</v>
      </c>
      <c r="K321">
        <v>611209</v>
      </c>
      <c r="L321">
        <v>31031380.714285709</v>
      </c>
      <c r="M321">
        <v>24098921.625</v>
      </c>
      <c r="N321">
        <v>799779</v>
      </c>
      <c r="O321">
        <v>27864937</v>
      </c>
    </row>
    <row r="322" spans="1:15" x14ac:dyDescent="0.15">
      <c r="A322" s="10" t="s">
        <v>486</v>
      </c>
    </row>
    <row r="323" spans="1:15" x14ac:dyDescent="0.15">
      <c r="A323" s="10" t="s">
        <v>511</v>
      </c>
    </row>
    <row r="324" spans="1:15" x14ac:dyDescent="0.15">
      <c r="A324" s="10" t="s">
        <v>181</v>
      </c>
      <c r="B324">
        <v>1140125.3999999999</v>
      </c>
      <c r="C324">
        <v>26875517.8125</v>
      </c>
      <c r="D324">
        <v>45042744.777777784</v>
      </c>
      <c r="E324">
        <v>10470045</v>
      </c>
      <c r="F324">
        <v>5132285.4285714282</v>
      </c>
      <c r="G324">
        <v>8125860.076923077</v>
      </c>
      <c r="H324">
        <v>1334420.666666667</v>
      </c>
      <c r="I324">
        <v>1169906</v>
      </c>
      <c r="J324">
        <v>2025748.333333333</v>
      </c>
      <c r="K324">
        <v>380386.33333333337</v>
      </c>
      <c r="L324">
        <v>19312400.714285709</v>
      </c>
      <c r="M324">
        <v>14997980.125</v>
      </c>
      <c r="N324">
        <v>497743</v>
      </c>
      <c r="O324">
        <v>17341762.333333328</v>
      </c>
    </row>
    <row r="325" spans="1:15" x14ac:dyDescent="0.15">
      <c r="A325" s="10" t="s">
        <v>419</v>
      </c>
      <c r="B325">
        <v>38910123.200000003</v>
      </c>
      <c r="C325">
        <v>1482719382.25</v>
      </c>
      <c r="D325">
        <v>2212588711.1111112</v>
      </c>
      <c r="E325">
        <v>478618033.33333331</v>
      </c>
      <c r="F325">
        <v>450299484</v>
      </c>
      <c r="G325">
        <v>730484151.07692313</v>
      </c>
      <c r="H325">
        <v>267141144</v>
      </c>
      <c r="I325">
        <v>455841058</v>
      </c>
      <c r="J325">
        <v>269090872.8888889</v>
      </c>
      <c r="K325">
        <v>55176317.333333343</v>
      </c>
      <c r="L325">
        <v>1980238249.428571</v>
      </c>
      <c r="M325">
        <v>856303880.5</v>
      </c>
      <c r="N325">
        <v>270462754.66666663</v>
      </c>
      <c r="O325">
        <v>1143296270</v>
      </c>
    </row>
    <row r="326" spans="1:15" x14ac:dyDescent="0.15">
      <c r="A326" s="10" t="s">
        <v>200</v>
      </c>
      <c r="B326">
        <v>30833444.600000009</v>
      </c>
      <c r="C326">
        <v>1168432047.8125</v>
      </c>
      <c r="D326">
        <v>1745534749.666667</v>
      </c>
      <c r="E326">
        <v>377872538.33333331</v>
      </c>
      <c r="F326">
        <v>353659657.4285714</v>
      </c>
      <c r="G326">
        <v>573634666.84615386</v>
      </c>
      <c r="H326">
        <v>209136879.33333331</v>
      </c>
      <c r="I326">
        <v>356429144</v>
      </c>
      <c r="J326">
        <v>210931257.22222221</v>
      </c>
      <c r="K326">
        <v>43237097</v>
      </c>
      <c r="L326">
        <v>1553973927.8571429</v>
      </c>
      <c r="M326">
        <v>674590126.125</v>
      </c>
      <c r="N326">
        <v>211401773.66666669</v>
      </c>
      <c r="O326">
        <v>899625837.66666663</v>
      </c>
    </row>
    <row r="327" spans="1:15" x14ac:dyDescent="0.15">
      <c r="A327" s="10" t="s">
        <v>626</v>
      </c>
      <c r="B327">
        <v>590235904.20000005</v>
      </c>
      <c r="C327">
        <v>13336398591</v>
      </c>
      <c r="D327">
        <v>19326596899.888889</v>
      </c>
      <c r="E327">
        <v>4293191678.166667</v>
      </c>
      <c r="F327">
        <v>4336632962.1428576</v>
      </c>
      <c r="G327">
        <v>7750956619.3846159</v>
      </c>
      <c r="H327">
        <v>2591535370.666667</v>
      </c>
      <c r="I327">
        <v>3805992138.5</v>
      </c>
      <c r="J327">
        <v>3273245836.1111112</v>
      </c>
      <c r="K327">
        <v>554312776.33333337</v>
      </c>
      <c r="L327">
        <v>19921076310.92857</v>
      </c>
      <c r="M327">
        <v>7670815461</v>
      </c>
      <c r="N327">
        <v>2245303938.333333</v>
      </c>
      <c r="O327">
        <v>10007265648.83333</v>
      </c>
    </row>
    <row r="328" spans="1:15" x14ac:dyDescent="0.15">
      <c r="A328" s="10" t="s">
        <v>621</v>
      </c>
      <c r="B328">
        <v>590235904.20000005</v>
      </c>
      <c r="C328">
        <v>13336398591</v>
      </c>
      <c r="D328">
        <v>19326596899.888889</v>
      </c>
      <c r="E328">
        <v>4293191678.166667</v>
      </c>
      <c r="F328">
        <v>4336632962.1428576</v>
      </c>
      <c r="G328">
        <v>7750956619.3846159</v>
      </c>
      <c r="H328">
        <v>2591535370.666667</v>
      </c>
      <c r="I328">
        <v>3805992138.5</v>
      </c>
      <c r="J328">
        <v>3273245836.1111112</v>
      </c>
      <c r="K328">
        <v>554312776.33333337</v>
      </c>
      <c r="L328">
        <v>19921076310.92857</v>
      </c>
      <c r="M328">
        <v>7670815461</v>
      </c>
      <c r="N328">
        <v>2245303938.333333</v>
      </c>
      <c r="O328">
        <v>10007265648.83333</v>
      </c>
    </row>
    <row r="329" spans="1:15" x14ac:dyDescent="0.15">
      <c r="A329" s="10" t="s">
        <v>352</v>
      </c>
    </row>
    <row r="330" spans="1:15" x14ac:dyDescent="0.15">
      <c r="A330" s="10" t="s">
        <v>578</v>
      </c>
      <c r="B330">
        <v>3303036</v>
      </c>
      <c r="C330">
        <v>2969463347.4375</v>
      </c>
      <c r="D330">
        <v>4448336946.4444447</v>
      </c>
      <c r="E330">
        <v>2168562161.5</v>
      </c>
      <c r="F330">
        <v>237461834</v>
      </c>
      <c r="G330">
        <v>809297721.30769229</v>
      </c>
      <c r="H330">
        <v>43345205.666666657</v>
      </c>
      <c r="I330">
        <v>2362919318.75</v>
      </c>
      <c r="J330">
        <v>1230795912</v>
      </c>
      <c r="K330">
        <v>661063590.33333337</v>
      </c>
      <c r="L330">
        <v>3312753857.7142859</v>
      </c>
      <c r="M330">
        <v>1538251298.125</v>
      </c>
      <c r="N330">
        <v>394959213</v>
      </c>
      <c r="O330">
        <v>1765354892.833333</v>
      </c>
    </row>
    <row r="331" spans="1:15" x14ac:dyDescent="0.15">
      <c r="A331" s="10" t="s">
        <v>556</v>
      </c>
      <c r="B331">
        <v>17884.8</v>
      </c>
      <c r="C331">
        <v>2542402.75</v>
      </c>
      <c r="D331">
        <v>4095093.777777778</v>
      </c>
      <c r="E331">
        <v>946802.66666666674</v>
      </c>
      <c r="F331">
        <v>140129.14285714281</v>
      </c>
      <c r="G331">
        <v>1370913.230769231</v>
      </c>
      <c r="H331">
        <v>196082.66666666669</v>
      </c>
      <c r="I331">
        <v>327865</v>
      </c>
      <c r="J331">
        <v>392768.4444444445</v>
      </c>
      <c r="K331">
        <v>45325.333333333343</v>
      </c>
      <c r="L331">
        <v>2038562.2857142859</v>
      </c>
      <c r="M331">
        <v>1476784</v>
      </c>
      <c r="N331">
        <v>52041.333333333328</v>
      </c>
      <c r="O331">
        <v>1562758</v>
      </c>
    </row>
    <row r="332" spans="1:15" x14ac:dyDescent="0.15">
      <c r="A332" s="10" t="s">
        <v>591</v>
      </c>
      <c r="B332">
        <v>1474718.4</v>
      </c>
      <c r="C332">
        <v>478606445.0625</v>
      </c>
      <c r="D332">
        <v>736253141.11111116</v>
      </c>
      <c r="E332">
        <v>287766097.83333331</v>
      </c>
      <c r="F332">
        <v>33684652.857142858</v>
      </c>
      <c r="G332">
        <v>176955912.53846151</v>
      </c>
      <c r="H332">
        <v>17830265.888888892</v>
      </c>
      <c r="I332">
        <v>266052056.25</v>
      </c>
      <c r="J332">
        <v>153715497.33333331</v>
      </c>
      <c r="K332">
        <v>71239862.999999985</v>
      </c>
      <c r="L332">
        <v>480011490.28571433</v>
      </c>
      <c r="M332">
        <v>258816458.875</v>
      </c>
      <c r="N332">
        <v>44255520.333333343</v>
      </c>
      <c r="O332">
        <v>287943805.16666669</v>
      </c>
    </row>
    <row r="333" spans="1:15" x14ac:dyDescent="0.15">
      <c r="A333" s="10" t="s">
        <v>577</v>
      </c>
    </row>
    <row r="334" spans="1:15" x14ac:dyDescent="0.15">
      <c r="A334" s="10" t="s">
        <v>361</v>
      </c>
      <c r="B334">
        <v>13840226.4</v>
      </c>
      <c r="C334">
        <v>527399305.125</v>
      </c>
      <c r="D334">
        <v>787011866.66666675</v>
      </c>
      <c r="E334">
        <v>170243150</v>
      </c>
      <c r="F334">
        <v>160170318</v>
      </c>
      <c r="G334">
        <v>259831252.1538462</v>
      </c>
      <c r="H334">
        <v>95021388</v>
      </c>
      <c r="I334">
        <v>162141441</v>
      </c>
      <c r="J334">
        <v>95714901.333333343</v>
      </c>
      <c r="K334">
        <v>19626068</v>
      </c>
      <c r="L334">
        <v>704365431</v>
      </c>
      <c r="M334">
        <v>304584992.25</v>
      </c>
      <c r="N334">
        <v>96202876</v>
      </c>
      <c r="O334">
        <v>406667415</v>
      </c>
    </row>
    <row r="335" spans="1:15" x14ac:dyDescent="0.15">
      <c r="A335" s="10" t="s">
        <v>182</v>
      </c>
    </row>
    <row r="336" spans="1:15" x14ac:dyDescent="0.15">
      <c r="A336" s="10" t="s">
        <v>452</v>
      </c>
    </row>
    <row r="337" spans="1:15" x14ac:dyDescent="0.15">
      <c r="A337" s="10" t="s">
        <v>450</v>
      </c>
    </row>
    <row r="338" spans="1:15" x14ac:dyDescent="0.15">
      <c r="A338" s="10" t="s">
        <v>414</v>
      </c>
    </row>
    <row r="339" spans="1:15" x14ac:dyDescent="0.15">
      <c r="A339" s="10" t="s">
        <v>183</v>
      </c>
    </row>
    <row r="340" spans="1:15" x14ac:dyDescent="0.15">
      <c r="A340" s="10" t="s">
        <v>460</v>
      </c>
    </row>
    <row r="341" spans="1:15" x14ac:dyDescent="0.15">
      <c r="A341" s="10" t="s">
        <v>319</v>
      </c>
      <c r="B341">
        <v>12062585.800000001</v>
      </c>
      <c r="C341">
        <v>331268739.375</v>
      </c>
      <c r="D341">
        <v>537273186.88888884</v>
      </c>
      <c r="E341">
        <v>122629922.3333333</v>
      </c>
      <c r="F341">
        <v>71814823.428571433</v>
      </c>
      <c r="G341">
        <v>121080796.2307692</v>
      </c>
      <c r="H341">
        <v>28919768</v>
      </c>
      <c r="I341">
        <v>40053120.25</v>
      </c>
      <c r="J341">
        <v>35897970.888888903</v>
      </c>
      <c r="K341">
        <v>6875691.6666666679</v>
      </c>
      <c r="L341">
        <v>296350777.57142848</v>
      </c>
      <c r="M341">
        <v>186986148.875</v>
      </c>
      <c r="N341">
        <v>21343256.66666666</v>
      </c>
      <c r="O341">
        <v>224984579.16666669</v>
      </c>
    </row>
    <row r="342" spans="1:15" x14ac:dyDescent="0.15">
      <c r="A342" s="10" t="s">
        <v>413</v>
      </c>
    </row>
    <row r="343" spans="1:15" x14ac:dyDescent="0.15">
      <c r="A343" s="10" t="s">
        <v>445</v>
      </c>
    </row>
    <row r="344" spans="1:15" x14ac:dyDescent="0.15">
      <c r="A344" s="10" t="s">
        <v>459</v>
      </c>
    </row>
    <row r="345" spans="1:15" x14ac:dyDescent="0.15">
      <c r="A345" s="10" t="s">
        <v>453</v>
      </c>
    </row>
    <row r="346" spans="1:15" x14ac:dyDescent="0.15">
      <c r="A346" s="10" t="s">
        <v>320</v>
      </c>
    </row>
    <row r="347" spans="1:15" x14ac:dyDescent="0.15">
      <c r="A347" s="10" t="s">
        <v>582</v>
      </c>
    </row>
    <row r="348" spans="1:15" x14ac:dyDescent="0.15">
      <c r="A348" s="10" t="s">
        <v>551</v>
      </c>
      <c r="B348">
        <v>49360460.799999997</v>
      </c>
      <c r="C348">
        <v>451924790.6875</v>
      </c>
      <c r="D348">
        <v>573436699.66666675</v>
      </c>
      <c r="E348">
        <v>140601765.08333331</v>
      </c>
      <c r="F348">
        <v>188792242.1428571</v>
      </c>
      <c r="G348">
        <v>420367122.69230771</v>
      </c>
      <c r="H348">
        <v>118162753.3333333</v>
      </c>
      <c r="I348">
        <v>105492100.75</v>
      </c>
      <c r="J348">
        <v>223332877.55555561</v>
      </c>
      <c r="K348">
        <v>27244217.33333334</v>
      </c>
      <c r="L348">
        <v>971370597.42857146</v>
      </c>
      <c r="M348">
        <v>256990895.75</v>
      </c>
      <c r="N348">
        <v>60953487.666666672</v>
      </c>
      <c r="O348">
        <v>310915638.5</v>
      </c>
    </row>
    <row r="349" spans="1:15" x14ac:dyDescent="0.15">
      <c r="A349" s="10" t="s">
        <v>496</v>
      </c>
      <c r="B349">
        <v>98103578.200000003</v>
      </c>
      <c r="C349">
        <v>918574814.125</v>
      </c>
      <c r="D349">
        <v>1265936160.5555561</v>
      </c>
      <c r="E349">
        <v>316276605.33333331</v>
      </c>
      <c r="F349">
        <v>314334321.85714293</v>
      </c>
      <c r="G349">
        <v>741132593.23076916</v>
      </c>
      <c r="H349">
        <v>174885370.66666669</v>
      </c>
      <c r="I349">
        <v>105906645.5</v>
      </c>
      <c r="J349">
        <v>381494309.8888889</v>
      </c>
      <c r="K349">
        <v>42977421</v>
      </c>
      <c r="L349">
        <v>1623821547.5</v>
      </c>
      <c r="M349">
        <v>515592085.75</v>
      </c>
      <c r="N349">
        <v>53766673.666666672</v>
      </c>
      <c r="O349">
        <v>580582744.16666663</v>
      </c>
    </row>
    <row r="350" spans="1:15" x14ac:dyDescent="0.15">
      <c r="A350" s="10" t="s">
        <v>568</v>
      </c>
      <c r="B350">
        <v>1486045.8</v>
      </c>
      <c r="C350">
        <v>35029699.6875</v>
      </c>
      <c r="D350">
        <v>58708964.555555552</v>
      </c>
      <c r="E350">
        <v>13646715</v>
      </c>
      <c r="F350">
        <v>6689449.4285714282</v>
      </c>
      <c r="G350">
        <v>10591291.30769231</v>
      </c>
      <c r="H350">
        <v>1739291.333333333</v>
      </c>
      <c r="I350">
        <v>1524862</v>
      </c>
      <c r="J350">
        <v>2640371.666666667</v>
      </c>
      <c r="K350">
        <v>495797.66666666669</v>
      </c>
      <c r="L350">
        <v>25171890.714285709</v>
      </c>
      <c r="M350">
        <v>19548450.875</v>
      </c>
      <c r="N350">
        <v>648761</v>
      </c>
      <c r="O350">
        <v>22603349.66666666</v>
      </c>
    </row>
    <row r="351" spans="1:15" x14ac:dyDescent="0.15">
      <c r="A351" s="10" t="s">
        <v>296</v>
      </c>
      <c r="B351">
        <v>211788</v>
      </c>
      <c r="C351">
        <v>4992356.25</v>
      </c>
      <c r="D351">
        <v>8367073.333333333</v>
      </c>
      <c r="E351">
        <v>1944900</v>
      </c>
      <c r="F351">
        <v>953365.7142857142</v>
      </c>
      <c r="G351">
        <v>1509447.692307692</v>
      </c>
      <c r="H351">
        <v>247880</v>
      </c>
      <c r="I351">
        <v>217320</v>
      </c>
      <c r="J351">
        <v>376300</v>
      </c>
      <c r="K351">
        <v>70660</v>
      </c>
      <c r="L351">
        <v>3587442.8571428568</v>
      </c>
      <c r="M351">
        <v>2786002.5</v>
      </c>
      <c r="N351">
        <v>92460</v>
      </c>
      <c r="O351">
        <v>3221380</v>
      </c>
    </row>
    <row r="352" spans="1:15" x14ac:dyDescent="0.15">
      <c r="A352" s="10" t="s">
        <v>295</v>
      </c>
      <c r="B352">
        <v>422820</v>
      </c>
      <c r="C352">
        <v>60105717.1875</v>
      </c>
      <c r="D352">
        <v>96813358.333333343</v>
      </c>
      <c r="E352">
        <v>22383650</v>
      </c>
      <c r="F352">
        <v>3312835.7142857141</v>
      </c>
      <c r="G352">
        <v>32410176.92307692</v>
      </c>
      <c r="H352">
        <v>4635650</v>
      </c>
      <c r="I352">
        <v>7751156.25</v>
      </c>
      <c r="J352">
        <v>9285558.333333334</v>
      </c>
      <c r="K352">
        <v>1071550</v>
      </c>
      <c r="L352">
        <v>48194271.428571433</v>
      </c>
      <c r="M352">
        <v>34913100</v>
      </c>
      <c r="N352">
        <v>1230325</v>
      </c>
      <c r="O352">
        <v>36945637.5</v>
      </c>
    </row>
    <row r="353" spans="1:15" x14ac:dyDescent="0.15">
      <c r="A353" s="10" t="s">
        <v>285</v>
      </c>
    </row>
    <row r="354" spans="1:15" x14ac:dyDescent="0.15">
      <c r="A354" s="10" t="s">
        <v>342</v>
      </c>
    </row>
    <row r="355" spans="1:15" x14ac:dyDescent="0.15">
      <c r="A355" s="10" t="s">
        <v>184</v>
      </c>
    </row>
    <row r="356" spans="1:15" x14ac:dyDescent="0.15">
      <c r="A356" s="10" t="s">
        <v>336</v>
      </c>
    </row>
    <row r="357" spans="1:15" x14ac:dyDescent="0.15">
      <c r="A357" s="10" t="s">
        <v>321</v>
      </c>
    </row>
    <row r="358" spans="1:15" x14ac:dyDescent="0.15">
      <c r="A358" s="10" t="s">
        <v>439</v>
      </c>
      <c r="B358">
        <v>532002079</v>
      </c>
      <c r="C358">
        <v>11662926045.5</v>
      </c>
      <c r="D358">
        <v>16376161126</v>
      </c>
      <c r="E358">
        <v>6771063254.666666</v>
      </c>
      <c r="F358">
        <v>2545595181.4285722</v>
      </c>
      <c r="G358">
        <v>6035414767.9230766</v>
      </c>
      <c r="H358">
        <v>1263132370.2222221</v>
      </c>
      <c r="I358">
        <v>6943594674.75</v>
      </c>
      <c r="J358">
        <v>5327993186.8888893</v>
      </c>
      <c r="K358">
        <v>1946387472.333333</v>
      </c>
      <c r="L358">
        <v>17927392118.285709</v>
      </c>
      <c r="M358">
        <v>6233786126.875</v>
      </c>
      <c r="N358">
        <v>1587977334</v>
      </c>
      <c r="O358">
        <v>7338907005.833334</v>
      </c>
    </row>
    <row r="359" spans="1:15" x14ac:dyDescent="0.15">
      <c r="A359" s="10" t="s">
        <v>416</v>
      </c>
      <c r="B359">
        <v>99004078.200000018</v>
      </c>
      <c r="C359">
        <v>2692206085</v>
      </c>
      <c r="D359">
        <v>3977127757.1111121</v>
      </c>
      <c r="E359">
        <v>876012500.16666663</v>
      </c>
      <c r="F359">
        <v>835030049.14285707</v>
      </c>
      <c r="G359">
        <v>1432404964.3846159</v>
      </c>
      <c r="H359">
        <v>489603378.66666669</v>
      </c>
      <c r="I359">
        <v>762749926.75</v>
      </c>
      <c r="J359">
        <v>569062427.11111116</v>
      </c>
      <c r="K359">
        <v>103696688.3333333</v>
      </c>
      <c r="L359">
        <v>3750656536</v>
      </c>
      <c r="M359">
        <v>1548976574.875</v>
      </c>
      <c r="N359">
        <v>450222779.33333331</v>
      </c>
      <c r="O359">
        <v>2030008164.5</v>
      </c>
    </row>
    <row r="360" spans="1:15" x14ac:dyDescent="0.15">
      <c r="A360" s="10" t="s">
        <v>510</v>
      </c>
      <c r="B360">
        <v>659572927</v>
      </c>
      <c r="C360">
        <v>12049278917.0625</v>
      </c>
      <c r="D360">
        <v>16906863643.44445</v>
      </c>
      <c r="E360">
        <v>4476669482</v>
      </c>
      <c r="F360">
        <v>3883733863.7142859</v>
      </c>
      <c r="G360">
        <v>7626539117.3076916</v>
      </c>
      <c r="H360">
        <v>2317203841.1111112</v>
      </c>
      <c r="I360">
        <v>4227291784</v>
      </c>
      <c r="J360">
        <v>4032448758.5555549</v>
      </c>
      <c r="K360">
        <v>862656855.66666663</v>
      </c>
      <c r="L360">
        <v>19689866976.42857</v>
      </c>
      <c r="M360">
        <v>6824015256.625</v>
      </c>
      <c r="N360">
        <v>1952116772.333333</v>
      </c>
      <c r="O360">
        <v>8667295663</v>
      </c>
    </row>
    <row r="361" spans="1:15" x14ac:dyDescent="0.15">
      <c r="A361" s="10" t="s">
        <v>521</v>
      </c>
      <c r="B361">
        <v>369840812.60000002</v>
      </c>
      <c r="C361">
        <v>6318695144.1875</v>
      </c>
      <c r="D361">
        <v>8859180401.1111126</v>
      </c>
      <c r="E361">
        <v>2110122440.333333</v>
      </c>
      <c r="F361">
        <v>2160059819.7142859</v>
      </c>
      <c r="G361">
        <v>4166467342.4615378</v>
      </c>
      <c r="H361">
        <v>1307377574.7777779</v>
      </c>
      <c r="I361">
        <v>1886776762.5</v>
      </c>
      <c r="J361">
        <v>1999025382.4444439</v>
      </c>
      <c r="K361">
        <v>340994083.33333337</v>
      </c>
      <c r="L361">
        <v>10467464425.714291</v>
      </c>
      <c r="M361">
        <v>3611989847.75</v>
      </c>
      <c r="N361">
        <v>1026780535</v>
      </c>
      <c r="O361">
        <v>4623739088</v>
      </c>
    </row>
    <row r="362" spans="1:15" x14ac:dyDescent="0.15">
      <c r="A362" s="10" t="s">
        <v>185</v>
      </c>
    </row>
    <row r="363" spans="1:15" x14ac:dyDescent="0.15">
      <c r="A363" s="10" t="s">
        <v>403</v>
      </c>
      <c r="B363">
        <v>1311390</v>
      </c>
      <c r="C363">
        <v>43268690.125</v>
      </c>
      <c r="D363">
        <v>71550690.444444448</v>
      </c>
      <c r="E363">
        <v>16602084.66666667</v>
      </c>
      <c r="F363">
        <v>6250589.1428571418</v>
      </c>
      <c r="G363">
        <v>16590911.53846154</v>
      </c>
      <c r="H363">
        <v>2555310.666666667</v>
      </c>
      <c r="I363">
        <v>3148894</v>
      </c>
      <c r="J363">
        <v>4433213.1111111119</v>
      </c>
      <c r="K363">
        <v>666831.33333333337</v>
      </c>
      <c r="L363">
        <v>32325265.428571429</v>
      </c>
      <c r="M363">
        <v>24484086.25</v>
      </c>
      <c r="N363">
        <v>830219.33333333326</v>
      </c>
      <c r="O363">
        <v>27466630</v>
      </c>
    </row>
    <row r="364" spans="1:15" x14ac:dyDescent="0.15">
      <c r="A364" s="10" t="s">
        <v>337</v>
      </c>
      <c r="B364">
        <v>1062450</v>
      </c>
      <c r="C364">
        <v>27972166.8125</v>
      </c>
      <c r="D364">
        <v>46651669.222222216</v>
      </c>
      <c r="E364">
        <v>10837009.33333333</v>
      </c>
      <c r="F364">
        <v>4864931.1428571427</v>
      </c>
      <c r="G364">
        <v>9288750</v>
      </c>
      <c r="H364">
        <v>1485291.333333333</v>
      </c>
      <c r="I364">
        <v>1517464.25</v>
      </c>
      <c r="J364">
        <v>2386061.222222222</v>
      </c>
      <c r="K364">
        <v>408802.66666666669</v>
      </c>
      <c r="L364">
        <v>20392572.28571428</v>
      </c>
      <c r="M364">
        <v>15690016.25</v>
      </c>
      <c r="N364">
        <v>524893.66666666663</v>
      </c>
      <c r="O364">
        <v>17942047.5</v>
      </c>
    </row>
    <row r="365" spans="1:15" x14ac:dyDescent="0.15">
      <c r="A365" s="10" t="s">
        <v>398</v>
      </c>
      <c r="B365">
        <v>67171517.799999997</v>
      </c>
      <c r="C365">
        <v>867322718.4375</v>
      </c>
      <c r="D365">
        <v>1284468389</v>
      </c>
      <c r="E365">
        <v>353331657.66666663</v>
      </c>
      <c r="F365">
        <v>225734350.8571429</v>
      </c>
      <c r="G365">
        <v>523058642.38461542</v>
      </c>
      <c r="H365">
        <v>107744045.3333333</v>
      </c>
      <c r="I365">
        <v>142408257.5</v>
      </c>
      <c r="J365">
        <v>278974812.1111111</v>
      </c>
      <c r="K365">
        <v>50630042.333333343</v>
      </c>
      <c r="L365">
        <v>1193618361.4285719</v>
      </c>
      <c r="M365">
        <v>480814346.375</v>
      </c>
      <c r="N365">
        <v>40188516.333333343</v>
      </c>
      <c r="O365">
        <v>539280714.33333325</v>
      </c>
    </row>
    <row r="366" spans="1:15" x14ac:dyDescent="0.15">
      <c r="A366" s="10" t="s">
        <v>446</v>
      </c>
      <c r="B366">
        <v>2650879.7999999998</v>
      </c>
      <c r="C366">
        <v>62487659.0625</v>
      </c>
      <c r="D366">
        <v>104727867.8888889</v>
      </c>
      <c r="E366">
        <v>24343665</v>
      </c>
      <c r="F366">
        <v>11932960.85714286</v>
      </c>
      <c r="G366">
        <v>18893253.61538462</v>
      </c>
      <c r="H366">
        <v>3102631.333333333</v>
      </c>
      <c r="I366">
        <v>2720122</v>
      </c>
      <c r="J366">
        <v>4710021.666666667</v>
      </c>
      <c r="K366">
        <v>884427.66666666674</v>
      </c>
      <c r="L366">
        <v>44902826.428571433</v>
      </c>
      <c r="M366">
        <v>34871464.625</v>
      </c>
      <c r="N366">
        <v>1157291</v>
      </c>
      <c r="O366">
        <v>40320939.666666657</v>
      </c>
    </row>
    <row r="367" spans="1:15" x14ac:dyDescent="0.15">
      <c r="A367" s="10" t="s">
        <v>442</v>
      </c>
      <c r="B367">
        <v>7276880</v>
      </c>
      <c r="C367">
        <v>24529700</v>
      </c>
      <c r="D367">
        <v>17125333.33333334</v>
      </c>
      <c r="E367">
        <v>6491246.666666666</v>
      </c>
      <c r="F367">
        <v>17530685.71428572</v>
      </c>
      <c r="G367">
        <v>49026240</v>
      </c>
      <c r="H367">
        <v>11963466.66666667</v>
      </c>
      <c r="I367">
        <v>3407300</v>
      </c>
      <c r="J367">
        <v>30641057.77777778</v>
      </c>
      <c r="K367">
        <v>2953946.666666667</v>
      </c>
      <c r="L367">
        <v>103358022.8571429</v>
      </c>
      <c r="M367">
        <v>13584610</v>
      </c>
      <c r="N367">
        <v>1779093.333333333</v>
      </c>
      <c r="O367">
        <v>13054600</v>
      </c>
    </row>
    <row r="368" spans="1:15" x14ac:dyDescent="0.15">
      <c r="A368" s="10" t="s">
        <v>461</v>
      </c>
      <c r="B368">
        <v>1037761.2</v>
      </c>
      <c r="C368">
        <v>24462545.625</v>
      </c>
      <c r="D368">
        <v>40998659.333333343</v>
      </c>
      <c r="E368">
        <v>9530010</v>
      </c>
      <c r="F368">
        <v>4671492</v>
      </c>
      <c r="G368">
        <v>7396293.692307692</v>
      </c>
      <c r="H368">
        <v>1214612</v>
      </c>
      <c r="I368">
        <v>1064868</v>
      </c>
      <c r="J368">
        <v>1843870</v>
      </c>
      <c r="K368">
        <v>346234</v>
      </c>
      <c r="L368">
        <v>17578470</v>
      </c>
      <c r="M368">
        <v>13651412.25</v>
      </c>
      <c r="N368">
        <v>453054</v>
      </c>
      <c r="O368">
        <v>15784762</v>
      </c>
    </row>
    <row r="369" spans="1:15" x14ac:dyDescent="0.15">
      <c r="A369" s="10" t="s">
        <v>378</v>
      </c>
      <c r="B369">
        <v>615171518</v>
      </c>
      <c r="C369">
        <v>3125357538.8125</v>
      </c>
      <c r="D369">
        <v>3221472673.8888888</v>
      </c>
      <c r="E369">
        <v>1044960735.083333</v>
      </c>
      <c r="F369">
        <v>1618723170.1428571</v>
      </c>
      <c r="G369">
        <v>4325663261.1538458</v>
      </c>
      <c r="H369">
        <v>1040338801.111111</v>
      </c>
      <c r="I369">
        <v>593804827.75</v>
      </c>
      <c r="J369">
        <v>2660363785.1111112</v>
      </c>
      <c r="K369">
        <v>314246225.33333337</v>
      </c>
      <c r="L369">
        <v>9373737698.2857132</v>
      </c>
      <c r="M369">
        <v>1731048741.25</v>
      </c>
      <c r="N369">
        <v>236188899</v>
      </c>
      <c r="O369">
        <v>1812049837.833333</v>
      </c>
    </row>
    <row r="370" spans="1:15" x14ac:dyDescent="0.15">
      <c r="A370" s="10" t="s">
        <v>376</v>
      </c>
      <c r="B370">
        <v>1037761.2</v>
      </c>
      <c r="C370">
        <v>24462545.625</v>
      </c>
      <c r="D370">
        <v>40998659.333333343</v>
      </c>
      <c r="E370">
        <v>9530010</v>
      </c>
      <c r="F370">
        <v>4671492</v>
      </c>
      <c r="G370">
        <v>7396293.692307692</v>
      </c>
      <c r="H370">
        <v>1214612</v>
      </c>
      <c r="I370">
        <v>1064868</v>
      </c>
      <c r="J370">
        <v>1843870</v>
      </c>
      <c r="K370">
        <v>346234</v>
      </c>
      <c r="L370">
        <v>17578470</v>
      </c>
      <c r="M370">
        <v>13651412.25</v>
      </c>
      <c r="N370">
        <v>453054</v>
      </c>
      <c r="O370">
        <v>15784762</v>
      </c>
    </row>
    <row r="371" spans="1:15" x14ac:dyDescent="0.15">
      <c r="A371" s="10" t="s">
        <v>444</v>
      </c>
      <c r="B371">
        <v>2633230.7999999998</v>
      </c>
      <c r="C371">
        <v>62071629.375</v>
      </c>
      <c r="D371">
        <v>104030611.77777781</v>
      </c>
      <c r="E371">
        <v>24181590</v>
      </c>
      <c r="F371">
        <v>11853513.714285711</v>
      </c>
      <c r="G371">
        <v>18767466.307692312</v>
      </c>
      <c r="H371">
        <v>3081974.666666667</v>
      </c>
      <c r="I371">
        <v>2702012</v>
      </c>
      <c r="J371">
        <v>4678663.333333334</v>
      </c>
      <c r="K371">
        <v>878539.33333333337</v>
      </c>
      <c r="L371">
        <v>44603872.857142858</v>
      </c>
      <c r="M371">
        <v>34639297.75</v>
      </c>
      <c r="N371">
        <v>1149586</v>
      </c>
      <c r="O371">
        <v>40052491.333333328</v>
      </c>
    </row>
    <row r="372" spans="1:15" x14ac:dyDescent="0.15">
      <c r="A372" s="10" t="s">
        <v>491</v>
      </c>
    </row>
    <row r="373" spans="1:15" x14ac:dyDescent="0.15">
      <c r="A373" s="10" t="s">
        <v>550</v>
      </c>
      <c r="B373">
        <v>26231753</v>
      </c>
      <c r="C373">
        <v>1220267803.6875</v>
      </c>
      <c r="D373">
        <v>1739016445.333333</v>
      </c>
      <c r="E373">
        <v>905818125.74999988</v>
      </c>
      <c r="F373">
        <v>156320019</v>
      </c>
      <c r="G373">
        <v>445690555.30769229</v>
      </c>
      <c r="H373">
        <v>50119710.111111119</v>
      </c>
      <c r="I373">
        <v>1018088010</v>
      </c>
      <c r="J373">
        <v>621018413.88888884</v>
      </c>
      <c r="K373">
        <v>294704530</v>
      </c>
      <c r="L373">
        <v>1685165833.571429</v>
      </c>
      <c r="M373">
        <v>625670843.5</v>
      </c>
      <c r="N373">
        <v>174586702.33333331</v>
      </c>
      <c r="O373">
        <v>716498965.33333337</v>
      </c>
    </row>
    <row r="374" spans="1:15" x14ac:dyDescent="0.15">
      <c r="A374" s="10" t="s">
        <v>487</v>
      </c>
    </row>
    <row r="375" spans="1:15" x14ac:dyDescent="0.15">
      <c r="A375" s="10" t="s">
        <v>186</v>
      </c>
      <c r="B375">
        <v>157263663.40000001</v>
      </c>
      <c r="C375">
        <v>556530078.3125</v>
      </c>
      <c r="D375">
        <v>418093057.66666663</v>
      </c>
      <c r="E375">
        <v>151024421.5</v>
      </c>
      <c r="F375">
        <v>381417303.42857152</v>
      </c>
      <c r="G375">
        <v>1061395414.538461</v>
      </c>
      <c r="H375">
        <v>258182483.33333331</v>
      </c>
      <c r="I375">
        <v>74649544.5</v>
      </c>
      <c r="J375">
        <v>659711685</v>
      </c>
      <c r="K375">
        <v>63797520.333333343</v>
      </c>
      <c r="L375">
        <v>2238926013</v>
      </c>
      <c r="M375">
        <v>308402615.375</v>
      </c>
      <c r="N375">
        <v>38727031.000000007</v>
      </c>
      <c r="O375">
        <v>299533940.66666669</v>
      </c>
    </row>
    <row r="376" spans="1:15" x14ac:dyDescent="0.15">
      <c r="A376" s="10" t="s">
        <v>474</v>
      </c>
    </row>
    <row r="377" spans="1:15" x14ac:dyDescent="0.15">
      <c r="A377" s="10" t="s">
        <v>489</v>
      </c>
    </row>
    <row r="378" spans="1:15" x14ac:dyDescent="0.15">
      <c r="A378" s="10" t="s">
        <v>548</v>
      </c>
    </row>
    <row r="379" spans="1:15" x14ac:dyDescent="0.15">
      <c r="A379" s="10" t="s">
        <v>549</v>
      </c>
    </row>
    <row r="380" spans="1:15" x14ac:dyDescent="0.15">
      <c r="A380" s="10" t="s">
        <v>407</v>
      </c>
      <c r="B380">
        <v>1121937.2</v>
      </c>
      <c r="C380">
        <v>17259028.4375</v>
      </c>
      <c r="D380">
        <v>27426614.333333328</v>
      </c>
      <c r="E380">
        <v>6532137.916666667</v>
      </c>
      <c r="F380">
        <v>4098769.8571428568</v>
      </c>
      <c r="G380">
        <v>7818900.230769231</v>
      </c>
      <c r="H380">
        <v>1528538.666666667</v>
      </c>
      <c r="I380">
        <v>897514.25</v>
      </c>
      <c r="J380">
        <v>3100411.111111111</v>
      </c>
      <c r="K380">
        <v>407200.66666666669</v>
      </c>
      <c r="L380">
        <v>17760321.428571429</v>
      </c>
      <c r="M380">
        <v>9624946</v>
      </c>
      <c r="N380">
        <v>402442.33333333337</v>
      </c>
      <c r="O380">
        <v>10963259.5</v>
      </c>
    </row>
    <row r="381" spans="1:15" x14ac:dyDescent="0.15">
      <c r="A381" s="10" t="s">
        <v>304</v>
      </c>
    </row>
    <row r="382" spans="1:15" x14ac:dyDescent="0.15">
      <c r="A382" s="10" t="s">
        <v>305</v>
      </c>
    </row>
    <row r="383" spans="1:15" x14ac:dyDescent="0.15">
      <c r="A383" s="10" t="s">
        <v>603</v>
      </c>
      <c r="B383">
        <v>48692641.600000009</v>
      </c>
      <c r="C383">
        <v>1842566609.375</v>
      </c>
      <c r="D383">
        <v>2753423263.5555558</v>
      </c>
      <c r="E383">
        <v>596175996.66666663</v>
      </c>
      <c r="F383">
        <v>557220726</v>
      </c>
      <c r="G383">
        <v>903777864.15384614</v>
      </c>
      <c r="H383">
        <v>329238036</v>
      </c>
      <c r="I383">
        <v>560937449</v>
      </c>
      <c r="J383">
        <v>332172744.44444448</v>
      </c>
      <c r="K383">
        <v>68083778.666666672</v>
      </c>
      <c r="L383">
        <v>2447894057.8571429</v>
      </c>
      <c r="M383">
        <v>1063715546.75</v>
      </c>
      <c r="N383">
        <v>332666045.33333331</v>
      </c>
      <c r="O383">
        <v>1418129371</v>
      </c>
    </row>
    <row r="384" spans="1:15" x14ac:dyDescent="0.15">
      <c r="A384" s="10" t="s">
        <v>642</v>
      </c>
      <c r="B384">
        <v>11871610.4</v>
      </c>
      <c r="C384">
        <v>452382706.375</v>
      </c>
      <c r="D384">
        <v>675068311.11111116</v>
      </c>
      <c r="E384">
        <v>146027983.33333331</v>
      </c>
      <c r="F384">
        <v>137387898</v>
      </c>
      <c r="G384">
        <v>222873189.0769231</v>
      </c>
      <c r="H384">
        <v>81505668</v>
      </c>
      <c r="I384">
        <v>139078651</v>
      </c>
      <c r="J384">
        <v>82100536.888888896</v>
      </c>
      <c r="K384">
        <v>16834481.33333334</v>
      </c>
      <c r="L384">
        <v>604177398.14285707</v>
      </c>
      <c r="M384">
        <v>261261214.75</v>
      </c>
      <c r="N384">
        <v>82519102.666666657</v>
      </c>
      <c r="O384">
        <v>348823565</v>
      </c>
    </row>
    <row r="385" spans="1:15" x14ac:dyDescent="0.15">
      <c r="A385" s="10" t="s">
        <v>624</v>
      </c>
    </row>
    <row r="386" spans="1:15" x14ac:dyDescent="0.15">
      <c r="A386" s="10" t="s">
        <v>611</v>
      </c>
      <c r="B386">
        <v>30069946.800000001</v>
      </c>
      <c r="C386">
        <v>754395958.6875</v>
      </c>
      <c r="D386">
        <v>1260784783.2222221</v>
      </c>
      <c r="E386">
        <v>292956116</v>
      </c>
      <c r="F386">
        <v>136641347.7142857</v>
      </c>
      <c r="G386">
        <v>241033984.76923081</v>
      </c>
      <c r="H386">
        <v>38958159.333333328</v>
      </c>
      <c r="I386">
        <v>37506553.75</v>
      </c>
      <c r="J386">
        <v>61184969.000000007</v>
      </c>
      <c r="K386">
        <v>10878178.66666667</v>
      </c>
      <c r="L386">
        <v>546646838</v>
      </c>
      <c r="M386">
        <v>422239487.75</v>
      </c>
      <c r="N386">
        <v>14078133</v>
      </c>
      <c r="O386">
        <v>485112407.16666663</v>
      </c>
    </row>
    <row r="387" spans="1:15" x14ac:dyDescent="0.15">
      <c r="A387" s="10" t="s">
        <v>322</v>
      </c>
      <c r="B387">
        <v>1129588.2</v>
      </c>
      <c r="C387">
        <v>31237597.1875</v>
      </c>
      <c r="D387">
        <v>51992805.44444444</v>
      </c>
      <c r="E387">
        <v>12074501.66666667</v>
      </c>
      <c r="F387">
        <v>5214462</v>
      </c>
      <c r="G387">
        <v>10753901.76923077</v>
      </c>
      <c r="H387">
        <v>1702848.666666667</v>
      </c>
      <c r="I387">
        <v>1831948</v>
      </c>
      <c r="J387">
        <v>2791789.444444444</v>
      </c>
      <c r="K387">
        <v>462432.33333333337</v>
      </c>
      <c r="L387">
        <v>22906987.857142851</v>
      </c>
      <c r="M387">
        <v>17558312.875</v>
      </c>
      <c r="N387">
        <v>589302.33333333337</v>
      </c>
      <c r="O387">
        <v>19987407</v>
      </c>
    </row>
    <row r="388" spans="1:15" x14ac:dyDescent="0.15">
      <c r="A388" s="10" t="s">
        <v>316</v>
      </c>
      <c r="B388">
        <v>18148691.399999999</v>
      </c>
      <c r="C388">
        <v>65669946.5625</v>
      </c>
      <c r="D388">
        <v>50973027</v>
      </c>
      <c r="E388">
        <v>18033081.5</v>
      </c>
      <c r="F388">
        <v>44187204</v>
      </c>
      <c r="G388">
        <v>122359176.6923077</v>
      </c>
      <c r="H388">
        <v>29731814</v>
      </c>
      <c r="I388">
        <v>8621938.5</v>
      </c>
      <c r="J388">
        <v>75878182.333333328</v>
      </c>
      <c r="K388">
        <v>7351127</v>
      </c>
      <c r="L388">
        <v>258385329</v>
      </c>
      <c r="M388">
        <v>36390466.875</v>
      </c>
      <c r="N388">
        <v>4479811</v>
      </c>
      <c r="O388">
        <v>35541954</v>
      </c>
    </row>
    <row r="389" spans="1:15" x14ac:dyDescent="0.15">
      <c r="A389" s="10" t="s">
        <v>671</v>
      </c>
    </row>
    <row r="390" spans="1:15" x14ac:dyDescent="0.15">
      <c r="A390" s="10" t="s">
        <v>187</v>
      </c>
      <c r="B390">
        <v>9333998</v>
      </c>
      <c r="C390">
        <v>31464057.5</v>
      </c>
      <c r="D390">
        <v>21966533.33333334</v>
      </c>
      <c r="E390">
        <v>8326272.166666666</v>
      </c>
      <c r="F390">
        <v>22486475.71428572</v>
      </c>
      <c r="G390">
        <v>62885580.92307692</v>
      </c>
      <c r="H390">
        <v>15345446.66666667</v>
      </c>
      <c r="I390">
        <v>4370517.5</v>
      </c>
      <c r="J390">
        <v>39303049.111111112</v>
      </c>
      <c r="K390">
        <v>3789004.666666667</v>
      </c>
      <c r="L390">
        <v>132576540.8571429</v>
      </c>
      <c r="M390">
        <v>17424874.75</v>
      </c>
      <c r="N390">
        <v>2282029.333333333</v>
      </c>
      <c r="O390">
        <v>16745035</v>
      </c>
    </row>
    <row r="391" spans="1:15" x14ac:dyDescent="0.15">
      <c r="A391" s="10" t="s">
        <v>188</v>
      </c>
    </row>
    <row r="392" spans="1:15" x14ac:dyDescent="0.15">
      <c r="A392" s="10" t="s">
        <v>189</v>
      </c>
    </row>
    <row r="393" spans="1:15" x14ac:dyDescent="0.15">
      <c r="A393" s="10" t="s">
        <v>468</v>
      </c>
      <c r="B393">
        <v>2289586</v>
      </c>
      <c r="C393">
        <v>87247565.9375</v>
      </c>
      <c r="D393">
        <v>130195222.22222219</v>
      </c>
      <c r="E393">
        <v>28163291.66666666</v>
      </c>
      <c r="F393">
        <v>26496945</v>
      </c>
      <c r="G393">
        <v>42983834.230769232</v>
      </c>
      <c r="H393">
        <v>15719370</v>
      </c>
      <c r="I393">
        <v>26823027.5</v>
      </c>
      <c r="J393">
        <v>15834097.77777778</v>
      </c>
      <c r="K393">
        <v>3246736.666666667</v>
      </c>
      <c r="L393">
        <v>116523038.2142857</v>
      </c>
      <c r="M393">
        <v>50387436.875</v>
      </c>
      <c r="N393">
        <v>15914823.33333333</v>
      </c>
      <c r="O393">
        <v>67274912.5</v>
      </c>
    </row>
    <row r="394" spans="1:15" x14ac:dyDescent="0.15">
      <c r="A394" s="10" t="s">
        <v>269</v>
      </c>
    </row>
    <row r="395" spans="1:15" x14ac:dyDescent="0.15">
      <c r="A395" s="10" t="s">
        <v>469</v>
      </c>
    </row>
    <row r="396" spans="1:15" x14ac:dyDescent="0.15">
      <c r="A396" s="10" t="s">
        <v>470</v>
      </c>
    </row>
    <row r="397" spans="1:15" x14ac:dyDescent="0.15">
      <c r="A397" s="10" t="s">
        <v>409</v>
      </c>
    </row>
    <row r="398" spans="1:15" x14ac:dyDescent="0.15">
      <c r="A398" s="10" t="s">
        <v>256</v>
      </c>
      <c r="B398">
        <v>163384089</v>
      </c>
      <c r="C398">
        <v>4301897697.875</v>
      </c>
      <c r="D398">
        <v>6298310941.2222214</v>
      </c>
      <c r="E398">
        <v>1386018374.916667</v>
      </c>
      <c r="F398">
        <v>1367060764.8571429</v>
      </c>
      <c r="G398">
        <v>2367851702.2307701</v>
      </c>
      <c r="H398">
        <v>815041302</v>
      </c>
      <c r="I398">
        <v>1261316320</v>
      </c>
      <c r="J398">
        <v>960216023.77777779</v>
      </c>
      <c r="K398">
        <v>172337617</v>
      </c>
      <c r="L398">
        <v>6190310138.2142849</v>
      </c>
      <c r="M398">
        <v>2477903003.5</v>
      </c>
      <c r="N398">
        <v>745717386.33333325</v>
      </c>
      <c r="O398">
        <v>3259386428.833333</v>
      </c>
    </row>
    <row r="399" spans="1:15" x14ac:dyDescent="0.15">
      <c r="A399" s="10" t="s">
        <v>240</v>
      </c>
      <c r="B399">
        <v>691388394</v>
      </c>
      <c r="C399">
        <v>17650667483.8125</v>
      </c>
      <c r="D399">
        <v>25775115184.555561</v>
      </c>
      <c r="E399">
        <v>5680787487.916666</v>
      </c>
      <c r="F399">
        <v>5643823754.1428566</v>
      </c>
      <c r="G399">
        <v>9838784798.5384617</v>
      </c>
      <c r="H399">
        <v>3371254078.666667</v>
      </c>
      <c r="I399">
        <v>5167526026.25</v>
      </c>
      <c r="J399">
        <v>4026610561.7777781</v>
      </c>
      <c r="K399">
        <v>714180423.33333337</v>
      </c>
      <c r="L399">
        <v>25639813801.57143</v>
      </c>
      <c r="M399">
        <v>10165384988.25</v>
      </c>
      <c r="N399">
        <v>3054457202.333333</v>
      </c>
      <c r="O399">
        <v>13356976313.83333</v>
      </c>
    </row>
    <row r="400" spans="1:15" x14ac:dyDescent="0.15">
      <c r="A400" s="10" t="s">
        <v>441</v>
      </c>
    </row>
    <row r="401" spans="1:15" x14ac:dyDescent="0.15">
      <c r="A401" s="10" t="s">
        <v>614</v>
      </c>
    </row>
    <row r="402" spans="1:15" x14ac:dyDescent="0.15">
      <c r="A402" s="10" t="s">
        <v>612</v>
      </c>
    </row>
    <row r="403" spans="1:15" x14ac:dyDescent="0.15">
      <c r="A403" s="10" t="s">
        <v>523</v>
      </c>
      <c r="B403">
        <v>155375076.80000001</v>
      </c>
      <c r="C403">
        <v>3989227932.875</v>
      </c>
      <c r="D403">
        <v>5820650282.7777786</v>
      </c>
      <c r="E403">
        <v>1283161021.333333</v>
      </c>
      <c r="F403">
        <v>1269690252.7142861</v>
      </c>
      <c r="G403">
        <v>2238855683</v>
      </c>
      <c r="H403">
        <v>763673326.66666675</v>
      </c>
      <c r="I403">
        <v>1170599689.25</v>
      </c>
      <c r="J403">
        <v>916597803.22222233</v>
      </c>
      <c r="K403">
        <v>161744440.66666669</v>
      </c>
      <c r="L403">
        <v>5804897485.6428576</v>
      </c>
      <c r="M403">
        <v>2298450340.125</v>
      </c>
      <c r="N403">
        <v>689496985.66666651</v>
      </c>
      <c r="O403">
        <v>3016152887</v>
      </c>
    </row>
    <row r="404" spans="1:15" x14ac:dyDescent="0.15">
      <c r="A404" s="10" t="s">
        <v>499</v>
      </c>
      <c r="B404">
        <v>90260726.800000012</v>
      </c>
      <c r="C404">
        <v>2876208112.0625</v>
      </c>
      <c r="D404">
        <v>4265054662.333333</v>
      </c>
      <c r="E404">
        <v>930830086.5</v>
      </c>
      <c r="F404">
        <v>882211790.57142854</v>
      </c>
      <c r="G404">
        <v>1484394761.6923079</v>
      </c>
      <c r="H404">
        <v>523527967.33333337</v>
      </c>
      <c r="I404">
        <v>854316039.75</v>
      </c>
      <c r="J404">
        <v>570329420.33333337</v>
      </c>
      <c r="K404">
        <v>109457213.3333333</v>
      </c>
      <c r="L404">
        <v>3939954783</v>
      </c>
      <c r="M404">
        <v>1658637113</v>
      </c>
      <c r="N404">
        <v>504669593</v>
      </c>
      <c r="O404">
        <v>2193665010.166667</v>
      </c>
    </row>
    <row r="405" spans="1:15" x14ac:dyDescent="0.15">
      <c r="A405" s="10" t="s">
        <v>522</v>
      </c>
      <c r="B405">
        <v>210115892.40000001</v>
      </c>
      <c r="C405">
        <v>6950937515.125</v>
      </c>
      <c r="D405">
        <v>10347175179.111111</v>
      </c>
      <c r="E405">
        <v>2255587098.083333</v>
      </c>
      <c r="F405">
        <v>2114439006.7142861</v>
      </c>
      <c r="G405">
        <v>3517649537.1538472</v>
      </c>
      <c r="H405">
        <v>1246575558</v>
      </c>
      <c r="I405">
        <v>2054611655</v>
      </c>
      <c r="J405">
        <v>1332510007.2222221</v>
      </c>
      <c r="K405">
        <v>260224384</v>
      </c>
      <c r="L405">
        <v>9383585514.1428566</v>
      </c>
      <c r="M405">
        <v>4007714096.75</v>
      </c>
      <c r="N405">
        <v>1214790626.666667</v>
      </c>
      <c r="O405">
        <v>5304004375.666667</v>
      </c>
    </row>
    <row r="406" spans="1:15" x14ac:dyDescent="0.15">
      <c r="A406" s="10" t="s">
        <v>476</v>
      </c>
      <c r="B406">
        <v>65028307.599999987</v>
      </c>
      <c r="C406">
        <v>633519679.3125</v>
      </c>
      <c r="D406">
        <v>837687783.44444442</v>
      </c>
      <c r="E406">
        <v>204556455.75</v>
      </c>
      <c r="F406">
        <v>245497729</v>
      </c>
      <c r="G406">
        <v>539890481.61538458</v>
      </c>
      <c r="H406">
        <v>146998250.66666669</v>
      </c>
      <c r="I406">
        <v>126775212.75</v>
      </c>
      <c r="J406">
        <v>280748988</v>
      </c>
      <c r="K406">
        <v>34291234</v>
      </c>
      <c r="L406">
        <v>1243652459.7142861</v>
      </c>
      <c r="M406">
        <v>358936295</v>
      </c>
      <c r="N406">
        <v>72448407</v>
      </c>
      <c r="O406">
        <v>429115450.5</v>
      </c>
    </row>
    <row r="407" spans="1:15" x14ac:dyDescent="0.15">
      <c r="A407" s="10" t="s">
        <v>447</v>
      </c>
      <c r="B407">
        <v>38561895.799999997</v>
      </c>
      <c r="C407">
        <v>1231593277.875</v>
      </c>
      <c r="D407">
        <v>1827515058.7777779</v>
      </c>
      <c r="E407">
        <v>399004179.58333337</v>
      </c>
      <c r="F407">
        <v>376291990.85714293</v>
      </c>
      <c r="G407">
        <v>634928843.76923072</v>
      </c>
      <c r="H407">
        <v>223283603.33333331</v>
      </c>
      <c r="I407">
        <v>364305156</v>
      </c>
      <c r="J407">
        <v>243560915.55555561</v>
      </c>
      <c r="K407">
        <v>46701231</v>
      </c>
      <c r="L407">
        <v>1682386908.3571429</v>
      </c>
      <c r="M407">
        <v>710189126</v>
      </c>
      <c r="N407">
        <v>214945933.66666669</v>
      </c>
      <c r="O407">
        <v>938339222.5</v>
      </c>
    </row>
    <row r="408" spans="1:15" x14ac:dyDescent="0.15">
      <c r="A408" s="10" t="s">
        <v>539</v>
      </c>
      <c r="B408">
        <v>10814549.199999999</v>
      </c>
      <c r="C408">
        <v>412102054.4375</v>
      </c>
      <c r="D408">
        <v>614959488.88888896</v>
      </c>
      <c r="E408">
        <v>133025491.6666667</v>
      </c>
      <c r="F408">
        <v>125154729</v>
      </c>
      <c r="G408">
        <v>203028316.0769231</v>
      </c>
      <c r="H408">
        <v>74248314</v>
      </c>
      <c r="I408">
        <v>126694935.5</v>
      </c>
      <c r="J408">
        <v>74790215.111111119</v>
      </c>
      <c r="K408">
        <v>15335520.66666667</v>
      </c>
      <c r="L408">
        <v>550380780.5</v>
      </c>
      <c r="M408">
        <v>237998229.875</v>
      </c>
      <c r="N408">
        <v>75171511.333333328</v>
      </c>
      <c r="O408">
        <v>317763932.5</v>
      </c>
    </row>
    <row r="409" spans="1:15" x14ac:dyDescent="0.15">
      <c r="A409" s="10" t="s">
        <v>393</v>
      </c>
      <c r="B409">
        <v>8477887.6000000015</v>
      </c>
      <c r="C409">
        <v>323060613.3125</v>
      </c>
      <c r="D409">
        <v>482087355.55555558</v>
      </c>
      <c r="E409">
        <v>104283141.6666667</v>
      </c>
      <c r="F409">
        <v>98112987</v>
      </c>
      <c r="G409">
        <v>159160702.0769231</v>
      </c>
      <c r="H409">
        <v>58205742</v>
      </c>
      <c r="I409">
        <v>99320406.5</v>
      </c>
      <c r="J409">
        <v>58630556.444444448</v>
      </c>
      <c r="K409">
        <v>12022028.66666667</v>
      </c>
      <c r="L409">
        <v>431461941.5</v>
      </c>
      <c r="M409">
        <v>186574789.625</v>
      </c>
      <c r="N409">
        <v>58929467.333333328</v>
      </c>
      <c r="O409">
        <v>249105797.5</v>
      </c>
    </row>
    <row r="410" spans="1:15" x14ac:dyDescent="0.15">
      <c r="A410" s="10" t="s">
        <v>574</v>
      </c>
      <c r="B410">
        <v>51596466</v>
      </c>
      <c r="C410">
        <v>1302255008.25</v>
      </c>
      <c r="D410">
        <v>1894187014.1111109</v>
      </c>
      <c r="E410">
        <v>417242379.25</v>
      </c>
      <c r="F410">
        <v>420748286.85714293</v>
      </c>
      <c r="G410">
        <v>736106291.84615386</v>
      </c>
      <c r="H410">
        <v>253115480.66666669</v>
      </c>
      <c r="I410">
        <v>387241988.75</v>
      </c>
      <c r="J410">
        <v>303612726</v>
      </c>
      <c r="K410">
        <v>53572151.333333343</v>
      </c>
      <c r="L410">
        <v>1917620117.928571</v>
      </c>
      <c r="M410">
        <v>750392708.125</v>
      </c>
      <c r="N410">
        <v>229064229</v>
      </c>
      <c r="O410">
        <v>987759919.33333337</v>
      </c>
    </row>
    <row r="411" spans="1:15" x14ac:dyDescent="0.15">
      <c r="A411" s="10" t="s">
        <v>448</v>
      </c>
    </row>
    <row r="412" spans="1:15" x14ac:dyDescent="0.15">
      <c r="A412" s="10" t="s">
        <v>477</v>
      </c>
    </row>
    <row r="413" spans="1:15" x14ac:dyDescent="0.15">
      <c r="A413" s="10" t="s">
        <v>654</v>
      </c>
    </row>
    <row r="414" spans="1:15" x14ac:dyDescent="0.15">
      <c r="A414" s="10" t="s">
        <v>454</v>
      </c>
    </row>
    <row r="415" spans="1:15" x14ac:dyDescent="0.15">
      <c r="A415" s="10" t="s">
        <v>455</v>
      </c>
    </row>
    <row r="416" spans="1:15" x14ac:dyDescent="0.15">
      <c r="A416" s="10" t="s">
        <v>353</v>
      </c>
      <c r="B416">
        <v>74265735</v>
      </c>
      <c r="C416">
        <v>306601914.5625</v>
      </c>
      <c r="D416">
        <v>276023923.44444448</v>
      </c>
      <c r="E416">
        <v>88956730.25</v>
      </c>
      <c r="F416">
        <v>184046131.5714286</v>
      </c>
      <c r="G416">
        <v>506648718.30769223</v>
      </c>
      <c r="H416">
        <v>121751962.6666667</v>
      </c>
      <c r="I416">
        <v>37415898.5</v>
      </c>
      <c r="J416">
        <v>308609276.66666669</v>
      </c>
      <c r="K416">
        <v>30149392.333333328</v>
      </c>
      <c r="L416">
        <v>1068741317.285714</v>
      </c>
      <c r="M416">
        <v>170320948.375</v>
      </c>
      <c r="N416">
        <v>18796223</v>
      </c>
      <c r="O416">
        <v>170083873.33333331</v>
      </c>
    </row>
    <row r="417" spans="1:15" x14ac:dyDescent="0.15">
      <c r="A417" s="10" t="s">
        <v>354</v>
      </c>
      <c r="B417">
        <v>56964498</v>
      </c>
      <c r="C417">
        <v>2073816962.1875</v>
      </c>
      <c r="D417">
        <v>3154956499.4444451</v>
      </c>
      <c r="E417">
        <v>723059042.49999988</v>
      </c>
      <c r="F417">
        <v>571093055</v>
      </c>
      <c r="G417">
        <v>946981736.92307687</v>
      </c>
      <c r="H417">
        <v>317742812.77777779</v>
      </c>
      <c r="I417">
        <v>589376592.5</v>
      </c>
      <c r="J417">
        <v>361010860.55555558</v>
      </c>
      <c r="K417">
        <v>83971551.666666657</v>
      </c>
      <c r="L417">
        <v>2548030096.0714278</v>
      </c>
      <c r="M417">
        <v>1187117743.75</v>
      </c>
      <c r="N417">
        <v>319582973.33333331</v>
      </c>
      <c r="O417">
        <v>1542388395.833333</v>
      </c>
    </row>
    <row r="418" spans="1:15" x14ac:dyDescent="0.15">
      <c r="A418" s="10" t="s">
        <v>355</v>
      </c>
      <c r="B418">
        <v>377578.6</v>
      </c>
      <c r="C418">
        <v>4417840.125</v>
      </c>
      <c r="D418">
        <v>6082931.777777778</v>
      </c>
      <c r="E418">
        <v>1526378.916666667</v>
      </c>
      <c r="F418">
        <v>1050975.857142857</v>
      </c>
      <c r="G418">
        <v>3990050.461538462</v>
      </c>
      <c r="H418">
        <v>806110.00000000012</v>
      </c>
      <c r="I418">
        <v>552781.75</v>
      </c>
      <c r="J418">
        <v>1921289.444444444</v>
      </c>
      <c r="K418">
        <v>196109.66666666669</v>
      </c>
      <c r="L418">
        <v>7457694.1428571427</v>
      </c>
      <c r="M418">
        <v>2527289.625</v>
      </c>
      <c r="N418">
        <v>149947.33333333331</v>
      </c>
      <c r="O418">
        <v>2630400.166666667</v>
      </c>
    </row>
    <row r="419" spans="1:15" x14ac:dyDescent="0.15">
      <c r="A419" s="10" t="s">
        <v>410</v>
      </c>
    </row>
    <row r="420" spans="1:15" x14ac:dyDescent="0.15">
      <c r="A420" s="10" t="s">
        <v>380</v>
      </c>
    </row>
    <row r="421" spans="1:15" x14ac:dyDescent="0.15">
      <c r="A421" s="10" t="s">
        <v>464</v>
      </c>
    </row>
    <row r="422" spans="1:15" x14ac:dyDescent="0.15">
      <c r="A422" s="10" t="s">
        <v>415</v>
      </c>
    </row>
    <row r="423" spans="1:15" x14ac:dyDescent="0.15">
      <c r="A423" s="10" t="s">
        <v>456</v>
      </c>
    </row>
    <row r="424" spans="1:15" x14ac:dyDescent="0.15">
      <c r="A424" s="10" t="s">
        <v>343</v>
      </c>
    </row>
    <row r="425" spans="1:15" x14ac:dyDescent="0.15">
      <c r="A425" s="10" t="s">
        <v>362</v>
      </c>
    </row>
    <row r="426" spans="1:15" x14ac:dyDescent="0.15">
      <c r="A426" s="10" t="s">
        <v>497</v>
      </c>
    </row>
    <row r="427" spans="1:15" x14ac:dyDescent="0.15">
      <c r="A427" s="10" t="s">
        <v>488</v>
      </c>
    </row>
    <row r="428" spans="1:15" x14ac:dyDescent="0.15">
      <c r="A428" s="10" t="s">
        <v>498</v>
      </c>
    </row>
    <row r="429" spans="1:15" x14ac:dyDescent="0.15">
      <c r="A429" s="10" t="s">
        <v>246</v>
      </c>
      <c r="B429">
        <v>1216102164.2</v>
      </c>
      <c r="C429">
        <v>40134542482.0625</v>
      </c>
      <c r="D429">
        <v>59474391895.111107</v>
      </c>
      <c r="E429">
        <v>12941827183</v>
      </c>
      <c r="F429">
        <v>12380870933.285709</v>
      </c>
      <c r="G429">
        <v>20628338012.307701</v>
      </c>
      <c r="H429">
        <v>7372177978</v>
      </c>
      <c r="I429">
        <v>12156805164.75</v>
      </c>
      <c r="J429">
        <v>7891043572</v>
      </c>
      <c r="K429">
        <v>1535527130.333333</v>
      </c>
      <c r="L429">
        <v>55111679303.071426</v>
      </c>
      <c r="M429">
        <v>23160149994.25</v>
      </c>
      <c r="N429">
        <v>7199576985.999999</v>
      </c>
      <c r="O429">
        <v>30758534780.666672</v>
      </c>
    </row>
    <row r="430" spans="1:15" x14ac:dyDescent="0.15">
      <c r="A430" s="10" t="s">
        <v>190</v>
      </c>
      <c r="B430">
        <v>170626577.40000001</v>
      </c>
      <c r="C430">
        <v>596481739.4375</v>
      </c>
      <c r="D430">
        <v>440679913.8888889</v>
      </c>
      <c r="E430">
        <v>160941052.58333331</v>
      </c>
      <c r="F430">
        <v>413240552.14285719</v>
      </c>
      <c r="G430">
        <v>1150137104.7692311</v>
      </c>
      <c r="H430">
        <v>280048609.33333331</v>
      </c>
      <c r="I430">
        <v>80517668</v>
      </c>
      <c r="J430">
        <v>715983328.88888884</v>
      </c>
      <c r="K430">
        <v>69193797.666666672</v>
      </c>
      <c r="L430">
        <v>2426605373.8571429</v>
      </c>
      <c r="M430">
        <v>330446811.875</v>
      </c>
      <c r="N430">
        <v>41921835.666666657</v>
      </c>
      <c r="O430">
        <v>320240529</v>
      </c>
    </row>
    <row r="431" spans="1:15" x14ac:dyDescent="0.15">
      <c r="A431" s="10" t="s">
        <v>191</v>
      </c>
    </row>
    <row r="432" spans="1:15" x14ac:dyDescent="0.15">
      <c r="A432" s="10" t="s">
        <v>192</v>
      </c>
    </row>
    <row r="433" spans="1:15" x14ac:dyDescent="0.15">
      <c r="A433" s="10" t="s">
        <v>193</v>
      </c>
    </row>
    <row r="434" spans="1:15" x14ac:dyDescent="0.15">
      <c r="A434" s="10" t="s">
        <v>194</v>
      </c>
    </row>
    <row r="435" spans="1:15" x14ac:dyDescent="0.15">
      <c r="A435" s="10" t="s">
        <v>195</v>
      </c>
    </row>
    <row r="436" spans="1:15" x14ac:dyDescent="0.15">
      <c r="A436" s="10" t="s">
        <v>196</v>
      </c>
    </row>
    <row r="437" spans="1:15" x14ac:dyDescent="0.15">
      <c r="A437" s="10" t="s">
        <v>519</v>
      </c>
    </row>
    <row r="438" spans="1:15" x14ac:dyDescent="0.15">
      <c r="A438" s="10" t="s">
        <v>311</v>
      </c>
    </row>
    <row r="439" spans="1:15" x14ac:dyDescent="0.15">
      <c r="A439" s="10" t="s">
        <v>604</v>
      </c>
      <c r="B439">
        <v>272727926.19999999</v>
      </c>
      <c r="C439">
        <v>7136171180.375</v>
      </c>
      <c r="D439">
        <v>11035596743.222219</v>
      </c>
      <c r="E439">
        <v>2684674625.5</v>
      </c>
      <c r="F439">
        <v>1770349716.428571</v>
      </c>
      <c r="G439">
        <v>3193456376.7692308</v>
      </c>
      <c r="H439">
        <v>877521659.11111116</v>
      </c>
      <c r="I439">
        <v>1601127786.5</v>
      </c>
      <c r="J439">
        <v>1318559867.8888891</v>
      </c>
      <c r="K439">
        <v>300564295.66666669</v>
      </c>
      <c r="L439">
        <v>8150393567.5</v>
      </c>
      <c r="M439">
        <v>4033842618.75</v>
      </c>
      <c r="N439">
        <v>754280896.33333337</v>
      </c>
      <c r="O439">
        <v>4977623436.833334</v>
      </c>
    </row>
    <row r="440" spans="1:15" x14ac:dyDescent="0.15">
      <c r="A440" s="10" t="s">
        <v>619</v>
      </c>
      <c r="B440">
        <v>37957091.400000013</v>
      </c>
      <c r="C440">
        <v>1067906456.3125</v>
      </c>
      <c r="D440">
        <v>1718192190.666667</v>
      </c>
      <c r="E440">
        <v>390238244.66666663</v>
      </c>
      <c r="F440">
        <v>241684673.2857143</v>
      </c>
      <c r="G440">
        <v>402989886.15384609</v>
      </c>
      <c r="H440">
        <v>103220266</v>
      </c>
      <c r="I440">
        <v>149032988.75</v>
      </c>
      <c r="J440">
        <v>123297219.1111111</v>
      </c>
      <c r="K440">
        <v>23941841</v>
      </c>
      <c r="L440">
        <v>1003025784.214286</v>
      </c>
      <c r="M440">
        <v>604093908.75</v>
      </c>
      <c r="N440">
        <v>81666083.333333328</v>
      </c>
      <c r="O440">
        <v>735464692.66666663</v>
      </c>
    </row>
    <row r="441" spans="1:15" x14ac:dyDescent="0.15">
      <c r="A441" s="10" t="s">
        <v>544</v>
      </c>
      <c r="B441">
        <v>215547089</v>
      </c>
      <c r="C441">
        <v>1595956324.125</v>
      </c>
      <c r="D441">
        <v>2098347415.7777779</v>
      </c>
      <c r="E441">
        <v>547745615.33333325</v>
      </c>
      <c r="F441">
        <v>606878964.57142866</v>
      </c>
      <c r="G441">
        <v>1487314659</v>
      </c>
      <c r="H441">
        <v>337414685.33333337</v>
      </c>
      <c r="I441">
        <v>128762288.25</v>
      </c>
      <c r="J441">
        <v>812269856.22222221</v>
      </c>
      <c r="K441">
        <v>85102837</v>
      </c>
      <c r="L441">
        <v>3201347056.4285722</v>
      </c>
      <c r="M441">
        <v>889018460.375</v>
      </c>
      <c r="N441">
        <v>61331460.666666672</v>
      </c>
      <c r="O441">
        <v>962263672.5</v>
      </c>
    </row>
    <row r="442" spans="1:15" x14ac:dyDescent="0.15">
      <c r="A442" s="10" t="s">
        <v>547</v>
      </c>
      <c r="B442">
        <v>68242070.200000003</v>
      </c>
      <c r="C442">
        <v>740883325</v>
      </c>
      <c r="D442">
        <v>1100117422.666667</v>
      </c>
      <c r="E442">
        <v>270538140.08333331</v>
      </c>
      <c r="F442">
        <v>217313481.2857143</v>
      </c>
      <c r="G442">
        <v>469624292.30769229</v>
      </c>
      <c r="H442">
        <v>100215835.3333333</v>
      </c>
      <c r="I442">
        <v>46060906.75</v>
      </c>
      <c r="J442">
        <v>225800848.55555561</v>
      </c>
      <c r="K442">
        <v>25873610.33333334</v>
      </c>
      <c r="L442">
        <v>1038451160.142857</v>
      </c>
      <c r="M442">
        <v>412837083.875</v>
      </c>
      <c r="N442">
        <v>21541506.666666672</v>
      </c>
      <c r="O442">
        <v>461692569.5</v>
      </c>
    </row>
    <row r="443" spans="1:15" x14ac:dyDescent="0.15">
      <c r="A443" s="10" t="s">
        <v>557</v>
      </c>
      <c r="B443">
        <v>20850241.399999999</v>
      </c>
      <c r="C443">
        <v>379258809.6875</v>
      </c>
      <c r="D443">
        <v>617316679.22222221</v>
      </c>
      <c r="E443">
        <v>145410012.16666669</v>
      </c>
      <c r="F443">
        <v>82232898.285714284</v>
      </c>
      <c r="G443">
        <v>146436929.46153849</v>
      </c>
      <c r="H443">
        <v>27034714</v>
      </c>
      <c r="I443">
        <v>18295468.5</v>
      </c>
      <c r="J443">
        <v>50568400.777777784</v>
      </c>
      <c r="K443">
        <v>7358054.333333334</v>
      </c>
      <c r="L443">
        <v>337983040.14285707</v>
      </c>
      <c r="M443">
        <v>211567141.125</v>
      </c>
      <c r="N443">
        <v>8035422.333333334</v>
      </c>
      <c r="O443">
        <v>242604010.66666669</v>
      </c>
    </row>
    <row r="444" spans="1:15" x14ac:dyDescent="0.15">
      <c r="A444" s="10" t="s">
        <v>217</v>
      </c>
      <c r="B444">
        <v>40570288.799999997</v>
      </c>
      <c r="C444">
        <v>1397393686.25</v>
      </c>
      <c r="D444">
        <v>2081045037.333333</v>
      </c>
      <c r="E444">
        <v>452434395.66666663</v>
      </c>
      <c r="F444">
        <v>426016145.14285707</v>
      </c>
      <c r="G444">
        <v>701390020.61538458</v>
      </c>
      <c r="H444">
        <v>251543754.66666669</v>
      </c>
      <c r="I444">
        <v>419237787</v>
      </c>
      <c r="J444">
        <v>263682715.1111111</v>
      </c>
      <c r="K444">
        <v>52323793.333333343</v>
      </c>
      <c r="L444">
        <v>1883093505.428571</v>
      </c>
      <c r="M444">
        <v>806119637</v>
      </c>
      <c r="N444">
        <v>248392357.33333331</v>
      </c>
      <c r="O444">
        <v>1070569494.666667</v>
      </c>
    </row>
    <row r="445" spans="1:15" x14ac:dyDescent="0.15">
      <c r="A445" s="10" t="s">
        <v>199</v>
      </c>
      <c r="B445">
        <v>1748212.4</v>
      </c>
      <c r="C445">
        <v>67285330.75</v>
      </c>
      <c r="D445">
        <v>100514603.4444444</v>
      </c>
      <c r="E445">
        <v>21764772.333333328</v>
      </c>
      <c r="F445">
        <v>20207752.714285709</v>
      </c>
      <c r="G445">
        <v>33191592.07692308</v>
      </c>
      <c r="H445">
        <v>12028808</v>
      </c>
      <c r="I445">
        <v>20523159.25</v>
      </c>
      <c r="J445">
        <v>12186637.22222222</v>
      </c>
      <c r="K445">
        <v>2486205.333333333</v>
      </c>
      <c r="L445">
        <v>89375852.5</v>
      </c>
      <c r="M445">
        <v>38861840.875</v>
      </c>
      <c r="N445">
        <v>12125831.66666667</v>
      </c>
      <c r="O445">
        <v>51739787</v>
      </c>
    </row>
    <row r="446" spans="1:15" x14ac:dyDescent="0.15">
      <c r="A446" s="10" t="s">
        <v>239</v>
      </c>
      <c r="B446">
        <v>211788</v>
      </c>
      <c r="C446">
        <v>4992356.25</v>
      </c>
      <c r="D446">
        <v>8367073.333333333</v>
      </c>
      <c r="E446">
        <v>1944900</v>
      </c>
      <c r="F446">
        <v>953365.7142857142</v>
      </c>
      <c r="G446">
        <v>1509447.692307692</v>
      </c>
      <c r="H446">
        <v>247880</v>
      </c>
      <c r="I446">
        <v>217320</v>
      </c>
      <c r="J446">
        <v>376300</v>
      </c>
      <c r="K446">
        <v>70660</v>
      </c>
      <c r="L446">
        <v>3587442.8571428568</v>
      </c>
      <c r="M446">
        <v>2786002.5</v>
      </c>
      <c r="N446">
        <v>92460</v>
      </c>
      <c r="O446">
        <v>3221380</v>
      </c>
    </row>
    <row r="447" spans="1:15" x14ac:dyDescent="0.15">
      <c r="A447" s="10" t="s">
        <v>504</v>
      </c>
    </row>
    <row r="448" spans="1:15" x14ac:dyDescent="0.15">
      <c r="A448" s="10" t="s">
        <v>545</v>
      </c>
    </row>
    <row r="449" spans="1:15" x14ac:dyDescent="0.15">
      <c r="A449" s="10" t="s">
        <v>226</v>
      </c>
      <c r="B449">
        <v>360842770</v>
      </c>
      <c r="C449">
        <v>8716909369.1875</v>
      </c>
      <c r="D449">
        <v>12969590420.33333</v>
      </c>
      <c r="E449">
        <v>2895850019</v>
      </c>
      <c r="F449">
        <v>2611434173.7142859</v>
      </c>
      <c r="G449">
        <v>4642412299.6923084</v>
      </c>
      <c r="H449">
        <v>1489013900.666667</v>
      </c>
      <c r="I449">
        <v>2194330288.25</v>
      </c>
      <c r="J449">
        <v>1861442168.333333</v>
      </c>
      <c r="K449">
        <v>321684904</v>
      </c>
      <c r="L449">
        <v>11835671346.42857</v>
      </c>
      <c r="M449">
        <v>4996362169.5</v>
      </c>
      <c r="N449">
        <v>1278249327</v>
      </c>
      <c r="O449">
        <v>6413341157.166666</v>
      </c>
    </row>
    <row r="450" spans="1:15" x14ac:dyDescent="0.15">
      <c r="A450" s="10" t="s">
        <v>228</v>
      </c>
      <c r="B450">
        <v>178798672.80000001</v>
      </c>
      <c r="C450">
        <v>3167434457.9375</v>
      </c>
      <c r="D450">
        <v>4725019632.333334</v>
      </c>
      <c r="E450">
        <v>1089446802.75</v>
      </c>
      <c r="F450">
        <v>922909184.71428573</v>
      </c>
      <c r="G450">
        <v>1777754960.6923079</v>
      </c>
      <c r="H450">
        <v>495381265.33333337</v>
      </c>
      <c r="I450">
        <v>595068874.25</v>
      </c>
      <c r="J450">
        <v>756806442.66666663</v>
      </c>
      <c r="K450">
        <v>112831446.6666667</v>
      </c>
      <c r="L450">
        <v>4283168843.5714278</v>
      </c>
      <c r="M450">
        <v>1799724578.5</v>
      </c>
      <c r="N450">
        <v>335879114.99999988</v>
      </c>
      <c r="O450">
        <v>2208518722.5</v>
      </c>
    </row>
    <row r="451" spans="1:15" x14ac:dyDescent="0.15">
      <c r="A451" s="10" t="s">
        <v>210</v>
      </c>
      <c r="B451">
        <v>59884904.000000007</v>
      </c>
      <c r="C451">
        <v>2258719816.5</v>
      </c>
      <c r="D451">
        <v>3387899283.666667</v>
      </c>
      <c r="E451">
        <v>735607637.66666663</v>
      </c>
      <c r="F451">
        <v>669910534.71428573</v>
      </c>
      <c r="G451">
        <v>1100072886.5384619</v>
      </c>
      <c r="H451">
        <v>394063421.33333331</v>
      </c>
      <c r="I451">
        <v>669271259.25</v>
      </c>
      <c r="J451">
        <v>401196640.1111111</v>
      </c>
      <c r="K451">
        <v>81739886.000000015</v>
      </c>
      <c r="L451">
        <v>2954253646.9285712</v>
      </c>
      <c r="M451">
        <v>1303116481.875</v>
      </c>
      <c r="N451">
        <v>394823040.33333331</v>
      </c>
      <c r="O451">
        <v>1727468220</v>
      </c>
    </row>
    <row r="452" spans="1:15" x14ac:dyDescent="0.15">
      <c r="A452" s="10" t="s">
        <v>323</v>
      </c>
    </row>
    <row r="453" spans="1:15" x14ac:dyDescent="0.15">
      <c r="A453" s="10" t="s">
        <v>513</v>
      </c>
    </row>
    <row r="454" spans="1:15" x14ac:dyDescent="0.15">
      <c r="A454" s="10" t="s">
        <v>473</v>
      </c>
    </row>
    <row r="455" spans="1:15" x14ac:dyDescent="0.15">
      <c r="A455" s="10" t="s">
        <v>554</v>
      </c>
    </row>
    <row r="456" spans="1:15" x14ac:dyDescent="0.15">
      <c r="A456" s="10" t="s">
        <v>339</v>
      </c>
    </row>
    <row r="457" spans="1:15" x14ac:dyDescent="0.15">
      <c r="A457" s="10" t="s">
        <v>356</v>
      </c>
    </row>
    <row r="458" spans="1:15" x14ac:dyDescent="0.15">
      <c r="A458" s="10" t="s">
        <v>480</v>
      </c>
    </row>
    <row r="459" spans="1:15" x14ac:dyDescent="0.15">
      <c r="A459" s="10" t="s">
        <v>528</v>
      </c>
      <c r="B459">
        <v>31815731</v>
      </c>
      <c r="C459">
        <v>1174979779</v>
      </c>
      <c r="D459">
        <v>1764508452.1111109</v>
      </c>
      <c r="E459">
        <v>383331043.33333331</v>
      </c>
      <c r="F459">
        <v>350001384.4285714</v>
      </c>
      <c r="G459">
        <v>567327713.38461542</v>
      </c>
      <c r="H459">
        <v>203778948</v>
      </c>
      <c r="I459">
        <v>345223142.5</v>
      </c>
      <c r="J459">
        <v>206804549.8888889</v>
      </c>
      <c r="K459">
        <v>42325718.333333343</v>
      </c>
      <c r="L459">
        <v>1531815318.7857139</v>
      </c>
      <c r="M459">
        <v>677396390.5</v>
      </c>
      <c r="N459">
        <v>204386917.66666669</v>
      </c>
      <c r="O459">
        <v>898372434.5</v>
      </c>
    </row>
    <row r="460" spans="1:15" x14ac:dyDescent="0.15">
      <c r="A460" s="10" t="s">
        <v>558</v>
      </c>
      <c r="B460">
        <v>13591524.199999999</v>
      </c>
      <c r="C460">
        <v>508226200.9375</v>
      </c>
      <c r="D460">
        <v>761290058.77777779</v>
      </c>
      <c r="E460">
        <v>165104268.33333331</v>
      </c>
      <c r="F460">
        <v>152574642</v>
      </c>
      <c r="G460">
        <v>247392478.69230771</v>
      </c>
      <c r="H460">
        <v>89514462</v>
      </c>
      <c r="I460">
        <v>152096788</v>
      </c>
      <c r="J460">
        <v>90566607.222222224</v>
      </c>
      <c r="K460">
        <v>18549952.33333334</v>
      </c>
      <c r="L460">
        <v>669056660.71428573</v>
      </c>
      <c r="M460">
        <v>293205925.375</v>
      </c>
      <c r="N460">
        <v>90128195.666666657</v>
      </c>
      <c r="O460">
        <v>389904797</v>
      </c>
    </row>
    <row r="461" spans="1:15" x14ac:dyDescent="0.15">
      <c r="A461" s="10" t="s">
        <v>567</v>
      </c>
    </row>
    <row r="462" spans="1:15" x14ac:dyDescent="0.15">
      <c r="A462" s="10" t="s">
        <v>216</v>
      </c>
      <c r="B462">
        <v>95886421.400000006</v>
      </c>
      <c r="C462">
        <v>3633746070.0625</v>
      </c>
      <c r="D462">
        <v>5431916942.5555563</v>
      </c>
      <c r="E462">
        <v>1176468794.333333</v>
      </c>
      <c r="F462">
        <v>1095951499.1428571</v>
      </c>
      <c r="G462">
        <v>1782163425.6153851</v>
      </c>
      <c r="H462">
        <v>647778252.66666663</v>
      </c>
      <c r="I462">
        <v>1103473329</v>
      </c>
      <c r="J462">
        <v>654432955.88888896</v>
      </c>
      <c r="K462">
        <v>133988855.6666667</v>
      </c>
      <c r="L462">
        <v>4819874844.7142859</v>
      </c>
      <c r="M462">
        <v>2097731484.125</v>
      </c>
      <c r="N462">
        <v>653816509.66666663</v>
      </c>
      <c r="O462">
        <v>2794660848.333333</v>
      </c>
    </row>
    <row r="463" spans="1:15" x14ac:dyDescent="0.15">
      <c r="A463" s="10" t="s">
        <v>420</v>
      </c>
    </row>
    <row r="464" spans="1:15" x14ac:dyDescent="0.15">
      <c r="A464" s="10" t="s">
        <v>219</v>
      </c>
    </row>
    <row r="465" spans="1:15" x14ac:dyDescent="0.15">
      <c r="A465" s="10" t="s">
        <v>220</v>
      </c>
    </row>
    <row r="466" spans="1:15" x14ac:dyDescent="0.15">
      <c r="A466" s="10" t="s">
        <v>664</v>
      </c>
    </row>
    <row r="467" spans="1:15" x14ac:dyDescent="0.15">
      <c r="A467" s="10" t="s">
        <v>673</v>
      </c>
      <c r="B467">
        <v>4536376</v>
      </c>
      <c r="C467">
        <v>172864336.25</v>
      </c>
      <c r="D467">
        <v>257956888.8888889</v>
      </c>
      <c r="E467">
        <v>55800166.666666657</v>
      </c>
      <c r="F467">
        <v>52498620</v>
      </c>
      <c r="G467">
        <v>85164232.307692319</v>
      </c>
      <c r="H467">
        <v>31144920</v>
      </c>
      <c r="I467">
        <v>53144690</v>
      </c>
      <c r="J467">
        <v>31372231.111111108</v>
      </c>
      <c r="K467">
        <v>6432786.666666667</v>
      </c>
      <c r="L467">
        <v>230868075.7142857</v>
      </c>
      <c r="M467">
        <v>99833052.5</v>
      </c>
      <c r="N467">
        <v>31532173.333333328</v>
      </c>
      <c r="O467">
        <v>133292350</v>
      </c>
    </row>
    <row r="468" spans="1:15" x14ac:dyDescent="0.15">
      <c r="A468" s="10" t="s">
        <v>224</v>
      </c>
      <c r="B468">
        <v>10719403.199999999</v>
      </c>
      <c r="C468">
        <v>271446902.375</v>
      </c>
      <c r="D468">
        <v>453470734.44444448</v>
      </c>
      <c r="E468">
        <v>105362825.3333333</v>
      </c>
      <c r="F468">
        <v>48781008.571428567</v>
      </c>
      <c r="G468">
        <v>87400726.769230768</v>
      </c>
      <c r="H468">
        <v>14095854.66666667</v>
      </c>
      <c r="I468">
        <v>13737916.5</v>
      </c>
      <c r="J468">
        <v>22239973.55555556</v>
      </c>
      <c r="K468">
        <v>3924609.333333333</v>
      </c>
      <c r="L468">
        <v>196930661.7142857</v>
      </c>
      <c r="M468">
        <v>151994986</v>
      </c>
      <c r="N468">
        <v>5071124.666666667</v>
      </c>
      <c r="O468">
        <v>174466493.66666669</v>
      </c>
    </row>
    <row r="469" spans="1:15" x14ac:dyDescent="0.15">
      <c r="A469" s="10" t="s">
        <v>230</v>
      </c>
      <c r="B469">
        <v>0</v>
      </c>
      <c r="C469">
        <v>551950727.6875</v>
      </c>
      <c r="D469">
        <v>817938144</v>
      </c>
      <c r="E469">
        <v>430317203.83333331</v>
      </c>
      <c r="F469">
        <v>45413155.142857142</v>
      </c>
      <c r="G469">
        <v>131160318.38461541</v>
      </c>
      <c r="H469">
        <v>3410530.777777778</v>
      </c>
      <c r="I469">
        <v>490487653.75</v>
      </c>
      <c r="J469">
        <v>248979578.44444439</v>
      </c>
      <c r="K469">
        <v>138521852.33333331</v>
      </c>
      <c r="L469">
        <v>640088366.85714281</v>
      </c>
      <c r="M469">
        <v>281232039.375</v>
      </c>
      <c r="N469">
        <v>82010881</v>
      </c>
      <c r="O469">
        <v>326456684.83333337</v>
      </c>
    </row>
    <row r="470" spans="1:15" x14ac:dyDescent="0.15">
      <c r="A470" s="10" t="s">
        <v>225</v>
      </c>
      <c r="B470">
        <v>20649096.199999999</v>
      </c>
      <c r="C470">
        <v>624866136.75</v>
      </c>
      <c r="D470">
        <v>983779378.11111116</v>
      </c>
      <c r="E470">
        <v>220418520.66666669</v>
      </c>
      <c r="F470">
        <v>156685315.5714286</v>
      </c>
      <c r="G470">
        <v>256221428.46153849</v>
      </c>
      <c r="H470">
        <v>75951588</v>
      </c>
      <c r="I470">
        <v>118310937.5</v>
      </c>
      <c r="J470">
        <v>84138210.111111104</v>
      </c>
      <c r="K470">
        <v>16770716.33333333</v>
      </c>
      <c r="L470">
        <v>660962345.5</v>
      </c>
      <c r="M470">
        <v>355579840</v>
      </c>
      <c r="N470">
        <v>67690458.333333328</v>
      </c>
      <c r="O470">
        <v>445993508.83333331</v>
      </c>
    </row>
    <row r="471" spans="1:15" x14ac:dyDescent="0.15">
      <c r="A471" s="10" t="s">
        <v>357</v>
      </c>
    </row>
    <row r="472" spans="1:15" x14ac:dyDescent="0.15">
      <c r="A472" s="10" t="s">
        <v>541</v>
      </c>
      <c r="B472">
        <v>4549317.0000000009</v>
      </c>
      <c r="C472">
        <v>172646499.5625</v>
      </c>
      <c r="D472">
        <v>259238855.8888889</v>
      </c>
      <c r="E472">
        <v>56341095</v>
      </c>
      <c r="F472">
        <v>50717291.714285709</v>
      </c>
      <c r="G472">
        <v>84093920.230769232</v>
      </c>
      <c r="H472">
        <v>29885759.333333328</v>
      </c>
      <c r="I472">
        <v>50734922.5</v>
      </c>
      <c r="J472">
        <v>30576273.666666672</v>
      </c>
      <c r="K472">
        <v>6204261.666666667</v>
      </c>
      <c r="L472">
        <v>224617336.1428571</v>
      </c>
      <c r="M472">
        <v>99602832.875</v>
      </c>
      <c r="N472">
        <v>29825687</v>
      </c>
      <c r="O472">
        <v>131711830.6666667</v>
      </c>
    </row>
    <row r="473" spans="1:15" x14ac:dyDescent="0.15">
      <c r="A473" s="10" t="s">
        <v>634</v>
      </c>
    </row>
    <row r="474" spans="1:15" x14ac:dyDescent="0.15">
      <c r="A474" s="10" t="s">
        <v>669</v>
      </c>
    </row>
    <row r="475" spans="1:15" x14ac:dyDescent="0.15">
      <c r="A475" s="10" t="s">
        <v>581</v>
      </c>
    </row>
    <row r="476" spans="1:15" x14ac:dyDescent="0.15">
      <c r="A476" s="10" t="s">
        <v>546</v>
      </c>
    </row>
    <row r="477" spans="1:15" x14ac:dyDescent="0.15">
      <c r="A477" s="10" t="s">
        <v>375</v>
      </c>
    </row>
    <row r="478" spans="1:15" x14ac:dyDescent="0.15">
      <c r="A478" s="10" t="s">
        <v>383</v>
      </c>
    </row>
    <row r="479" spans="1:15" x14ac:dyDescent="0.15">
      <c r="A479" s="10" t="s">
        <v>384</v>
      </c>
    </row>
    <row r="480" spans="1:15" x14ac:dyDescent="0.15">
      <c r="A480" s="10" t="s">
        <v>670</v>
      </c>
    </row>
    <row r="481" spans="1:15" x14ac:dyDescent="0.15">
      <c r="A481" s="10" t="s">
        <v>252</v>
      </c>
    </row>
    <row r="482" spans="1:15" x14ac:dyDescent="0.15">
      <c r="A482" s="10" t="s">
        <v>247</v>
      </c>
    </row>
    <row r="483" spans="1:15" x14ac:dyDescent="0.15">
      <c r="A483" s="10" t="s">
        <v>209</v>
      </c>
      <c r="B483">
        <v>871860.60000000009</v>
      </c>
      <c r="C483">
        <v>20551866.5625</v>
      </c>
      <c r="D483">
        <v>34444451.888888888</v>
      </c>
      <c r="E483">
        <v>8006505</v>
      </c>
      <c r="F483">
        <v>3924688.8571428568</v>
      </c>
      <c r="G483">
        <v>6213893</v>
      </c>
      <c r="H483">
        <v>1020439.333333333</v>
      </c>
      <c r="I483">
        <v>894634</v>
      </c>
      <c r="J483">
        <v>1549101.666666667</v>
      </c>
      <c r="K483">
        <v>290883.66666666669</v>
      </c>
      <c r="L483">
        <v>14768306.428571429</v>
      </c>
      <c r="M483">
        <v>11469043.625</v>
      </c>
      <c r="N483">
        <v>380627</v>
      </c>
      <c r="O483">
        <v>13261347.66666667</v>
      </c>
    </row>
    <row r="484" spans="1:15" x14ac:dyDescent="0.15">
      <c r="A484" s="10" t="s">
        <v>631</v>
      </c>
    </row>
    <row r="485" spans="1:15" x14ac:dyDescent="0.15">
      <c r="A485" s="10" t="s">
        <v>645</v>
      </c>
    </row>
    <row r="486" spans="1:15" x14ac:dyDescent="0.15">
      <c r="A486" s="10" t="s">
        <v>599</v>
      </c>
    </row>
    <row r="487" spans="1:15" x14ac:dyDescent="0.15">
      <c r="A487" s="10" t="s">
        <v>324</v>
      </c>
    </row>
    <row r="488" spans="1:15" x14ac:dyDescent="0.15">
      <c r="A488" s="10" t="s">
        <v>421</v>
      </c>
    </row>
    <row r="489" spans="1:15" x14ac:dyDescent="0.15">
      <c r="A489" s="10" t="s">
        <v>422</v>
      </c>
    </row>
    <row r="490" spans="1:15" x14ac:dyDescent="0.15">
      <c r="A490" s="10" t="s">
        <v>423</v>
      </c>
    </row>
    <row r="491" spans="1:15" x14ac:dyDescent="0.15">
      <c r="A491" s="10" t="s">
        <v>312</v>
      </c>
      <c r="B491">
        <v>5114644.6000000006</v>
      </c>
      <c r="C491">
        <v>188310894.25</v>
      </c>
      <c r="D491">
        <v>280691645.55555558</v>
      </c>
      <c r="E491">
        <v>60807539.583333343</v>
      </c>
      <c r="F491">
        <v>57338247</v>
      </c>
      <c r="G491">
        <v>93503873.230769232</v>
      </c>
      <c r="H491">
        <v>34000668.666666657</v>
      </c>
      <c r="I491">
        <v>57574555.25</v>
      </c>
      <c r="J491">
        <v>34716805.888888888</v>
      </c>
      <c r="K491">
        <v>7037477</v>
      </c>
      <c r="L491">
        <v>252681356.85714281</v>
      </c>
      <c r="M491">
        <v>108723602.125</v>
      </c>
      <c r="N491">
        <v>34148620.666666657</v>
      </c>
      <c r="O491">
        <v>144957344.16666669</v>
      </c>
    </row>
    <row r="492" spans="1:15" x14ac:dyDescent="0.15">
      <c r="A492" s="10" t="s">
        <v>197</v>
      </c>
    </row>
    <row r="493" spans="1:15" x14ac:dyDescent="0.15">
      <c r="A493" s="10" t="s">
        <v>198</v>
      </c>
    </row>
    <row r="494" spans="1:15" x14ac:dyDescent="0.15">
      <c r="A494" s="10" t="s">
        <v>529</v>
      </c>
    </row>
    <row r="495" spans="1:15" x14ac:dyDescent="0.15">
      <c r="A495" s="10" t="s">
        <v>537</v>
      </c>
    </row>
    <row r="496" spans="1:15" x14ac:dyDescent="0.15">
      <c r="A496" s="10" t="s">
        <v>530</v>
      </c>
    </row>
    <row r="497" spans="1:15" x14ac:dyDescent="0.15">
      <c r="A497" s="10" t="s">
        <v>531</v>
      </c>
    </row>
    <row r="498" spans="1:15" x14ac:dyDescent="0.15">
      <c r="A498" s="10" t="s">
        <v>532</v>
      </c>
    </row>
    <row r="499" spans="1:15" x14ac:dyDescent="0.15">
      <c r="A499" s="10" t="s">
        <v>533</v>
      </c>
    </row>
    <row r="500" spans="1:15" x14ac:dyDescent="0.15">
      <c r="A500" s="10" t="s">
        <v>298</v>
      </c>
    </row>
    <row r="501" spans="1:15" x14ac:dyDescent="0.15">
      <c r="A501" s="10" t="s">
        <v>299</v>
      </c>
      <c r="B501">
        <v>10589.4</v>
      </c>
      <c r="C501">
        <v>249617.8125</v>
      </c>
      <c r="D501">
        <v>418353.66666666663</v>
      </c>
      <c r="E501">
        <v>97245</v>
      </c>
      <c r="F501">
        <v>47668.28571428571</v>
      </c>
      <c r="G501">
        <v>75472.384615384624</v>
      </c>
      <c r="H501">
        <v>12394</v>
      </c>
      <c r="I501">
        <v>10866</v>
      </c>
      <c r="J501">
        <v>18815</v>
      </c>
      <c r="K501">
        <v>3533</v>
      </c>
      <c r="L501">
        <v>179372.14285714281</v>
      </c>
      <c r="M501">
        <v>139300.125</v>
      </c>
      <c r="N501">
        <v>4623</v>
      </c>
      <c r="O501">
        <v>161069</v>
      </c>
    </row>
    <row r="502" spans="1:15" x14ac:dyDescent="0.15">
      <c r="A502" s="10" t="s">
        <v>229</v>
      </c>
    </row>
    <row r="503" spans="1:15" x14ac:dyDescent="0.15">
      <c r="A503" s="10" t="s">
        <v>313</v>
      </c>
      <c r="B503">
        <v>42695876</v>
      </c>
      <c r="C503">
        <v>881329198.6875</v>
      </c>
      <c r="D503">
        <v>1216170345.333333</v>
      </c>
      <c r="E503">
        <v>589295092.5</v>
      </c>
      <c r="F503">
        <v>164897205.4285714</v>
      </c>
      <c r="G503">
        <v>448871576.23076922</v>
      </c>
      <c r="H503">
        <v>72848940.111111119</v>
      </c>
      <c r="I503">
        <v>620024658.75</v>
      </c>
      <c r="J503">
        <v>475735906.88888878</v>
      </c>
      <c r="K503">
        <v>186060823</v>
      </c>
      <c r="L503">
        <v>1395857708</v>
      </c>
      <c r="M503">
        <v>458590981.375</v>
      </c>
      <c r="N503">
        <v>111079558.3333333</v>
      </c>
      <c r="O503">
        <v>517404962.83333337</v>
      </c>
    </row>
    <row r="504" spans="1:15" x14ac:dyDescent="0.15">
      <c r="A504" s="10" t="s">
        <v>640</v>
      </c>
    </row>
    <row r="505" spans="1:15" x14ac:dyDescent="0.15">
      <c r="A505" s="10" t="s">
        <v>639</v>
      </c>
      <c r="B505">
        <v>4856670</v>
      </c>
      <c r="C505">
        <v>127000895.0625</v>
      </c>
      <c r="D505">
        <v>211871300.77777779</v>
      </c>
      <c r="E505">
        <v>49218784</v>
      </c>
      <c r="F505">
        <v>22214237.428571429</v>
      </c>
      <c r="G505">
        <v>41953311.538461544</v>
      </c>
      <c r="H505">
        <v>6718088.666666666</v>
      </c>
      <c r="I505">
        <v>6810328.25</v>
      </c>
      <c r="J505">
        <v>10759851</v>
      </c>
      <c r="K505">
        <v>1852657.333333333</v>
      </c>
      <c r="L505">
        <v>92510250.571428567</v>
      </c>
      <c r="M505">
        <v>71215558.75</v>
      </c>
      <c r="N505">
        <v>2381343</v>
      </c>
      <c r="O505">
        <v>81489960.833333328</v>
      </c>
    </row>
    <row r="506" spans="1:15" x14ac:dyDescent="0.15">
      <c r="A506" s="10" t="s">
        <v>683</v>
      </c>
    </row>
    <row r="507" spans="1:15" x14ac:dyDescent="0.15">
      <c r="A507" s="10" t="s">
        <v>411</v>
      </c>
    </row>
    <row r="508" spans="1:15" x14ac:dyDescent="0.15">
      <c r="A508" s="10" t="s">
        <v>481</v>
      </c>
    </row>
    <row r="509" spans="1:15" x14ac:dyDescent="0.15">
      <c r="A509" s="10" t="s">
        <v>482</v>
      </c>
    </row>
    <row r="510" spans="1:15" x14ac:dyDescent="0.15">
      <c r="A510" s="10" t="s">
        <v>483</v>
      </c>
    </row>
    <row r="511" spans="1:15" x14ac:dyDescent="0.15">
      <c r="A511" s="10" t="s">
        <v>484</v>
      </c>
    </row>
    <row r="512" spans="1:15" x14ac:dyDescent="0.15">
      <c r="A512" s="10" t="s">
        <v>263</v>
      </c>
      <c r="B512">
        <v>4679178.8</v>
      </c>
      <c r="C512">
        <v>738721335.3125</v>
      </c>
      <c r="D512">
        <v>1097534924</v>
      </c>
      <c r="E512">
        <v>550981070.08333325</v>
      </c>
      <c r="F512">
        <v>71422317.285714284</v>
      </c>
      <c r="G512">
        <v>195674388</v>
      </c>
      <c r="H512">
        <v>11235932.11111111</v>
      </c>
      <c r="I512">
        <v>606234384.25</v>
      </c>
      <c r="J512">
        <v>321153117.44444448</v>
      </c>
      <c r="K512">
        <v>171933853</v>
      </c>
      <c r="L512">
        <v>861283920.28571427</v>
      </c>
      <c r="M512">
        <v>379420610.125</v>
      </c>
      <c r="N512">
        <v>102329587</v>
      </c>
      <c r="O512">
        <v>439052693.16666669</v>
      </c>
    </row>
    <row r="513" spans="1:15" x14ac:dyDescent="0.15">
      <c r="A513" s="10" t="s">
        <v>260</v>
      </c>
    </row>
    <row r="514" spans="1:15" x14ac:dyDescent="0.15">
      <c r="A514" s="10" t="s">
        <v>300</v>
      </c>
    </row>
    <row r="515" spans="1:15" x14ac:dyDescent="0.15">
      <c r="A515" s="10" t="s">
        <v>615</v>
      </c>
    </row>
    <row r="516" spans="1:15" x14ac:dyDescent="0.15">
      <c r="A516" s="10" t="s">
        <v>616</v>
      </c>
    </row>
    <row r="517" spans="1:15" x14ac:dyDescent="0.15">
      <c r="A517" s="10" t="s">
        <v>278</v>
      </c>
      <c r="B517">
        <v>124186608.8</v>
      </c>
      <c r="C517">
        <v>4725926165.5</v>
      </c>
      <c r="D517">
        <v>7054161196</v>
      </c>
      <c r="E517">
        <v>1526205893.333333</v>
      </c>
      <c r="F517">
        <v>1434093021.1428571</v>
      </c>
      <c r="G517">
        <v>2326335507.6923079</v>
      </c>
      <c r="H517">
        <v>850122197.33333337</v>
      </c>
      <c r="I517">
        <v>1450196162</v>
      </c>
      <c r="J517">
        <v>856588474.22222221</v>
      </c>
      <c r="K517">
        <v>175627596</v>
      </c>
      <c r="L517">
        <v>6305320913.999999</v>
      </c>
      <c r="M517">
        <v>2729128065</v>
      </c>
      <c r="N517">
        <v>860364974.66666663</v>
      </c>
      <c r="O517">
        <v>3642772228.666667</v>
      </c>
    </row>
    <row r="518" spans="1:15" x14ac:dyDescent="0.15">
      <c r="A518" s="10" t="s">
        <v>392</v>
      </c>
      <c r="B518">
        <v>21402279.600000001</v>
      </c>
      <c r="C518">
        <v>815560892.0625</v>
      </c>
      <c r="D518">
        <v>1217021133.333333</v>
      </c>
      <c r="E518">
        <v>263260975</v>
      </c>
      <c r="F518">
        <v>247684527</v>
      </c>
      <c r="G518">
        <v>401798420.53846163</v>
      </c>
      <c r="H518">
        <v>146939382</v>
      </c>
      <c r="I518">
        <v>250732636.5</v>
      </c>
      <c r="J518">
        <v>148011818.66666669</v>
      </c>
      <c r="K518">
        <v>30349402</v>
      </c>
      <c r="L518">
        <v>1089218157.2142861</v>
      </c>
      <c r="M518">
        <v>471004807.125</v>
      </c>
      <c r="N518">
        <v>148766414</v>
      </c>
      <c r="O518">
        <v>628863247.5</v>
      </c>
    </row>
    <row r="519" spans="1:15" x14ac:dyDescent="0.15">
      <c r="A519" s="10" t="s">
        <v>401</v>
      </c>
    </row>
    <row r="520" spans="1:15" x14ac:dyDescent="0.15">
      <c r="A520" s="10" t="s">
        <v>564</v>
      </c>
      <c r="B520">
        <v>48158770.200000003</v>
      </c>
      <c r="C520">
        <v>1805256433.5</v>
      </c>
      <c r="D520">
        <v>2691591000</v>
      </c>
      <c r="E520">
        <v>582563414.75</v>
      </c>
      <c r="F520">
        <v>549445744.71428573</v>
      </c>
      <c r="G520">
        <v>893755932.92307699</v>
      </c>
      <c r="H520">
        <v>326144774</v>
      </c>
      <c r="I520">
        <v>554511576.75</v>
      </c>
      <c r="J520">
        <v>330723798.33333331</v>
      </c>
      <c r="K520">
        <v>67420265</v>
      </c>
      <c r="L520">
        <v>2419350463.2857141</v>
      </c>
      <c r="M520">
        <v>1042507486.875</v>
      </c>
      <c r="N520">
        <v>328977940</v>
      </c>
      <c r="O520">
        <v>1391305327.5</v>
      </c>
    </row>
    <row r="521" spans="1:15" x14ac:dyDescent="0.15">
      <c r="A521" s="10" t="s">
        <v>613</v>
      </c>
      <c r="B521">
        <v>308572724.80000001</v>
      </c>
      <c r="C521">
        <v>8843054828.5</v>
      </c>
      <c r="D521">
        <v>13193735006.111111</v>
      </c>
      <c r="E521">
        <v>3019550563.833333</v>
      </c>
      <c r="F521">
        <v>2583946046.2857141</v>
      </c>
      <c r="G521">
        <v>4504793401.4615383</v>
      </c>
      <c r="H521">
        <v>1483902863</v>
      </c>
      <c r="I521">
        <v>2512263706.5</v>
      </c>
      <c r="J521">
        <v>1830947736.5555561</v>
      </c>
      <c r="K521">
        <v>372871919.66666669</v>
      </c>
      <c r="L521">
        <v>11800246469.714279</v>
      </c>
      <c r="M521">
        <v>5066528515.875</v>
      </c>
      <c r="N521">
        <v>1384197270.666667</v>
      </c>
      <c r="O521">
        <v>6562313641.333333</v>
      </c>
    </row>
    <row r="522" spans="1:15" x14ac:dyDescent="0.15">
      <c r="A522" s="10" t="s">
        <v>660</v>
      </c>
    </row>
  </sheetData>
  <autoFilter ref="A1:O1" xr:uid="{00000000-0001-0000-0800-000000000000}">
    <sortState xmlns:xlrd2="http://schemas.microsoft.com/office/spreadsheetml/2017/richdata2" ref="A2:O522">
      <sortCondition ref="A1:A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raw_data</vt:lpstr>
      <vt:lpstr>cluster_distr</vt:lpstr>
      <vt:lpstr>kinase_distr</vt:lpstr>
      <vt:lpstr>coloc dot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Kirby Leo</cp:lastModifiedBy>
  <dcterms:created xsi:type="dcterms:W3CDTF">2021-05-15T22:22:08Z</dcterms:created>
  <dcterms:modified xsi:type="dcterms:W3CDTF">2022-03-31T12:44:29Z</dcterms:modified>
</cp:coreProperties>
</file>