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Asp_post_salvage/143B/"/>
    </mc:Choice>
  </mc:AlternateContent>
  <xr:revisionPtr revIDLastSave="0" documentId="13_ncr:1_{54A9B69C-7A2B-A34C-9232-AD930B5366AD}" xr6:coauthVersionLast="45" xr6:coauthVersionMax="46" xr10:uidLastSave="{00000000-0000-0000-0000-000000000000}"/>
  <bookViews>
    <workbookView xWindow="0" yWindow="1400" windowWidth="28800" windowHeight="1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6" i="1" l="1"/>
  <c r="N106" i="1"/>
  <c r="P106" i="1" s="1"/>
  <c r="P108" i="1"/>
  <c r="O108" i="1"/>
  <c r="N108" i="1"/>
  <c r="O107" i="1"/>
  <c r="N107" i="1"/>
  <c r="P107" i="1" s="1"/>
  <c r="O101" i="1"/>
  <c r="N101" i="1"/>
  <c r="P101" i="1" s="1"/>
  <c r="O99" i="1"/>
  <c r="N99" i="1"/>
  <c r="P99" i="1" s="1"/>
  <c r="O97" i="1"/>
  <c r="P97" i="1" s="1"/>
  <c r="N97" i="1"/>
  <c r="N91" i="1"/>
  <c r="P91" i="1" s="1"/>
  <c r="O91" i="1"/>
  <c r="O90" i="1"/>
  <c r="N90" i="1"/>
  <c r="P90" i="1" s="1"/>
  <c r="O89" i="1"/>
  <c r="N89" i="1"/>
  <c r="P89" i="1" s="1"/>
  <c r="O84" i="1"/>
  <c r="N84" i="1"/>
  <c r="P84" i="1" s="1"/>
  <c r="O82" i="1"/>
  <c r="N82" i="1"/>
  <c r="P82" i="1" s="1"/>
  <c r="O80" i="1"/>
  <c r="P80" i="1" s="1"/>
  <c r="N80" i="1"/>
  <c r="O75" i="1"/>
  <c r="N75" i="1"/>
  <c r="P75" i="1" s="1"/>
  <c r="P73" i="1"/>
  <c r="O73" i="1"/>
  <c r="N73" i="1"/>
  <c r="O71" i="1"/>
  <c r="P71" i="1" s="1"/>
  <c r="N71" i="1"/>
  <c r="N61" i="1"/>
  <c r="P61" i="1" s="1"/>
  <c r="O61" i="1"/>
  <c r="O65" i="1"/>
  <c r="N65" i="1"/>
  <c r="P65" i="1" s="1"/>
  <c r="P63" i="1"/>
  <c r="O63" i="1"/>
  <c r="N63" i="1"/>
  <c r="O55" i="1"/>
  <c r="N55" i="1"/>
  <c r="P55" i="1" s="1"/>
  <c r="P53" i="1"/>
  <c r="O53" i="1"/>
  <c r="N53" i="1"/>
  <c r="O51" i="1"/>
  <c r="P51" i="1" s="1"/>
  <c r="N51" i="1"/>
  <c r="N41" i="1"/>
  <c r="O45" i="1"/>
  <c r="N45" i="1"/>
  <c r="P45" i="1" s="1"/>
  <c r="P43" i="1"/>
  <c r="O43" i="1"/>
  <c r="N43" i="1"/>
  <c r="O41" i="1"/>
  <c r="O35" i="1"/>
  <c r="N35" i="1"/>
  <c r="P35" i="1" s="1"/>
  <c r="P33" i="1"/>
  <c r="O33" i="1"/>
  <c r="N33" i="1"/>
  <c r="O31" i="1"/>
  <c r="P31" i="1" s="1"/>
  <c r="N31" i="1"/>
  <c r="N21" i="1"/>
  <c r="O25" i="1"/>
  <c r="N25" i="1"/>
  <c r="P25" i="1" s="1"/>
  <c r="O23" i="1"/>
  <c r="N23" i="1"/>
  <c r="P23" i="1" s="1"/>
  <c r="O21" i="1"/>
  <c r="O11" i="1"/>
  <c r="N11" i="1"/>
  <c r="P11" i="1" s="1"/>
  <c r="O15" i="1"/>
  <c r="P15" i="1"/>
  <c r="N15" i="1"/>
  <c r="O13" i="1"/>
  <c r="N13" i="1"/>
  <c r="P13" i="1" s="1"/>
  <c r="P41" i="1" l="1"/>
  <c r="P21" i="1"/>
  <c r="F126" i="1"/>
  <c r="K18" i="1" l="1"/>
  <c r="L18" i="1" s="1"/>
  <c r="K28" i="1"/>
  <c r="L28" i="1" s="1"/>
  <c r="K38" i="1"/>
  <c r="L38" i="1" s="1"/>
  <c r="K48" i="1"/>
  <c r="L48" i="1" s="1"/>
  <c r="K58" i="1"/>
  <c r="L58" i="1" s="1"/>
  <c r="K68" i="1"/>
  <c r="L68" i="1" s="1"/>
  <c r="K77" i="1"/>
  <c r="L77" i="1" s="1"/>
  <c r="K87" i="1"/>
  <c r="L87" i="1" s="1"/>
  <c r="K94" i="1"/>
  <c r="L94" i="1" s="1"/>
  <c r="K104" i="1"/>
  <c r="L104" i="1" s="1"/>
  <c r="L111" i="1"/>
  <c r="K111" i="1"/>
  <c r="F136" i="1"/>
  <c r="F135" i="1"/>
  <c r="F129" i="1"/>
  <c r="F134" i="1"/>
  <c r="F128" i="1"/>
  <c r="F133" i="1"/>
  <c r="F127" i="1"/>
  <c r="F132" i="1"/>
  <c r="F131" i="1"/>
  <c r="F125" i="1"/>
  <c r="E94" i="1"/>
  <c r="J92" i="1"/>
  <c r="B94" i="1"/>
  <c r="D94" i="1"/>
  <c r="F94" i="1" s="1"/>
  <c r="M92" i="1"/>
  <c r="L92" i="1"/>
  <c r="C94" i="1" s="1"/>
  <c r="K92" i="1"/>
  <c r="H94" i="1" s="1"/>
  <c r="E111" i="1"/>
  <c r="B111" i="1"/>
  <c r="M109" i="1"/>
  <c r="L109" i="1"/>
  <c r="C111" i="1" s="1"/>
  <c r="K109" i="1"/>
  <c r="J109" i="1"/>
  <c r="H111" i="1"/>
  <c r="D111" i="1"/>
  <c r="F111" i="1" s="1"/>
  <c r="E104" i="1"/>
  <c r="J102" i="1"/>
  <c r="D104" i="1" s="1"/>
  <c r="F104" i="1" s="1"/>
  <c r="B104" i="1"/>
  <c r="M102" i="1"/>
  <c r="L102" i="1"/>
  <c r="C104" i="1" s="1"/>
  <c r="K102" i="1"/>
  <c r="H104" i="1" s="1"/>
  <c r="E87" i="1"/>
  <c r="E77" i="1"/>
  <c r="J85" i="1"/>
  <c r="D87" i="1" s="1"/>
  <c r="F87" i="1" s="1"/>
  <c r="B87" i="1"/>
  <c r="C87" i="1"/>
  <c r="M85" i="1"/>
  <c r="L85" i="1"/>
  <c r="K85" i="1"/>
  <c r="H87" i="1" s="1"/>
  <c r="M75" i="1"/>
  <c r="L75" i="1"/>
  <c r="C77" i="1" s="1"/>
  <c r="K75" i="1"/>
  <c r="H77" i="1" s="1"/>
  <c r="J75" i="1"/>
  <c r="D77" i="1" s="1"/>
  <c r="E68" i="1"/>
  <c r="E58" i="1"/>
  <c r="B68" i="1"/>
  <c r="E28" i="1"/>
  <c r="C68" i="1"/>
  <c r="M66" i="1"/>
  <c r="L66" i="1"/>
  <c r="K66" i="1"/>
  <c r="J66" i="1"/>
  <c r="D68" i="1" s="1"/>
  <c r="F68" i="1" s="1"/>
  <c r="B58" i="1"/>
  <c r="D58" i="1"/>
  <c r="F58" i="1" s="1"/>
  <c r="M56" i="1"/>
  <c r="L56" i="1"/>
  <c r="C58" i="1" s="1"/>
  <c r="K56" i="1"/>
  <c r="H58" i="1" s="1"/>
  <c r="I58" i="1" s="1"/>
  <c r="J56" i="1"/>
  <c r="E48" i="1"/>
  <c r="B48" i="1"/>
  <c r="M46" i="1"/>
  <c r="L46" i="1"/>
  <c r="C48" i="1" s="1"/>
  <c r="K46" i="1"/>
  <c r="H48" i="1" s="1"/>
  <c r="I48" i="1" s="1"/>
  <c r="J46" i="1"/>
  <c r="D48" i="1" s="1"/>
  <c r="F48" i="1" s="1"/>
  <c r="E38" i="1"/>
  <c r="H38" i="1"/>
  <c r="D38" i="1"/>
  <c r="C38" i="1"/>
  <c r="B38" i="1"/>
  <c r="I38" i="1"/>
  <c r="F38" i="1"/>
  <c r="C28" i="1"/>
  <c r="H28" i="1"/>
  <c r="I28" i="1" s="1"/>
  <c r="D28" i="1"/>
  <c r="F28" i="1" s="1"/>
  <c r="B28" i="1"/>
  <c r="I18" i="1"/>
  <c r="H18" i="1"/>
  <c r="F18" i="1"/>
  <c r="D18" i="1"/>
  <c r="C18" i="1"/>
  <c r="B18" i="1"/>
  <c r="K36" i="1"/>
  <c r="J36" i="1"/>
  <c r="M36" i="1"/>
  <c r="L36" i="1"/>
  <c r="E18" i="1"/>
  <c r="J26" i="1"/>
  <c r="M26" i="1"/>
  <c r="L26" i="1"/>
  <c r="K26" i="1"/>
  <c r="J16" i="1"/>
  <c r="M16" i="1"/>
  <c r="L16" i="1"/>
  <c r="K16" i="1"/>
  <c r="K8" i="1"/>
  <c r="L8" i="1"/>
  <c r="M8" i="1"/>
  <c r="J8" i="1"/>
  <c r="I94" i="1" l="1"/>
  <c r="I111" i="1"/>
  <c r="I104" i="1"/>
  <c r="F77" i="1"/>
  <c r="I87" i="1"/>
  <c r="I77" i="1"/>
  <c r="B77" i="1"/>
  <c r="H68" i="1"/>
  <c r="I68" i="1" s="1"/>
</calcChain>
</file>

<file path=xl/sharedStrings.xml><?xml version="1.0" encoding="utf-8"?>
<sst xmlns="http://schemas.openxmlformats.org/spreadsheetml/2006/main" count="482" uniqueCount="142">
  <si>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</si>
  <si>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</si>
  <si>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</si>
  <si>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</si>
  <si>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</si>
  <si>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</si>
  <si>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</si>
  <si>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</si>
  <si>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</si>
  <si>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</si>
  <si>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</si>
  <si>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</si>
  <si>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</si>
  <si>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1.2mM-met-sal-mix_1</t>
  </si>
  <si>
    <t>1.2mM-met-sal-mix_2</t>
  </si>
  <si>
    <t>1.2mM-met-sal-mix_3</t>
  </si>
  <si>
    <t>1.2mM-met_no-sal_1</t>
  </si>
  <si>
    <t>1.2mM-met_no-sal_2</t>
  </si>
  <si>
    <t>1.2mM-met_no-sal_3</t>
  </si>
  <si>
    <t>1.6mM-met-sal-mix_1</t>
  </si>
  <si>
    <t>1.6mM-met-sal-mix_2</t>
  </si>
  <si>
    <t>1.6mM-met-sal-mix_3</t>
  </si>
  <si>
    <t>1mM-met-sal-mix_1</t>
  </si>
  <si>
    <t>1mM-met-sal-mix_2</t>
  </si>
  <si>
    <t>1mM-met-sal-mix_3</t>
  </si>
  <si>
    <t>1mM-met_no-sal_1</t>
  </si>
  <si>
    <t>1mM-met_no-sal_2</t>
  </si>
  <si>
    <t>1mM-met_no-sal_3</t>
  </si>
  <si>
    <t>143B-Nuc-RFP</t>
  </si>
  <si>
    <t>143B-Nuc-RFP_Asp-levels</t>
  </si>
  <si>
    <t xml:space="preserve">143B-Nuc-RFP_Asp-levels </t>
  </si>
  <si>
    <t>143B-Nuc-RFP_Asp-levels_post-salvage_harvest</t>
  </si>
  <si>
    <t>143B-Nuc-RFP_Asp-levels-post-salvage_harvest_no-sal_1_14 Dec 2020_01.#m4</t>
  </si>
  <si>
    <t>143B-Nuc-RFP_Asp-levels-post-salvage_harvest_no-sal_1_14 Dec 2020_02.#m4</t>
  </si>
  <si>
    <t>143B-Nuc-RFP_Asp-levels-post-salvage_harvest_no-sal_2_14 Dec 2020_01.#m4</t>
  </si>
  <si>
    <t>143B-Nuc-RFP_Asp-levels-post-salvage_harvest_no-sal_2_14 Dec 2020_02.#m4</t>
  </si>
  <si>
    <t>143B-Nuc-RFP_Asp-levels-post-salvage_harvest_no-sal_3_14 Dec 2020_01.#m4</t>
  </si>
  <si>
    <t>143B-Nuc-RFP_Asp-levels-post-salvage_harvest_no-sal_3_14 Dec 2020_02.#m4</t>
  </si>
  <si>
    <t>143B-Nuc-RFP_Asp-levels-post-salvage_harvest_sal-mix_1_14 Dec 2020_01.#m4</t>
  </si>
  <si>
    <t>143B-Nuc-RFP_Asp-levels-post-salvage_harvest_sal-mix_1_14 Dec 2020_02.#m4</t>
  </si>
  <si>
    <t>143B-Nuc-RFP_Asp-levels-post-salvage_harvest_sal-mix_2_14 Dec 2020_01.#m4</t>
  </si>
  <si>
    <t>143B-Nuc-RFP_Asp-levels-post-salvage_harvest_sal-mix_2_14 Dec 2020_02.#m4</t>
  </si>
  <si>
    <t>143B-Nuc-RFP_Asp-levels-post-salvage_harvest_sal-mix_3_14 Dec 2020_01.#m4</t>
  </si>
  <si>
    <t>143B-Nuc-RFP_Asp-levels-post-salvage_harvest_sal-mix_3_14 Dec 2020_02.#m4</t>
  </si>
  <si>
    <t>143B-Nuc-RFP_Asp-levels-post-salvage_t0_1_ 9 Dec 2020_01.#m4</t>
  </si>
  <si>
    <t>143B-Nuc-RFP_Asp-levels-post-salvage_t0_2_ 9 Dec 2020_01.#m4</t>
  </si>
  <si>
    <t>143B-Nuc-RFP_Asp-levels-post-salvage_t0_3_ 9 Dec 2020_01.#m4</t>
  </si>
  <si>
    <t>143B-Nuc-RFP_Asp-levels-post-salvage_t0_4_ 9 Dec 2020_01.#m4</t>
  </si>
  <si>
    <t>143B-Nuc-RFP_Asp-levels-post-salvage_t0_5_ 9 Dec 2020_01.#m4</t>
  </si>
  <si>
    <t>143B-Nuc-RFP_Asp-levels-post-salvage_t0_6_ 9 Dec 2020_01.#m4</t>
  </si>
  <si>
    <t>143B-Nuc-RFP_Asp-levels_post-salvage_harvest_0.5mM-met_no-sal_1_15 Dec 2020_01.#m4</t>
  </si>
  <si>
    <t>143B-Nuc-RFP_Asp-levels_post-salvage_harvest_0.5mM-met_no-sal_1_15 Dec 2020_02.#m4</t>
  </si>
  <si>
    <t>143B-Nuc-RFP_Asp-levels_post-salvage_harvest_0.5mM-met_no-sal_2_15 Dec 2020_01.#m4</t>
  </si>
  <si>
    <t>143B-Nuc-RFP_Asp-levels_post-salvage_harvest_0.5mM-met_no-sal_2_15 Dec 2020_02.#m4</t>
  </si>
  <si>
    <t>143B-Nuc-RFP_Asp-levels_post-salvage_harvest_0.5mM-met_no-sal_3_15 Dec 2020_01.#m4</t>
  </si>
  <si>
    <t>143B-Nuc-RFP_Asp-levels_post-salvage_harvest_0.5mM-met_no-sal_3_15 Dec 2020_02.#m4</t>
  </si>
  <si>
    <t>143B-Nuc-RFP_Asp-levels_post-salvage_harvest_0.8mM-met-sal-mix_1_18 Dec 2020_01.#m4</t>
  </si>
  <si>
    <t>143B-Nuc-RFP_Asp-levels_post-salvage_harvest_0.8mM-met-sal-mix_1_18 Dec 2020_02.#m4</t>
  </si>
  <si>
    <t>143B-Nuc-RFP_Asp-levels_post-salvage_harvest_0.8mM-met-sal-mix_2_18 Dec 2020_01.#m4</t>
  </si>
  <si>
    <t>143B-Nuc-RFP_Asp-levels_post-salvage_harvest_0.8mM-met-sal-mix_2_18 Dec 2020_02.#m4</t>
  </si>
  <si>
    <t>143B-Nuc-RFP_Asp-levels_post-salvage_harvest_0.8mM-met-sal-mix_3_18 Dec 2020_01.#m4</t>
  </si>
  <si>
    <t>143B-Nuc-RFP_Asp-levels_post-salvage_harvest_0.8mM-met-sal-mix_3_18 Dec 2020_02.#m4</t>
  </si>
  <si>
    <t>143B-Nuc-RFP_Asp-levels _post-salvage_harvest_0.8mM-met_no-sal_1_18 Dec 2020_01.#m4</t>
  </si>
  <si>
    <t>143B-Nuc-RFP_Asp-levels _post-salvage_harvest_0.8mM-met_no-sal_1_18 Dec 2020_02.#m4</t>
  </si>
  <si>
    <t>143B-Nuc-RFP_Asp-levels _post-salvage_harvest_0.8mM-met_no-sal_2_18 Dec 2020_01.#m4</t>
  </si>
  <si>
    <t>143B-Nuc-RFP_Asp-levels _post-salvage_harvest_0.8mM-met_no-sal_2_18 Dec 2020_02.#m4</t>
  </si>
  <si>
    <t>143B-Nuc-RFP_Asp-levels _post-salvage_harvest_0.8mM-met_no-sal_3_18 Dec 2020_01.#m4</t>
  </si>
  <si>
    <t>143B-Nuc-RFP_Asp-levels _post-salvage_harvest_0.8mM-met_no-sal_3_18 Dec 2020_02.#m4</t>
  </si>
  <si>
    <t>143B-Nuc-RFP_Asp-levels_post-salvage_harvest_1.2mM-met-sal-mix_1_23 Dec 2020_01.#m4</t>
  </si>
  <si>
    <t>143B-Nuc-RFP_Asp-levels_post-salvage_harvest_1.2mM-met-sal-mix_1_23 Dec 2020_02.#m4</t>
  </si>
  <si>
    <t>143B-Nuc-RFP_Asp-levels_post-salvage_harvest_1.2mM-met-sal-mix_2_23 Dec 2020_01.#m4</t>
  </si>
  <si>
    <t>143B-Nuc-RFP_Asp-levels_post-salvage_harvest_1.2mM-met-sal-mix_2_23 Dec 2020_02.#m4</t>
  </si>
  <si>
    <t>143B-Nuc-RFP_Asp-levels_post-salvage_harvest_1.2mM-met-sal-mix_3_23 Dec 2020_01.#m4</t>
  </si>
  <si>
    <t>143B-Nuc-RFP_Asp-levels_post-salvage_harvest_1.2mM-met-sal-mix_3_23 Dec 2020_02.#m4</t>
  </si>
  <si>
    <t>143B-Nuc-RFP_Asp-levels_post-salvage_harvest_1.2mM-met_no-sal_1_31 Dec 2020_01.#m4</t>
  </si>
  <si>
    <t>143B-Nuc-RFP_Asp-levels_post-salvage_harvest_1.2mM-met_no-sal_2_31 Dec 2020_01.#m4</t>
  </si>
  <si>
    <t>143B-Nuc-RFP_Asp-levels_post-salvage_harvest_1.2mM-met_no-sal_3_31 Dec 2020_01.#m4</t>
  </si>
  <si>
    <t>143B-Nuc-RFP_Asp-levels_post-salvage_harvest_1.6mM-met-sal-mix_1_28 Dec 2020_01.#m4</t>
  </si>
  <si>
    <t>143B-Nuc-RFP_Asp-levels_post-salvage_harvest_1.6mM-met-sal-mix_2_28 Dec 2020_01.#m4</t>
  </si>
  <si>
    <t>143B-Nuc-RFP_Asp-levels_post-salvage_harvest_1.6mM-met-sal-mix_3_28 Dec 2020_01.#m4</t>
  </si>
  <si>
    <t>143B-Nuc-RFP_Asp-levels_post-salvage_harvest_1mM-met-sal-mix_1_22 Dec 2020_01.#m4</t>
  </si>
  <si>
    <t>143B-Nuc-RFP_Asp-levels_post-salvage_harvest_1mM-met-sal-mix_1_22 Dec 2020_02.#m4</t>
  </si>
  <si>
    <t>143B-Nuc-RFP_Asp-levels_post-salvage_harvest_1mM-met-sal-mix_2_22 Dec 2020_01.#m4</t>
  </si>
  <si>
    <t>143B-Nuc-RFP_Asp-levels_post-salvage_harvest_1mM-met-sal-mix_2_22 Dec 2020_02.#m4</t>
  </si>
  <si>
    <t>143B-Nuc-RFP_Asp-levels_post-salvage_harvest_1mM-met-sal-mix_3_22 Dec 2020_01.#m4</t>
  </si>
  <si>
    <t>143B-Nuc-RFP_Asp-levels_post-salvage_harvest_1mM-met-sal-mix_3_22 Dec 2020_02.#m4</t>
  </si>
  <si>
    <t>143B-Nuc-RFP_Asp-levels_post-salvage_harvest_1mM-met_no-sal_1_26 Dec 2020_01.#m4</t>
  </si>
  <si>
    <t>143B-Nuc-RFP_Asp-levels_post-salvage_harvest_1mM-met_no-sal_1_26 Dec 2020_02.#m4</t>
  </si>
  <si>
    <t>143B-Nuc-RFP_Asp-levels_post-salvage_harvest_1mM-met_no-sal_2_26 Dec 2020_01.#m4</t>
  </si>
  <si>
    <t>143B-Nuc-RFP_Asp-levels_post-salvage_harvest_1mM-met_no-sal_2_26 Dec 2020_02.#m4</t>
  </si>
  <si>
    <t>143B-Nuc-RFP_Asp-levels_post-salvage_harvest_1mM-met_no-sal_3_26 Dec 2020_01.#m4</t>
  </si>
  <si>
    <t>143B-Nuc-RFP_Asp-levels__post-salvage_harvest_0.5mM-met_sal-mix_1_17 Dec 2020_01.#m4</t>
  </si>
  <si>
    <t>143B-Nuc-RFP_Asp-levels__post-salvage_harvest_0.5mM-met_sal-mix_1_17 Dec 2020_04.#m4</t>
  </si>
  <si>
    <t>143B-Nuc-RFP_Asp-levels__post-salvage_harvest_0.5mM-met_sal-mix_2_17 Dec 2020_01.#m4</t>
  </si>
  <si>
    <t>143B-Nuc-RFP_Asp-levels__post-salvage_harvest_0.5mM-met_sal-mix_2_17 Dec 2020_02.#m4</t>
  </si>
  <si>
    <t>143B-Nuc-RFP_Asp-levels__post-salvage_harvest_0.5mM-met_sal-mix_3_17 Dec 2020_01.#m4</t>
  </si>
  <si>
    <t>143B-Nuc-RFP_Asp-levels__post-salvage_harvest_0.5mM-met_sal-mix_3_17 Dec 2020_02.#m4</t>
  </si>
  <si>
    <t>Volumetric,  500  uL</t>
  </si>
  <si>
    <t>Volumetric,  2000  uL</t>
  </si>
  <si>
    <t>t0_1</t>
  </si>
  <si>
    <t>t0_2</t>
  </si>
  <si>
    <t>t0_3</t>
  </si>
  <si>
    <t>t0_4</t>
  </si>
  <si>
    <t>t0_5</t>
  </si>
  <si>
    <t>t0_6</t>
  </si>
  <si>
    <t>0mM-met_no-sal_1</t>
  </si>
  <si>
    <t>0mM-met_no-sal_2</t>
  </si>
  <si>
    <t>0mM-met_no-sal_3</t>
  </si>
  <si>
    <t>0mM-met_sal-mix_1</t>
  </si>
  <si>
    <t>0mM-met_sal-mix_2</t>
  </si>
  <si>
    <t>0mM-met_sal-mix_3</t>
  </si>
  <si>
    <t>Data</t>
  </si>
  <si>
    <t>Delta mean diameter</t>
  </si>
  <si>
    <t>Delta median diameter</t>
  </si>
  <si>
    <t>Delta time (days)</t>
  </si>
  <si>
    <t>Proliferation rate (1/d)</t>
  </si>
  <si>
    <t>X cell number</t>
  </si>
  <si>
    <t>Cell volume (fL)</t>
  </si>
  <si>
    <t>Total cell volume (uL)</t>
  </si>
  <si>
    <t>0.5mM-met_no-sal_1</t>
  </si>
  <si>
    <t>0.5mM-met_no-sal_2</t>
  </si>
  <si>
    <t>0.5mM-met_no-sal_3</t>
  </si>
  <si>
    <t>0.5mM-met_sal-mix_1</t>
  </si>
  <si>
    <t>0.5mM-met_sal-mix_2</t>
  </si>
  <si>
    <t>0.5mM-met_sal-mix_3</t>
  </si>
  <si>
    <t>0.8mM-met_no-sal_1</t>
  </si>
  <si>
    <t>0.8mM-met_no-sal_2</t>
  </si>
  <si>
    <t>0.8mM-met_no-sal_3</t>
  </si>
  <si>
    <t>0.8mM-met-sal-mix_1</t>
  </si>
  <si>
    <t>0.8mM-met-sal-mix_2</t>
  </si>
  <si>
    <t>0.8mM-met-sal-mix_3</t>
  </si>
  <si>
    <t>Metformin conc. (mM)</t>
  </si>
  <si>
    <t>Sal. Mix</t>
  </si>
  <si>
    <t>Yes</t>
  </si>
  <si>
    <t>No</t>
  </si>
  <si>
    <t>Cell vol. in 800uL solvent</t>
  </si>
  <si>
    <t>Transfer to get 0.6uL cell vol.</t>
  </si>
  <si>
    <t>Proliferation_rate</t>
  </si>
  <si>
    <t>Salvage_mix</t>
  </si>
  <si>
    <t>Cell_line</t>
  </si>
  <si>
    <t>Metformin (mM)</t>
  </si>
  <si>
    <t>143B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</si>
</sst>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00"/>
    <numFmt numFmtId="166" formatCode="0.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/>
    <xf numFmtId="166" fontId="1" fillId="0" borderId="0" xfId="0" applyNumberFormat="1" applyFont="1"/>
    <xf numFmtId="165" fontId="1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Sheet1!$D$125:$D$130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</c:numCache>
            </c:numRef>
          </c:xVal>
          <c:yVal>
            <c:numRef>
              <c:f>Sheet1!$F$125:$F$130</c:f>
              <c:numCache>
                <c:formatCode>0.0</c:formatCode>
                <c:ptCount val="6"/>
                <c:pt idx="0">
                  <c:v>1.6583906167529772</c:v>
                </c:pt>
                <c:pt idx="1">
                  <c:v>1.1517956541747441</c:v>
                </c:pt>
                <c:pt idx="2">
                  <c:v>0.60758896663023487</c:v>
                </c:pt>
                <c:pt idx="3">
                  <c:v>0.44782620947105867</c:v>
                </c:pt>
                <c:pt idx="4">
                  <c:v>0.29674281279486542</c:v>
                </c:pt>
                <c:pt idx="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23-B447-AC29-EA910A82D200}"/>
            </c:ext>
          </c:extLst>
        </c:ser>
        <c:ser>
          <c:idx val="1"/>
          <c:order val="1"/>
          <c:tx>
            <c:v>Yes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Sheet1!$D$131:$D$136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</c:numCache>
            </c:numRef>
          </c:xVal>
          <c:yVal>
            <c:numRef>
              <c:f>Sheet1!$F$131:$F$136</c:f>
              <c:numCache>
                <c:formatCode>0.0</c:formatCode>
                <c:ptCount val="6"/>
                <c:pt idx="0">
                  <c:v>1.5068992178982974</c:v>
                </c:pt>
                <c:pt idx="1">
                  <c:v>1.0793620273587785</c:v>
                </c:pt>
                <c:pt idx="2">
                  <c:v>0.76960572617237277</c:v>
                </c:pt>
                <c:pt idx="3">
                  <c:v>0.61229450181048162</c:v>
                </c:pt>
                <c:pt idx="4">
                  <c:v>0.45033331956139316</c:v>
                </c:pt>
                <c:pt idx="5">
                  <c:v>0.30903662603318627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23-B447-AC29-EA910A82D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72"/>
        <c:axId val="1926736"/>
      </c:scatterChart>
      <c:valAx>
        <c:axId val="2020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36"/>
        <c:crosses val="autoZero"/>
        <c:crossBetween val="midCat"/>
      </c:valAx>
      <c:valAx>
        <c:axId val="1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889000</xdr:colOff>
      <xdr:row>136</xdr:row>
      <xdr:rowOff>188686</xdr:rowOff>
    </xdr:from>
    <xdr:to>
      <xdr:col>6</xdr:col>
      <xdr:colOff>465667</xdr:colOff>
      <xdr:row>151</xdr:row>
      <xdr:rowOff>29029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31E734-8D1C-9341-AAD0-A96AEFCD4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"/>
  <sheetViews>
    <sheetView tabSelected="1" topLeftCell="D1" workbookViewId="0">
      <selection activeCell="I14" sqref="I14"/>
    </sheetView>
  </sheetViews>
  <sheetFormatPr baseColWidth="10" defaultColWidth="8.83203125" defaultRowHeight="15" x14ac:dyDescent="0.2"/>
  <cols>
    <col min="1" max="1" width="51.1640625" bestFit="1" customWidth="1"/>
    <col min="2" max="2" width="12.83203125" customWidth="1"/>
    <col min="3" max="3" width="11.83203125" customWidth="1"/>
    <col min="4" max="4" width="15.33203125" customWidth="1"/>
    <col min="5" max="5" width="18.6640625" bestFit="1" customWidth="1"/>
    <col min="6" max="6" width="19.5" customWidth="1"/>
    <col min="8" max="8" width="10.6640625" customWidth="1"/>
    <col min="9" max="9" width="10.5" customWidth="1"/>
    <col min="11" max="11" width="12.1640625" customWidth="1"/>
    <col min="12" max="12" width="15.1640625" customWidth="1"/>
    <col min="14" max="14" width="10.83203125" customWidth="1"/>
    <col min="15" max="16" width="11.33203125" customWidth="1"/>
    <col min="17" max="17" width="8.5" bestFit="1" customWidth="1"/>
    <col min="19" max="19" width="10" customWidth="1"/>
  </cols>
  <sheetData>
    <row r="1" spans="1:1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116</v>
      </c>
      <c r="O1" s="6" t="s">
        <v>114</v>
      </c>
      <c r="P1" s="5" t="s">
        <v>137</v>
      </c>
      <c r="Q1" s="5" t="s">
        <v>138</v>
      </c>
      <c r="R1" s="5" t="s">
        <v>139</v>
      </c>
      <c r="S1" s="5" t="s">
        <v>140</v>
      </c>
    </row>
    <row r="2" spans="1:19" x14ac:dyDescent="0.2">
      <c r="A2" t="s">
        <v>99</v>
      </c>
      <c r="B2" t="s">
        <v>28</v>
      </c>
      <c r="C2" t="s">
        <v>44</v>
      </c>
      <c r="D2" t="s">
        <v>98</v>
      </c>
      <c r="E2" s="2">
        <v>44174.681944444441</v>
      </c>
      <c r="F2">
        <v>652</v>
      </c>
      <c r="G2">
        <v>652</v>
      </c>
      <c r="H2">
        <v>11.97</v>
      </c>
      <c r="I2">
        <v>30.2</v>
      </c>
      <c r="J2">
        <v>5140</v>
      </c>
      <c r="K2">
        <v>19.920000000000002</v>
      </c>
      <c r="L2">
        <v>19.88</v>
      </c>
      <c r="M2">
        <v>2.3780000000000001</v>
      </c>
    </row>
    <row r="3" spans="1:19" x14ac:dyDescent="0.2">
      <c r="A3" t="s">
        <v>100</v>
      </c>
      <c r="B3" t="s">
        <v>28</v>
      </c>
      <c r="C3" t="s">
        <v>45</v>
      </c>
      <c r="D3" t="s">
        <v>98</v>
      </c>
      <c r="E3" s="2">
        <v>44174.684027777781</v>
      </c>
      <c r="F3">
        <v>836</v>
      </c>
      <c r="G3">
        <v>837</v>
      </c>
      <c r="H3">
        <v>11.97</v>
      </c>
      <c r="I3">
        <v>30.2</v>
      </c>
      <c r="J3">
        <v>6780</v>
      </c>
      <c r="K3">
        <v>20.11</v>
      </c>
      <c r="L3">
        <v>20</v>
      </c>
      <c r="M3">
        <v>2.3780000000000001</v>
      </c>
    </row>
    <row r="4" spans="1:19" x14ac:dyDescent="0.2">
      <c r="A4" t="s">
        <v>101</v>
      </c>
      <c r="B4" t="s">
        <v>28</v>
      </c>
      <c r="C4" t="s">
        <v>46</v>
      </c>
      <c r="D4" t="s">
        <v>98</v>
      </c>
      <c r="E4" s="2">
        <v>44174.685416666667</v>
      </c>
      <c r="F4">
        <v>863</v>
      </c>
      <c r="G4">
        <v>864</v>
      </c>
      <c r="H4">
        <v>11.97</v>
      </c>
      <c r="I4">
        <v>30.2</v>
      </c>
      <c r="J4">
        <v>6690</v>
      </c>
      <c r="K4">
        <v>19.809999999999999</v>
      </c>
      <c r="L4">
        <v>20</v>
      </c>
      <c r="M4">
        <v>2.734</v>
      </c>
    </row>
    <row r="5" spans="1:19" x14ac:dyDescent="0.2">
      <c r="A5" t="s">
        <v>102</v>
      </c>
      <c r="B5" t="s">
        <v>28</v>
      </c>
      <c r="C5" t="s">
        <v>47</v>
      </c>
      <c r="D5" t="s">
        <v>98</v>
      </c>
      <c r="E5" s="2">
        <v>44174.686805555553</v>
      </c>
      <c r="F5">
        <v>670</v>
      </c>
      <c r="G5">
        <v>670</v>
      </c>
      <c r="H5">
        <v>11.97</v>
      </c>
      <c r="I5">
        <v>30.2</v>
      </c>
      <c r="J5">
        <v>4790</v>
      </c>
      <c r="K5">
        <v>20.2</v>
      </c>
      <c r="L5">
        <v>20.16</v>
      </c>
      <c r="M5">
        <v>2.46</v>
      </c>
    </row>
    <row r="6" spans="1:19" x14ac:dyDescent="0.2">
      <c r="A6" t="s">
        <v>103</v>
      </c>
      <c r="B6" t="s">
        <v>28</v>
      </c>
      <c r="C6" t="s">
        <v>48</v>
      </c>
      <c r="D6" t="s">
        <v>98</v>
      </c>
      <c r="E6" s="2">
        <v>44174.688194444447</v>
      </c>
      <c r="F6">
        <v>780</v>
      </c>
      <c r="G6">
        <v>780</v>
      </c>
      <c r="H6">
        <v>11.97</v>
      </c>
      <c r="I6">
        <v>30.2</v>
      </c>
      <c r="J6">
        <v>6170</v>
      </c>
      <c r="K6">
        <v>20.22</v>
      </c>
      <c r="L6">
        <v>20.13</v>
      </c>
      <c r="M6">
        <v>2.4649999999999999</v>
      </c>
    </row>
    <row r="7" spans="1:19" x14ac:dyDescent="0.2">
      <c r="A7" t="s">
        <v>104</v>
      </c>
      <c r="B7" t="s">
        <v>28</v>
      </c>
      <c r="C7" t="s">
        <v>49</v>
      </c>
      <c r="D7" t="s">
        <v>98</v>
      </c>
      <c r="E7" s="2">
        <v>44174.689583333333</v>
      </c>
      <c r="F7">
        <v>567</v>
      </c>
      <c r="G7">
        <v>567</v>
      </c>
      <c r="H7">
        <v>11.97</v>
      </c>
      <c r="I7">
        <v>30.2</v>
      </c>
      <c r="J7">
        <v>4080</v>
      </c>
      <c r="K7">
        <v>20.16</v>
      </c>
      <c r="L7">
        <v>20.100000000000001</v>
      </c>
      <c r="M7">
        <v>2.7330000000000001</v>
      </c>
    </row>
    <row r="8" spans="1:19" x14ac:dyDescent="0.2">
      <c r="A8" t="s">
        <v>10</v>
      </c>
      <c r="E8" s="2"/>
      <c r="J8">
        <f>AVERAGE(J2:J7)</f>
        <v>5608.333333333333</v>
      </c>
      <c r="K8">
        <f t="shared" ref="K8:M8" si="0">AVERAGE(K2:K7)</f>
        <v>20.07</v>
      </c>
      <c r="L8">
        <f t="shared" si="0"/>
        <v>20.044999999999998</v>
      </c>
      <c r="M8">
        <f t="shared" si="0"/>
        <v>2.5246666666666666</v>
      </c>
    </row>
    <row r="10" spans="1:19" x14ac:dyDescent="0.2">
      <c r="A10" t="s">
        <v>105</v>
      </c>
      <c r="B10" t="s">
        <v>28</v>
      </c>
      <c r="C10" t="s">
        <v>32</v>
      </c>
      <c r="D10" t="s">
        <v>97</v>
      </c>
      <c r="E10" s="2">
        <v>44179.793749999997</v>
      </c>
      <c r="F10">
        <v>10612</v>
      </c>
      <c r="G10">
        <v>11263</v>
      </c>
      <c r="H10">
        <v>11.97</v>
      </c>
      <c r="I10">
        <v>30.2</v>
      </c>
      <c r="J10">
        <v>1946000</v>
      </c>
      <c r="K10">
        <v>18.73</v>
      </c>
      <c r="L10">
        <v>18.57</v>
      </c>
      <c r="M10">
        <v>2.0939999999999999</v>
      </c>
    </row>
    <row r="11" spans="1:19" x14ac:dyDescent="0.2">
      <c r="A11" t="s">
        <v>105</v>
      </c>
      <c r="B11" t="s">
        <v>28</v>
      </c>
      <c r="C11" t="s">
        <v>33</v>
      </c>
      <c r="D11" t="s">
        <v>97</v>
      </c>
      <c r="E11" s="2">
        <v>44179.794444444437</v>
      </c>
      <c r="F11">
        <v>10641</v>
      </c>
      <c r="G11">
        <v>11326</v>
      </c>
      <c r="H11">
        <v>11.97</v>
      </c>
      <c r="I11">
        <v>30.2</v>
      </c>
      <c r="J11">
        <v>1903000</v>
      </c>
      <c r="K11">
        <v>18.899999999999999</v>
      </c>
      <c r="L11">
        <v>18.739999999999998</v>
      </c>
      <c r="M11">
        <v>2.1110000000000002</v>
      </c>
      <c r="N11" s="4">
        <f>AVERAGE(J10:J11)/$J$8</f>
        <v>343.15007429420507</v>
      </c>
      <c r="O11" s="4">
        <f>E10-$E$2</f>
        <v>5.1118055555562023</v>
      </c>
      <c r="P11" s="10">
        <f>LOG(N11,2)/O11</f>
        <v>1.6476948830054998</v>
      </c>
      <c r="Q11" t="s">
        <v>134</v>
      </c>
      <c r="R11" t="s">
        <v>141</v>
      </c>
      <c r="S11">
        <v>0</v>
      </c>
    </row>
    <row r="12" spans="1:19" x14ac:dyDescent="0.2">
      <c r="A12" t="s">
        <v>106</v>
      </c>
      <c r="B12" t="s">
        <v>28</v>
      </c>
      <c r="C12" t="s">
        <v>34</v>
      </c>
      <c r="D12" t="s">
        <v>97</v>
      </c>
      <c r="E12" s="2">
        <v>44179.795138888891</v>
      </c>
      <c r="F12">
        <v>11321</v>
      </c>
      <c r="G12">
        <v>12123</v>
      </c>
      <c r="H12">
        <v>11.97</v>
      </c>
      <c r="I12">
        <v>30.2</v>
      </c>
      <c r="J12">
        <v>2089000</v>
      </c>
      <c r="K12">
        <v>18.829999999999998</v>
      </c>
      <c r="L12">
        <v>18.66</v>
      </c>
      <c r="M12">
        <v>2.113</v>
      </c>
      <c r="N12" s="4"/>
      <c r="O12" s="4"/>
      <c r="P12" s="10"/>
    </row>
    <row r="13" spans="1:19" x14ac:dyDescent="0.2">
      <c r="A13" t="s">
        <v>106</v>
      </c>
      <c r="B13" t="s">
        <v>28</v>
      </c>
      <c r="C13" t="s">
        <v>35</v>
      </c>
      <c r="D13" t="s">
        <v>97</v>
      </c>
      <c r="E13" s="2">
        <v>44179.79583333333</v>
      </c>
      <c r="F13">
        <v>11193</v>
      </c>
      <c r="G13">
        <v>11988</v>
      </c>
      <c r="H13">
        <v>11.97</v>
      </c>
      <c r="I13">
        <v>30.2</v>
      </c>
      <c r="J13">
        <v>2044000</v>
      </c>
      <c r="K13">
        <v>18.899999999999999</v>
      </c>
      <c r="L13">
        <v>18.73</v>
      </c>
      <c r="M13">
        <v>2.1070000000000002</v>
      </c>
      <c r="N13" s="4">
        <f>AVERAGE(J12:J13)/$J$8</f>
        <v>368.46953937592872</v>
      </c>
      <c r="O13" s="4">
        <f>E12-$E$2</f>
        <v>5.1131944444496185</v>
      </c>
      <c r="P13" s="10">
        <f>LOG(N13,2)/O13</f>
        <v>1.667333726889084</v>
      </c>
      <c r="Q13" t="s">
        <v>134</v>
      </c>
      <c r="R13" t="s">
        <v>141</v>
      </c>
      <c r="S13">
        <v>0</v>
      </c>
    </row>
    <row r="14" spans="1:19" x14ac:dyDescent="0.2">
      <c r="A14" t="s">
        <v>107</v>
      </c>
      <c r="B14" t="s">
        <v>28</v>
      </c>
      <c r="C14" t="s">
        <v>36</v>
      </c>
      <c r="D14" t="s">
        <v>97</v>
      </c>
      <c r="E14" s="2">
        <v>44179.797222222223</v>
      </c>
      <c r="F14">
        <v>11023</v>
      </c>
      <c r="G14">
        <v>11816</v>
      </c>
      <c r="H14">
        <v>11.97</v>
      </c>
      <c r="I14">
        <v>30.2</v>
      </c>
      <c r="J14">
        <v>2030000</v>
      </c>
      <c r="K14">
        <v>19.09</v>
      </c>
      <c r="L14">
        <v>18.97</v>
      </c>
      <c r="M14">
        <v>2.202</v>
      </c>
      <c r="P14" s="10"/>
    </row>
    <row r="15" spans="1:19" x14ac:dyDescent="0.2">
      <c r="A15" t="s">
        <v>107</v>
      </c>
      <c r="B15" t="s">
        <v>28</v>
      </c>
      <c r="C15" t="s">
        <v>37</v>
      </c>
      <c r="D15" t="s">
        <v>97</v>
      </c>
      <c r="E15" s="2">
        <v>44179.79791666667</v>
      </c>
      <c r="F15">
        <v>10893</v>
      </c>
      <c r="G15">
        <v>11665</v>
      </c>
      <c r="H15">
        <v>11.97</v>
      </c>
      <c r="I15">
        <v>30.2</v>
      </c>
      <c r="J15">
        <v>1981000</v>
      </c>
      <c r="K15">
        <v>19.12</v>
      </c>
      <c r="L15">
        <v>19</v>
      </c>
      <c r="M15">
        <v>2.202</v>
      </c>
      <c r="N15" s="4">
        <f>AVERAGE(J14:J15)/$J$8</f>
        <v>357.592867756315</v>
      </c>
      <c r="O15" s="4">
        <f>E14-$E$2</f>
        <v>5.1152777777824667</v>
      </c>
      <c r="P15" s="10">
        <f>LOG(N15,2)/O15</f>
        <v>1.6582040155578477</v>
      </c>
      <c r="Q15" t="s">
        <v>134</v>
      </c>
      <c r="R15" t="s">
        <v>141</v>
      </c>
      <c r="S15">
        <v>0</v>
      </c>
    </row>
    <row r="16" spans="1:19" x14ac:dyDescent="0.2">
      <c r="A16" t="s">
        <v>10</v>
      </c>
      <c r="E16" s="2"/>
      <c r="J16">
        <f>AVERAGE(J10:J15)</f>
        <v>1998833.3333333333</v>
      </c>
      <c r="K16">
        <f t="shared" ref="K16" si="1">AVERAGE(K10:K15)</f>
        <v>18.928333333333331</v>
      </c>
      <c r="L16">
        <f t="shared" ref="L16" si="2">AVERAGE(L10:L15)</f>
        <v>18.778333333333332</v>
      </c>
      <c r="M16">
        <f t="shared" ref="M16" si="3">AVERAGE(M10:M15)</f>
        <v>2.1381666666666668</v>
      </c>
      <c r="N16" s="4"/>
      <c r="O16" s="4"/>
      <c r="P16" s="10"/>
    </row>
    <row r="17" spans="1:19" s="3" customFormat="1" ht="32" customHeight="1" x14ac:dyDescent="0.2">
      <c r="A17" s="5"/>
      <c r="B17" s="5" t="s">
        <v>112</v>
      </c>
      <c r="C17" s="5" t="s">
        <v>113</v>
      </c>
      <c r="D17" s="5" t="s">
        <v>116</v>
      </c>
      <c r="E17" s="6" t="s">
        <v>114</v>
      </c>
      <c r="F17" s="5" t="s">
        <v>115</v>
      </c>
      <c r="G17" s="5"/>
      <c r="H17" s="5" t="s">
        <v>117</v>
      </c>
      <c r="I17" s="5" t="s">
        <v>118</v>
      </c>
      <c r="K17" s="5" t="s">
        <v>135</v>
      </c>
      <c r="L17" s="5" t="s">
        <v>136</v>
      </c>
      <c r="N17" s="4"/>
      <c r="O17" s="4"/>
      <c r="P17" s="10"/>
      <c r="Q17"/>
      <c r="R17"/>
      <c r="S17"/>
    </row>
    <row r="18" spans="1:19" x14ac:dyDescent="0.2">
      <c r="A18" s="7" t="s">
        <v>111</v>
      </c>
      <c r="B18" s="8">
        <f>K16-$K$8</f>
        <v>-1.1416666666666693</v>
      </c>
      <c r="C18" s="8">
        <f>L16-$L$8</f>
        <v>-1.2666666666666657</v>
      </c>
      <c r="D18" s="8">
        <f>J16/$J$8</f>
        <v>356.40416047548291</v>
      </c>
      <c r="E18" s="8">
        <f>5+(2+41/60)/24</f>
        <v>5.1118055555555557</v>
      </c>
      <c r="F18" s="8">
        <f>LOG(D18,2)/E18</f>
        <v>1.6583906167529772</v>
      </c>
      <c r="G18" s="8"/>
      <c r="H18" s="8">
        <f>4/3*PI()*(K16/2)^3</f>
        <v>3550.877978035141</v>
      </c>
      <c r="I18" s="8">
        <f>H18/1000000000*J16</f>
        <v>7.097613265095907</v>
      </c>
      <c r="K18" s="9">
        <f>I18*800/1050</f>
        <v>5.4077053448349766</v>
      </c>
      <c r="L18" s="8">
        <f>0.6/K18*800</f>
        <v>88.762232664629011</v>
      </c>
      <c r="N18" s="4"/>
      <c r="O18" s="4"/>
      <c r="P18" s="10"/>
    </row>
    <row r="19" spans="1:19" x14ac:dyDescent="0.2">
      <c r="N19" s="4"/>
      <c r="O19" s="4"/>
      <c r="P19" s="10"/>
    </row>
    <row r="20" spans="1:19" x14ac:dyDescent="0.2">
      <c r="A20" t="s">
        <v>108</v>
      </c>
      <c r="B20" t="s">
        <v>28</v>
      </c>
      <c r="C20" t="s">
        <v>38</v>
      </c>
      <c r="D20" t="s">
        <v>97</v>
      </c>
      <c r="E20" s="2">
        <v>44179.811805555553</v>
      </c>
      <c r="F20">
        <v>7012</v>
      </c>
      <c r="G20">
        <v>7363</v>
      </c>
      <c r="H20">
        <v>11.97</v>
      </c>
      <c r="I20">
        <v>30.2</v>
      </c>
      <c r="J20">
        <v>1212000</v>
      </c>
      <c r="K20">
        <v>19.23</v>
      </c>
      <c r="L20">
        <v>19.16</v>
      </c>
      <c r="M20">
        <v>2.359</v>
      </c>
      <c r="N20" s="8"/>
      <c r="O20" s="8"/>
      <c r="P20" s="11"/>
    </row>
    <row r="21" spans="1:19" x14ac:dyDescent="0.2">
      <c r="A21" t="s">
        <v>108</v>
      </c>
      <c r="B21" t="s">
        <v>28</v>
      </c>
      <c r="C21" t="s">
        <v>39</v>
      </c>
      <c r="D21" t="s">
        <v>97</v>
      </c>
      <c r="E21" s="2">
        <v>44179.8125</v>
      </c>
      <c r="F21">
        <v>6929</v>
      </c>
      <c r="G21">
        <v>7244</v>
      </c>
      <c r="H21">
        <v>11.97</v>
      </c>
      <c r="I21">
        <v>30.2</v>
      </c>
      <c r="J21">
        <v>1203000</v>
      </c>
      <c r="K21">
        <v>19.43</v>
      </c>
      <c r="L21">
        <v>19.309999999999999</v>
      </c>
      <c r="M21">
        <v>2.1880000000000002</v>
      </c>
      <c r="N21" s="4">
        <f>AVERAGE(J20:J21)/$J$8</f>
        <v>215.30460624071324</v>
      </c>
      <c r="O21" s="4">
        <f>E20-$E$2</f>
        <v>5.1298611111124046</v>
      </c>
      <c r="P21" s="10">
        <f>LOG(N21,2)/O21</f>
        <v>1.5108080329762978</v>
      </c>
      <c r="Q21" t="s">
        <v>133</v>
      </c>
      <c r="R21" t="s">
        <v>141</v>
      </c>
      <c r="S21">
        <v>0</v>
      </c>
    </row>
    <row r="22" spans="1:19" x14ac:dyDescent="0.2">
      <c r="A22" t="s">
        <v>109</v>
      </c>
      <c r="B22" t="s">
        <v>28</v>
      </c>
      <c r="C22" t="s">
        <v>40</v>
      </c>
      <c r="D22" t="s">
        <v>97</v>
      </c>
      <c r="E22" s="2">
        <v>44179.813888888893</v>
      </c>
      <c r="F22">
        <v>7293</v>
      </c>
      <c r="G22">
        <v>7623</v>
      </c>
      <c r="H22">
        <v>11.97</v>
      </c>
      <c r="I22">
        <v>30.2</v>
      </c>
      <c r="J22">
        <v>1198000</v>
      </c>
      <c r="K22">
        <v>19.27</v>
      </c>
      <c r="L22">
        <v>19.16</v>
      </c>
      <c r="M22">
        <v>2.2120000000000002</v>
      </c>
      <c r="N22" s="4"/>
      <c r="O22" s="4"/>
      <c r="P22" s="10"/>
    </row>
    <row r="23" spans="1:19" x14ac:dyDescent="0.2">
      <c r="A23" t="s">
        <v>109</v>
      </c>
      <c r="B23" t="s">
        <v>28</v>
      </c>
      <c r="C23" t="s">
        <v>41</v>
      </c>
      <c r="D23" t="s">
        <v>97</v>
      </c>
      <c r="E23" s="2">
        <v>44179.814583333333</v>
      </c>
      <c r="F23">
        <v>7322</v>
      </c>
      <c r="G23">
        <v>7648</v>
      </c>
      <c r="H23">
        <v>11.87</v>
      </c>
      <c r="I23">
        <v>35.25</v>
      </c>
      <c r="J23">
        <v>1206000</v>
      </c>
      <c r="K23">
        <v>19.46</v>
      </c>
      <c r="L23">
        <v>19.37</v>
      </c>
      <c r="M23">
        <v>2.286</v>
      </c>
      <c r="N23" s="4">
        <f>AVERAGE(J22:J23)/$J$8</f>
        <v>214.32392273402675</v>
      </c>
      <c r="O23" s="4">
        <f>E22-$E$2</f>
        <v>5.1319444444525288</v>
      </c>
      <c r="P23" s="10">
        <f>LOG(N23,2)/O23</f>
        <v>1.5089113230911977</v>
      </c>
      <c r="Q23" t="s">
        <v>133</v>
      </c>
      <c r="R23" t="s">
        <v>141</v>
      </c>
      <c r="S23">
        <v>0</v>
      </c>
    </row>
    <row r="24" spans="1:19" x14ac:dyDescent="0.2">
      <c r="A24" t="s">
        <v>110</v>
      </c>
      <c r="B24" t="s">
        <v>28</v>
      </c>
      <c r="C24" t="s">
        <v>42</v>
      </c>
      <c r="D24" t="s">
        <v>97</v>
      </c>
      <c r="E24" s="2">
        <v>44179.817361111112</v>
      </c>
      <c r="F24">
        <v>7265</v>
      </c>
      <c r="G24">
        <v>7599</v>
      </c>
      <c r="H24">
        <v>11.87</v>
      </c>
      <c r="I24">
        <v>30.3</v>
      </c>
      <c r="J24">
        <v>1191000</v>
      </c>
      <c r="K24">
        <v>19.649999999999999</v>
      </c>
      <c r="L24">
        <v>19.57</v>
      </c>
      <c r="M24">
        <v>2.3130000000000002</v>
      </c>
      <c r="P24" s="10"/>
    </row>
    <row r="25" spans="1:19" x14ac:dyDescent="0.2">
      <c r="A25" t="s">
        <v>110</v>
      </c>
      <c r="B25" t="s">
        <v>28</v>
      </c>
      <c r="C25" t="s">
        <v>43</v>
      </c>
      <c r="D25" t="s">
        <v>97</v>
      </c>
      <c r="E25" s="2">
        <v>44179.818055555559</v>
      </c>
      <c r="F25">
        <v>6946</v>
      </c>
      <c r="G25">
        <v>7247</v>
      </c>
      <c r="H25">
        <v>11.87</v>
      </c>
      <c r="I25">
        <v>30.3</v>
      </c>
      <c r="J25">
        <v>1135000</v>
      </c>
      <c r="K25">
        <v>19.809999999999999</v>
      </c>
      <c r="L25">
        <v>19.690000000000001</v>
      </c>
      <c r="M25">
        <v>2.2170000000000001</v>
      </c>
      <c r="N25" s="4">
        <f>AVERAGE(J24:J25)/$J$8</f>
        <v>207.36998514115899</v>
      </c>
      <c r="O25" s="4">
        <f>E24-$E$2</f>
        <v>5.1354166666715173</v>
      </c>
      <c r="P25" s="10">
        <f>LOG(N25,2)/O25</f>
        <v>1.4986248988165487</v>
      </c>
      <c r="Q25" t="s">
        <v>133</v>
      </c>
      <c r="R25" t="s">
        <v>141</v>
      </c>
      <c r="S25">
        <v>0</v>
      </c>
    </row>
    <row r="26" spans="1:19" x14ac:dyDescent="0.2">
      <c r="A26" t="s">
        <v>10</v>
      </c>
      <c r="E26" s="2"/>
      <c r="J26">
        <f>AVERAGE(J20:J25)</f>
        <v>1190833.3333333333</v>
      </c>
      <c r="K26">
        <f t="shared" ref="K26" si="4">AVERAGE(K20:K25)</f>
        <v>19.474999999999998</v>
      </c>
      <c r="L26">
        <f t="shared" ref="L26" si="5">AVERAGE(L20:L25)</f>
        <v>19.376666666666665</v>
      </c>
      <c r="M26">
        <f t="shared" ref="M26" si="6">AVERAGE(M20:M25)</f>
        <v>2.2625000000000002</v>
      </c>
      <c r="N26" s="4"/>
      <c r="O26" s="4"/>
      <c r="P26" s="10"/>
    </row>
    <row r="27" spans="1:19" ht="32" x14ac:dyDescent="0.2">
      <c r="A27" s="5"/>
      <c r="B27" s="5" t="s">
        <v>112</v>
      </c>
      <c r="C27" s="5" t="s">
        <v>113</v>
      </c>
      <c r="D27" s="5" t="s">
        <v>116</v>
      </c>
      <c r="E27" s="6" t="s">
        <v>114</v>
      </c>
      <c r="F27" s="5" t="s">
        <v>115</v>
      </c>
      <c r="G27" s="7"/>
      <c r="H27" s="5" t="s">
        <v>117</v>
      </c>
      <c r="I27" s="5" t="s">
        <v>118</v>
      </c>
      <c r="K27" s="5" t="s">
        <v>135</v>
      </c>
      <c r="L27" s="5" t="s">
        <v>136</v>
      </c>
      <c r="N27" s="4"/>
      <c r="O27" s="4"/>
      <c r="P27" s="10"/>
    </row>
    <row r="28" spans="1:19" x14ac:dyDescent="0.2">
      <c r="A28" s="7" t="s">
        <v>111</v>
      </c>
      <c r="B28" s="8">
        <f>K26-$K$8</f>
        <v>-0.59500000000000242</v>
      </c>
      <c r="C28" s="8">
        <f>L26-$L$8</f>
        <v>-0.668333333333333</v>
      </c>
      <c r="D28" s="8">
        <f>J26/$J$8</f>
        <v>212.33283803863299</v>
      </c>
      <c r="E28" s="8">
        <f>5+(3+7/60)/24</f>
        <v>5.1298611111111114</v>
      </c>
      <c r="F28" s="8">
        <f>LOG(D28,2)/E28</f>
        <v>1.5068992178982974</v>
      </c>
      <c r="G28" s="8"/>
      <c r="H28" s="8">
        <f>4/3*PI()*(K26/2)^3</f>
        <v>3867.5062245318427</v>
      </c>
      <c r="I28" s="8">
        <f>H28/1000000000*J26</f>
        <v>4.6055553290466698</v>
      </c>
      <c r="K28" s="9">
        <f>I28*800/1050</f>
        <v>3.5089945364165103</v>
      </c>
      <c r="L28" s="8">
        <f>0.6/K28*800</f>
        <v>136.791321564778</v>
      </c>
      <c r="N28" s="4"/>
      <c r="O28" s="4"/>
      <c r="P28" s="10"/>
      <c r="R28" s="3"/>
    </row>
    <row r="29" spans="1:19" x14ac:dyDescent="0.2">
      <c r="N29" s="4"/>
      <c r="O29" s="4"/>
      <c r="P29" s="10"/>
    </row>
    <row r="30" spans="1:19" x14ac:dyDescent="0.2">
      <c r="A30" t="s">
        <v>119</v>
      </c>
      <c r="B30" t="s">
        <v>28</v>
      </c>
      <c r="C30" t="s">
        <v>50</v>
      </c>
      <c r="D30" t="s">
        <v>97</v>
      </c>
      <c r="E30" s="2">
        <v>44180.884722222218</v>
      </c>
      <c r="F30">
        <v>7371</v>
      </c>
      <c r="G30">
        <v>7604</v>
      </c>
      <c r="H30">
        <v>11.87</v>
      </c>
      <c r="I30">
        <v>30.3</v>
      </c>
      <c r="J30">
        <v>843200</v>
      </c>
      <c r="K30">
        <v>18.600000000000001</v>
      </c>
      <c r="L30">
        <v>18.420000000000002</v>
      </c>
      <c r="M30">
        <v>2.3010000000000002</v>
      </c>
      <c r="N30" s="8"/>
      <c r="O30" s="8"/>
      <c r="P30" s="11"/>
    </row>
    <row r="31" spans="1:19" x14ac:dyDescent="0.2">
      <c r="A31" t="s">
        <v>119</v>
      </c>
      <c r="B31" t="s">
        <v>28</v>
      </c>
      <c r="C31" t="s">
        <v>51</v>
      </c>
      <c r="D31" t="s">
        <v>97</v>
      </c>
      <c r="E31" s="2">
        <v>44180.885416666657</v>
      </c>
      <c r="F31">
        <v>7225</v>
      </c>
      <c r="G31">
        <v>7457</v>
      </c>
      <c r="H31">
        <v>11.87</v>
      </c>
      <c r="I31">
        <v>30.3</v>
      </c>
      <c r="J31">
        <v>844000</v>
      </c>
      <c r="K31">
        <v>18.690000000000001</v>
      </c>
      <c r="L31">
        <v>18.54</v>
      </c>
      <c r="M31">
        <v>2.3069999999999999</v>
      </c>
      <c r="N31" s="4">
        <f>AVERAGE(J30:J31)/$J$8</f>
        <v>150.41901931649332</v>
      </c>
      <c r="O31" s="4">
        <f>E30-$E$2</f>
        <v>6.202777777776646</v>
      </c>
      <c r="P31" s="10">
        <f>LOG(N31,2)/O31</f>
        <v>1.166065179993778</v>
      </c>
      <c r="Q31" t="s">
        <v>134</v>
      </c>
      <c r="R31" t="s">
        <v>141</v>
      </c>
      <c r="S31">
        <v>0.5</v>
      </c>
    </row>
    <row r="32" spans="1:19" x14ac:dyDescent="0.2">
      <c r="A32" t="s">
        <v>120</v>
      </c>
      <c r="B32" t="s">
        <v>28</v>
      </c>
      <c r="C32" t="s">
        <v>52</v>
      </c>
      <c r="D32" t="s">
        <v>97</v>
      </c>
      <c r="E32" s="2">
        <v>44180.886805555558</v>
      </c>
      <c r="F32">
        <v>6985</v>
      </c>
      <c r="G32">
        <v>7210</v>
      </c>
      <c r="H32">
        <v>11.87</v>
      </c>
      <c r="I32">
        <v>30.3</v>
      </c>
      <c r="J32">
        <v>834200</v>
      </c>
      <c r="K32">
        <v>18.71</v>
      </c>
      <c r="L32">
        <v>18.55</v>
      </c>
      <c r="M32">
        <v>2.262</v>
      </c>
      <c r="N32" s="4"/>
      <c r="O32" s="4"/>
      <c r="P32" s="10"/>
    </row>
    <row r="33" spans="1:19" x14ac:dyDescent="0.2">
      <c r="A33" t="s">
        <v>120</v>
      </c>
      <c r="B33" t="s">
        <v>28</v>
      </c>
      <c r="C33" t="s">
        <v>53</v>
      </c>
      <c r="D33" t="s">
        <v>97</v>
      </c>
      <c r="E33" s="2">
        <v>44180.887499999997</v>
      </c>
      <c r="F33">
        <v>7030</v>
      </c>
      <c r="G33">
        <v>7262</v>
      </c>
      <c r="H33">
        <v>11.87</v>
      </c>
      <c r="I33">
        <v>30.3</v>
      </c>
      <c r="J33">
        <v>841200</v>
      </c>
      <c r="K33">
        <v>18.8</v>
      </c>
      <c r="L33">
        <v>18.66</v>
      </c>
      <c r="M33">
        <v>2.2679999999999998</v>
      </c>
      <c r="N33" s="4">
        <f>AVERAGE(J32:J33)/$J$8</f>
        <v>149.3670133729569</v>
      </c>
      <c r="O33" s="4">
        <f>E32-$E$2</f>
        <v>6.2048611111167702</v>
      </c>
      <c r="P33" s="10">
        <f>LOG(N33,2)/O33</f>
        <v>1.1640418109195891</v>
      </c>
      <c r="Q33" t="s">
        <v>134</v>
      </c>
      <c r="R33" t="s">
        <v>141</v>
      </c>
      <c r="S33">
        <v>0.5</v>
      </c>
    </row>
    <row r="34" spans="1:19" x14ac:dyDescent="0.2">
      <c r="A34" t="s">
        <v>121</v>
      </c>
      <c r="B34" t="s">
        <v>28</v>
      </c>
      <c r="C34" t="s">
        <v>54</v>
      </c>
      <c r="D34" t="s">
        <v>97</v>
      </c>
      <c r="E34" s="2">
        <v>44180.888194444437</v>
      </c>
      <c r="F34">
        <v>6025</v>
      </c>
      <c r="G34">
        <v>6199</v>
      </c>
      <c r="H34">
        <v>11.87</v>
      </c>
      <c r="I34">
        <v>30.3</v>
      </c>
      <c r="J34">
        <v>697200</v>
      </c>
      <c r="K34">
        <v>19.21</v>
      </c>
      <c r="L34">
        <v>19.149999999999999</v>
      </c>
      <c r="M34">
        <v>2.2629999999999999</v>
      </c>
      <c r="P34" s="10"/>
    </row>
    <row r="35" spans="1:19" x14ac:dyDescent="0.2">
      <c r="A35" t="s">
        <v>121</v>
      </c>
      <c r="B35" t="s">
        <v>28</v>
      </c>
      <c r="C35" t="s">
        <v>55</v>
      </c>
      <c r="D35" t="s">
        <v>97</v>
      </c>
      <c r="E35" s="2">
        <v>44180.888888888891</v>
      </c>
      <c r="F35">
        <v>5908</v>
      </c>
      <c r="G35">
        <v>6079</v>
      </c>
      <c r="H35">
        <v>11.87</v>
      </c>
      <c r="I35">
        <v>30.3</v>
      </c>
      <c r="J35">
        <v>700600</v>
      </c>
      <c r="K35">
        <v>19.34</v>
      </c>
      <c r="L35">
        <v>19.28</v>
      </c>
      <c r="M35">
        <v>2.2519999999999998</v>
      </c>
      <c r="N35" s="4">
        <f>AVERAGE(J34:J35)/$J$8</f>
        <v>124.6181277860327</v>
      </c>
      <c r="O35" s="4">
        <f>E34-$E$2</f>
        <v>6.2062499999956344</v>
      </c>
      <c r="P35" s="10">
        <f>LOG(N35,2)/O35</f>
        <v>1.121670918424696</v>
      </c>
      <c r="Q35" t="s">
        <v>134</v>
      </c>
      <c r="R35" t="s">
        <v>141</v>
      </c>
      <c r="S35">
        <v>0.5</v>
      </c>
    </row>
    <row r="36" spans="1:19" x14ac:dyDescent="0.2">
      <c r="A36" t="s">
        <v>10</v>
      </c>
      <c r="E36" s="2"/>
      <c r="J36">
        <f>AVERAGE(J30:J35)</f>
        <v>793400</v>
      </c>
      <c r="K36">
        <f>AVERAGE(K30:K35)</f>
        <v>18.891666666666669</v>
      </c>
      <c r="L36">
        <f t="shared" ref="L36" si="7">AVERAGE(L30:L35)</f>
        <v>18.766666666666666</v>
      </c>
      <c r="M36">
        <f t="shared" ref="M36" si="8">AVERAGE(M30:M35)</f>
        <v>2.2755000000000005</v>
      </c>
      <c r="N36" s="4"/>
      <c r="O36" s="4"/>
      <c r="P36" s="10"/>
    </row>
    <row r="37" spans="1:19" ht="32" x14ac:dyDescent="0.2">
      <c r="A37" s="5"/>
      <c r="B37" s="5" t="s">
        <v>112</v>
      </c>
      <c r="C37" s="5" t="s">
        <v>113</v>
      </c>
      <c r="D37" s="5" t="s">
        <v>116</v>
      </c>
      <c r="E37" s="6" t="s">
        <v>114</v>
      </c>
      <c r="F37" s="5" t="s">
        <v>115</v>
      </c>
      <c r="G37" s="7"/>
      <c r="H37" s="5" t="s">
        <v>117</v>
      </c>
      <c r="I37" s="5" t="s">
        <v>118</v>
      </c>
      <c r="K37" s="5" t="s">
        <v>135</v>
      </c>
      <c r="L37" s="5" t="s">
        <v>136</v>
      </c>
      <c r="N37" s="4"/>
      <c r="O37" s="4"/>
      <c r="P37" s="10"/>
    </row>
    <row r="38" spans="1:19" x14ac:dyDescent="0.2">
      <c r="A38" s="7" t="s">
        <v>111</v>
      </c>
      <c r="B38" s="8">
        <f>K36-$K$8</f>
        <v>-1.178333333333331</v>
      </c>
      <c r="C38" s="8">
        <f>L36-$L$8</f>
        <v>-1.2783333333333324</v>
      </c>
      <c r="D38" s="8">
        <f>J36/$J$8</f>
        <v>141.46805349182765</v>
      </c>
      <c r="E38" s="8">
        <f>6+(4+52/60)/24</f>
        <v>6.2027777777777775</v>
      </c>
      <c r="F38" s="8">
        <f>LOG(D38,2)/E38</f>
        <v>1.1517956541747441</v>
      </c>
      <c r="G38" s="8"/>
      <c r="H38" s="8">
        <f>4/3*PI()*(K36/2)^3</f>
        <v>3530.2823755361364</v>
      </c>
      <c r="I38" s="8">
        <f>H38/1000000000*J36</f>
        <v>2.8009260367503703</v>
      </c>
      <c r="K38" s="9">
        <f>I38*800/1050</f>
        <v>2.1340388851431391</v>
      </c>
      <c r="L38" s="8">
        <f>0.6/K38*800</f>
        <v>224.92561093506237</v>
      </c>
      <c r="N38" s="4"/>
      <c r="O38" s="4"/>
      <c r="P38" s="10"/>
    </row>
    <row r="39" spans="1:19" x14ac:dyDescent="0.2">
      <c r="N39" s="4"/>
      <c r="O39" s="4"/>
      <c r="P39" s="10"/>
    </row>
    <row r="40" spans="1:19" x14ac:dyDescent="0.2">
      <c r="A40" t="s">
        <v>122</v>
      </c>
      <c r="B40" t="s">
        <v>29</v>
      </c>
      <c r="C40" t="s">
        <v>91</v>
      </c>
      <c r="D40" t="s">
        <v>97</v>
      </c>
      <c r="E40" s="2">
        <v>44182.763888888891</v>
      </c>
      <c r="F40">
        <v>15568</v>
      </c>
      <c r="G40">
        <v>16803</v>
      </c>
      <c r="H40">
        <v>11.97</v>
      </c>
      <c r="I40">
        <v>30.2</v>
      </c>
      <c r="J40">
        <v>2414000</v>
      </c>
      <c r="K40">
        <v>18.32</v>
      </c>
      <c r="L40">
        <v>18.13</v>
      </c>
      <c r="M40">
        <v>2.1960000000000002</v>
      </c>
      <c r="N40" s="4"/>
      <c r="O40" s="4"/>
      <c r="P40" s="10"/>
    </row>
    <row r="41" spans="1:19" x14ac:dyDescent="0.2">
      <c r="A41" t="s">
        <v>122</v>
      </c>
      <c r="B41" t="s">
        <v>29</v>
      </c>
      <c r="C41" t="s">
        <v>92</v>
      </c>
      <c r="D41" t="s">
        <v>97</v>
      </c>
      <c r="E41" s="2">
        <v>44182.775694444441</v>
      </c>
      <c r="F41">
        <v>14966</v>
      </c>
      <c r="G41">
        <v>16197</v>
      </c>
      <c r="H41">
        <v>11.97</v>
      </c>
      <c r="I41">
        <v>30.2</v>
      </c>
      <c r="J41">
        <v>2118000</v>
      </c>
      <c r="K41">
        <v>19.579999999999998</v>
      </c>
      <c r="L41">
        <v>19.489999999999998</v>
      </c>
      <c r="M41">
        <v>2.387</v>
      </c>
      <c r="N41" s="4">
        <f>AVERAGE(J40:J41)/$J$8</f>
        <v>404.04160475482917</v>
      </c>
      <c r="O41" s="4">
        <f>E40-$E$2</f>
        <v>8.0819444444496185</v>
      </c>
      <c r="P41" s="10">
        <f>LOG(N41,2)/O41</f>
        <v>1.0713214012210837</v>
      </c>
      <c r="Q41" t="s">
        <v>133</v>
      </c>
      <c r="R41" t="s">
        <v>141</v>
      </c>
      <c r="S41">
        <v>0.5</v>
      </c>
    </row>
    <row r="42" spans="1:19" x14ac:dyDescent="0.2">
      <c r="A42" t="s">
        <v>123</v>
      </c>
      <c r="B42" t="s">
        <v>29</v>
      </c>
      <c r="C42" t="s">
        <v>93</v>
      </c>
      <c r="D42" t="s">
        <v>97</v>
      </c>
      <c r="E42" s="2">
        <v>44182.772916666669</v>
      </c>
      <c r="F42">
        <v>16427</v>
      </c>
      <c r="G42">
        <v>17932</v>
      </c>
      <c r="H42">
        <v>11.97</v>
      </c>
      <c r="I42">
        <v>30.2</v>
      </c>
      <c r="J42">
        <v>2769000</v>
      </c>
      <c r="K42">
        <v>19.09</v>
      </c>
      <c r="L42">
        <v>18.93</v>
      </c>
      <c r="M42">
        <v>2.29</v>
      </c>
      <c r="N42" s="4"/>
      <c r="O42" s="4"/>
      <c r="P42" s="10"/>
    </row>
    <row r="43" spans="1:19" x14ac:dyDescent="0.2">
      <c r="A43" t="s">
        <v>123</v>
      </c>
      <c r="B43" t="s">
        <v>29</v>
      </c>
      <c r="C43" t="s">
        <v>94</v>
      </c>
      <c r="D43" t="s">
        <v>97</v>
      </c>
      <c r="E43" s="2">
        <v>44182.773611111108</v>
      </c>
      <c r="F43">
        <v>16226</v>
      </c>
      <c r="G43">
        <v>17765</v>
      </c>
      <c r="H43">
        <v>11.97</v>
      </c>
      <c r="I43">
        <v>30.2</v>
      </c>
      <c r="J43">
        <v>2700000</v>
      </c>
      <c r="K43">
        <v>19.170000000000002</v>
      </c>
      <c r="L43">
        <v>19.03</v>
      </c>
      <c r="M43">
        <v>2.2999999999999998</v>
      </c>
      <c r="N43" s="4">
        <f>AVERAGE(J42:J43)/$J$8</f>
        <v>487.57800891530462</v>
      </c>
      <c r="O43" s="4">
        <f>E42-$E$2</f>
        <v>8.0909722222277196</v>
      </c>
      <c r="P43" s="10">
        <f>LOG(N43,2)/O43</f>
        <v>1.1036361270932531</v>
      </c>
      <c r="Q43" t="s">
        <v>133</v>
      </c>
      <c r="R43" t="s">
        <v>141</v>
      </c>
      <c r="S43">
        <v>0.5</v>
      </c>
    </row>
    <row r="44" spans="1:19" x14ac:dyDescent="0.2">
      <c r="A44" t="s">
        <v>124</v>
      </c>
      <c r="B44" t="s">
        <v>29</v>
      </c>
      <c r="C44" t="s">
        <v>95</v>
      </c>
      <c r="D44" t="s">
        <v>97</v>
      </c>
      <c r="E44" s="2">
        <v>44182.774305555547</v>
      </c>
      <c r="F44">
        <v>12188</v>
      </c>
      <c r="G44">
        <v>13127</v>
      </c>
      <c r="H44">
        <v>11.97</v>
      </c>
      <c r="I44">
        <v>30.2</v>
      </c>
      <c r="J44">
        <v>2121000</v>
      </c>
      <c r="K44">
        <v>19.52</v>
      </c>
      <c r="L44">
        <v>19.420000000000002</v>
      </c>
      <c r="M44">
        <v>2.3490000000000002</v>
      </c>
      <c r="P44" s="10"/>
    </row>
    <row r="45" spans="1:19" x14ac:dyDescent="0.2">
      <c r="A45" t="s">
        <v>124</v>
      </c>
      <c r="B45" t="s">
        <v>29</v>
      </c>
      <c r="C45" t="s">
        <v>96</v>
      </c>
      <c r="D45" t="s">
        <v>97</v>
      </c>
      <c r="E45" s="2">
        <v>44182.775000000001</v>
      </c>
      <c r="F45">
        <v>12324</v>
      </c>
      <c r="G45">
        <v>13286</v>
      </c>
      <c r="H45">
        <v>11.97</v>
      </c>
      <c r="I45">
        <v>30.2</v>
      </c>
      <c r="J45">
        <v>2130000</v>
      </c>
      <c r="K45">
        <v>19.559999999999999</v>
      </c>
      <c r="L45">
        <v>19.440000000000001</v>
      </c>
      <c r="M45">
        <v>2.36</v>
      </c>
      <c r="N45" s="4">
        <f>AVERAGE(J44:J45)/$J$8</f>
        <v>378.98959881129275</v>
      </c>
      <c r="O45" s="4">
        <f>E44-$E$2</f>
        <v>8.0923611111065838</v>
      </c>
      <c r="P45" s="10">
        <f>LOG(N45,2)/O45</f>
        <v>1.0585309191010661</v>
      </c>
      <c r="Q45" t="s">
        <v>133</v>
      </c>
      <c r="R45" t="s">
        <v>141</v>
      </c>
      <c r="S45">
        <v>0.5</v>
      </c>
    </row>
    <row r="46" spans="1:19" x14ac:dyDescent="0.2">
      <c r="A46" t="s">
        <v>10</v>
      </c>
      <c r="E46" s="2"/>
      <c r="J46">
        <f>AVERAGE(J40:J45)</f>
        <v>2375333.3333333335</v>
      </c>
      <c r="K46">
        <f>AVERAGE(K40:K45)</f>
        <v>19.206666666666667</v>
      </c>
      <c r="L46">
        <f t="shared" ref="L46" si="9">AVERAGE(L40:L45)</f>
        <v>19.073333333333334</v>
      </c>
      <c r="M46">
        <f t="shared" ref="M46" si="10">AVERAGE(M40:M45)</f>
        <v>2.3136666666666668</v>
      </c>
      <c r="N46" s="4"/>
      <c r="O46" s="4"/>
      <c r="P46" s="10"/>
    </row>
    <row r="47" spans="1:19" ht="32" x14ac:dyDescent="0.2">
      <c r="A47" s="5"/>
      <c r="B47" s="5" t="s">
        <v>112</v>
      </c>
      <c r="C47" s="5" t="s">
        <v>113</v>
      </c>
      <c r="D47" s="5" t="s">
        <v>116</v>
      </c>
      <c r="E47" s="6" t="s">
        <v>114</v>
      </c>
      <c r="F47" s="5" t="s">
        <v>115</v>
      </c>
      <c r="G47" s="7"/>
      <c r="H47" s="5" t="s">
        <v>117</v>
      </c>
      <c r="I47" s="5" t="s">
        <v>118</v>
      </c>
      <c r="K47" s="5" t="s">
        <v>135</v>
      </c>
      <c r="L47" s="5" t="s">
        <v>136</v>
      </c>
      <c r="N47" s="4"/>
      <c r="O47" s="4"/>
      <c r="P47" s="10"/>
    </row>
    <row r="48" spans="1:19" x14ac:dyDescent="0.2">
      <c r="A48" s="7" t="s">
        <v>111</v>
      </c>
      <c r="B48" s="8">
        <f>K46-$K$8</f>
        <v>-0.86333333333333329</v>
      </c>
      <c r="C48" s="8">
        <f>L46-$L$8</f>
        <v>-0.97166666666666401</v>
      </c>
      <c r="D48" s="8">
        <f>J46/$J$8</f>
        <v>423.53640416047551</v>
      </c>
      <c r="E48" s="8">
        <f>8+(2+2/60)/24</f>
        <v>8.0847222222222221</v>
      </c>
      <c r="F48" s="8">
        <f>LOG(D48,2)/E48</f>
        <v>1.0793620273587785</v>
      </c>
      <c r="G48" s="8"/>
      <c r="H48" s="8">
        <f>4/3*PI()*(K46/2)^3</f>
        <v>3709.835220242629</v>
      </c>
      <c r="I48" s="8">
        <f>H48/1000000000*J46</f>
        <v>8.812095259816326</v>
      </c>
      <c r="K48" s="9">
        <f>I48*800/1050</f>
        <v>6.7139773408124395</v>
      </c>
      <c r="L48" s="8">
        <f>0.6/K48*800</f>
        <v>71.492645213770786</v>
      </c>
      <c r="N48" s="4"/>
      <c r="O48" s="4"/>
      <c r="P48" s="10"/>
    </row>
    <row r="49" spans="1:19" x14ac:dyDescent="0.2">
      <c r="N49" s="4"/>
      <c r="O49" s="4"/>
      <c r="P49" s="10"/>
      <c r="R49" s="3"/>
    </row>
    <row r="50" spans="1:19" x14ac:dyDescent="0.2">
      <c r="A50" t="s">
        <v>125</v>
      </c>
      <c r="B50" t="s">
        <v>30</v>
      </c>
      <c r="C50" t="s">
        <v>62</v>
      </c>
      <c r="D50" t="s">
        <v>97</v>
      </c>
      <c r="E50" s="2">
        <v>44183.917361111111</v>
      </c>
      <c r="F50">
        <v>7839</v>
      </c>
      <c r="G50">
        <v>8218</v>
      </c>
      <c r="H50">
        <v>12.2</v>
      </c>
      <c r="I50">
        <v>30.2</v>
      </c>
      <c r="J50">
        <v>285000</v>
      </c>
      <c r="K50">
        <v>19.8</v>
      </c>
      <c r="L50">
        <v>19.579999999999998</v>
      </c>
      <c r="M50">
        <v>2.3980000000000001</v>
      </c>
      <c r="N50" s="8"/>
      <c r="O50" s="8"/>
      <c r="P50" s="11"/>
    </row>
    <row r="51" spans="1:19" x14ac:dyDescent="0.2">
      <c r="A51" t="s">
        <v>125</v>
      </c>
      <c r="B51" t="s">
        <v>30</v>
      </c>
      <c r="C51" t="s">
        <v>63</v>
      </c>
      <c r="D51" t="s">
        <v>97</v>
      </c>
      <c r="E51" s="2">
        <v>44183.918055555558</v>
      </c>
      <c r="F51">
        <v>7967</v>
      </c>
      <c r="G51">
        <v>8376</v>
      </c>
      <c r="H51">
        <v>11.97</v>
      </c>
      <c r="I51">
        <v>30.2</v>
      </c>
      <c r="J51">
        <v>279600</v>
      </c>
      <c r="K51">
        <v>19.809999999999999</v>
      </c>
      <c r="L51">
        <v>19.63</v>
      </c>
      <c r="M51">
        <v>2.3980000000000001</v>
      </c>
      <c r="N51" s="4">
        <f>AVERAGE(J50:J51)/$J$8</f>
        <v>50.335809806835073</v>
      </c>
      <c r="O51" s="4">
        <f>E50-$E$2</f>
        <v>9.2354166666700621</v>
      </c>
      <c r="P51" s="10">
        <f>LOG(N51,2)/O51</f>
        <v>0.6121557287137509</v>
      </c>
      <c r="Q51" t="s">
        <v>134</v>
      </c>
      <c r="R51" t="s">
        <v>141</v>
      </c>
      <c r="S51">
        <v>0.8</v>
      </c>
    </row>
    <row r="52" spans="1:19" x14ac:dyDescent="0.2">
      <c r="A52" t="s">
        <v>126</v>
      </c>
      <c r="B52" t="s">
        <v>30</v>
      </c>
      <c r="C52" t="s">
        <v>64</v>
      </c>
      <c r="D52" t="s">
        <v>97</v>
      </c>
      <c r="E52" s="2">
        <v>44183.919444444437</v>
      </c>
      <c r="F52">
        <v>9215</v>
      </c>
      <c r="G52">
        <v>9792</v>
      </c>
      <c r="H52">
        <v>11.97</v>
      </c>
      <c r="I52">
        <v>30.2</v>
      </c>
      <c r="J52">
        <v>329000</v>
      </c>
      <c r="K52">
        <v>20.079999999999998</v>
      </c>
      <c r="L52">
        <v>19.93</v>
      </c>
      <c r="M52">
        <v>2.41</v>
      </c>
      <c r="N52" s="4"/>
      <c r="O52" s="4"/>
      <c r="P52" s="10"/>
    </row>
    <row r="53" spans="1:19" x14ac:dyDescent="0.2">
      <c r="A53" t="s">
        <v>126</v>
      </c>
      <c r="B53" t="s">
        <v>30</v>
      </c>
      <c r="C53" t="s">
        <v>65</v>
      </c>
      <c r="D53" t="s">
        <v>97</v>
      </c>
      <c r="E53" s="2">
        <v>44183.920138888891</v>
      </c>
      <c r="F53">
        <v>9389</v>
      </c>
      <c r="G53">
        <v>9983</v>
      </c>
      <c r="H53">
        <v>11.97</v>
      </c>
      <c r="I53">
        <v>30.2</v>
      </c>
      <c r="J53">
        <v>331400</v>
      </c>
      <c r="K53">
        <v>20.11</v>
      </c>
      <c r="L53">
        <v>19.96</v>
      </c>
      <c r="M53">
        <v>2.448</v>
      </c>
      <c r="N53" s="4">
        <f>AVERAGE(J52:J53)/$J$8</f>
        <v>58.876671619613674</v>
      </c>
      <c r="O53" s="4">
        <f>E52-$E$2</f>
        <v>9.2374999999956344</v>
      </c>
      <c r="P53" s="10">
        <f>LOG(N53,2)/O53</f>
        <v>0.63649517846028425</v>
      </c>
      <c r="Q53" t="s">
        <v>134</v>
      </c>
      <c r="R53" t="s">
        <v>141</v>
      </c>
      <c r="S53">
        <v>0.8</v>
      </c>
    </row>
    <row r="54" spans="1:19" x14ac:dyDescent="0.2">
      <c r="A54" t="s">
        <v>127</v>
      </c>
      <c r="B54" t="s">
        <v>30</v>
      </c>
      <c r="C54" t="s">
        <v>66</v>
      </c>
      <c r="D54" t="s">
        <v>97</v>
      </c>
      <c r="E54" s="2">
        <v>44183.92083333333</v>
      </c>
      <c r="F54">
        <v>6435</v>
      </c>
      <c r="G54">
        <v>6714</v>
      </c>
      <c r="H54">
        <v>11.97</v>
      </c>
      <c r="I54">
        <v>30.2</v>
      </c>
      <c r="J54">
        <v>211800</v>
      </c>
      <c r="K54">
        <v>20.12</v>
      </c>
      <c r="L54">
        <v>20.03</v>
      </c>
      <c r="M54">
        <v>2.5750000000000002</v>
      </c>
      <c r="P54" s="10"/>
    </row>
    <row r="55" spans="1:19" x14ac:dyDescent="0.2">
      <c r="A55" t="s">
        <v>127</v>
      </c>
      <c r="B55" t="s">
        <v>30</v>
      </c>
      <c r="C55" t="s">
        <v>67</v>
      </c>
      <c r="D55" t="s">
        <v>97</v>
      </c>
      <c r="E55" s="2">
        <v>44183.921527777777</v>
      </c>
      <c r="F55">
        <v>6604</v>
      </c>
      <c r="G55">
        <v>6874</v>
      </c>
      <c r="H55">
        <v>11.97</v>
      </c>
      <c r="I55">
        <v>30.2</v>
      </c>
      <c r="J55">
        <v>208200</v>
      </c>
      <c r="K55">
        <v>20.65</v>
      </c>
      <c r="L55">
        <v>20.58</v>
      </c>
      <c r="M55">
        <v>2.669</v>
      </c>
      <c r="N55" s="4">
        <f>AVERAGE(J54:J55)/$J$8</f>
        <v>37.444279346210998</v>
      </c>
      <c r="O55" s="4">
        <f>E54-$E$2</f>
        <v>9.2388888888890506</v>
      </c>
      <c r="P55" s="10">
        <f>LOG(N55,2)/O55</f>
        <v>0.56572532493058447</v>
      </c>
      <c r="Q55" t="s">
        <v>134</v>
      </c>
      <c r="R55" t="s">
        <v>141</v>
      </c>
      <c r="S55">
        <v>0.8</v>
      </c>
    </row>
    <row r="56" spans="1:19" x14ac:dyDescent="0.2">
      <c r="A56" t="s">
        <v>10</v>
      </c>
      <c r="E56" s="2"/>
      <c r="J56">
        <f>AVERAGE(J50:J55)</f>
        <v>274166.66666666669</v>
      </c>
      <c r="K56">
        <f>AVERAGE(K50:K55)</f>
        <v>20.094999999999999</v>
      </c>
      <c r="L56">
        <f t="shared" ref="L56" si="11">AVERAGE(L50:L55)</f>
        <v>19.951666666666664</v>
      </c>
      <c r="M56">
        <f t="shared" ref="M56" si="12">AVERAGE(M50:M55)</f>
        <v>2.4830000000000001</v>
      </c>
      <c r="N56" s="4"/>
      <c r="O56" s="4"/>
      <c r="P56" s="10"/>
      <c r="R56" s="3"/>
    </row>
    <row r="57" spans="1:19" ht="32" x14ac:dyDescent="0.2">
      <c r="A57" s="5"/>
      <c r="B57" s="5" t="s">
        <v>112</v>
      </c>
      <c r="C57" s="5" t="s">
        <v>113</v>
      </c>
      <c r="D57" s="5" t="s">
        <v>116</v>
      </c>
      <c r="E57" s="6" t="s">
        <v>114</v>
      </c>
      <c r="F57" s="5" t="s">
        <v>115</v>
      </c>
      <c r="G57" s="7"/>
      <c r="H57" s="5" t="s">
        <v>117</v>
      </c>
      <c r="I57" s="5" t="s">
        <v>118</v>
      </c>
      <c r="K57" s="5" t="s">
        <v>135</v>
      </c>
      <c r="L57" s="5" t="s">
        <v>136</v>
      </c>
      <c r="N57" s="4"/>
      <c r="O57" s="4"/>
      <c r="P57" s="10"/>
    </row>
    <row r="58" spans="1:19" x14ac:dyDescent="0.2">
      <c r="A58" s="7" t="s">
        <v>111</v>
      </c>
      <c r="B58" s="8">
        <f>K56-$K$8</f>
        <v>2.4999999999998579E-2</v>
      </c>
      <c r="C58" s="8">
        <f>L56-$L$8</f>
        <v>-9.3333333333333712E-2</v>
      </c>
      <c r="D58" s="8">
        <f>J56/$J$8</f>
        <v>48.885586924219915</v>
      </c>
      <c r="E58" s="8">
        <f>9+(5+39/60)/24</f>
        <v>9.2354166666666675</v>
      </c>
      <c r="F58" s="8">
        <f>LOG(D58,2)/E58</f>
        <v>0.60758896663023487</v>
      </c>
      <c r="G58" s="8"/>
      <c r="H58" s="8">
        <f>4/3*PI()*(K56/2)^3</f>
        <v>4248.7644428620824</v>
      </c>
      <c r="I58" s="8">
        <f>H58/1000000000*J56</f>
        <v>1.1648695847513544</v>
      </c>
      <c r="K58" s="9">
        <f>I58*800/1050</f>
        <v>0.88751968362007949</v>
      </c>
      <c r="L58" s="8">
        <f>0.6/K58*800</f>
        <v>540.83307543348371</v>
      </c>
      <c r="N58" s="4"/>
      <c r="O58" s="4"/>
      <c r="P58" s="10"/>
    </row>
    <row r="59" spans="1:19" x14ac:dyDescent="0.2">
      <c r="N59" s="4"/>
      <c r="O59" s="4"/>
      <c r="P59" s="10"/>
    </row>
    <row r="60" spans="1:19" x14ac:dyDescent="0.2">
      <c r="A60" t="s">
        <v>128</v>
      </c>
      <c r="B60" t="s">
        <v>29</v>
      </c>
      <c r="C60" t="s">
        <v>56</v>
      </c>
      <c r="D60" t="s">
        <v>97</v>
      </c>
      <c r="E60" s="2">
        <v>44183.93472222222</v>
      </c>
      <c r="F60">
        <v>19247</v>
      </c>
      <c r="G60">
        <v>21624</v>
      </c>
      <c r="H60">
        <v>11.97</v>
      </c>
      <c r="I60">
        <v>30.2</v>
      </c>
      <c r="J60">
        <v>746500</v>
      </c>
      <c r="K60">
        <v>19.12</v>
      </c>
      <c r="L60">
        <v>18.940000000000001</v>
      </c>
      <c r="M60">
        <v>2.1850000000000001</v>
      </c>
      <c r="N60" s="4"/>
      <c r="O60" s="4"/>
      <c r="P60" s="10"/>
    </row>
    <row r="61" spans="1:19" x14ac:dyDescent="0.2">
      <c r="A61" t="s">
        <v>128</v>
      </c>
      <c r="B61" t="s">
        <v>29</v>
      </c>
      <c r="C61" t="s">
        <v>57</v>
      </c>
      <c r="D61" t="s">
        <v>97</v>
      </c>
      <c r="E61" s="2">
        <v>44183.93472222222</v>
      </c>
      <c r="F61">
        <v>18977</v>
      </c>
      <c r="G61">
        <v>21337</v>
      </c>
      <c r="H61">
        <v>11.97</v>
      </c>
      <c r="I61">
        <v>30.2</v>
      </c>
      <c r="J61">
        <v>716900</v>
      </c>
      <c r="K61">
        <v>19.260000000000002</v>
      </c>
      <c r="L61">
        <v>19.07</v>
      </c>
      <c r="M61">
        <v>2.2069999999999999</v>
      </c>
      <c r="N61" s="4">
        <f>AVERAGE(J60:J61)/$J$8</f>
        <v>130.4665676077266</v>
      </c>
      <c r="O61" s="4">
        <f>E60-$E$2</f>
        <v>9.2527777777795563</v>
      </c>
      <c r="P61" s="10">
        <f>LOG(N61,2)/O61</f>
        <v>0.75950557966546328</v>
      </c>
      <c r="Q61" t="s">
        <v>133</v>
      </c>
      <c r="R61" t="s">
        <v>141</v>
      </c>
      <c r="S61">
        <v>0.8</v>
      </c>
    </row>
    <row r="62" spans="1:19" x14ac:dyDescent="0.2">
      <c r="A62" t="s">
        <v>129</v>
      </c>
      <c r="B62" t="s">
        <v>29</v>
      </c>
      <c r="C62" t="s">
        <v>58</v>
      </c>
      <c r="D62" t="s">
        <v>97</v>
      </c>
      <c r="E62" s="2">
        <v>44183.936111111107</v>
      </c>
      <c r="F62">
        <v>22764</v>
      </c>
      <c r="G62">
        <v>26260</v>
      </c>
      <c r="H62">
        <v>11.97</v>
      </c>
      <c r="I62">
        <v>30.2</v>
      </c>
      <c r="J62">
        <v>910100</v>
      </c>
      <c r="K62">
        <v>19.149999999999999</v>
      </c>
      <c r="L62">
        <v>18.920000000000002</v>
      </c>
      <c r="M62">
        <v>2.238</v>
      </c>
      <c r="N62" s="4"/>
      <c r="O62" s="4"/>
      <c r="P62" s="10"/>
    </row>
    <row r="63" spans="1:19" x14ac:dyDescent="0.2">
      <c r="A63" t="s">
        <v>129</v>
      </c>
      <c r="B63" t="s">
        <v>29</v>
      </c>
      <c r="C63" t="s">
        <v>59</v>
      </c>
      <c r="D63" t="s">
        <v>97</v>
      </c>
      <c r="E63" s="2">
        <v>44183.936111111107</v>
      </c>
      <c r="F63">
        <v>23053</v>
      </c>
      <c r="G63">
        <v>26671</v>
      </c>
      <c r="H63">
        <v>11.97</v>
      </c>
      <c r="I63">
        <v>30.2</v>
      </c>
      <c r="J63">
        <v>901400</v>
      </c>
      <c r="K63">
        <v>19.28</v>
      </c>
      <c r="L63">
        <v>19.079999999999998</v>
      </c>
      <c r="M63">
        <v>2.238</v>
      </c>
      <c r="N63" s="4">
        <f>AVERAGE(J62:J63)/$J$8</f>
        <v>161.50074294205052</v>
      </c>
      <c r="O63" s="4">
        <f>E62-$E$2</f>
        <v>9.2541666666656965</v>
      </c>
      <c r="P63" s="10">
        <f>LOG(N63,2)/O63</f>
        <v>0.79265883743743448</v>
      </c>
      <c r="Q63" t="s">
        <v>133</v>
      </c>
      <c r="R63" t="s">
        <v>141</v>
      </c>
      <c r="S63">
        <v>0.8</v>
      </c>
    </row>
    <row r="64" spans="1:19" x14ac:dyDescent="0.2">
      <c r="A64" t="s">
        <v>130</v>
      </c>
      <c r="B64" t="s">
        <v>29</v>
      </c>
      <c r="C64" t="s">
        <v>60</v>
      </c>
      <c r="D64" t="s">
        <v>97</v>
      </c>
      <c r="E64" s="2">
        <v>44183.9375</v>
      </c>
      <c r="F64">
        <v>18311</v>
      </c>
      <c r="G64">
        <v>20691</v>
      </c>
      <c r="H64">
        <v>11.97</v>
      </c>
      <c r="I64">
        <v>30.2</v>
      </c>
      <c r="J64">
        <v>717800</v>
      </c>
      <c r="K64">
        <v>19.39</v>
      </c>
      <c r="L64">
        <v>19.18</v>
      </c>
      <c r="M64">
        <v>2.286</v>
      </c>
      <c r="P64" s="10"/>
    </row>
    <row r="65" spans="1:19" x14ac:dyDescent="0.2">
      <c r="A65" t="s">
        <v>130</v>
      </c>
      <c r="B65" t="s">
        <v>29</v>
      </c>
      <c r="C65" t="s">
        <v>61</v>
      </c>
      <c r="D65" t="s">
        <v>97</v>
      </c>
      <c r="E65" s="2">
        <v>44183.938194444447</v>
      </c>
      <c r="F65">
        <v>17966</v>
      </c>
      <c r="G65">
        <v>20240</v>
      </c>
      <c r="H65">
        <v>11.97</v>
      </c>
      <c r="I65">
        <v>30.2</v>
      </c>
      <c r="J65">
        <v>691300</v>
      </c>
      <c r="K65">
        <v>19.54</v>
      </c>
      <c r="L65">
        <v>19.350000000000001</v>
      </c>
      <c r="M65">
        <v>2.2829999999999999</v>
      </c>
      <c r="N65" s="4">
        <f>AVERAGE(J64:J65)/$J$8</f>
        <v>125.62555720653789</v>
      </c>
      <c r="O65" s="4">
        <f>E64-$E$2</f>
        <v>9.2555555555591127</v>
      </c>
      <c r="P65" s="10">
        <f>LOG(N65,2)/O65</f>
        <v>0.75338386153402082</v>
      </c>
      <c r="Q65" t="s">
        <v>133</v>
      </c>
      <c r="R65" t="s">
        <v>141</v>
      </c>
      <c r="S65">
        <v>0.8</v>
      </c>
    </row>
    <row r="66" spans="1:19" x14ac:dyDescent="0.2">
      <c r="A66" t="s">
        <v>10</v>
      </c>
      <c r="E66" s="2"/>
      <c r="J66">
        <f>AVERAGE(J60:J65)</f>
        <v>780666.66666666663</v>
      </c>
      <c r="K66">
        <f>AVERAGE(K60:K65)</f>
        <v>19.290000000000003</v>
      </c>
      <c r="L66">
        <f t="shared" ref="L66" si="13">AVERAGE(L60:L65)</f>
        <v>19.09</v>
      </c>
      <c r="M66">
        <f t="shared" ref="M66" si="14">AVERAGE(M60:M65)</f>
        <v>2.2394999999999996</v>
      </c>
      <c r="N66" s="4"/>
      <c r="O66" s="4"/>
      <c r="P66" s="10"/>
    </row>
    <row r="67" spans="1:19" ht="32" x14ac:dyDescent="0.2">
      <c r="A67" s="5"/>
      <c r="B67" s="5" t="s">
        <v>112</v>
      </c>
      <c r="C67" s="5" t="s">
        <v>113</v>
      </c>
      <c r="D67" s="5" t="s">
        <v>116</v>
      </c>
      <c r="E67" s="6" t="s">
        <v>114</v>
      </c>
      <c r="F67" s="5" t="s">
        <v>115</v>
      </c>
      <c r="G67" s="7"/>
      <c r="H67" s="5" t="s">
        <v>117</v>
      </c>
      <c r="I67" s="5" t="s">
        <v>118</v>
      </c>
      <c r="K67" s="5" t="s">
        <v>135</v>
      </c>
      <c r="L67" s="5" t="s">
        <v>136</v>
      </c>
      <c r="N67" s="4"/>
      <c r="O67" s="4"/>
      <c r="P67" s="10"/>
    </row>
    <row r="68" spans="1:19" x14ac:dyDescent="0.2">
      <c r="A68" s="7" t="s">
        <v>111</v>
      </c>
      <c r="B68" s="8">
        <f>K66-$K$8</f>
        <v>-0.77999999999999758</v>
      </c>
      <c r="C68" s="8">
        <f>L66-$L$8</f>
        <v>-0.95499999999999829</v>
      </c>
      <c r="D68" s="8">
        <f>J66/$J$8</f>
        <v>139.19762258543832</v>
      </c>
      <c r="E68" s="8">
        <f>9+(6+4/60)/24</f>
        <v>9.2527777777777782</v>
      </c>
      <c r="F68" s="8">
        <f>LOG(D68,2)/E68</f>
        <v>0.76960572617237277</v>
      </c>
      <c r="G68" s="8"/>
      <c r="H68" s="8">
        <f>4/3*PI()*(K66/2)^3</f>
        <v>3758.3334147820146</v>
      </c>
      <c r="I68" s="8">
        <f>H68/1000000000*J66</f>
        <v>2.934005619139826</v>
      </c>
      <c r="K68" s="9">
        <f>I68*800/1050</f>
        <v>2.2354328526779628</v>
      </c>
      <c r="L68" s="8">
        <f>0.6/K68*800</f>
        <v>214.72351514606149</v>
      </c>
      <c r="N68" s="4"/>
      <c r="O68" s="4"/>
      <c r="P68" s="10"/>
    </row>
    <row r="69" spans="1:19" x14ac:dyDescent="0.2">
      <c r="N69" s="4"/>
      <c r="O69" s="4"/>
      <c r="P69" s="10"/>
    </row>
    <row r="70" spans="1:19" x14ac:dyDescent="0.2">
      <c r="A70" t="s">
        <v>25</v>
      </c>
      <c r="B70" t="s">
        <v>31</v>
      </c>
      <c r="C70" t="s">
        <v>86</v>
      </c>
      <c r="D70" t="s">
        <v>98</v>
      </c>
      <c r="E70" s="2">
        <v>44191.838888888888</v>
      </c>
      <c r="F70">
        <v>148475</v>
      </c>
      <c r="G70">
        <v>184120</v>
      </c>
      <c r="H70">
        <v>11.97</v>
      </c>
      <c r="I70">
        <v>30.42</v>
      </c>
      <c r="J70">
        <v>1615000</v>
      </c>
      <c r="K70">
        <v>18.34</v>
      </c>
      <c r="L70">
        <v>18.04</v>
      </c>
      <c r="M70">
        <v>2.706</v>
      </c>
      <c r="N70" s="8"/>
      <c r="O70" s="8"/>
      <c r="P70" s="11"/>
      <c r="R70" s="3"/>
    </row>
    <row r="71" spans="1:19" x14ac:dyDescent="0.2">
      <c r="A71" t="s">
        <v>25</v>
      </c>
      <c r="B71" t="s">
        <v>31</v>
      </c>
      <c r="C71" t="s">
        <v>87</v>
      </c>
      <c r="D71" t="s">
        <v>98</v>
      </c>
      <c r="E71" s="2">
        <v>44191.845138888893</v>
      </c>
      <c r="F71">
        <v>94004</v>
      </c>
      <c r="G71">
        <v>111721</v>
      </c>
      <c r="H71">
        <v>11.97</v>
      </c>
      <c r="I71">
        <v>30.42</v>
      </c>
      <c r="J71">
        <v>1431000</v>
      </c>
      <c r="K71">
        <v>19.04</v>
      </c>
      <c r="L71">
        <v>18.88</v>
      </c>
      <c r="M71">
        <v>2.633</v>
      </c>
      <c r="N71" s="4">
        <f>AVERAGE(J70:J71)/$J$8</f>
        <v>271.56017830609215</v>
      </c>
      <c r="O71" s="4">
        <f>E70-$E$2</f>
        <v>17.156944444446708</v>
      </c>
      <c r="P71" s="10">
        <f>LOG(N71,2)/O71</f>
        <v>0.47124522397707336</v>
      </c>
      <c r="Q71" t="s">
        <v>134</v>
      </c>
      <c r="R71" t="s">
        <v>141</v>
      </c>
      <c r="S71">
        <v>1</v>
      </c>
    </row>
    <row r="72" spans="1:19" x14ac:dyDescent="0.2">
      <c r="A72" t="s">
        <v>26</v>
      </c>
      <c r="B72" t="s">
        <v>31</v>
      </c>
      <c r="C72" t="s">
        <v>88</v>
      </c>
      <c r="D72" t="s">
        <v>98</v>
      </c>
      <c r="E72" s="2">
        <v>44191.84097222222</v>
      </c>
      <c r="F72">
        <v>117561</v>
      </c>
      <c r="G72">
        <v>141104</v>
      </c>
      <c r="H72">
        <v>11.97</v>
      </c>
      <c r="I72">
        <v>30.42</v>
      </c>
      <c r="J72">
        <v>1225000</v>
      </c>
      <c r="K72">
        <v>18.93</v>
      </c>
      <c r="L72">
        <v>18.66</v>
      </c>
      <c r="M72">
        <v>2.5550000000000002</v>
      </c>
      <c r="N72" s="4"/>
      <c r="O72" s="4"/>
      <c r="P72" s="10"/>
    </row>
    <row r="73" spans="1:19" x14ac:dyDescent="0.2">
      <c r="A73" t="s">
        <v>26</v>
      </c>
      <c r="B73" t="s">
        <v>31</v>
      </c>
      <c r="C73" t="s">
        <v>89</v>
      </c>
      <c r="D73" t="s">
        <v>98</v>
      </c>
      <c r="E73" s="2">
        <v>44191.84652777778</v>
      </c>
      <c r="F73">
        <v>65611</v>
      </c>
      <c r="G73">
        <v>74845</v>
      </c>
      <c r="H73">
        <v>11.97</v>
      </c>
      <c r="I73">
        <v>30.42</v>
      </c>
      <c r="J73">
        <v>1099000</v>
      </c>
      <c r="K73">
        <v>19.41</v>
      </c>
      <c r="L73">
        <v>19.260000000000002</v>
      </c>
      <c r="M73">
        <v>2.548</v>
      </c>
      <c r="N73" s="4">
        <f>AVERAGE(J72:J73)/$J$8</f>
        <v>207.19167904903418</v>
      </c>
      <c r="O73" s="4">
        <f>E72-$E$2</f>
        <v>17.159027777779556</v>
      </c>
      <c r="P73" s="10">
        <f>LOG(N73,2)/O73</f>
        <v>0.44844162233756057</v>
      </c>
      <c r="Q73" t="s">
        <v>134</v>
      </c>
      <c r="R73" t="s">
        <v>141</v>
      </c>
      <c r="S73">
        <v>1</v>
      </c>
    </row>
    <row r="74" spans="1:19" x14ac:dyDescent="0.2">
      <c r="A74" t="s">
        <v>27</v>
      </c>
      <c r="B74" t="s">
        <v>31</v>
      </c>
      <c r="C74" t="s">
        <v>90</v>
      </c>
      <c r="D74" t="s">
        <v>98</v>
      </c>
      <c r="E74" s="2">
        <v>44191.843055555553</v>
      </c>
      <c r="F74">
        <v>43539</v>
      </c>
      <c r="G74">
        <v>46495</v>
      </c>
      <c r="H74">
        <v>11.97</v>
      </c>
      <c r="I74">
        <v>30.42</v>
      </c>
      <c r="J74">
        <v>393900</v>
      </c>
      <c r="K74">
        <v>19.12</v>
      </c>
      <c r="L74">
        <v>18.89</v>
      </c>
      <c r="M74">
        <v>2.56</v>
      </c>
      <c r="P74" s="10"/>
    </row>
    <row r="75" spans="1:19" x14ac:dyDescent="0.2">
      <c r="A75" t="s">
        <v>10</v>
      </c>
      <c r="E75" s="2"/>
      <c r="J75">
        <f>AVERAGE(J70:J74)</f>
        <v>1152780</v>
      </c>
      <c r="K75">
        <f>AVERAGE(K70:K74)</f>
        <v>18.968</v>
      </c>
      <c r="L75">
        <f>AVERAGE(L70:L74)</f>
        <v>18.746000000000002</v>
      </c>
      <c r="M75">
        <f>AVERAGE(M70:M74)</f>
        <v>2.6004</v>
      </c>
      <c r="N75" s="4">
        <f>AVERAGE(J74:J75)/$J$8</f>
        <v>137.89123328380387</v>
      </c>
      <c r="O75" s="4">
        <f>E74-$E$2</f>
        <v>17.161111111112405</v>
      </c>
      <c r="P75" s="10">
        <f>LOG(N75,2)/O75</f>
        <v>0.41415657070493012</v>
      </c>
      <c r="Q75" t="s">
        <v>134</v>
      </c>
      <c r="R75" t="s">
        <v>141</v>
      </c>
      <c r="S75">
        <v>1</v>
      </c>
    </row>
    <row r="76" spans="1:19" ht="32" x14ac:dyDescent="0.2">
      <c r="A76" s="5"/>
      <c r="B76" s="5" t="s">
        <v>112</v>
      </c>
      <c r="C76" s="5" t="s">
        <v>113</v>
      </c>
      <c r="D76" s="5" t="s">
        <v>116</v>
      </c>
      <c r="E76" s="6" t="s">
        <v>114</v>
      </c>
      <c r="F76" s="5" t="s">
        <v>115</v>
      </c>
      <c r="G76" s="7"/>
      <c r="H76" s="5" t="s">
        <v>117</v>
      </c>
      <c r="I76" s="5" t="s">
        <v>118</v>
      </c>
      <c r="K76" s="5" t="s">
        <v>135</v>
      </c>
      <c r="L76" s="5" t="s">
        <v>136</v>
      </c>
      <c r="N76" s="4"/>
      <c r="O76" s="4"/>
      <c r="P76" s="10"/>
    </row>
    <row r="77" spans="1:19" x14ac:dyDescent="0.2">
      <c r="A77" s="7" t="s">
        <v>111</v>
      </c>
      <c r="B77" s="8">
        <f>K75-$K$8</f>
        <v>-1.1020000000000003</v>
      </c>
      <c r="C77" s="8">
        <f>L75-$L$8</f>
        <v>-1.2989999999999959</v>
      </c>
      <c r="D77" s="8">
        <f>J75/$J$8</f>
        <v>205.54769687964341</v>
      </c>
      <c r="E77" s="8">
        <f>17+(3+46/60)/24</f>
        <v>17.156944444444445</v>
      </c>
      <c r="F77" s="8">
        <f>LOG(D77,2)/E77</f>
        <v>0.44782620947105867</v>
      </c>
      <c r="G77" s="8"/>
      <c r="H77" s="8">
        <f>4/3*PI()*(K75/2)^3</f>
        <v>3573.2487069176464</v>
      </c>
      <c r="I77" s="8">
        <f>H77/1000000000*J75</f>
        <v>4.1191696443605244</v>
      </c>
      <c r="K77" s="9">
        <f>I77*800/1050</f>
        <v>3.138414967131828</v>
      </c>
      <c r="L77" s="8">
        <f>0.6/K77*800</f>
        <v>152.943445983712</v>
      </c>
      <c r="N77" s="4"/>
      <c r="O77" s="4"/>
      <c r="P77" s="10"/>
      <c r="R77" s="3"/>
    </row>
    <row r="78" spans="1:19" x14ac:dyDescent="0.2">
      <c r="N78" s="4"/>
      <c r="O78" s="4"/>
      <c r="P78" s="10"/>
    </row>
    <row r="79" spans="1:19" x14ac:dyDescent="0.2">
      <c r="A79" t="s">
        <v>22</v>
      </c>
      <c r="B79" t="s">
        <v>31</v>
      </c>
      <c r="C79" t="s">
        <v>80</v>
      </c>
      <c r="D79" t="s">
        <v>97</v>
      </c>
      <c r="E79" s="2">
        <v>44187.92291666667</v>
      </c>
      <c r="F79">
        <v>7522</v>
      </c>
      <c r="G79">
        <v>7825</v>
      </c>
      <c r="H79">
        <v>11.97</v>
      </c>
      <c r="I79">
        <v>32.450000000000003</v>
      </c>
      <c r="J79">
        <v>1221000</v>
      </c>
      <c r="K79">
        <v>18.79</v>
      </c>
      <c r="L79">
        <v>18.579999999999998</v>
      </c>
      <c r="M79">
        <v>2.359</v>
      </c>
      <c r="N79" s="4"/>
      <c r="O79" s="4"/>
      <c r="P79" s="10"/>
    </row>
    <row r="80" spans="1:19" x14ac:dyDescent="0.2">
      <c r="A80" t="s">
        <v>22</v>
      </c>
      <c r="B80" t="s">
        <v>31</v>
      </c>
      <c r="C80" t="s">
        <v>81</v>
      </c>
      <c r="D80" t="s">
        <v>97</v>
      </c>
      <c r="E80" s="2">
        <v>44187.923611111109</v>
      </c>
      <c r="F80">
        <v>7638</v>
      </c>
      <c r="G80">
        <v>7960</v>
      </c>
      <c r="H80">
        <v>11.97</v>
      </c>
      <c r="I80">
        <v>32.22</v>
      </c>
      <c r="J80">
        <v>1211000</v>
      </c>
      <c r="K80">
        <v>18.88</v>
      </c>
      <c r="L80">
        <v>18.7</v>
      </c>
      <c r="M80">
        <v>2.4020000000000001</v>
      </c>
      <c r="N80" s="4">
        <f>AVERAGE(J79:J80)/$J$8</f>
        <v>216.82020802377417</v>
      </c>
      <c r="O80" s="4">
        <f>E79-$E$2</f>
        <v>13.240972222229175</v>
      </c>
      <c r="P80" s="10">
        <f>LOG(N80,2)/O80</f>
        <v>0.58608652629099001</v>
      </c>
      <c r="Q80" t="s">
        <v>133</v>
      </c>
      <c r="R80" t="s">
        <v>141</v>
      </c>
      <c r="S80">
        <v>1</v>
      </c>
    </row>
    <row r="81" spans="1:19" x14ac:dyDescent="0.2">
      <c r="A81" t="s">
        <v>23</v>
      </c>
      <c r="B81" t="s">
        <v>31</v>
      </c>
      <c r="C81" t="s">
        <v>82</v>
      </c>
      <c r="D81" t="s">
        <v>97</v>
      </c>
      <c r="E81" s="2">
        <v>44187.924305555563</v>
      </c>
      <c r="F81">
        <v>12398</v>
      </c>
      <c r="G81">
        <v>13236</v>
      </c>
      <c r="H81">
        <v>11.97</v>
      </c>
      <c r="I81">
        <v>32.22</v>
      </c>
      <c r="J81">
        <v>2067000</v>
      </c>
      <c r="K81">
        <v>18.03</v>
      </c>
      <c r="L81">
        <v>17.8</v>
      </c>
      <c r="M81">
        <v>2.306</v>
      </c>
      <c r="N81" s="4"/>
      <c r="O81" s="4"/>
      <c r="P81" s="10"/>
    </row>
    <row r="82" spans="1:19" x14ac:dyDescent="0.2">
      <c r="A82" t="s">
        <v>23</v>
      </c>
      <c r="B82" t="s">
        <v>31</v>
      </c>
      <c r="C82" t="s">
        <v>83</v>
      </c>
      <c r="D82" t="s">
        <v>97</v>
      </c>
      <c r="E82" s="2">
        <v>44187.925000000003</v>
      </c>
      <c r="F82">
        <v>12434</v>
      </c>
      <c r="G82">
        <v>13283</v>
      </c>
      <c r="H82">
        <v>11.97</v>
      </c>
      <c r="I82">
        <v>32.450000000000003</v>
      </c>
      <c r="J82">
        <v>2018000</v>
      </c>
      <c r="K82">
        <v>18.16</v>
      </c>
      <c r="L82">
        <v>17.899999999999999</v>
      </c>
      <c r="M82">
        <v>2.3690000000000002</v>
      </c>
      <c r="N82" s="4">
        <f>AVERAGE(J81:J82)/$J$8</f>
        <v>364.19019316493313</v>
      </c>
      <c r="O82" s="4">
        <f>E81-$E$2</f>
        <v>13.242361111122591</v>
      </c>
      <c r="P82" s="10">
        <f>LOG(N82,2)/O82</f>
        <v>0.64252501443150534</v>
      </c>
      <c r="Q82" t="s">
        <v>133</v>
      </c>
      <c r="R82" t="s">
        <v>141</v>
      </c>
      <c r="S82">
        <v>1</v>
      </c>
    </row>
    <row r="83" spans="1:19" x14ac:dyDescent="0.2">
      <c r="A83" t="s">
        <v>24</v>
      </c>
      <c r="B83" t="s">
        <v>31</v>
      </c>
      <c r="C83" t="s">
        <v>84</v>
      </c>
      <c r="D83" t="s">
        <v>97</v>
      </c>
      <c r="E83" s="2">
        <v>44187.925694444442</v>
      </c>
      <c r="F83">
        <v>8272</v>
      </c>
      <c r="G83">
        <v>8695</v>
      </c>
      <c r="H83">
        <v>11.97</v>
      </c>
      <c r="I83">
        <v>32.450000000000003</v>
      </c>
      <c r="J83">
        <v>1419000</v>
      </c>
      <c r="K83">
        <v>18.809999999999999</v>
      </c>
      <c r="L83">
        <v>18.649999999999999</v>
      </c>
      <c r="M83">
        <v>2.3519999999999999</v>
      </c>
      <c r="P83" s="10"/>
    </row>
    <row r="84" spans="1:19" x14ac:dyDescent="0.2">
      <c r="A84" t="s">
        <v>24</v>
      </c>
      <c r="B84" t="s">
        <v>31</v>
      </c>
      <c r="C84" t="s">
        <v>85</v>
      </c>
      <c r="D84" t="s">
        <v>97</v>
      </c>
      <c r="E84" s="2">
        <v>44187.926388888889</v>
      </c>
      <c r="F84">
        <v>7926</v>
      </c>
      <c r="G84">
        <v>8308</v>
      </c>
      <c r="H84">
        <v>11.97</v>
      </c>
      <c r="I84">
        <v>32.67</v>
      </c>
      <c r="J84">
        <v>1344000</v>
      </c>
      <c r="K84">
        <v>18.86</v>
      </c>
      <c r="L84">
        <v>18.670000000000002</v>
      </c>
      <c r="M84">
        <v>2.363</v>
      </c>
      <c r="N84" s="4">
        <f>AVERAGE(J83:J84)/$J$8</f>
        <v>246.32986627043093</v>
      </c>
      <c r="O84" s="4">
        <f>E83-$E$2</f>
        <v>13.243750000001455</v>
      </c>
      <c r="P84" s="10">
        <f>LOG(N84,2)/O84</f>
        <v>0.59986391677657924</v>
      </c>
      <c r="Q84" t="s">
        <v>133</v>
      </c>
      <c r="R84" t="s">
        <v>141</v>
      </c>
      <c r="S84">
        <v>1</v>
      </c>
    </row>
    <row r="85" spans="1:19" x14ac:dyDescent="0.2">
      <c r="A85" t="s">
        <v>10</v>
      </c>
      <c r="E85" s="2"/>
      <c r="J85">
        <f>AVERAGE(J79:J84)</f>
        <v>1546666.6666666667</v>
      </c>
      <c r="K85">
        <f>AVERAGE(K79:K84)</f>
        <v>18.588333333333335</v>
      </c>
      <c r="L85">
        <f t="shared" ref="L85" si="15">AVERAGE(L79:L84)</f>
        <v>18.383333333333333</v>
      </c>
      <c r="M85">
        <f t="shared" ref="M85" si="16">AVERAGE(M79:M84)</f>
        <v>2.3584999999999998</v>
      </c>
      <c r="N85" s="4"/>
      <c r="O85" s="4"/>
      <c r="P85" s="10"/>
    </row>
    <row r="86" spans="1:19" ht="32" x14ac:dyDescent="0.2">
      <c r="A86" s="5"/>
      <c r="B86" s="5" t="s">
        <v>112</v>
      </c>
      <c r="C86" s="5" t="s">
        <v>113</v>
      </c>
      <c r="D86" s="5" t="s">
        <v>116</v>
      </c>
      <c r="E86" s="6" t="s">
        <v>114</v>
      </c>
      <c r="F86" s="5" t="s">
        <v>115</v>
      </c>
      <c r="G86" s="7"/>
      <c r="H86" s="5" t="s">
        <v>117</v>
      </c>
      <c r="I86" s="5" t="s">
        <v>118</v>
      </c>
      <c r="K86" s="5" t="s">
        <v>135</v>
      </c>
      <c r="L86" s="5" t="s">
        <v>136</v>
      </c>
      <c r="N86" s="4"/>
      <c r="O86" s="4"/>
      <c r="P86" s="10"/>
    </row>
    <row r="87" spans="1:19" x14ac:dyDescent="0.2">
      <c r="A87" s="7" t="s">
        <v>111</v>
      </c>
      <c r="B87" s="8">
        <f>K85-$K$8</f>
        <v>-1.4816666666666656</v>
      </c>
      <c r="C87" s="8">
        <f>L85-$L$8</f>
        <v>-1.6616666666666653</v>
      </c>
      <c r="D87" s="8">
        <f>J85/$J$8</f>
        <v>275.78008915304611</v>
      </c>
      <c r="E87" s="8">
        <f>13+(5+47/60)/24</f>
        <v>13.240972222222222</v>
      </c>
      <c r="F87" s="8">
        <f>LOG(D87,2)/E87</f>
        <v>0.61229450181048162</v>
      </c>
      <c r="G87" s="8"/>
      <c r="H87" s="8">
        <f>4/3*PI()*(K85/2)^3</f>
        <v>3362.9466505184027</v>
      </c>
      <c r="I87" s="8">
        <f>H87/1000000000*J85</f>
        <v>5.2013574861351302</v>
      </c>
      <c r="K87" s="9">
        <f>I87*800/1050</f>
        <v>3.962939037055337</v>
      </c>
      <c r="L87" s="8">
        <f>0.6/K87*800</f>
        <v>121.12222658783671</v>
      </c>
      <c r="N87" s="4"/>
      <c r="O87" s="4"/>
      <c r="P87" s="10"/>
    </row>
    <row r="88" spans="1:19" x14ac:dyDescent="0.2">
      <c r="N88" s="4"/>
      <c r="O88" s="4"/>
      <c r="P88" s="10"/>
    </row>
    <row r="89" spans="1:19" x14ac:dyDescent="0.2">
      <c r="A89" t="s">
        <v>16</v>
      </c>
      <c r="B89" t="s">
        <v>31</v>
      </c>
      <c r="C89" t="s">
        <v>74</v>
      </c>
      <c r="D89" t="s">
        <v>98</v>
      </c>
      <c r="E89" s="2">
        <v>44196.838194444441</v>
      </c>
      <c r="F89">
        <v>114732</v>
      </c>
      <c r="G89">
        <v>133769</v>
      </c>
      <c r="H89">
        <v>9.9450000000000003</v>
      </c>
      <c r="I89">
        <v>30.3</v>
      </c>
      <c r="J89">
        <v>1160000</v>
      </c>
      <c r="K89">
        <v>17.21</v>
      </c>
      <c r="L89">
        <v>16.97</v>
      </c>
      <c r="M89">
        <v>2.8679999999999999</v>
      </c>
      <c r="N89" s="4">
        <f>AVERAGE(J89)/$J$8</f>
        <v>206.83506686478455</v>
      </c>
      <c r="O89" s="4">
        <f>E89-$E$2</f>
        <v>22.15625</v>
      </c>
      <c r="P89" s="10">
        <f>LOG(N89,2)/O89</f>
        <v>0.34718587265503575</v>
      </c>
      <c r="Q89" t="s">
        <v>134</v>
      </c>
      <c r="R89" t="s">
        <v>141</v>
      </c>
      <c r="S89">
        <v>1.2</v>
      </c>
    </row>
    <row r="90" spans="1:19" x14ac:dyDescent="0.2">
      <c r="A90" t="s">
        <v>17</v>
      </c>
      <c r="B90" t="s">
        <v>31</v>
      </c>
      <c r="C90" t="s">
        <v>75</v>
      </c>
      <c r="D90" t="s">
        <v>98</v>
      </c>
      <c r="E90" s="2">
        <v>44196.838888888888</v>
      </c>
      <c r="F90">
        <v>41283</v>
      </c>
      <c r="G90">
        <v>44030</v>
      </c>
      <c r="H90">
        <v>12.42</v>
      </c>
      <c r="I90">
        <v>30.3</v>
      </c>
      <c r="J90">
        <v>345100</v>
      </c>
      <c r="K90">
        <v>18.82</v>
      </c>
      <c r="L90">
        <v>18.559999999999999</v>
      </c>
      <c r="M90">
        <v>2.5049999999999999</v>
      </c>
      <c r="N90" s="4">
        <f>AVERAGE(J90)/$J$8</f>
        <v>61.533432392273404</v>
      </c>
      <c r="O90" s="4">
        <f>E90-$E$2</f>
        <v>22.156944444446708</v>
      </c>
      <c r="P90" s="10">
        <f>LOG(N90,2)/O90</f>
        <v>0.26823637977013348</v>
      </c>
      <c r="Q90" t="s">
        <v>134</v>
      </c>
      <c r="R90" t="s">
        <v>141</v>
      </c>
      <c r="S90">
        <v>1.2</v>
      </c>
    </row>
    <row r="91" spans="1:19" x14ac:dyDescent="0.2">
      <c r="A91" t="s">
        <v>18</v>
      </c>
      <c r="B91" t="s">
        <v>31</v>
      </c>
      <c r="C91" t="s">
        <v>76</v>
      </c>
      <c r="D91" t="s">
        <v>98</v>
      </c>
      <c r="E91" s="2">
        <v>44196.840277777781</v>
      </c>
      <c r="F91">
        <v>13139</v>
      </c>
      <c r="G91">
        <v>13426</v>
      </c>
      <c r="H91">
        <v>12.42</v>
      </c>
      <c r="I91">
        <v>30.3</v>
      </c>
      <c r="J91">
        <v>98660</v>
      </c>
      <c r="K91">
        <v>19.079999999999998</v>
      </c>
      <c r="L91">
        <v>18.8</v>
      </c>
      <c r="M91">
        <v>2.7530000000000001</v>
      </c>
      <c r="N91" s="4">
        <f>AVERAGE(J91)/$J$8</f>
        <v>17.591679049034177</v>
      </c>
      <c r="O91" s="4">
        <f>E91-$E$2</f>
        <v>22.158333333340124</v>
      </c>
      <c r="P91" s="10">
        <f>LOG(N91,2)/O91</f>
        <v>0.18669370213839948</v>
      </c>
      <c r="Q91" t="s">
        <v>134</v>
      </c>
      <c r="R91" t="s">
        <v>141</v>
      </c>
      <c r="S91">
        <v>1.2</v>
      </c>
    </row>
    <row r="92" spans="1:19" x14ac:dyDescent="0.2">
      <c r="A92" t="s">
        <v>10</v>
      </c>
      <c r="E92" s="2"/>
      <c r="J92">
        <f>AVERAGE(J89:J91)</f>
        <v>534586.66666666663</v>
      </c>
      <c r="K92">
        <f>AVERAGE(K89:K91)</f>
        <v>18.37</v>
      </c>
      <c r="L92">
        <f>AVERAGE(L89:L91)</f>
        <v>18.11</v>
      </c>
      <c r="M92">
        <f>AVERAGE(M89:M91)</f>
        <v>2.7086666666666663</v>
      </c>
      <c r="P92" s="10"/>
    </row>
    <row r="93" spans="1:19" ht="32" x14ac:dyDescent="0.2">
      <c r="A93" s="5"/>
      <c r="B93" s="5" t="s">
        <v>112</v>
      </c>
      <c r="C93" s="5" t="s">
        <v>113</v>
      </c>
      <c r="D93" s="5" t="s">
        <v>116</v>
      </c>
      <c r="E93" s="6" t="s">
        <v>114</v>
      </c>
      <c r="F93" s="5" t="s">
        <v>115</v>
      </c>
      <c r="G93" s="7"/>
      <c r="H93" s="5" t="s">
        <v>117</v>
      </c>
      <c r="I93" s="5" t="s">
        <v>118</v>
      </c>
      <c r="K93" s="5" t="s">
        <v>135</v>
      </c>
      <c r="L93" s="5" t="s">
        <v>136</v>
      </c>
      <c r="P93" s="10"/>
    </row>
    <row r="94" spans="1:19" x14ac:dyDescent="0.2">
      <c r="A94" s="7" t="s">
        <v>111</v>
      </c>
      <c r="B94" s="8">
        <f>K92-$K$8</f>
        <v>-1.6999999999999993</v>
      </c>
      <c r="C94" s="8">
        <f>L92-$L$8</f>
        <v>-1.9349999999999987</v>
      </c>
      <c r="D94" s="8">
        <f>J92/$J$8</f>
        <v>95.320059435364044</v>
      </c>
      <c r="E94" s="8">
        <f>22+(3+45/60)/24</f>
        <v>22.15625</v>
      </c>
      <c r="F94" s="8">
        <f>LOG(D94,2)/E94</f>
        <v>0.29674281279486542</v>
      </c>
      <c r="G94" s="8"/>
      <c r="H94" s="8">
        <f>4/3*PI()*(K92/2)^3</f>
        <v>3245.8324011027198</v>
      </c>
      <c r="I94" s="8">
        <f>H94/1000000000*J92</f>
        <v>1.7351787238641658</v>
      </c>
      <c r="K94" s="9">
        <f>I94*800/1050</f>
        <v>1.3220409324679359</v>
      </c>
      <c r="L94" s="8">
        <f>0.6/K94*800</f>
        <v>363.07499125912403</v>
      </c>
      <c r="N94" s="4"/>
      <c r="O94" s="4"/>
      <c r="P94" s="10"/>
    </row>
    <row r="95" spans="1:19" x14ac:dyDescent="0.2">
      <c r="N95" s="4"/>
      <c r="O95" s="4"/>
      <c r="P95" s="10"/>
      <c r="Q95" s="12"/>
    </row>
    <row r="96" spans="1:19" ht="13" customHeight="1" x14ac:dyDescent="0.2">
      <c r="A96" t="s">
        <v>13</v>
      </c>
      <c r="B96" t="s">
        <v>31</v>
      </c>
      <c r="C96" t="s">
        <v>68</v>
      </c>
      <c r="D96" t="s">
        <v>97</v>
      </c>
      <c r="E96" s="2">
        <v>44188.756249999999</v>
      </c>
      <c r="F96">
        <v>10082</v>
      </c>
      <c r="G96">
        <v>10693</v>
      </c>
      <c r="H96">
        <v>11.97</v>
      </c>
      <c r="I96">
        <v>30.2</v>
      </c>
      <c r="J96">
        <v>374100</v>
      </c>
      <c r="K96">
        <v>18.760000000000002</v>
      </c>
      <c r="L96">
        <v>18.55</v>
      </c>
      <c r="M96">
        <v>2.3420000000000001</v>
      </c>
      <c r="N96" s="4"/>
      <c r="O96" s="4"/>
      <c r="P96" s="10"/>
    </row>
    <row r="97" spans="1:19" x14ac:dyDescent="0.2">
      <c r="A97" t="s">
        <v>13</v>
      </c>
      <c r="B97" t="s">
        <v>31</v>
      </c>
      <c r="C97" t="s">
        <v>69</v>
      </c>
      <c r="D97" t="s">
        <v>97</v>
      </c>
      <c r="E97" s="2">
        <v>44188.756944444453</v>
      </c>
      <c r="F97">
        <v>10307</v>
      </c>
      <c r="G97">
        <v>10965</v>
      </c>
      <c r="H97">
        <v>11.97</v>
      </c>
      <c r="I97">
        <v>30.2</v>
      </c>
      <c r="J97">
        <v>374000</v>
      </c>
      <c r="K97">
        <v>18.899999999999999</v>
      </c>
      <c r="L97">
        <v>18.68</v>
      </c>
      <c r="M97">
        <v>2.407</v>
      </c>
      <c r="N97" s="4">
        <f>AVERAGE(J96:J97)/$J$8</f>
        <v>66.695393759286773</v>
      </c>
      <c r="O97" s="4">
        <f>E96-$E$2</f>
        <v>14.074305555557657</v>
      </c>
      <c r="P97" s="10">
        <f>LOG(N97,2)/O97</f>
        <v>0.43053742138418688</v>
      </c>
      <c r="Q97" t="s">
        <v>133</v>
      </c>
      <c r="R97" t="s">
        <v>141</v>
      </c>
      <c r="S97">
        <v>1.2</v>
      </c>
    </row>
    <row r="98" spans="1:19" x14ac:dyDescent="0.2">
      <c r="A98" t="s">
        <v>14</v>
      </c>
      <c r="B98" t="s">
        <v>31</v>
      </c>
      <c r="C98" t="s">
        <v>70</v>
      </c>
      <c r="D98" t="s">
        <v>97</v>
      </c>
      <c r="E98" s="2">
        <v>44188.757638888892</v>
      </c>
      <c r="F98">
        <v>13020</v>
      </c>
      <c r="G98">
        <v>14084</v>
      </c>
      <c r="H98">
        <v>11.97</v>
      </c>
      <c r="I98">
        <v>30.2</v>
      </c>
      <c r="J98">
        <v>487900</v>
      </c>
      <c r="K98">
        <v>18.86</v>
      </c>
      <c r="L98">
        <v>18.63</v>
      </c>
      <c r="M98">
        <v>2.3260000000000001</v>
      </c>
      <c r="N98" s="4"/>
      <c r="O98" s="4"/>
      <c r="P98" s="10"/>
    </row>
    <row r="99" spans="1:19" x14ac:dyDescent="0.2">
      <c r="A99" t="s">
        <v>14</v>
      </c>
      <c r="B99" t="s">
        <v>31</v>
      </c>
      <c r="C99" t="s">
        <v>71</v>
      </c>
      <c r="D99" t="s">
        <v>97</v>
      </c>
      <c r="E99" s="2">
        <v>44188.758333333331</v>
      </c>
      <c r="F99">
        <v>13078</v>
      </c>
      <c r="G99">
        <v>14171</v>
      </c>
      <c r="H99">
        <v>11.97</v>
      </c>
      <c r="I99">
        <v>30.2</v>
      </c>
      <c r="J99">
        <v>480900</v>
      </c>
      <c r="K99">
        <v>18.86</v>
      </c>
      <c r="L99">
        <v>18.670000000000002</v>
      </c>
      <c r="M99">
        <v>2.319</v>
      </c>
      <c r="N99" s="4">
        <f>AVERAGE(J98:J99)/$J$8</f>
        <v>86.371471025260036</v>
      </c>
      <c r="O99" s="4">
        <f>E98-$E$2</f>
        <v>14.075694444451074</v>
      </c>
      <c r="P99" s="10">
        <f>LOG(N99,2)/O99</f>
        <v>0.45699222735976519</v>
      </c>
      <c r="Q99" t="s">
        <v>133</v>
      </c>
      <c r="R99" t="s">
        <v>141</v>
      </c>
      <c r="S99">
        <v>1.2</v>
      </c>
    </row>
    <row r="100" spans="1:19" x14ac:dyDescent="0.2">
      <c r="A100" t="s">
        <v>15</v>
      </c>
      <c r="B100" t="s">
        <v>31</v>
      </c>
      <c r="C100" t="s">
        <v>72</v>
      </c>
      <c r="D100" t="s">
        <v>97</v>
      </c>
      <c r="E100" s="2">
        <v>44188.759027777778</v>
      </c>
      <c r="F100">
        <v>13429</v>
      </c>
      <c r="G100">
        <v>14607</v>
      </c>
      <c r="H100">
        <v>11.97</v>
      </c>
      <c r="I100">
        <v>30.2</v>
      </c>
      <c r="J100">
        <v>509300</v>
      </c>
      <c r="K100">
        <v>18.940000000000001</v>
      </c>
      <c r="L100">
        <v>18.73</v>
      </c>
      <c r="M100">
        <v>2.2469999999999999</v>
      </c>
      <c r="P100" s="10"/>
    </row>
    <row r="101" spans="1:19" x14ac:dyDescent="0.2">
      <c r="A101" t="s">
        <v>15</v>
      </c>
      <c r="B101" t="s">
        <v>31</v>
      </c>
      <c r="C101" t="s">
        <v>73</v>
      </c>
      <c r="D101" t="s">
        <v>97</v>
      </c>
      <c r="E101" s="2">
        <v>44188.759722222218</v>
      </c>
      <c r="F101">
        <v>13174</v>
      </c>
      <c r="G101">
        <v>14313</v>
      </c>
      <c r="H101">
        <v>11.97</v>
      </c>
      <c r="I101">
        <v>30.2</v>
      </c>
      <c r="J101">
        <v>496200</v>
      </c>
      <c r="K101">
        <v>19.04</v>
      </c>
      <c r="L101">
        <v>18.850000000000001</v>
      </c>
      <c r="M101">
        <v>2.2770000000000001</v>
      </c>
      <c r="N101" s="4">
        <f>AVERAGE(J100:J101)/$J$8</f>
        <v>89.643387815750373</v>
      </c>
      <c r="O101" s="4">
        <f>E100-$E$2</f>
        <v>14.077083333337214</v>
      </c>
      <c r="P101" s="10">
        <f>LOG(N101,2)/O101</f>
        <v>0.46075775171005584</v>
      </c>
      <c r="Q101" t="s">
        <v>133</v>
      </c>
      <c r="R101" t="s">
        <v>141</v>
      </c>
      <c r="S101">
        <v>1.2</v>
      </c>
    </row>
    <row r="102" spans="1:19" x14ac:dyDescent="0.2">
      <c r="A102" t="s">
        <v>10</v>
      </c>
      <c r="E102" s="2"/>
      <c r="J102">
        <f>AVERAGE(J96:J101)</f>
        <v>453733.33333333331</v>
      </c>
      <c r="K102">
        <f>AVERAGE(K96:K101)</f>
        <v>18.893333333333331</v>
      </c>
      <c r="L102">
        <f t="shared" ref="L102" si="17">AVERAGE(L96:L101)</f>
        <v>18.685000000000002</v>
      </c>
      <c r="M102">
        <f t="shared" ref="M102" si="18">AVERAGE(M96:M101)</f>
        <v>2.319666666666667</v>
      </c>
      <c r="P102" s="10"/>
    </row>
    <row r="103" spans="1:19" ht="32" x14ac:dyDescent="0.2">
      <c r="A103" s="5"/>
      <c r="B103" s="5" t="s">
        <v>112</v>
      </c>
      <c r="C103" s="5" t="s">
        <v>113</v>
      </c>
      <c r="D103" s="5" t="s">
        <v>116</v>
      </c>
      <c r="E103" s="6" t="s">
        <v>114</v>
      </c>
      <c r="F103" s="5" t="s">
        <v>115</v>
      </c>
      <c r="G103" s="7"/>
      <c r="H103" s="5" t="s">
        <v>117</v>
      </c>
      <c r="I103" s="5" t="s">
        <v>118</v>
      </c>
      <c r="K103" s="5" t="s">
        <v>135</v>
      </c>
      <c r="L103" s="5" t="s">
        <v>136</v>
      </c>
      <c r="P103" s="10"/>
    </row>
    <row r="104" spans="1:19" x14ac:dyDescent="0.2">
      <c r="A104" s="7" t="s">
        <v>111</v>
      </c>
      <c r="B104" s="8">
        <f>K102-$K$8</f>
        <v>-1.1766666666666694</v>
      </c>
      <c r="C104" s="8">
        <f>L102-$L$8</f>
        <v>-1.3599999999999959</v>
      </c>
      <c r="D104" s="8">
        <f>J102/$J$8</f>
        <v>80.903417533432389</v>
      </c>
      <c r="E104" s="8">
        <f>14+(1+47/60)/24</f>
        <v>14.074305555555556</v>
      </c>
      <c r="F104" s="8">
        <f>LOG(D104,2)/E104</f>
        <v>0.45033331956139316</v>
      </c>
      <c r="G104" s="8"/>
      <c r="H104" s="8">
        <f>4/3*PI()*(K102/2)^3</f>
        <v>3531.2168070758944</v>
      </c>
      <c r="I104" s="8">
        <f>H104/1000000000*J102</f>
        <v>1.6022307725972358</v>
      </c>
      <c r="K104" s="9">
        <f>I104*800/1050</f>
        <v>1.2207472553121796</v>
      </c>
      <c r="L104" s="8">
        <f>0.6/K104*800</f>
        <v>393.20178514532097</v>
      </c>
      <c r="P104" s="10"/>
    </row>
    <row r="105" spans="1:19" x14ac:dyDescent="0.2">
      <c r="P105" s="10"/>
    </row>
    <row r="106" spans="1:19" x14ac:dyDescent="0.2">
      <c r="A106" t="s">
        <v>19</v>
      </c>
      <c r="B106" t="s">
        <v>31</v>
      </c>
      <c r="C106" t="s">
        <v>77</v>
      </c>
      <c r="D106" t="s">
        <v>98</v>
      </c>
      <c r="E106" s="2">
        <v>44193.061111111107</v>
      </c>
      <c r="F106">
        <v>31593</v>
      </c>
      <c r="G106">
        <v>33083</v>
      </c>
      <c r="H106">
        <v>11.97</v>
      </c>
      <c r="I106">
        <v>30.2</v>
      </c>
      <c r="J106">
        <v>276400</v>
      </c>
      <c r="K106">
        <v>18.96</v>
      </c>
      <c r="L106">
        <v>18.61</v>
      </c>
      <c r="M106">
        <v>2.677</v>
      </c>
      <c r="N106" s="4">
        <f>AVERAGE(J106)/$J$8</f>
        <v>49.283803863298665</v>
      </c>
      <c r="O106" s="4">
        <f>E106-$E$2</f>
        <v>18.379166666665697</v>
      </c>
      <c r="P106" s="10">
        <f>LOG(N106,2)/O106</f>
        <v>0.30594649956015751</v>
      </c>
      <c r="Q106" t="s">
        <v>133</v>
      </c>
      <c r="R106" t="s">
        <v>141</v>
      </c>
      <c r="S106">
        <v>1.6</v>
      </c>
    </row>
    <row r="107" spans="1:19" x14ac:dyDescent="0.2">
      <c r="A107" t="s">
        <v>20</v>
      </c>
      <c r="B107" t="s">
        <v>31</v>
      </c>
      <c r="C107" t="s">
        <v>78</v>
      </c>
      <c r="D107" t="s">
        <v>98</v>
      </c>
      <c r="E107" s="2">
        <v>44193.0625</v>
      </c>
      <c r="F107">
        <v>53754</v>
      </c>
      <c r="G107">
        <v>58091</v>
      </c>
      <c r="H107">
        <v>11.97</v>
      </c>
      <c r="I107">
        <v>30.2</v>
      </c>
      <c r="J107">
        <v>494100</v>
      </c>
      <c r="K107">
        <v>18.02</v>
      </c>
      <c r="L107">
        <v>17.670000000000002</v>
      </c>
      <c r="M107">
        <v>2.5539999999999998</v>
      </c>
      <c r="N107" s="4">
        <f>AVERAGE(J107)/$J$8</f>
        <v>88.101040118870728</v>
      </c>
      <c r="O107" s="4">
        <f>E107-$E$2</f>
        <v>18.380555555559113</v>
      </c>
      <c r="P107" s="10">
        <f>LOG(N107,2)/O107</f>
        <v>0.35151751137381837</v>
      </c>
      <c r="Q107" t="s">
        <v>133</v>
      </c>
      <c r="R107" t="s">
        <v>141</v>
      </c>
      <c r="S107">
        <v>1.6</v>
      </c>
    </row>
    <row r="108" spans="1:19" x14ac:dyDescent="0.2">
      <c r="A108" t="s">
        <v>21</v>
      </c>
      <c r="B108" t="s">
        <v>31</v>
      </c>
      <c r="C108" t="s">
        <v>79</v>
      </c>
      <c r="D108" t="s">
        <v>98</v>
      </c>
      <c r="E108" s="2">
        <v>44193.063888888893</v>
      </c>
      <c r="F108">
        <v>11661</v>
      </c>
      <c r="G108">
        <v>11886</v>
      </c>
      <c r="H108">
        <v>11.97</v>
      </c>
      <c r="I108">
        <v>30.2</v>
      </c>
      <c r="J108">
        <v>84330</v>
      </c>
      <c r="K108">
        <v>18.97</v>
      </c>
      <c r="L108">
        <v>18.68</v>
      </c>
      <c r="M108">
        <v>2.831</v>
      </c>
      <c r="N108" s="4">
        <f>AVERAGE(J108)/$J$8</f>
        <v>15.036552748885589</v>
      </c>
      <c r="O108" s="4">
        <f>E108-$E$2</f>
        <v>18.381944444452529</v>
      </c>
      <c r="P108" s="10">
        <f>LOG(N108,2)/O108</f>
        <v>0.21273059344410614</v>
      </c>
      <c r="Q108" t="s">
        <v>133</v>
      </c>
      <c r="R108" t="s">
        <v>141</v>
      </c>
      <c r="S108">
        <v>1.6</v>
      </c>
    </row>
    <row r="109" spans="1:19" x14ac:dyDescent="0.2">
      <c r="A109" t="s">
        <v>10</v>
      </c>
      <c r="E109" s="2"/>
      <c r="J109">
        <f>AVERAGE(J106:J108)</f>
        <v>284943.33333333331</v>
      </c>
      <c r="K109">
        <f>AVERAGE(K106:K108)</f>
        <v>18.650000000000002</v>
      </c>
      <c r="L109">
        <f>AVERAGE(L106:L108)</f>
        <v>18.32</v>
      </c>
      <c r="M109">
        <f>AVERAGE(M106:M108)</f>
        <v>2.6873333333333331</v>
      </c>
    </row>
    <row r="110" spans="1:19" ht="32" x14ac:dyDescent="0.2">
      <c r="A110" s="5"/>
      <c r="B110" s="5" t="s">
        <v>112</v>
      </c>
      <c r="C110" s="5" t="s">
        <v>113</v>
      </c>
      <c r="D110" s="5" t="s">
        <v>116</v>
      </c>
      <c r="E110" s="6" t="s">
        <v>114</v>
      </c>
      <c r="F110" s="5" t="s">
        <v>115</v>
      </c>
      <c r="G110" s="7"/>
      <c r="H110" s="5" t="s">
        <v>117</v>
      </c>
      <c r="I110" s="5" t="s">
        <v>118</v>
      </c>
      <c r="K110" s="5" t="s">
        <v>135</v>
      </c>
      <c r="L110" s="5" t="s">
        <v>136</v>
      </c>
    </row>
    <row r="111" spans="1:19" x14ac:dyDescent="0.2">
      <c r="A111" s="7" t="s">
        <v>111</v>
      </c>
      <c r="B111" s="8">
        <f>K109-$K$8</f>
        <v>-1.4199999999999982</v>
      </c>
      <c r="C111" s="8">
        <f>L109-$L$8</f>
        <v>-1.7249999999999979</v>
      </c>
      <c r="D111" s="8">
        <f>J109/$J$8</f>
        <v>50.80713224368499</v>
      </c>
      <c r="E111" s="8">
        <f>18+(8+6/60)/24</f>
        <v>18.337499999999999</v>
      </c>
      <c r="F111" s="8">
        <f>LOG(D111,2)/E111</f>
        <v>0.30903662603318627</v>
      </c>
      <c r="G111" s="8"/>
      <c r="H111" s="8">
        <f>4/3*PI()*(K109/2)^3</f>
        <v>3396.5274650913093</v>
      </c>
      <c r="I111" s="8">
        <f>H111/1000000000*J109</f>
        <v>0.96781785766133455</v>
      </c>
      <c r="J111" s="7"/>
      <c r="K111" s="9">
        <f>I111*800/1050</f>
        <v>0.73738503440863579</v>
      </c>
      <c r="L111" s="8">
        <f>0.6/K111*800</f>
        <v>650.94893115771993</v>
      </c>
      <c r="M111" s="7"/>
    </row>
    <row r="117" spans="4:16" x14ac:dyDescent="0.2">
      <c r="N117" s="4"/>
      <c r="O117" s="4"/>
      <c r="P117" s="12"/>
    </row>
    <row r="118" spans="4:16" x14ac:dyDescent="0.2">
      <c r="N118" s="4"/>
      <c r="O118" s="4"/>
      <c r="P118" s="12"/>
    </row>
    <row r="119" spans="4:16" x14ac:dyDescent="0.2">
      <c r="N119" s="4"/>
      <c r="O119" s="4"/>
      <c r="P119" s="12"/>
    </row>
    <row r="120" spans="4:16" x14ac:dyDescent="0.2">
      <c r="N120" s="4"/>
      <c r="O120" s="4"/>
      <c r="P120" s="12"/>
    </row>
    <row r="121" spans="4:16" x14ac:dyDescent="0.2">
      <c r="N121" s="4"/>
      <c r="O121" s="4"/>
      <c r="P121" s="12"/>
    </row>
    <row r="122" spans="4:16" x14ac:dyDescent="0.2">
      <c r="N122" s="4"/>
      <c r="O122" s="4"/>
      <c r="P122" s="12"/>
    </row>
    <row r="123" spans="4:16" x14ac:dyDescent="0.2">
      <c r="N123" s="8"/>
      <c r="O123" s="8"/>
      <c r="P123" s="8"/>
    </row>
    <row r="124" spans="4:16" ht="36" customHeight="1" x14ac:dyDescent="0.2">
      <c r="D124" s="3" t="s">
        <v>131</v>
      </c>
      <c r="E124" t="s">
        <v>132</v>
      </c>
      <c r="F124" s="3" t="s">
        <v>115</v>
      </c>
    </row>
    <row r="125" spans="4:16" x14ac:dyDescent="0.2">
      <c r="D125">
        <v>0.1</v>
      </c>
      <c r="E125" t="s">
        <v>134</v>
      </c>
      <c r="F125" s="4">
        <f>F18</f>
        <v>1.6583906167529772</v>
      </c>
    </row>
    <row r="126" spans="4:16" x14ac:dyDescent="0.2">
      <c r="D126">
        <v>0.5</v>
      </c>
      <c r="E126" t="s">
        <v>134</v>
      </c>
      <c r="F126" s="4">
        <f>F38</f>
        <v>1.1517956541747441</v>
      </c>
    </row>
    <row r="127" spans="4:16" x14ac:dyDescent="0.2">
      <c r="D127">
        <v>0.8</v>
      </c>
      <c r="E127" t="s">
        <v>134</v>
      </c>
      <c r="F127" s="4">
        <f>F58</f>
        <v>0.60758896663023487</v>
      </c>
      <c r="N127" s="4"/>
      <c r="O127" s="4"/>
      <c r="P127" s="12"/>
    </row>
    <row r="128" spans="4:16" x14ac:dyDescent="0.2">
      <c r="D128">
        <v>1</v>
      </c>
      <c r="E128" t="s">
        <v>134</v>
      </c>
      <c r="F128" s="4">
        <f>F77</f>
        <v>0.44782620947105867</v>
      </c>
      <c r="N128" s="4"/>
      <c r="O128" s="4"/>
      <c r="P128" s="12"/>
    </row>
    <row r="129" spans="4:16" x14ac:dyDescent="0.2">
      <c r="D129">
        <v>1.2</v>
      </c>
      <c r="E129" t="s">
        <v>134</v>
      </c>
      <c r="F129" s="4">
        <f>F94</f>
        <v>0.29674281279486542</v>
      </c>
      <c r="N129" s="4"/>
      <c r="O129" s="4"/>
      <c r="P129" s="12"/>
    </row>
    <row r="130" spans="4:16" x14ac:dyDescent="0.2">
      <c r="D130">
        <v>1.6</v>
      </c>
      <c r="E130" t="s">
        <v>134</v>
      </c>
      <c r="F130">
        <v>0</v>
      </c>
      <c r="N130" s="4"/>
      <c r="O130" s="4"/>
      <c r="P130" s="12"/>
    </row>
    <row r="131" spans="4:16" x14ac:dyDescent="0.2">
      <c r="D131">
        <v>0.1</v>
      </c>
      <c r="E131" t="s">
        <v>133</v>
      </c>
      <c r="F131" s="4">
        <f>F28</f>
        <v>1.5068992178982974</v>
      </c>
      <c r="N131" s="4"/>
      <c r="O131" s="4"/>
      <c r="P131" s="12"/>
    </row>
    <row r="132" spans="4:16" x14ac:dyDescent="0.2">
      <c r="D132">
        <v>0.5</v>
      </c>
      <c r="E132" t="s">
        <v>133</v>
      </c>
      <c r="F132" s="4">
        <f>F48</f>
        <v>1.0793620273587785</v>
      </c>
      <c r="N132" s="4"/>
      <c r="O132" s="4"/>
      <c r="P132" s="12"/>
    </row>
    <row r="133" spans="4:16" x14ac:dyDescent="0.2">
      <c r="D133">
        <v>0.8</v>
      </c>
      <c r="E133" t="s">
        <v>133</v>
      </c>
      <c r="F133" s="4">
        <f>F68</f>
        <v>0.76960572617237277</v>
      </c>
      <c r="N133" s="8"/>
      <c r="O133" s="8"/>
      <c r="P133" s="8"/>
    </row>
    <row r="134" spans="4:16" x14ac:dyDescent="0.2">
      <c r="D134">
        <v>1</v>
      </c>
      <c r="E134" t="s">
        <v>133</v>
      </c>
      <c r="F134" s="4">
        <f>F87</f>
        <v>0.61229450181048162</v>
      </c>
    </row>
    <row r="135" spans="4:16" x14ac:dyDescent="0.2">
      <c r="D135">
        <v>1.2</v>
      </c>
      <c r="E135" t="s">
        <v>133</v>
      </c>
      <c r="F135" s="4">
        <f>F104</f>
        <v>0.45033331956139316</v>
      </c>
    </row>
    <row r="136" spans="4:16" x14ac:dyDescent="0.2">
      <c r="D136">
        <v>1.6</v>
      </c>
      <c r="E136" t="s">
        <v>133</v>
      </c>
      <c r="F136" s="4">
        <f>F111</f>
        <v>0.30903662603318627</v>
      </c>
    </row>
    <row r="137" spans="4:16" x14ac:dyDescent="0.2">
      <c r="N137" s="4"/>
      <c r="O137" s="4"/>
      <c r="P137" s="12"/>
    </row>
    <row r="138" spans="4:16" x14ac:dyDescent="0.2">
      <c r="N138" s="4"/>
      <c r="O138" s="4"/>
      <c r="P138" s="12"/>
    </row>
    <row r="139" spans="4:16" x14ac:dyDescent="0.2">
      <c r="N139" s="4"/>
      <c r="O139" s="4"/>
      <c r="P139" s="12"/>
    </row>
    <row r="140" spans="4:16" x14ac:dyDescent="0.2">
      <c r="N140" s="4"/>
      <c r="O140" s="4"/>
      <c r="P140" s="12"/>
    </row>
    <row r="141" spans="4:16" x14ac:dyDescent="0.2">
      <c r="N141" s="4"/>
      <c r="O141" s="4"/>
      <c r="P141" s="12"/>
    </row>
    <row r="142" spans="4:16" x14ac:dyDescent="0.2">
      <c r="N142" s="4"/>
      <c r="O142" s="4"/>
      <c r="P142" s="12"/>
    </row>
    <row r="143" spans="4:16" x14ac:dyDescent="0.2">
      <c r="N143" s="8"/>
      <c r="O143" s="8"/>
      <c r="P143" s="8"/>
    </row>
    <row r="147" spans="14:16" x14ac:dyDescent="0.2">
      <c r="N147" s="4"/>
      <c r="O147" s="4"/>
      <c r="P147" s="12"/>
    </row>
    <row r="148" spans="14:16" x14ac:dyDescent="0.2">
      <c r="N148" s="4"/>
      <c r="O148" s="4"/>
      <c r="P148" s="12"/>
    </row>
    <row r="149" spans="14:16" x14ac:dyDescent="0.2">
      <c r="N149" s="4"/>
      <c r="O149" s="4"/>
      <c r="P149" s="12"/>
    </row>
    <row r="150" spans="14:16" x14ac:dyDescent="0.2">
      <c r="N150" s="4"/>
      <c r="O150" s="4"/>
      <c r="P150" s="12"/>
    </row>
    <row r="151" spans="14:16" x14ac:dyDescent="0.2">
      <c r="N151" s="4"/>
      <c r="O151" s="4"/>
      <c r="P151" s="12"/>
    </row>
    <row r="152" spans="14:16" x14ac:dyDescent="0.2">
      <c r="N152" s="4"/>
      <c r="O152" s="4"/>
      <c r="P152" s="12"/>
    </row>
    <row r="153" spans="14:16" x14ac:dyDescent="0.2">
      <c r="N153" s="8"/>
      <c r="O153" s="8"/>
      <c r="P153" s="8"/>
    </row>
    <row r="157" spans="14:16" x14ac:dyDescent="0.2">
      <c r="N157" s="4"/>
      <c r="O157" s="4"/>
      <c r="P157" s="12"/>
    </row>
    <row r="158" spans="14:16" x14ac:dyDescent="0.2">
      <c r="N158" s="4"/>
      <c r="O158" s="4"/>
      <c r="P158" s="12"/>
    </row>
    <row r="159" spans="14:16" x14ac:dyDescent="0.2">
      <c r="N159" s="4"/>
      <c r="O159" s="4"/>
      <c r="P159" s="12"/>
    </row>
    <row r="160" spans="14:16" x14ac:dyDescent="0.2">
      <c r="N160" s="4"/>
      <c r="O160" s="4"/>
      <c r="P160" s="12"/>
    </row>
    <row r="161" spans="14:16" x14ac:dyDescent="0.2">
      <c r="N161" s="4"/>
      <c r="O161" s="4"/>
      <c r="P161" s="12"/>
    </row>
    <row r="162" spans="14:16" x14ac:dyDescent="0.2">
      <c r="N162" s="4"/>
      <c r="O162" s="4"/>
      <c r="P162" s="12"/>
    </row>
    <row r="163" spans="14:16" x14ac:dyDescent="0.2">
      <c r="N163" s="8"/>
      <c r="O163" s="8"/>
      <c r="P163" s="8"/>
    </row>
    <row r="167" spans="14:16" x14ac:dyDescent="0.2">
      <c r="N167" s="4"/>
      <c r="O167" s="4"/>
      <c r="P167" s="12"/>
    </row>
    <row r="168" spans="14:16" x14ac:dyDescent="0.2">
      <c r="N168" s="4"/>
      <c r="O168" s="4"/>
      <c r="P168" s="12"/>
    </row>
    <row r="169" spans="14:16" x14ac:dyDescent="0.2">
      <c r="N169" s="4"/>
      <c r="O169" s="4"/>
      <c r="P169" s="12"/>
    </row>
    <row r="170" spans="14:16" x14ac:dyDescent="0.2">
      <c r="N170" s="4"/>
      <c r="O170" s="4"/>
      <c r="P170" s="12"/>
    </row>
    <row r="171" spans="14:16" x14ac:dyDescent="0.2">
      <c r="N171" s="4"/>
      <c r="O171" s="4"/>
      <c r="P171" s="12"/>
    </row>
    <row r="172" spans="14:16" x14ac:dyDescent="0.2">
      <c r="N172" s="4"/>
      <c r="O172" s="4"/>
      <c r="P172" s="12"/>
    </row>
    <row r="173" spans="14:16" x14ac:dyDescent="0.2">
      <c r="N173" s="8"/>
      <c r="O173" s="8"/>
      <c r="P173" s="8"/>
    </row>
    <row r="177" spans="14:16" x14ac:dyDescent="0.2">
      <c r="N177" s="4"/>
      <c r="O177" s="4"/>
      <c r="P177" s="12"/>
    </row>
    <row r="178" spans="14:16" x14ac:dyDescent="0.2">
      <c r="N178" s="4"/>
      <c r="O178" s="4"/>
      <c r="P178" s="12"/>
    </row>
    <row r="179" spans="14:16" x14ac:dyDescent="0.2">
      <c r="N179" s="4"/>
      <c r="O179" s="4"/>
      <c r="P179" s="12"/>
    </row>
    <row r="180" spans="14:16" x14ac:dyDescent="0.2">
      <c r="N180" s="4"/>
      <c r="O180" s="4"/>
      <c r="P180" s="12"/>
    </row>
    <row r="181" spans="14:16" x14ac:dyDescent="0.2">
      <c r="N181" s="4"/>
      <c r="O181" s="4"/>
      <c r="P181" s="12"/>
    </row>
    <row r="182" spans="14:16" x14ac:dyDescent="0.2">
      <c r="N182" s="4"/>
      <c r="O182" s="4"/>
      <c r="P182" s="12"/>
    </row>
    <row r="183" spans="14:16" x14ac:dyDescent="0.2">
      <c r="N183" s="8"/>
      <c r="O183" s="8"/>
      <c r="P183" s="8"/>
    </row>
    <row r="187" spans="14:16" x14ac:dyDescent="0.2">
      <c r="N187" s="4"/>
      <c r="O187" s="4"/>
      <c r="P187" s="12"/>
    </row>
    <row r="188" spans="14:16" x14ac:dyDescent="0.2">
      <c r="N188" s="4"/>
      <c r="O188" s="4"/>
      <c r="P188" s="12"/>
    </row>
    <row r="189" spans="14:16" x14ac:dyDescent="0.2">
      <c r="N189" s="4"/>
      <c r="O189" s="4"/>
      <c r="P189" s="12"/>
    </row>
    <row r="190" spans="14:16" x14ac:dyDescent="0.2">
      <c r="N190" s="4"/>
      <c r="O190" s="4"/>
      <c r="P190" s="12"/>
    </row>
    <row r="191" spans="14:16" x14ac:dyDescent="0.2">
      <c r="N191" s="4"/>
      <c r="O191" s="4"/>
      <c r="P191" s="12"/>
    </row>
    <row r="192" spans="14:16" x14ac:dyDescent="0.2">
      <c r="N192" s="4"/>
      <c r="O192" s="4"/>
      <c r="P192" s="12"/>
    </row>
    <row r="193" spans="14:16" x14ac:dyDescent="0.2">
      <c r="N193" s="8"/>
      <c r="O193" s="8"/>
      <c r="P193" s="8"/>
    </row>
    <row r="197" spans="14:16" x14ac:dyDescent="0.2">
      <c r="N197" s="4"/>
      <c r="O197" s="4"/>
      <c r="P197" s="12"/>
    </row>
    <row r="198" spans="14:16" x14ac:dyDescent="0.2">
      <c r="N198" s="4"/>
      <c r="O198" s="4"/>
      <c r="P198" s="12"/>
    </row>
    <row r="199" spans="14:16" x14ac:dyDescent="0.2">
      <c r="N199" s="4"/>
      <c r="O199" s="4"/>
      <c r="P199" s="12"/>
    </row>
    <row r="200" spans="14:16" x14ac:dyDescent="0.2">
      <c r="N200" s="4"/>
      <c r="O200" s="4"/>
      <c r="P200" s="12"/>
    </row>
    <row r="201" spans="14:16" x14ac:dyDescent="0.2">
      <c r="N201" s="4"/>
      <c r="O201" s="4"/>
      <c r="P201" s="12"/>
    </row>
    <row r="202" spans="14:16" x14ac:dyDescent="0.2">
      <c r="N202" s="4"/>
      <c r="O202" s="4"/>
      <c r="P202" s="12"/>
    </row>
    <row r="203" spans="14:16" x14ac:dyDescent="0.2">
      <c r="N203" s="8"/>
      <c r="O203" s="8"/>
      <c r="P20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2021-01-01T23:20:09Z</dcterms:created>
  <dcterms:modified xsi:type="dcterms:W3CDTF">2021-02-10T20:43:53Z</dcterms:modified>
</cp:coreProperties>
</file>