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"/>
    </mc:Choice>
  </mc:AlternateContent>
  <xr:revisionPtr revIDLastSave="0" documentId="13_ncr:1_{136E33BB-8D2A-E145-A997-F58CB161B9A0}" xr6:coauthVersionLast="47" xr6:coauthVersionMax="47" xr10:uidLastSave="{00000000-0000-0000-0000-000000000000}"/>
  <bookViews>
    <workbookView xWindow="0" yWindow="2720" windowWidth="28800" windowHeight="13900" activeTab="8" xr2:uid="{00000000-000D-0000-FFFF-FFFF00000000}"/>
  </bookViews>
  <sheets>
    <sheet name="overview" sheetId="1" r:id="rId1"/>
    <sheet name="dN_calc_H1299" sheetId="15" r:id="rId2"/>
    <sheet name="dN_calc_143B" sheetId="4" r:id="rId3"/>
    <sheet name="rN_calc_H1299" sheetId="16" r:id="rId4"/>
    <sheet name="rN_calc_143B" sheetId="2" r:id="rId5"/>
    <sheet name="prot_calc_H1299" sheetId="17" r:id="rId6"/>
    <sheet name="prot_calc_143B" sheetId="6" r:id="rId7"/>
    <sheet name="combined" sheetId="18" r:id="rId8"/>
    <sheet name="asp_fate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9" l="1"/>
  <c r="H18" i="19"/>
  <c r="C19" i="19"/>
  <c r="D19" i="19"/>
  <c r="E19" i="19"/>
  <c r="F19" i="19"/>
  <c r="G19" i="19"/>
  <c r="B19" i="19"/>
  <c r="C18" i="19"/>
  <c r="D18" i="19"/>
  <c r="F18" i="19"/>
  <c r="G18" i="19"/>
  <c r="B18" i="19"/>
  <c r="G17" i="19"/>
  <c r="W3" i="18"/>
  <c r="W2" i="18"/>
  <c r="C17" i="19"/>
  <c r="J9" i="19"/>
  <c r="I9" i="19"/>
  <c r="D9" i="19"/>
  <c r="C9" i="19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C17" i="6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C17" i="17"/>
  <c r="W12" i="17"/>
  <c r="K11" i="17"/>
  <c r="C11" i="17"/>
  <c r="V11" i="17"/>
  <c r="U11" i="17"/>
  <c r="T11" i="17"/>
  <c r="S11" i="17"/>
  <c r="R11" i="17"/>
  <c r="Q11" i="17"/>
  <c r="P11" i="17"/>
  <c r="O11" i="17"/>
  <c r="N11" i="17"/>
  <c r="M11" i="17"/>
  <c r="L11" i="17"/>
  <c r="J11" i="17"/>
  <c r="I11" i="17"/>
  <c r="H11" i="17"/>
  <c r="G11" i="17"/>
  <c r="F11" i="17"/>
  <c r="E11" i="17"/>
  <c r="D11" i="17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V3" i="18"/>
  <c r="R3" i="18"/>
  <c r="V2" i="18"/>
  <c r="R2" i="18"/>
  <c r="F16" i="2"/>
  <c r="E16" i="2"/>
  <c r="D16" i="2"/>
  <c r="C16" i="2"/>
  <c r="D16" i="16"/>
  <c r="E16" i="16"/>
  <c r="F16" i="16"/>
  <c r="C16" i="16"/>
  <c r="C15" i="16"/>
  <c r="C10" i="16"/>
  <c r="B4" i="16"/>
  <c r="B5" i="16" s="1"/>
  <c r="E15" i="4"/>
  <c r="F15" i="4"/>
  <c r="D15" i="4"/>
  <c r="C15" i="4"/>
  <c r="C16" i="4"/>
  <c r="B5" i="1"/>
  <c r="B3" i="6"/>
  <c r="B3" i="17"/>
  <c r="B4" i="17" l="1" a="1"/>
  <c r="B4" i="17" s="1"/>
  <c r="B5" i="17" s="1"/>
  <c r="K13" i="17" s="1"/>
  <c r="B4" i="6" a="1"/>
  <c r="B4" i="6" s="1"/>
  <c r="B7" i="4"/>
  <c r="B9" i="4"/>
  <c r="B6" i="6"/>
  <c r="B6" i="17"/>
  <c r="B6" i="2"/>
  <c r="B6" i="16"/>
  <c r="B9" i="15"/>
  <c r="F15" i="16"/>
  <c r="E15" i="16"/>
  <c r="D15" i="16"/>
  <c r="F11" i="16"/>
  <c r="E11" i="16"/>
  <c r="D11" i="16"/>
  <c r="C11" i="16"/>
  <c r="F10" i="16"/>
  <c r="E10" i="16"/>
  <c r="D10" i="16"/>
  <c r="F14" i="15"/>
  <c r="E14" i="15"/>
  <c r="D14" i="15"/>
  <c r="C14" i="15"/>
  <c r="B7" i="15"/>
  <c r="D15" i="15" s="1"/>
  <c r="D16" i="15" s="1"/>
  <c r="B7" i="17" l="1"/>
  <c r="T13" i="17"/>
  <c r="D13" i="17"/>
  <c r="J13" i="17"/>
  <c r="E13" i="17"/>
  <c r="G13" i="17"/>
  <c r="P13" i="17"/>
  <c r="V13" i="17"/>
  <c r="F13" i="17"/>
  <c r="S13" i="17"/>
  <c r="U13" i="17"/>
  <c r="L13" i="17"/>
  <c r="R13" i="17"/>
  <c r="Q13" i="17"/>
  <c r="O13" i="17"/>
  <c r="M13" i="17"/>
  <c r="H13" i="17"/>
  <c r="N13" i="17"/>
  <c r="I13" i="17"/>
  <c r="D14" i="17"/>
  <c r="D15" i="17"/>
  <c r="G10" i="16"/>
  <c r="G15" i="16"/>
  <c r="D17" i="15"/>
  <c r="G14" i="15"/>
  <c r="D18" i="15"/>
  <c r="W16" i="17"/>
  <c r="G11" i="16"/>
  <c r="F15" i="15"/>
  <c r="F16" i="15" s="1"/>
  <c r="E15" i="15"/>
  <c r="E16" i="15" s="1"/>
  <c r="C15" i="15"/>
  <c r="E18" i="15" l="1"/>
  <c r="F18" i="15"/>
  <c r="F17" i="15"/>
  <c r="C16" i="15"/>
  <c r="G15" i="15"/>
  <c r="E17" i="15"/>
  <c r="G16" i="15" l="1"/>
  <c r="C17" i="15"/>
  <c r="G17" i="15" s="1"/>
  <c r="C18" i="15"/>
  <c r="G18" i="15" s="1"/>
  <c r="C9" i="1" l="1"/>
  <c r="B3" i="16" s="1"/>
  <c r="C6" i="1"/>
  <c r="C13" i="17" s="1"/>
  <c r="C14" i="17" l="1"/>
  <c r="C15" i="17"/>
  <c r="D12" i="16"/>
  <c r="C12" i="16"/>
  <c r="F12" i="16"/>
  <c r="E12" i="16"/>
  <c r="W12" i="6"/>
  <c r="F14" i="4"/>
  <c r="E14" i="4"/>
  <c r="D14" i="4"/>
  <c r="C14" i="4"/>
  <c r="F16" i="4"/>
  <c r="F18" i="4" s="1"/>
  <c r="F15" i="2"/>
  <c r="E15" i="2"/>
  <c r="D15" i="2"/>
  <c r="C15" i="2"/>
  <c r="F11" i="2"/>
  <c r="E11" i="2"/>
  <c r="D11" i="2"/>
  <c r="C11" i="2"/>
  <c r="G11" i="2" s="1"/>
  <c r="F10" i="2"/>
  <c r="E10" i="2"/>
  <c r="D10" i="2"/>
  <c r="C10" i="2"/>
  <c r="G10" i="2" s="1"/>
  <c r="B9" i="1"/>
  <c r="B3" i="2" s="1"/>
  <c r="B6" i="1"/>
  <c r="G15" i="2" l="1"/>
  <c r="T15" i="17"/>
  <c r="T14" i="17"/>
  <c r="U15" i="17"/>
  <c r="U14" i="17"/>
  <c r="M15" i="17"/>
  <c r="M14" i="17"/>
  <c r="Q14" i="17"/>
  <c r="Q15" i="17"/>
  <c r="I15" i="17"/>
  <c r="I14" i="17"/>
  <c r="K15" i="17"/>
  <c r="K14" i="17"/>
  <c r="R14" i="17"/>
  <c r="R15" i="17"/>
  <c r="F14" i="16"/>
  <c r="F13" i="16"/>
  <c r="J15" i="17"/>
  <c r="J14" i="17"/>
  <c r="N15" i="17"/>
  <c r="N14" i="17"/>
  <c r="F15" i="17"/>
  <c r="F14" i="17"/>
  <c r="H15" i="17"/>
  <c r="H14" i="17"/>
  <c r="V15" i="17"/>
  <c r="V14" i="17"/>
  <c r="C14" i="16"/>
  <c r="C13" i="16"/>
  <c r="G12" i="16"/>
  <c r="P14" i="17"/>
  <c r="P15" i="17"/>
  <c r="L15" i="17"/>
  <c r="L14" i="17"/>
  <c r="E14" i="16"/>
  <c r="E13" i="16"/>
  <c r="S15" i="17"/>
  <c r="S14" i="17"/>
  <c r="G15" i="17"/>
  <c r="G14" i="17"/>
  <c r="O15" i="17"/>
  <c r="O14" i="17"/>
  <c r="W13" i="17"/>
  <c r="E14" i="17"/>
  <c r="E15" i="17"/>
  <c r="D13" i="16"/>
  <c r="D14" i="16"/>
  <c r="E16" i="4"/>
  <c r="E18" i="4" s="1"/>
  <c r="G14" i="4"/>
  <c r="B4" i="2"/>
  <c r="B5" i="2" s="1"/>
  <c r="D16" i="4"/>
  <c r="F17" i="4"/>
  <c r="W16" i="6"/>
  <c r="G13" i="16" l="1"/>
  <c r="E17" i="4"/>
  <c r="W14" i="17"/>
  <c r="G14" i="16"/>
  <c r="W17" i="17"/>
  <c r="W15" i="17"/>
  <c r="G15" i="4"/>
  <c r="F12" i="2"/>
  <c r="E12" i="2"/>
  <c r="D12" i="2"/>
  <c r="C12" i="2"/>
  <c r="B5" i="6"/>
  <c r="D18" i="4"/>
  <c r="D17" i="4"/>
  <c r="G13" i="6" l="1"/>
  <c r="K13" i="6"/>
  <c r="O13" i="6"/>
  <c r="O14" i="6" s="1"/>
  <c r="S13" i="6"/>
  <c r="S14" i="6" s="1"/>
  <c r="C13" i="6"/>
  <c r="J13" i="6"/>
  <c r="R13" i="6"/>
  <c r="D13" i="6"/>
  <c r="H13" i="6"/>
  <c r="L13" i="6"/>
  <c r="P13" i="6"/>
  <c r="P14" i="6" s="1"/>
  <c r="T13" i="6"/>
  <c r="T14" i="6" s="1"/>
  <c r="B7" i="6"/>
  <c r="F13" i="6"/>
  <c r="V13" i="6"/>
  <c r="V14" i="6" s="1"/>
  <c r="E13" i="6"/>
  <c r="E14" i="6" s="1"/>
  <c r="I13" i="6"/>
  <c r="M13" i="6"/>
  <c r="Q13" i="6"/>
  <c r="Q14" i="6" s="1"/>
  <c r="U13" i="6"/>
  <c r="U14" i="6" s="1"/>
  <c r="N13" i="6"/>
  <c r="F14" i="2"/>
  <c r="F13" i="2"/>
  <c r="C14" i="2"/>
  <c r="G12" i="2"/>
  <c r="C13" i="2"/>
  <c r="M14" i="6"/>
  <c r="I14" i="6"/>
  <c r="L14" i="6"/>
  <c r="H14" i="6"/>
  <c r="N14" i="6"/>
  <c r="F14" i="6"/>
  <c r="K14" i="6"/>
  <c r="G14" i="6"/>
  <c r="J14" i="6"/>
  <c r="R14" i="6"/>
  <c r="D14" i="2"/>
  <c r="D13" i="2"/>
  <c r="G16" i="4"/>
  <c r="C18" i="4"/>
  <c r="G18" i="4" s="1"/>
  <c r="C17" i="4"/>
  <c r="G17" i="4" s="1"/>
  <c r="E14" i="2"/>
  <c r="E13" i="2"/>
  <c r="D14" i="6" l="1"/>
  <c r="D15" i="6"/>
  <c r="C15" i="6"/>
  <c r="C14" i="6"/>
  <c r="K15" i="6"/>
  <c r="I15" i="6"/>
  <c r="J15" i="6"/>
  <c r="S15" i="6"/>
  <c r="P15" i="6"/>
  <c r="M15" i="6"/>
  <c r="V15" i="6"/>
  <c r="G13" i="2"/>
  <c r="G15" i="6"/>
  <c r="F15" i="6"/>
  <c r="T15" i="6"/>
  <c r="Q15" i="6"/>
  <c r="G14" i="2"/>
  <c r="R15" i="6"/>
  <c r="L15" i="6"/>
  <c r="O15" i="6"/>
  <c r="W13" i="6"/>
  <c r="N15" i="6"/>
  <c r="H15" i="6"/>
  <c r="E15" i="6"/>
  <c r="U15" i="6"/>
  <c r="W14" i="6" l="1"/>
  <c r="W17" i="6"/>
  <c r="W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<sst xmlns="http://schemas.openxmlformats.org/spreadsheetml/2006/main" count="252" uniqueCount="121">
  <si>
    <t>H1299</t>
  </si>
  <si>
    <t>143B</t>
  </si>
  <si>
    <t>Cell volume (fL)</t>
  </si>
  <si>
    <t>Cell dry mass (pg)</t>
  </si>
  <si>
    <t>Protein fraction dryweight</t>
  </si>
  <si>
    <t>RNA fraction dryweight</t>
  </si>
  <si>
    <t>DNA nucleotide composition</t>
  </si>
  <si>
    <t>RNA nucleotide composition</t>
  </si>
  <si>
    <t>Protein amino acid composition</t>
  </si>
  <si>
    <t>Proliferation rate (1/d)</t>
  </si>
  <si>
    <t>Ribonucleotides</t>
  </si>
  <si>
    <t>RNA per cell (pg)</t>
  </si>
  <si>
    <t>A</t>
  </si>
  <si>
    <t>G</t>
  </si>
  <si>
    <t>U</t>
  </si>
  <si>
    <t>C</t>
  </si>
  <si>
    <t>Sum</t>
  </si>
  <si>
    <t>MW (g/mol)</t>
  </si>
  <si>
    <t>Moles</t>
  </si>
  <si>
    <t>Weight (pg)</t>
  </si>
  <si>
    <t>Molarity (mM)</t>
  </si>
  <si>
    <t>Total (mM)</t>
  </si>
  <si>
    <t>Deoxynucleotides</t>
  </si>
  <si>
    <t># Bases</t>
  </si>
  <si>
    <t>T</t>
  </si>
  <si>
    <t>Proteins</t>
  </si>
  <si>
    <t>Protein per cell (pg)</t>
  </si>
  <si>
    <t>D</t>
  </si>
  <si>
    <t>N</t>
  </si>
  <si>
    <t>R</t>
  </si>
  <si>
    <t>E</t>
  </si>
  <si>
    <t>Y</t>
  </si>
  <si>
    <t>H</t>
  </si>
  <si>
    <t>Q</t>
  </si>
  <si>
    <t>S</t>
  </si>
  <si>
    <t>P</t>
  </si>
  <si>
    <t>W</t>
  </si>
  <si>
    <t>K</t>
  </si>
  <si>
    <t>M</t>
  </si>
  <si>
    <t>L</t>
  </si>
  <si>
    <t>V</t>
  </si>
  <si>
    <t>F</t>
  </si>
  <si>
    <t>I</t>
  </si>
  <si>
    <t>cell_line</t>
  </si>
  <si>
    <t>Source</t>
  </si>
  <si>
    <t>Estimated equal to HeLa (https://www.thermofisher.com/us/en/home/references/ambion-tech-support/rna-tools-and-calculators/macromolecular-components-of-e.html)</t>
  </si>
  <si>
    <t>DNA amount</t>
  </si>
  <si>
    <t>Proteome wide avg.</t>
  </si>
  <si>
    <t>Average based on proteomics on 11 cell lines</t>
  </si>
  <si>
    <t>Genome wide avg.</t>
  </si>
  <si>
    <t>From Chargaff data: https://www.sciencedirect.com/science/article/abs/pii/0006300260908398</t>
  </si>
  <si>
    <t>Lipshitz &amp; Chargaff 1960</t>
  </si>
  <si>
    <t>Avg. MW (g/mol)</t>
  </si>
  <si>
    <t>Ribonucleotide (moles)</t>
  </si>
  <si>
    <t>Genome size (bp)</t>
  </si>
  <si>
    <t>Average based on human genome GC content (https://www.nature.com/articles/35057062).</t>
  </si>
  <si>
    <t>GC content (%)</t>
  </si>
  <si>
    <t>Avogadro constant (1/moles)</t>
  </si>
  <si>
    <t>Amino acids (moles)</t>
  </si>
  <si>
    <t>Amino acid molarity (M)</t>
  </si>
  <si>
    <t>Assuming negligible contribution from free dNTPs.</t>
  </si>
  <si>
    <t>Assuming negligible contribution from mitochondrial DNA.</t>
  </si>
  <si>
    <t>1 genome</t>
  </si>
  <si>
    <t>Estimated as an averarge of one genome per cell (close to data in https://onlinelibrary.wiley.com/doi/pdf/10.1002/(SICI)1097-0290(19960505)50:3%3C299::AID-BIT9%3E3.0.CO;2-B)</t>
  </si>
  <si>
    <t>Assuming one genome per cell i.e. how much DNA is required to make a new cell.</t>
  </si>
  <si>
    <t>Coulter counter (this work)</t>
  </si>
  <si>
    <t>BCA assay (this work)</t>
  </si>
  <si>
    <t>H1299: Hosios et al. 2016, 143B: scaled to H1299 based on BCA measured protein</t>
  </si>
  <si>
    <t>Contribution from free amino acids and nucleotides</t>
  </si>
  <si>
    <t>See source</t>
  </si>
  <si>
    <t>Nucleoside molecular weight, minus a water due to condensation</t>
  </si>
  <si>
    <t>Molar fraction (%)</t>
  </si>
  <si>
    <t>Free ribonucleotides (mM)</t>
  </si>
  <si>
    <t>Alanine</t>
  </si>
  <si>
    <t>Arginine</t>
  </si>
  <si>
    <t>Aspartate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</si>
  <si>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</si>
  <si>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</si>
  <si>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</si>
  <si>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</si>
  <si>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</si>
  <si>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</si>
  <si>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</si>
  <si>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</si>
  <si>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</si>
  <si>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</si>
  <si>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</si>
  <si>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</si>
  <si>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</si>
  <si>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</si>
  <si>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</si>
  <si>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</si>
  <si>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</si>
  <si>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Most measured using isotope internal standards (this work) the rest from Rabinowitz study in iBMK cells (Park et al. Nat. Chem. Biol. 2016)</t>
  </si>
  <si>
    <t>Total molarity of free amino acids (uM)</t>
  </si>
  <si>
    <t>Glutamate + Glutamine</t>
  </si>
  <si>
    <t>Asn_prot</t>
  </si>
  <si>
    <t>allAsn_out</t>
  </si>
  <si>
    <t>Sample_name</t>
  </si>
  <si>
    <t>m24h_1</t>
  </si>
  <si>
    <t>m24h_2</t>
  </si>
  <si>
    <t>m24h_3</t>
  </si>
  <si>
    <t>m24h_4</t>
  </si>
  <si>
    <t>m24h_5</t>
  </si>
  <si>
    <t>m24h_6</t>
  </si>
  <si>
    <t>Asn protein</t>
  </si>
  <si>
    <t>Asn efflux</t>
  </si>
  <si>
    <t>Asp+Asn protein</t>
  </si>
  <si>
    <t>Asp protein</t>
  </si>
  <si>
    <t>Pyr</t>
  </si>
  <si>
    <t>Pur</t>
  </si>
  <si>
    <t>Pur/Pyr</t>
  </si>
  <si>
    <t>mM</t>
  </si>
  <si>
    <t>Percent</t>
  </si>
  <si>
    <t>Percent incl. asn efflux</t>
  </si>
  <si>
    <t>No</t>
  </si>
  <si>
    <t>Fate</t>
  </si>
  <si>
    <t>Protein (Asp)</t>
  </si>
  <si>
    <t>Protein (Asn)</t>
  </si>
  <si>
    <t>Efflux (Asn)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</si>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</sst>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E+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" fontId="1" fillId="0" borderId="0" xfId="0" applyNumberFormat="1" applyFont="1"/>
    <xf numFmtId="164" fontId="1" fillId="0" borderId="0" xfId="0" applyNumberFormat="1" applyFont="1"/>
    <xf numFmtId="11" fontId="1" fillId="0" borderId="0" xfId="0" applyNumberFormat="1" applyFont="1"/>
    <xf numFmtId="4" fontId="6" fillId="0" borderId="0" xfId="0" applyNumberFormat="1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4" fontId="0" fillId="0" borderId="0" xfId="0" applyNumberFormat="1"/>
    <xf numFmtId="0" fontId="8" fillId="0" borderId="1" xfId="0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  <xf numFmtId="3" fontId="6" fillId="0" borderId="0" xfId="0" applyNumberFormat="1" applyFont="1"/>
    <xf numFmtId="0" fontId="8" fillId="0" borderId="2" xfId="0" applyFont="1" applyFill="1" applyBorder="1" applyAlignment="1">
      <alignment horizontal="center" vertical="top"/>
    </xf>
    <xf numFmtId="0" fontId="7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workbookViewId="0"/>
  </sheetViews>
  <sheetFormatPr baseColWidth="10" defaultColWidth="12.6640625" defaultRowHeight="15.75" customHeight="1" x14ac:dyDescent="0.15"/>
  <cols>
    <col min="1" max="1" width="25.5" bestFit="1" customWidth="1"/>
    <col min="2" max="3" width="20.5" bestFit="1" customWidth="1"/>
    <col min="4" max="5" width="17.6640625" customWidth="1"/>
    <col min="6" max="7" width="21.33203125" customWidth="1"/>
  </cols>
  <sheetData>
    <row r="1" spans="1:5" ht="15.75" customHeight="1" x14ac:dyDescent="0.15">
      <c r="B1" s="1" t="s">
        <v>1</v>
      </c>
      <c r="C1" s="1" t="s">
        <v>0</v>
      </c>
      <c r="E1" s="16" t="s">
        <v>44</v>
      </c>
    </row>
    <row r="3" spans="1:5" ht="15.75" customHeight="1" x14ac:dyDescent="0.15">
      <c r="A3" s="1" t="s">
        <v>2</v>
      </c>
      <c r="B3">
        <v>5098</v>
      </c>
      <c r="C3">
        <v>6388</v>
      </c>
      <c r="E3" s="16" t="s">
        <v>65</v>
      </c>
    </row>
    <row r="4" spans="1:5" ht="15.75" customHeight="1" x14ac:dyDescent="0.15">
      <c r="A4" s="1" t="s">
        <v>9</v>
      </c>
      <c r="B4">
        <v>1.47</v>
      </c>
      <c r="C4">
        <v>1.0900000000000001</v>
      </c>
    </row>
    <row r="5" spans="1:5" ht="15.75" customHeight="1" x14ac:dyDescent="0.15">
      <c r="A5" s="1" t="s">
        <v>3</v>
      </c>
      <c r="B5" s="17">
        <f>B7/C7*C5</f>
        <v>599.28535225544852</v>
      </c>
      <c r="C5" s="1">
        <v>660</v>
      </c>
      <c r="E5" s="16" t="s">
        <v>67</v>
      </c>
    </row>
    <row r="6" spans="1:5" ht="15.75" customHeight="1" x14ac:dyDescent="0.15">
      <c r="A6" s="1" t="s">
        <v>4</v>
      </c>
      <c r="B6" s="1">
        <f>300/400</f>
        <v>0.75</v>
      </c>
      <c r="C6" s="1">
        <f>300/400</f>
        <v>0.75</v>
      </c>
      <c r="E6" s="16" t="s">
        <v>45</v>
      </c>
    </row>
    <row r="7" spans="1:5" ht="15.75" customHeight="1" x14ac:dyDescent="0.15">
      <c r="A7" s="1" t="s">
        <v>26</v>
      </c>
      <c r="B7">
        <v>358.3</v>
      </c>
      <c r="C7">
        <v>394.6</v>
      </c>
      <c r="E7" s="16" t="s">
        <v>66</v>
      </c>
    </row>
    <row r="8" spans="1:5" ht="15.75" customHeight="1" x14ac:dyDescent="0.15">
      <c r="A8" s="1" t="s">
        <v>8</v>
      </c>
      <c r="B8" s="16" t="s">
        <v>47</v>
      </c>
      <c r="C8" s="16" t="s">
        <v>47</v>
      </c>
      <c r="E8" s="16" t="s">
        <v>48</v>
      </c>
    </row>
    <row r="9" spans="1:5" ht="15.75" customHeight="1" x14ac:dyDescent="0.15">
      <c r="A9" s="1" t="s">
        <v>5</v>
      </c>
      <c r="B9" s="1">
        <f>30/400</f>
        <v>7.4999999999999997E-2</v>
      </c>
      <c r="C9" s="1">
        <f>30/400</f>
        <v>7.4999999999999997E-2</v>
      </c>
      <c r="E9" s="16" t="s">
        <v>45</v>
      </c>
    </row>
    <row r="10" spans="1:5" ht="15.75" customHeight="1" x14ac:dyDescent="0.15">
      <c r="A10" s="1" t="s">
        <v>7</v>
      </c>
      <c r="B10" t="s">
        <v>51</v>
      </c>
      <c r="C10" t="s">
        <v>51</v>
      </c>
      <c r="E10" s="16" t="s">
        <v>50</v>
      </c>
    </row>
    <row r="11" spans="1:5" ht="15.75" customHeight="1" x14ac:dyDescent="0.15">
      <c r="A11" s="1" t="s">
        <v>46</v>
      </c>
      <c r="B11" s="16" t="s">
        <v>62</v>
      </c>
      <c r="C11" s="16" t="s">
        <v>62</v>
      </c>
      <c r="E11" s="16" t="s">
        <v>63</v>
      </c>
    </row>
    <row r="12" spans="1:5" ht="15.75" customHeight="1" x14ac:dyDescent="0.15">
      <c r="A12" s="1" t="s">
        <v>6</v>
      </c>
      <c r="B12" s="16" t="s">
        <v>49</v>
      </c>
      <c r="C12" s="16" t="s">
        <v>49</v>
      </c>
      <c r="E12" s="16" t="s">
        <v>55</v>
      </c>
    </row>
    <row r="13" spans="1:5" ht="32" customHeight="1" x14ac:dyDescent="0.15">
      <c r="A13" s="13" t="s">
        <v>68</v>
      </c>
      <c r="B13" s="16" t="s">
        <v>69</v>
      </c>
      <c r="C13" s="16" t="s">
        <v>69</v>
      </c>
      <c r="E13" s="16" t="s">
        <v>93</v>
      </c>
    </row>
    <row r="14" spans="1:5" ht="15.75" customHeight="1" x14ac:dyDescent="0.15">
      <c r="A14" s="1"/>
      <c r="B14" s="3"/>
    </row>
    <row r="16" spans="1:5" ht="15.75" customHeight="1" x14ac:dyDescent="0.15">
      <c r="A16" s="1"/>
      <c r="B16" s="3"/>
    </row>
    <row r="17" spans="1:2" ht="15.75" customHeight="1" x14ac:dyDescent="0.15">
      <c r="A17" s="1"/>
    </row>
    <row r="18" spans="1:2" ht="15.75" customHeight="1" x14ac:dyDescent="0.15">
      <c r="A18" s="1"/>
    </row>
    <row r="19" spans="1:2" ht="15.75" customHeight="1" x14ac:dyDescent="0.15">
      <c r="A19" s="1"/>
    </row>
    <row r="23" spans="1:2" ht="15.75" customHeight="1" x14ac:dyDescent="0.15">
      <c r="A23" s="1"/>
      <c r="B23" s="1"/>
    </row>
    <row r="24" spans="1:2" ht="15.75" customHeight="1" x14ac:dyDescent="0.15">
      <c r="A24" s="1"/>
      <c r="B24" s="3"/>
    </row>
    <row r="25" spans="1:2" ht="15.75" customHeight="1" x14ac:dyDescent="0.15">
      <c r="A25" s="1"/>
      <c r="B25" s="1"/>
    </row>
    <row r="31" spans="1:2" ht="15.75" customHeight="1" x14ac:dyDescent="0.15">
      <c r="A31" s="1"/>
    </row>
    <row r="32" spans="1:2" ht="15.75" customHeight="1" x14ac:dyDescent="0.15">
      <c r="A32" s="3"/>
    </row>
    <row r="33" spans="1:2" ht="15.75" customHeight="1" x14ac:dyDescent="0.15">
      <c r="A33" s="3"/>
    </row>
    <row r="34" spans="1:2" ht="15.75" customHeight="1" x14ac:dyDescent="0.15">
      <c r="A34" s="2"/>
      <c r="B34" s="1"/>
    </row>
    <row r="35" spans="1:2" ht="15.75" customHeight="1" x14ac:dyDescent="0.15">
      <c r="A35" s="3"/>
    </row>
    <row r="37" spans="1:2" ht="15.75" customHeight="1" x14ac:dyDescent="0.15">
      <c r="B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BC46-1D84-1646-BA5E-A6590D84635A}">
  <sheetPr>
    <outlinePr summaryBelow="0" summaryRight="0"/>
  </sheetPr>
  <dimension ref="A1:I23"/>
  <sheetViews>
    <sheetView workbookViewId="0"/>
  </sheetViews>
  <sheetFormatPr baseColWidth="10" defaultColWidth="12.6640625" defaultRowHeight="15.75" customHeight="1" x14ac:dyDescent="0.15"/>
  <cols>
    <col min="1" max="1" width="18" customWidth="1"/>
  </cols>
  <sheetData>
    <row r="1" spans="1:9" ht="15.75" customHeight="1" x14ac:dyDescent="0.15">
      <c r="A1" s="5" t="s">
        <v>22</v>
      </c>
    </row>
    <row r="2" spans="1:9" ht="15.75" customHeight="1" x14ac:dyDescent="0.15">
      <c r="A2" s="1" t="s">
        <v>60</v>
      </c>
      <c r="I2" s="1"/>
    </row>
    <row r="3" spans="1:9" ht="15.75" customHeight="1" x14ac:dyDescent="0.15">
      <c r="A3" s="1" t="s">
        <v>61</v>
      </c>
      <c r="I3" s="1"/>
    </row>
    <row r="4" spans="1:9" ht="15.75" customHeight="1" x14ac:dyDescent="0.15">
      <c r="A4" s="1" t="s">
        <v>64</v>
      </c>
    </row>
    <row r="6" spans="1:9" ht="15.75" customHeight="1" x14ac:dyDescent="0.15">
      <c r="A6" s="1" t="s">
        <v>54</v>
      </c>
      <c r="B6" s="8">
        <v>6400000000</v>
      </c>
      <c r="C6" s="1"/>
      <c r="I6" s="1"/>
    </row>
    <row r="7" spans="1:9" ht="15.75" customHeight="1" x14ac:dyDescent="0.15">
      <c r="A7" s="1" t="s">
        <v>23</v>
      </c>
      <c r="B7" s="8">
        <f>B6*2</f>
        <v>12800000000</v>
      </c>
      <c r="C7" s="1"/>
    </row>
    <row r="8" spans="1:9" ht="15.75" customHeight="1" x14ac:dyDescent="0.15">
      <c r="A8" s="1" t="s">
        <v>56</v>
      </c>
      <c r="B8" s="1">
        <v>40.869999999999997</v>
      </c>
      <c r="C8" s="1"/>
      <c r="I8" s="3"/>
    </row>
    <row r="9" spans="1:9" ht="15.75" customHeight="1" x14ac:dyDescent="0.15">
      <c r="A9" s="1" t="s">
        <v>2</v>
      </c>
      <c r="B9" s="1">
        <f>overview!C3</f>
        <v>6388</v>
      </c>
      <c r="C9" s="1"/>
      <c r="I9" s="1"/>
    </row>
    <row r="10" spans="1:9" ht="31" customHeight="1" x14ac:dyDescent="0.15">
      <c r="A10" s="13" t="s">
        <v>57</v>
      </c>
      <c r="B10" s="8">
        <v>6.0221407599999999E+23</v>
      </c>
      <c r="C10" s="1"/>
    </row>
    <row r="13" spans="1:9" ht="15.75" customHeight="1" x14ac:dyDescent="0.15">
      <c r="C13" s="1" t="s">
        <v>12</v>
      </c>
      <c r="D13" s="1" t="s">
        <v>13</v>
      </c>
      <c r="E13" s="1" t="s">
        <v>24</v>
      </c>
      <c r="F13" s="1" t="s">
        <v>15</v>
      </c>
      <c r="G13" s="1" t="s">
        <v>16</v>
      </c>
    </row>
    <row r="14" spans="1:9" ht="15.75" customHeight="1" x14ac:dyDescent="0.15">
      <c r="A14" s="1" t="s">
        <v>17</v>
      </c>
      <c r="C14" s="7">
        <f>331.2218-18.01528</f>
        <v>313.20651999999995</v>
      </c>
      <c r="D14" s="7">
        <f>347.2212-18.01528</f>
        <v>329.20591999999999</v>
      </c>
      <c r="E14" s="7">
        <f>322.2085-18.01528</f>
        <v>304.19322</v>
      </c>
      <c r="F14" s="7">
        <f>307.1971-18.01528</f>
        <v>289.18181999999996</v>
      </c>
      <c r="G14" s="7">
        <f t="shared" ref="G14:G18" si="0">SUM(C14:F14)</f>
        <v>1235.78748</v>
      </c>
      <c r="I14" s="1" t="s">
        <v>70</v>
      </c>
    </row>
    <row r="15" spans="1:9" ht="15.75" customHeight="1" x14ac:dyDescent="0.15">
      <c r="A15" s="1" t="s">
        <v>23</v>
      </c>
      <c r="C15" s="8">
        <f>B7*(100-B8)/100/2</f>
        <v>3784320000</v>
      </c>
      <c r="D15" s="8">
        <f>B7*B8/100/2</f>
        <v>2615679999.9999995</v>
      </c>
      <c r="E15" s="8">
        <f>B7*(100-B8)/100/2</f>
        <v>3784320000</v>
      </c>
      <c r="F15" s="8">
        <f>B7*B8/100/2</f>
        <v>2615679999.9999995</v>
      </c>
      <c r="G15" s="8">
        <f t="shared" si="0"/>
        <v>12800000000</v>
      </c>
    </row>
    <row r="16" spans="1:9" ht="15.75" customHeight="1" x14ac:dyDescent="0.15">
      <c r="A16" s="1" t="s">
        <v>18</v>
      </c>
      <c r="C16" s="8">
        <f>C15/$B$10</f>
        <v>6.2840112026873319E-15</v>
      </c>
      <c r="D16" s="8">
        <f>D15/$B$10</f>
        <v>4.3434388272252863E-15</v>
      </c>
      <c r="E16" s="8">
        <f>E15/$B$10</f>
        <v>6.2840112026873319E-15</v>
      </c>
      <c r="F16" s="8">
        <f>F15/$B$10</f>
        <v>4.3434388272252863E-15</v>
      </c>
      <c r="G16" s="8">
        <f t="shared" si="0"/>
        <v>2.1254900059825238E-14</v>
      </c>
    </row>
    <row r="17" spans="1:9" ht="15.75" customHeight="1" x14ac:dyDescent="0.15">
      <c r="A17" s="1" t="s">
        <v>19</v>
      </c>
      <c r="C17" s="6">
        <f t="shared" ref="C17:F17" si="1">C14*C16*1000000000000</f>
        <v>1.9681932804347138</v>
      </c>
      <c r="D17" s="6">
        <f t="shared" si="1"/>
        <v>1.4298857750804215</v>
      </c>
      <c r="E17" s="6">
        <f t="shared" si="1"/>
        <v>1.9115536022615323</v>
      </c>
      <c r="F17" s="6">
        <f t="shared" si="1"/>
        <v>1.2560435451156737</v>
      </c>
      <c r="G17" s="6">
        <f t="shared" si="0"/>
        <v>6.565676202892341</v>
      </c>
    </row>
    <row r="18" spans="1:9" ht="15.75" customHeight="1" x14ac:dyDescent="0.15">
      <c r="A18" s="1" t="s">
        <v>20</v>
      </c>
      <c r="C18" s="6">
        <f>C16/$B$9 * 1000000000000000*1000</f>
        <v>0.9837212277218742</v>
      </c>
      <c r="D18" s="6">
        <f>D16/$B$9 * 1000000000000000*1000</f>
        <v>0.67993719900207994</v>
      </c>
      <c r="E18" s="6">
        <f>E16/$B$9 * 1000000000000000*1000</f>
        <v>0.9837212277218742</v>
      </c>
      <c r="F18" s="6">
        <f>F16/$B$9 * 1000000000000000*1000</f>
        <v>0.67993719900207994</v>
      </c>
      <c r="G18" s="6">
        <f t="shared" si="0"/>
        <v>3.3273168534479085</v>
      </c>
    </row>
    <row r="19" spans="1:9" ht="15.75" customHeight="1" x14ac:dyDescent="0.15">
      <c r="G19" s="6"/>
    </row>
    <row r="20" spans="1:9" ht="15.75" customHeight="1" x14ac:dyDescent="0.15">
      <c r="G20" s="6"/>
    </row>
    <row r="21" spans="1:9" ht="15.75" customHeight="1" x14ac:dyDescent="0.15">
      <c r="G21" s="6"/>
    </row>
    <row r="22" spans="1:9" ht="15.75" customHeight="1" x14ac:dyDescent="0.15">
      <c r="A22" s="1"/>
      <c r="C22" s="1"/>
      <c r="D22" s="1"/>
      <c r="E22" s="8"/>
      <c r="F22" s="8"/>
      <c r="G22" s="10"/>
      <c r="H22" s="1"/>
      <c r="I22" s="1"/>
    </row>
    <row r="23" spans="1:9" ht="15.75" customHeight="1" x14ac:dyDescent="0.15">
      <c r="A23" s="1"/>
      <c r="C23" s="1"/>
      <c r="D23" s="1"/>
      <c r="E23" s="8"/>
      <c r="F23" s="8"/>
      <c r="G23" s="10"/>
      <c r="H23" s="1"/>
      <c r="I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2"/>
  <sheetViews>
    <sheetView workbookViewId="0"/>
  </sheetViews>
  <sheetFormatPr baseColWidth="10" defaultColWidth="12.6640625" defaultRowHeight="15.75" customHeight="1" x14ac:dyDescent="0.15"/>
  <cols>
    <col min="1" max="1" width="18" customWidth="1"/>
  </cols>
  <sheetData>
    <row r="1" spans="1:9" ht="15.75" customHeight="1" x14ac:dyDescent="0.15">
      <c r="A1" s="5" t="s">
        <v>22</v>
      </c>
    </row>
    <row r="2" spans="1:9" ht="15.75" customHeight="1" x14ac:dyDescent="0.15">
      <c r="A2" s="1" t="s">
        <v>60</v>
      </c>
      <c r="I2" s="1"/>
    </row>
    <row r="3" spans="1:9" ht="15.75" customHeight="1" x14ac:dyDescent="0.15">
      <c r="A3" s="1" t="s">
        <v>61</v>
      </c>
      <c r="I3" s="1"/>
    </row>
    <row r="4" spans="1:9" ht="15.75" customHeight="1" x14ac:dyDescent="0.15">
      <c r="A4" s="1" t="s">
        <v>64</v>
      </c>
    </row>
    <row r="6" spans="1:9" ht="15.75" customHeight="1" x14ac:dyDescent="0.15">
      <c r="A6" s="1" t="s">
        <v>54</v>
      </c>
      <c r="B6" s="8">
        <v>6400000000</v>
      </c>
      <c r="C6" s="1"/>
      <c r="I6" s="1"/>
    </row>
    <row r="7" spans="1:9" ht="15.75" customHeight="1" x14ac:dyDescent="0.15">
      <c r="A7" s="1" t="s">
        <v>23</v>
      </c>
      <c r="B7" s="8">
        <f>B6*2</f>
        <v>12800000000</v>
      </c>
      <c r="C7" s="1"/>
    </row>
    <row r="8" spans="1:9" ht="15.75" customHeight="1" x14ac:dyDescent="0.15">
      <c r="A8" s="1" t="s">
        <v>56</v>
      </c>
      <c r="B8" s="1">
        <v>40.869999999999997</v>
      </c>
      <c r="C8" s="1"/>
      <c r="I8" s="3"/>
    </row>
    <row r="9" spans="1:9" ht="15.75" customHeight="1" x14ac:dyDescent="0.15">
      <c r="A9" s="1" t="s">
        <v>2</v>
      </c>
      <c r="B9" s="1">
        <f>overview!B3</f>
        <v>5098</v>
      </c>
      <c r="C9" s="1"/>
      <c r="I9" s="1"/>
    </row>
    <row r="10" spans="1:9" ht="31" customHeight="1" x14ac:dyDescent="0.15">
      <c r="A10" s="13" t="s">
        <v>57</v>
      </c>
      <c r="B10" s="8">
        <v>6.0221407599999999E+23</v>
      </c>
      <c r="C10" s="1"/>
    </row>
    <row r="13" spans="1:9" ht="15.75" customHeight="1" x14ac:dyDescent="0.15">
      <c r="C13" s="1" t="s">
        <v>12</v>
      </c>
      <c r="D13" s="1" t="s">
        <v>13</v>
      </c>
      <c r="E13" s="1" t="s">
        <v>24</v>
      </c>
      <c r="F13" s="1" t="s">
        <v>15</v>
      </c>
      <c r="G13" s="1" t="s">
        <v>16</v>
      </c>
    </row>
    <row r="14" spans="1:9" ht="15.75" customHeight="1" x14ac:dyDescent="0.15">
      <c r="A14" s="1" t="s">
        <v>17</v>
      </c>
      <c r="C14" s="7">
        <f>331.2218-18.01528</f>
        <v>313.20651999999995</v>
      </c>
      <c r="D14" s="7">
        <f>347.2212-18.01528</f>
        <v>329.20591999999999</v>
      </c>
      <c r="E14" s="7">
        <f>322.2085-18.01528</f>
        <v>304.19322</v>
      </c>
      <c r="F14" s="7">
        <f>307.1971-18.01528</f>
        <v>289.18181999999996</v>
      </c>
      <c r="G14" s="7">
        <f t="shared" ref="G14:G18" si="0">SUM(C14:F14)</f>
        <v>1235.78748</v>
      </c>
      <c r="I14" s="1" t="s">
        <v>70</v>
      </c>
    </row>
    <row r="15" spans="1:9" ht="15.75" customHeight="1" x14ac:dyDescent="0.15">
      <c r="A15" s="1" t="s">
        <v>23</v>
      </c>
      <c r="C15" s="8">
        <f>B7*(100-B8)/100/2</f>
        <v>3784320000</v>
      </c>
      <c r="D15" s="8">
        <f>B7*B8/100/2</f>
        <v>2615679999.9999995</v>
      </c>
      <c r="E15" s="8">
        <f>B7*(100-B8)/100/2</f>
        <v>3784320000</v>
      </c>
      <c r="F15" s="8">
        <f>B7*B8/100/2</f>
        <v>2615679999.9999995</v>
      </c>
      <c r="G15" s="8">
        <f t="shared" si="0"/>
        <v>12800000000</v>
      </c>
    </row>
    <row r="16" spans="1:9" ht="15.75" customHeight="1" x14ac:dyDescent="0.15">
      <c r="A16" s="1" t="s">
        <v>18</v>
      </c>
      <c r="C16" s="8">
        <f>C15/$B$10</f>
        <v>6.2840112026873319E-15</v>
      </c>
      <c r="D16" s="8">
        <f>D15/$B$10</f>
        <v>4.3434388272252863E-15</v>
      </c>
      <c r="E16" s="8">
        <f>E15/$B$10</f>
        <v>6.2840112026873319E-15</v>
      </c>
      <c r="F16" s="8">
        <f>F15/$B$10</f>
        <v>4.3434388272252863E-15</v>
      </c>
      <c r="G16" s="8">
        <f t="shared" si="0"/>
        <v>2.1254900059825238E-14</v>
      </c>
    </row>
    <row r="17" spans="1:9" ht="15.75" customHeight="1" x14ac:dyDescent="0.15">
      <c r="A17" s="1" t="s">
        <v>19</v>
      </c>
      <c r="C17" s="6">
        <f t="shared" ref="C17:F17" si="1">C14*C16*1000000000000</f>
        <v>1.9681932804347138</v>
      </c>
      <c r="D17" s="6">
        <f t="shared" si="1"/>
        <v>1.4298857750804215</v>
      </c>
      <c r="E17" s="6">
        <f t="shared" si="1"/>
        <v>1.9115536022615323</v>
      </c>
      <c r="F17" s="6">
        <f t="shared" si="1"/>
        <v>1.2560435451156737</v>
      </c>
      <c r="G17" s="6">
        <f t="shared" si="0"/>
        <v>6.565676202892341</v>
      </c>
    </row>
    <row r="18" spans="1:9" ht="15.75" customHeight="1" x14ac:dyDescent="0.15">
      <c r="A18" s="1" t="s">
        <v>20</v>
      </c>
      <c r="C18" s="6">
        <f>C16/$B$9 * 1000000000000000*1000</f>
        <v>1.2326424485459653</v>
      </c>
      <c r="D18" s="6">
        <f>D16/$B$9 * 1000000000000000*1000</f>
        <v>0.85198878525407729</v>
      </c>
      <c r="E18" s="6">
        <f>E16/$B$9 * 1000000000000000*1000</f>
        <v>1.2326424485459653</v>
      </c>
      <c r="F18" s="6">
        <f>F16/$B$9 * 1000000000000000*1000</f>
        <v>0.85198878525407729</v>
      </c>
      <c r="G18" s="6">
        <f t="shared" si="0"/>
        <v>4.1692624676000847</v>
      </c>
    </row>
    <row r="19" spans="1:9" ht="15.75" customHeight="1" x14ac:dyDescent="0.15">
      <c r="G19" s="6"/>
    </row>
    <row r="20" spans="1:9" ht="15.75" customHeight="1" x14ac:dyDescent="0.15">
      <c r="G20" s="6"/>
    </row>
    <row r="21" spans="1:9" ht="15.75" customHeight="1" x14ac:dyDescent="0.15">
      <c r="A21" s="1"/>
      <c r="C21" s="1"/>
      <c r="D21" s="1"/>
      <c r="E21" s="8"/>
      <c r="F21" s="8"/>
      <c r="G21" s="10"/>
      <c r="H21" s="1"/>
      <c r="I21" s="1"/>
    </row>
    <row r="22" spans="1:9" ht="15.75" customHeight="1" x14ac:dyDescent="0.15">
      <c r="A22" s="1"/>
      <c r="C22" s="1"/>
      <c r="D22" s="1"/>
      <c r="E22" s="8"/>
      <c r="F22" s="8"/>
      <c r="G22" s="10"/>
      <c r="H22" s="1"/>
      <c r="I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BC41-49CA-8242-BFD8-39D176533DFB}">
  <sheetPr>
    <outlinePr summaryBelow="0" summaryRight="0"/>
  </sheetPr>
  <dimension ref="A1:I21"/>
  <sheetViews>
    <sheetView workbookViewId="0"/>
  </sheetViews>
  <sheetFormatPr baseColWidth="10" defaultColWidth="12.6640625" defaultRowHeight="15.75" customHeight="1" x14ac:dyDescent="0.15"/>
  <cols>
    <col min="1" max="1" width="21.33203125" customWidth="1"/>
    <col min="2" max="2" width="14" customWidth="1"/>
  </cols>
  <sheetData>
    <row r="1" spans="1:9" ht="15.75" customHeight="1" x14ac:dyDescent="0.15">
      <c r="A1" s="5" t="s">
        <v>10</v>
      </c>
    </row>
    <row r="2" spans="1:9" ht="15.75" customHeight="1" x14ac:dyDescent="0.15">
      <c r="I2" s="1"/>
    </row>
    <row r="3" spans="1:9" ht="15.75" customHeight="1" x14ac:dyDescent="0.15">
      <c r="A3" s="1" t="s">
        <v>11</v>
      </c>
      <c r="B3" s="6">
        <f>overview!C5*overview!C9</f>
        <v>49.5</v>
      </c>
    </row>
    <row r="4" spans="1:9" ht="15.75" customHeight="1" x14ac:dyDescent="0.15">
      <c r="A4" s="1" t="s">
        <v>52</v>
      </c>
      <c r="B4" s="7">
        <f>(C10*C11+D10*D11+E10*E11+F10*F11)/100</f>
        <v>322.56614584000005</v>
      </c>
    </row>
    <row r="5" spans="1:9" ht="15.75" customHeight="1" x14ac:dyDescent="0.15">
      <c r="A5" s="1" t="s">
        <v>53</v>
      </c>
      <c r="B5" s="8">
        <f>B3*0.000000000001/B4</f>
        <v>1.534568975646722E-13</v>
      </c>
      <c r="C5" s="1"/>
      <c r="I5" s="2"/>
    </row>
    <row r="6" spans="1:9" ht="15.75" customHeight="1" x14ac:dyDescent="0.15">
      <c r="A6" s="1" t="s">
        <v>2</v>
      </c>
      <c r="B6" s="1">
        <f>overview!C3</f>
        <v>6388</v>
      </c>
      <c r="C6" s="1"/>
    </row>
    <row r="7" spans="1:9" ht="15.75" customHeight="1" x14ac:dyDescent="0.15">
      <c r="C7" s="1"/>
    </row>
    <row r="9" spans="1:9" ht="15.75" customHeight="1" x14ac:dyDescent="0.15"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9" ht="15.75" customHeight="1" x14ac:dyDescent="0.15">
      <c r="A10" s="1" t="s">
        <v>71</v>
      </c>
      <c r="C10" s="1">
        <f>AVERAGE(19.6, 20.5)</f>
        <v>20.05</v>
      </c>
      <c r="D10" s="1">
        <f>AVERAGE(32.2, 30.4)</f>
        <v>31.3</v>
      </c>
      <c r="E10" s="1">
        <f>AVERAGE(17.3+1.2, 17.4+3.3)</f>
        <v>19.600000000000001</v>
      </c>
      <c r="F10" s="1">
        <f>AVERAGE(29.7, 28.3)</f>
        <v>29</v>
      </c>
      <c r="G10" s="7">
        <f t="shared" ref="G10:G15" si="0">SUM(C10:F10)</f>
        <v>99.95</v>
      </c>
      <c r="I10" s="1"/>
    </row>
    <row r="11" spans="1:9" ht="15.75" customHeight="1" x14ac:dyDescent="0.15">
      <c r="A11" s="1" t="s">
        <v>17</v>
      </c>
      <c r="C11" s="7">
        <f>347.2212-18.01528</f>
        <v>329.20591999999999</v>
      </c>
      <c r="D11" s="7">
        <f>363.2206-18.01528</f>
        <v>345.20531999999997</v>
      </c>
      <c r="E11" s="7">
        <f>324.1813-18.01528</f>
        <v>306.16602</v>
      </c>
      <c r="F11" s="7">
        <f>323.1965-18.01528</f>
        <v>305.18122</v>
      </c>
      <c r="G11" s="7">
        <f t="shared" si="0"/>
        <v>1285.75848</v>
      </c>
      <c r="I11" s="1" t="s">
        <v>70</v>
      </c>
    </row>
    <row r="12" spans="1:9" ht="15.75" customHeight="1" x14ac:dyDescent="0.15">
      <c r="A12" s="1" t="s">
        <v>18</v>
      </c>
      <c r="C12" s="8">
        <f>$B$5*C10/100</f>
        <v>3.076810796171678E-14</v>
      </c>
      <c r="D12" s="8">
        <f>$B$5*D10/100</f>
        <v>4.8032008937742399E-14</v>
      </c>
      <c r="E12" s="8">
        <f>$B$5*E10/100</f>
        <v>3.0077551922675749E-14</v>
      </c>
      <c r="F12" s="8">
        <f>$B$5*F10/100</f>
        <v>4.4502500293754936E-14</v>
      </c>
      <c r="G12" s="8">
        <f t="shared" si="0"/>
        <v>1.5338016911588986E-13</v>
      </c>
    </row>
    <row r="13" spans="1:9" ht="15.75" customHeight="1" x14ac:dyDescent="0.15">
      <c r="A13" s="1" t="s">
        <v>19</v>
      </c>
      <c r="C13" s="6">
        <f t="shared" ref="C13:F13" si="1">C11*C12*1000000000000</f>
        <v>10.129043288196298</v>
      </c>
      <c r="D13" s="6">
        <f t="shared" si="1"/>
        <v>16.580905015596223</v>
      </c>
      <c r="E13" s="6">
        <f t="shared" si="1"/>
        <v>9.208724363508983</v>
      </c>
      <c r="F13" s="6">
        <f t="shared" si="1"/>
        <v>13.581327332698491</v>
      </c>
      <c r="G13" s="6">
        <f t="shared" si="0"/>
        <v>49.5</v>
      </c>
    </row>
    <row r="14" spans="1:9" ht="15.75" customHeight="1" x14ac:dyDescent="0.15">
      <c r="A14" s="1" t="s">
        <v>20</v>
      </c>
      <c r="C14" s="6">
        <f>C12/$B$6 * 1000000000000000*1000</f>
        <v>4.8165478963238533</v>
      </c>
      <c r="D14" s="6">
        <f>D12/$B$6 * 1000000000000000*1000</f>
        <v>7.5190997084756424</v>
      </c>
      <c r="E14" s="6">
        <f>E12/$B$6 * 1000000000000000*1000</f>
        <v>4.7084458238377813</v>
      </c>
      <c r="F14" s="6">
        <f>F12/$B$6 * 1000000000000000*1000</f>
        <v>6.9665780046579426</v>
      </c>
      <c r="G14" s="6">
        <f t="shared" si="0"/>
        <v>24.010671433295219</v>
      </c>
    </row>
    <row r="15" spans="1:9" ht="15" x14ac:dyDescent="0.2">
      <c r="A15" s="13" t="s">
        <v>72</v>
      </c>
      <c r="C15" s="9">
        <f>0.00528 *1000</f>
        <v>5.28</v>
      </c>
      <c r="D15" s="9">
        <f>0.000725*1000</f>
        <v>0.72499999999999998</v>
      </c>
      <c r="E15" s="9">
        <f>0.00191*1000</f>
        <v>1.91</v>
      </c>
      <c r="F15" s="9">
        <f>0.000909*1000</f>
        <v>0.90900000000000003</v>
      </c>
      <c r="G15" s="6">
        <f t="shared" si="0"/>
        <v>8.8239999999999998</v>
      </c>
      <c r="I15" s="1"/>
    </row>
    <row r="16" spans="1:9" ht="13" x14ac:dyDescent="0.15">
      <c r="A16" s="1" t="s">
        <v>21</v>
      </c>
      <c r="C16" s="18">
        <f>SUM(C14:C15)</f>
        <v>10.096547896323854</v>
      </c>
      <c r="D16" s="18">
        <f t="shared" ref="D16:F16" si="2">SUM(D14:D15)</f>
        <v>8.2440997084756429</v>
      </c>
      <c r="E16" s="18">
        <f t="shared" si="2"/>
        <v>6.6184458238377815</v>
      </c>
      <c r="F16" s="18">
        <f t="shared" si="2"/>
        <v>7.8755780046579424</v>
      </c>
    </row>
    <row r="20" spans="1:9" ht="15.75" customHeight="1" x14ac:dyDescent="0.15">
      <c r="A20" s="1"/>
      <c r="C20" s="1"/>
      <c r="D20" s="1"/>
      <c r="E20" s="8"/>
      <c r="F20" s="8"/>
      <c r="G20" s="10"/>
      <c r="H20" s="1"/>
      <c r="I20" s="1"/>
    </row>
    <row r="21" spans="1:9" ht="15.75" customHeight="1" x14ac:dyDescent="0.15">
      <c r="A21" s="1"/>
      <c r="C21" s="1"/>
      <c r="D21" s="1"/>
      <c r="E21" s="8"/>
      <c r="F21" s="8"/>
      <c r="G21" s="10"/>
      <c r="H21" s="1"/>
      <c r="I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"/>
  <sheetViews>
    <sheetView workbookViewId="0">
      <selection activeCell="A10" sqref="A10"/>
    </sheetView>
  </sheetViews>
  <sheetFormatPr baseColWidth="10" defaultColWidth="12.6640625" defaultRowHeight="15.75" customHeight="1" x14ac:dyDescent="0.15"/>
  <cols>
    <col min="1" max="1" width="21.1640625" bestFit="1" customWidth="1"/>
    <col min="2" max="2" width="14" customWidth="1"/>
  </cols>
  <sheetData>
    <row r="1" spans="1:9" ht="15.75" customHeight="1" x14ac:dyDescent="0.15">
      <c r="A1" s="5" t="s">
        <v>10</v>
      </c>
    </row>
    <row r="2" spans="1:9" ht="15.75" customHeight="1" x14ac:dyDescent="0.15">
      <c r="I2" s="1"/>
    </row>
    <row r="3" spans="1:9" ht="15.75" customHeight="1" x14ac:dyDescent="0.15">
      <c r="A3" s="1" t="s">
        <v>11</v>
      </c>
      <c r="B3" s="6">
        <f>overview!B5*overview!B9</f>
        <v>44.94640141915864</v>
      </c>
    </row>
    <row r="4" spans="1:9" ht="15.75" customHeight="1" x14ac:dyDescent="0.15">
      <c r="A4" s="1" t="s">
        <v>52</v>
      </c>
      <c r="B4" s="7">
        <f>(C10*C11+D10*D11+E10*E11+F10*F11)/100</f>
        <v>322.56614584000005</v>
      </c>
    </row>
    <row r="5" spans="1:9" ht="15.75" customHeight="1" x14ac:dyDescent="0.15">
      <c r="A5" s="1" t="s">
        <v>53</v>
      </c>
      <c r="B5" s="8">
        <f>B3*0.000000000001/B4</f>
        <v>1.3934010744404978E-13</v>
      </c>
      <c r="C5" s="1"/>
      <c r="I5" s="2"/>
    </row>
    <row r="6" spans="1:9" ht="15.75" customHeight="1" x14ac:dyDescent="0.15">
      <c r="A6" s="1" t="s">
        <v>2</v>
      </c>
      <c r="B6" s="1">
        <f>overview!B3</f>
        <v>5098</v>
      </c>
      <c r="C6" s="1"/>
    </row>
    <row r="7" spans="1:9" ht="15.75" customHeight="1" x14ac:dyDescent="0.15">
      <c r="C7" s="1"/>
    </row>
    <row r="9" spans="1:9" ht="15.75" customHeight="1" x14ac:dyDescent="0.15"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9" ht="15.75" customHeight="1" x14ac:dyDescent="0.15">
      <c r="A10" s="1" t="s">
        <v>71</v>
      </c>
      <c r="C10" s="1">
        <f>AVERAGE(19.6, 20.5)</f>
        <v>20.05</v>
      </c>
      <c r="D10" s="1">
        <f>AVERAGE(32.2, 30.4)</f>
        <v>31.3</v>
      </c>
      <c r="E10" s="1">
        <f>AVERAGE(17.3+1.2, 17.4+3.3)</f>
        <v>19.600000000000001</v>
      </c>
      <c r="F10" s="1">
        <f>AVERAGE(29.7, 28.3)</f>
        <v>29</v>
      </c>
      <c r="G10" s="7">
        <f t="shared" ref="G10:G15" si="0">SUM(C10:F10)</f>
        <v>99.95</v>
      </c>
      <c r="I10" s="1"/>
    </row>
    <row r="11" spans="1:9" ht="15.75" customHeight="1" x14ac:dyDescent="0.15">
      <c r="A11" s="1" t="s">
        <v>17</v>
      </c>
      <c r="C11" s="7">
        <f>347.2212-18.01528</f>
        <v>329.20591999999999</v>
      </c>
      <c r="D11" s="7">
        <f>363.2206-18.01528</f>
        <v>345.20531999999997</v>
      </c>
      <c r="E11" s="7">
        <f>324.1813-18.01528</f>
        <v>306.16602</v>
      </c>
      <c r="F11" s="7">
        <f>323.1965-18.01528</f>
        <v>305.18122</v>
      </c>
      <c r="G11" s="7">
        <f t="shared" si="0"/>
        <v>1285.75848</v>
      </c>
      <c r="I11" s="1" t="s">
        <v>70</v>
      </c>
    </row>
    <row r="12" spans="1:9" ht="15.75" customHeight="1" x14ac:dyDescent="0.15">
      <c r="A12" s="1" t="s">
        <v>18</v>
      </c>
      <c r="C12" s="8">
        <f>$B$5*C10/100</f>
        <v>2.7937691542531983E-14</v>
      </c>
      <c r="D12" s="8">
        <f>$B$5*D10/100</f>
        <v>4.3613453629987581E-14</v>
      </c>
      <c r="E12" s="8">
        <f>$B$5*E10/100</f>
        <v>2.7310661059033756E-14</v>
      </c>
      <c r="F12" s="8">
        <f>$B$5*F10/100</f>
        <v>4.040863115877444E-14</v>
      </c>
      <c r="G12" s="8">
        <f t="shared" si="0"/>
        <v>1.3927043739032776E-13</v>
      </c>
    </row>
    <row r="13" spans="1:9" ht="15.75" customHeight="1" x14ac:dyDescent="0.15">
      <c r="A13" s="1" t="s">
        <v>19</v>
      </c>
      <c r="C13" s="6">
        <f t="shared" ref="C13:F13" si="1">C11*C12*1000000000000</f>
        <v>9.1972534469354592</v>
      </c>
      <c r="D13" s="6">
        <f t="shared" si="1"/>
        <v>15.055596216645025</v>
      </c>
      <c r="E13" s="6">
        <f t="shared" si="1"/>
        <v>8.3615964000133509</v>
      </c>
      <c r="F13" s="6">
        <f t="shared" si="1"/>
        <v>12.331955355564796</v>
      </c>
      <c r="G13" s="6">
        <f t="shared" si="0"/>
        <v>44.946401419158626</v>
      </c>
    </row>
    <row r="14" spans="1:9" ht="15.75" customHeight="1" x14ac:dyDescent="0.15">
      <c r="A14" s="1" t="s">
        <v>20</v>
      </c>
      <c r="C14" s="6">
        <f>C12/$B$6 * 1000000000000000*1000</f>
        <v>5.4801278035566856</v>
      </c>
      <c r="D14" s="6">
        <f>D12/$B$6 * 1000000000000000*1000</f>
        <v>8.555012481362807</v>
      </c>
      <c r="E14" s="6">
        <f>E12/$B$6 * 1000000000000000*1000</f>
        <v>5.3571324164444398</v>
      </c>
      <c r="F14" s="6">
        <f>F12/$B$6 * 1000000000000000*1000</f>
        <v>7.9263693916779996</v>
      </c>
      <c r="G14" s="6">
        <f t="shared" si="0"/>
        <v>27.31864209304193</v>
      </c>
    </row>
    <row r="15" spans="1:9" ht="15" x14ac:dyDescent="0.2">
      <c r="A15" s="13" t="s">
        <v>72</v>
      </c>
      <c r="C15" s="9">
        <f>0.00528 *1000</f>
        <v>5.28</v>
      </c>
      <c r="D15" s="9">
        <f>0.000725*1000</f>
        <v>0.72499999999999998</v>
      </c>
      <c r="E15" s="9">
        <f>0.00191*1000</f>
        <v>1.91</v>
      </c>
      <c r="F15" s="9">
        <f>0.000909*1000</f>
        <v>0.90900000000000003</v>
      </c>
      <c r="G15" s="6">
        <f t="shared" si="0"/>
        <v>8.8239999999999998</v>
      </c>
      <c r="I15" s="1"/>
    </row>
    <row r="16" spans="1:9" ht="13" x14ac:dyDescent="0.15">
      <c r="A16" s="1" t="s">
        <v>21</v>
      </c>
      <c r="C16" s="18">
        <f>SUM(C14:C15)</f>
        <v>10.760127803556685</v>
      </c>
      <c r="D16" s="18">
        <f t="shared" ref="D16:F16" si="2">SUM(D14:D15)</f>
        <v>9.2800124813628067</v>
      </c>
      <c r="E16" s="18">
        <f t="shared" si="2"/>
        <v>7.26713241644444</v>
      </c>
      <c r="F16" s="18">
        <f t="shared" si="2"/>
        <v>8.8353693916780003</v>
      </c>
    </row>
    <row r="20" spans="1:9" ht="15.75" customHeight="1" x14ac:dyDescent="0.15">
      <c r="A20" s="1"/>
      <c r="C20" s="1"/>
      <c r="D20" s="1"/>
      <c r="E20" s="8"/>
      <c r="F20" s="8"/>
      <c r="G20" s="10"/>
      <c r="H20" s="1"/>
      <c r="I20" s="1"/>
    </row>
    <row r="21" spans="1:9" ht="15.75" customHeight="1" x14ac:dyDescent="0.15">
      <c r="A21" s="1"/>
      <c r="C21" s="1"/>
      <c r="D21" s="1"/>
      <c r="E21" s="8"/>
      <c r="F21" s="8"/>
      <c r="G21" s="10"/>
      <c r="H21" s="1"/>
      <c r="I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61D-133E-0447-8362-5D548F45AB3D}">
  <sheetPr>
    <outlinePr summaryBelow="0" summaryRight="0"/>
  </sheetPr>
  <dimension ref="A1:Y19"/>
  <sheetViews>
    <sheetView zoomScaleNormal="100" workbookViewId="0"/>
  </sheetViews>
  <sheetFormatPr baseColWidth="10" defaultColWidth="12.6640625" defaultRowHeight="15.75" customHeight="1" x14ac:dyDescent="0.15"/>
  <cols>
    <col min="1" max="1" width="19.1640625" customWidth="1"/>
    <col min="3" max="22" width="7.6640625" customWidth="1"/>
    <col min="23" max="23" width="9.1640625" customWidth="1"/>
  </cols>
  <sheetData>
    <row r="1" spans="1:25" ht="13" x14ac:dyDescent="0.15">
      <c r="A1" s="5" t="s">
        <v>25</v>
      </c>
    </row>
    <row r="2" spans="1:25" ht="13" x14ac:dyDescent="0.15">
      <c r="Y2" s="1"/>
    </row>
    <row r="3" spans="1:25" ht="15.75" customHeight="1" x14ac:dyDescent="0.15">
      <c r="A3" s="1" t="s">
        <v>26</v>
      </c>
      <c r="B3" s="6">
        <f>overview!C7</f>
        <v>394.6</v>
      </c>
    </row>
    <row r="4" spans="1:25" ht="13" x14ac:dyDescent="0.15">
      <c r="A4" s="1" t="s">
        <v>52</v>
      </c>
      <c r="B4" s="12" cm="1">
        <f t="array" ref="B4">SUM(C12:V12*C11:V11)/100</f>
        <v>111.327101829985</v>
      </c>
      <c r="D4" s="1"/>
      <c r="E4" s="2"/>
    </row>
    <row r="5" spans="1:25" ht="13" x14ac:dyDescent="0.15">
      <c r="A5" s="1" t="s">
        <v>58</v>
      </c>
      <c r="B5" s="8">
        <f>B3*0.000000000001/B4</f>
        <v>3.5445097690822837E-12</v>
      </c>
      <c r="C5" s="1"/>
      <c r="Y5" s="2"/>
    </row>
    <row r="6" spans="1:25" ht="13" x14ac:dyDescent="0.15">
      <c r="A6" s="1" t="s">
        <v>2</v>
      </c>
      <c r="B6" s="1">
        <f>overview!C3</f>
        <v>6388</v>
      </c>
      <c r="C6" s="1"/>
    </row>
    <row r="7" spans="1:25" ht="13" x14ac:dyDescent="0.15">
      <c r="A7" s="1" t="s">
        <v>59</v>
      </c>
      <c r="B7" s="6">
        <f>B5/B6 * 1000000000000000</f>
        <v>0.55487003273047641</v>
      </c>
      <c r="C7" s="1"/>
    </row>
    <row r="8" spans="1:25" ht="13" x14ac:dyDescent="0.15">
      <c r="C8" s="1"/>
      <c r="Y8" s="2"/>
    </row>
    <row r="9" spans="1:25" ht="13" x14ac:dyDescent="0.15">
      <c r="C9" s="1"/>
    </row>
    <row r="10" spans="1:25" ht="15.75" customHeight="1" x14ac:dyDescent="0.15">
      <c r="C10" s="19" t="s">
        <v>12</v>
      </c>
      <c r="D10" s="19" t="s">
        <v>15</v>
      </c>
      <c r="E10" s="19" t="s">
        <v>27</v>
      </c>
      <c r="F10" s="19" t="s">
        <v>30</v>
      </c>
      <c r="G10" s="19" t="s">
        <v>41</v>
      </c>
      <c r="H10" s="19" t="s">
        <v>13</v>
      </c>
      <c r="I10" s="19" t="s">
        <v>32</v>
      </c>
      <c r="J10" s="19" t="s">
        <v>42</v>
      </c>
      <c r="K10" s="19" t="s">
        <v>37</v>
      </c>
      <c r="L10" s="19" t="s">
        <v>39</v>
      </c>
      <c r="M10" s="19" t="s">
        <v>38</v>
      </c>
      <c r="N10" s="19" t="s">
        <v>28</v>
      </c>
      <c r="O10" s="19" t="s">
        <v>35</v>
      </c>
      <c r="P10" s="19" t="s">
        <v>33</v>
      </c>
      <c r="Q10" s="19" t="s">
        <v>29</v>
      </c>
      <c r="R10" s="19" t="s">
        <v>34</v>
      </c>
      <c r="S10" s="19" t="s">
        <v>24</v>
      </c>
      <c r="T10" s="19" t="s">
        <v>40</v>
      </c>
      <c r="U10" s="19" t="s">
        <v>36</v>
      </c>
      <c r="V10" s="19" t="s">
        <v>31</v>
      </c>
    </row>
    <row r="11" spans="1:25" ht="13" x14ac:dyDescent="0.15">
      <c r="A11" s="1" t="s">
        <v>17</v>
      </c>
      <c r="C11" s="7">
        <f>89.0932-18.01528</f>
        <v>71.077919999999992</v>
      </c>
      <c r="D11" s="7">
        <f>121.1582-18.01528</f>
        <v>103.14291999999999</v>
      </c>
      <c r="E11" s="7">
        <f>133.1027-18.01528</f>
        <v>115.08741999999999</v>
      </c>
      <c r="F11" s="7">
        <f>147.1293-18.01528</f>
        <v>129.11402000000001</v>
      </c>
      <c r="G11" s="7">
        <f>165.1891-18.01528</f>
        <v>147.17382000000001</v>
      </c>
      <c r="H11" s="7">
        <f>75.0666-18.01528</f>
        <v>57.05131999999999</v>
      </c>
      <c r="I11" s="7">
        <f>155.1546-18.01528</f>
        <v>137.13932</v>
      </c>
      <c r="J11" s="7">
        <f>131.1729-18.01528</f>
        <v>113.15761999999999</v>
      </c>
      <c r="K11" s="7">
        <f>146.1876-18.01528</f>
        <v>128.17232000000001</v>
      </c>
      <c r="L11" s="7">
        <f>131.1729-18.01528</f>
        <v>113.15761999999999</v>
      </c>
      <c r="M11" s="7">
        <f>149.2113-18.01528</f>
        <v>131.19602</v>
      </c>
      <c r="N11" s="7">
        <f>132.1179-18.01528</f>
        <v>114.10261999999999</v>
      </c>
      <c r="O11" s="7">
        <f>115.1305-18.01528</f>
        <v>97.115219999999994</v>
      </c>
      <c r="P11" s="7">
        <f>146.1445-18.01528</f>
        <v>128.12922</v>
      </c>
      <c r="Q11" s="7">
        <f>174.201-18.01528</f>
        <v>156.18572</v>
      </c>
      <c r="R11" s="7">
        <f>105.0926-18.01528</f>
        <v>87.07732</v>
      </c>
      <c r="S11" s="7">
        <f>119.1192-18.01528</f>
        <v>101.10392</v>
      </c>
      <c r="T11" s="7">
        <f>117.1463-18.01528</f>
        <v>99.131019999999992</v>
      </c>
      <c r="U11" s="7">
        <f>204.2252-18.01528</f>
        <v>186.20992000000001</v>
      </c>
      <c r="V11" s="7">
        <f>181.1885-18.01528</f>
        <v>163.17322000000001</v>
      </c>
      <c r="W11" s="1" t="s">
        <v>16</v>
      </c>
      <c r="X11" s="12"/>
    </row>
    <row r="12" spans="1:25" ht="13" x14ac:dyDescent="0.15">
      <c r="A12" s="1" t="s">
        <v>71</v>
      </c>
      <c r="C12" s="20">
        <v>7.8692012063003371</v>
      </c>
      <c r="D12" s="20">
        <v>1.3986598849886951</v>
      </c>
      <c r="E12" s="20">
        <v>5.5568893648754552</v>
      </c>
      <c r="F12" s="20">
        <v>7.6083292809792491</v>
      </c>
      <c r="G12" s="20">
        <v>3.5654448693815586</v>
      </c>
      <c r="H12" s="20">
        <v>7.5153276047526374</v>
      </c>
      <c r="I12" s="20">
        <v>2.0150102523224778</v>
      </c>
      <c r="J12" s="20">
        <v>5.1481481009939083</v>
      </c>
      <c r="K12" s="20">
        <v>7.9082936692347339</v>
      </c>
      <c r="L12" s="20">
        <v>8.7787552011064562</v>
      </c>
      <c r="M12" s="20">
        <v>2.426018791145911</v>
      </c>
      <c r="N12" s="20">
        <v>3.772784644063794</v>
      </c>
      <c r="O12" s="20">
        <v>4.7759505794644577</v>
      </c>
      <c r="P12" s="20">
        <v>4.0914909588487838</v>
      </c>
      <c r="Q12" s="20">
        <v>5.6894397464213968</v>
      </c>
      <c r="R12" s="20">
        <v>6.2842505578355983</v>
      </c>
      <c r="S12" s="20">
        <v>5.1195868240886471</v>
      </c>
      <c r="T12" s="20">
        <v>6.7548872687041603</v>
      </c>
      <c r="U12" s="20">
        <v>0.89950473917149665</v>
      </c>
      <c r="V12" s="20">
        <v>2.8220264553202479</v>
      </c>
      <c r="W12" s="12">
        <f t="shared" ref="W12:W17" si="0">SUM(C12:V12)</f>
        <v>99.999999999999986</v>
      </c>
      <c r="X12" s="7"/>
      <c r="Y12" s="1"/>
    </row>
    <row r="13" spans="1:25" ht="13" x14ac:dyDescent="0.15">
      <c r="A13" s="1" t="s">
        <v>18</v>
      </c>
      <c r="C13" s="11">
        <f t="shared" ref="C13:V13" si="1">$B$5*C12/100</f>
        <v>2.7892460550605638E-13</v>
      </c>
      <c r="D13" s="11">
        <f t="shared" si="1"/>
        <v>4.9575636259659334E-14</v>
      </c>
      <c r="E13" s="11">
        <f t="shared" si="1"/>
        <v>1.9696448639510497E-13</v>
      </c>
      <c r="F13" s="11">
        <f t="shared" si="1"/>
        <v>2.696779746282574E-13</v>
      </c>
      <c r="G13" s="11">
        <f t="shared" si="1"/>
        <v>1.2637754170647242E-13</v>
      </c>
      <c r="H13" s="11">
        <f t="shared" si="1"/>
        <v>2.6638152112899481E-13</v>
      </c>
      <c r="I13" s="11">
        <f t="shared" si="1"/>
        <v>7.14222352415798E-14</v>
      </c>
      <c r="J13" s="11">
        <f t="shared" si="1"/>
        <v>1.8247661236655314E-13</v>
      </c>
      <c r="K13" s="11">
        <f t="shared" si="1"/>
        <v>2.803102416737409E-13</v>
      </c>
      <c r="L13" s="11">
        <f t="shared" si="1"/>
        <v>3.1116383570703741E-13</v>
      </c>
      <c r="M13" s="11">
        <f t="shared" si="1"/>
        <v>8.5990473051938745E-14</v>
      </c>
      <c r="N13" s="11">
        <f t="shared" si="1"/>
        <v>1.3372672027527745E-13</v>
      </c>
      <c r="O13" s="11">
        <f t="shared" si="1"/>
        <v>1.6928403485565963E-13</v>
      </c>
      <c r="P13" s="11">
        <f t="shared" si="1"/>
        <v>1.4502329673751354E-13</v>
      </c>
      <c r="Q13" s="11">
        <f t="shared" si="1"/>
        <v>2.0166274761795674E-13</v>
      </c>
      <c r="R13" s="11">
        <f t="shared" si="1"/>
        <v>2.2274587493609071E-13</v>
      </c>
      <c r="S13" s="11">
        <f t="shared" si="1"/>
        <v>1.8146425511647153E-13</v>
      </c>
      <c r="T13" s="11">
        <f t="shared" si="1"/>
        <v>2.394276391297144E-13</v>
      </c>
      <c r="U13" s="11">
        <f t="shared" si="1"/>
        <v>3.1883033353291813E-14</v>
      </c>
      <c r="V13" s="11">
        <f t="shared" si="1"/>
        <v>1.0002700339491267E-13</v>
      </c>
      <c r="W13" s="11">
        <f t="shared" si="0"/>
        <v>3.5445097690822837E-12</v>
      </c>
      <c r="X13" s="11"/>
    </row>
    <row r="14" spans="1:25" ht="13" x14ac:dyDescent="0.15">
      <c r="A14" s="1" t="s">
        <v>19</v>
      </c>
      <c r="C14" s="10">
        <f t="shared" ref="C14:V14" si="2">C11*C13*1000000000000</f>
        <v>19.825380796191034</v>
      </c>
      <c r="D14" s="10">
        <f t="shared" si="2"/>
        <v>5.1133758846791411</v>
      </c>
      <c r="E14" s="10">
        <f t="shared" si="2"/>
        <v>22.668134570837733</v>
      </c>
      <c r="F14" s="10">
        <f t="shared" si="2"/>
        <v>34.81920740971232</v>
      </c>
      <c r="G14" s="10">
        <f t="shared" si="2"/>
        <v>18.599465575150866</v>
      </c>
      <c r="H14" s="10">
        <f t="shared" si="2"/>
        <v>15.197417404017044</v>
      </c>
      <c r="I14" s="10">
        <f t="shared" si="2"/>
        <v>9.7947967739102904</v>
      </c>
      <c r="J14" s="10">
        <f t="shared" si="2"/>
        <v>20.64861916106172</v>
      </c>
      <c r="K14" s="10">
        <f t="shared" si="2"/>
        <v>35.928013995084058</v>
      </c>
      <c r="L14" s="10">
        <f t="shared" si="2"/>
        <v>35.210559078679374</v>
      </c>
      <c r="M14" s="10">
        <f t="shared" si="2"/>
        <v>11.281607822331617</v>
      </c>
      <c r="N14" s="10">
        <f t="shared" si="2"/>
        <v>15.258569147416276</v>
      </c>
      <c r="O14" s="10">
        <f t="shared" si="2"/>
        <v>16.440056287495054</v>
      </c>
      <c r="P14" s="10">
        <f t="shared" si="2"/>
        <v>18.581721892806158</v>
      </c>
      <c r="Q14" s="10">
        <f t="shared" si="2"/>
        <v>31.496841433888861</v>
      </c>
      <c r="R14" s="10">
        <f t="shared" si="2"/>
        <v>19.396113830489949</v>
      </c>
      <c r="S14" s="10">
        <f t="shared" si="2"/>
        <v>18.346747532155327</v>
      </c>
      <c r="T14" s="10">
        <f t="shared" si="2"/>
        <v>23.7347060831205</v>
      </c>
      <c r="U14" s="10">
        <f t="shared" si="2"/>
        <v>5.9369370900738003</v>
      </c>
      <c r="V14" s="10">
        <f t="shared" si="2"/>
        <v>16.321728230898835</v>
      </c>
      <c r="W14" s="10">
        <f t="shared" si="0"/>
        <v>394.59999999999991</v>
      </c>
      <c r="X14" s="10"/>
    </row>
    <row r="15" spans="1:25" ht="13" x14ac:dyDescent="0.15">
      <c r="A15" s="1" t="s">
        <v>20</v>
      </c>
      <c r="C15" s="10">
        <f t="shared" ref="C15:V15" si="3">C13/$B$6 * 1000000000000000*1000</f>
        <v>43.663839309025732</v>
      </c>
      <c r="D15" s="10">
        <f t="shared" si="3"/>
        <v>7.7607445616248167</v>
      </c>
      <c r="E15" s="10">
        <f t="shared" si="3"/>
        <v>30.833513837680801</v>
      </c>
      <c r="F15" s="10">
        <f t="shared" si="3"/>
        <v>42.216339171611992</v>
      </c>
      <c r="G15" s="10">
        <f t="shared" si="3"/>
        <v>19.783585113724545</v>
      </c>
      <c r="H15" s="10">
        <f t="shared" si="3"/>
        <v>41.700300740293486</v>
      </c>
      <c r="I15" s="10">
        <f t="shared" si="3"/>
        <v>11.180688046584189</v>
      </c>
      <c r="J15" s="10">
        <f t="shared" si="3"/>
        <v>28.565531052998303</v>
      </c>
      <c r="K15" s="10">
        <f t="shared" si="3"/>
        <v>43.880751670904957</v>
      </c>
      <c r="L15" s="10">
        <f t="shared" si="3"/>
        <v>48.71068185770779</v>
      </c>
      <c r="M15" s="10">
        <f t="shared" si="3"/>
        <v>13.461251260478827</v>
      </c>
      <c r="N15" s="10">
        <f t="shared" si="3"/>
        <v>20.934051389367166</v>
      </c>
      <c r="O15" s="10">
        <f t="shared" si="3"/>
        <v>26.500318543465816</v>
      </c>
      <c r="P15" s="10">
        <f t="shared" si="3"/>
        <v>22.702457222528732</v>
      </c>
      <c r="Q15" s="10">
        <f t="shared" si="3"/>
        <v>31.568996183149142</v>
      </c>
      <c r="R15" s="10">
        <f t="shared" si="3"/>
        <v>34.86942312712754</v>
      </c>
      <c r="S15" s="10">
        <f t="shared" si="3"/>
        <v>28.407053086485835</v>
      </c>
      <c r="T15" s="10">
        <f t="shared" si="3"/>
        <v>37.480845198765564</v>
      </c>
      <c r="U15" s="10">
        <f t="shared" si="3"/>
        <v>4.9910822406530704</v>
      </c>
      <c r="V15" s="10">
        <f t="shared" si="3"/>
        <v>15.658579116298164</v>
      </c>
      <c r="W15" s="10">
        <f t="shared" si="0"/>
        <v>554.87003273047651</v>
      </c>
      <c r="X15" s="10"/>
    </row>
    <row r="16" spans="1:25" ht="15" x14ac:dyDescent="0.2">
      <c r="A16" s="1" t="s">
        <v>94</v>
      </c>
      <c r="C16" s="21">
        <v>164.80908668685521</v>
      </c>
      <c r="D16" s="22">
        <v>80</v>
      </c>
      <c r="E16" s="21">
        <v>4300.7922816707787</v>
      </c>
      <c r="F16" s="21">
        <v>10310.52976491054</v>
      </c>
      <c r="G16" s="21">
        <v>1820.782606215615</v>
      </c>
      <c r="H16" s="22">
        <v>3710</v>
      </c>
      <c r="I16" s="22">
        <v>410</v>
      </c>
      <c r="J16" s="21">
        <v>3576.6626736251419</v>
      </c>
      <c r="K16" s="21">
        <v>2239.616920438531</v>
      </c>
      <c r="L16" s="21">
        <v>3874.7002615214142</v>
      </c>
      <c r="M16" s="21">
        <v>938.37675897603742</v>
      </c>
      <c r="N16" s="21">
        <v>143.74919742110271</v>
      </c>
      <c r="O16" s="21">
        <v>345.04322646058051</v>
      </c>
      <c r="P16" s="21">
        <v>23314.209147195001</v>
      </c>
      <c r="Q16" s="21">
        <v>1593.7846711798461</v>
      </c>
      <c r="R16" s="21">
        <v>2547.058638010551</v>
      </c>
      <c r="S16" s="21">
        <v>4935.7897196366002</v>
      </c>
      <c r="T16" s="21">
        <v>3446.88184147939</v>
      </c>
      <c r="U16" s="21">
        <v>467.83568520887258</v>
      </c>
      <c r="V16" s="21">
        <v>1885.267508952649</v>
      </c>
      <c r="W16" s="14">
        <f t="shared" si="0"/>
        <v>70105.889989589516</v>
      </c>
      <c r="X16" s="6"/>
    </row>
    <row r="17" spans="1:25" ht="13" x14ac:dyDescent="0.15">
      <c r="A17" s="1" t="s">
        <v>21</v>
      </c>
      <c r="C17" s="10">
        <f>C15+C16/1000</f>
        <v>43.828648395712591</v>
      </c>
      <c r="D17" s="10">
        <f t="shared" ref="D17:V17" si="4">D15+D16/1000</f>
        <v>7.8407445616248168</v>
      </c>
      <c r="E17" s="10">
        <f t="shared" si="4"/>
        <v>35.134306119351578</v>
      </c>
      <c r="F17" s="10">
        <f t="shared" si="4"/>
        <v>52.526868936522533</v>
      </c>
      <c r="G17" s="10">
        <f t="shared" si="4"/>
        <v>21.604367719940161</v>
      </c>
      <c r="H17" s="10">
        <f t="shared" si="4"/>
        <v>45.410300740293486</v>
      </c>
      <c r="I17" s="10">
        <f t="shared" si="4"/>
        <v>11.590688046584189</v>
      </c>
      <c r="J17" s="10">
        <f t="shared" si="4"/>
        <v>32.142193726623447</v>
      </c>
      <c r="K17" s="10">
        <f t="shared" si="4"/>
        <v>46.120368591343485</v>
      </c>
      <c r="L17" s="10">
        <f t="shared" si="4"/>
        <v>52.585382119229202</v>
      </c>
      <c r="M17" s="10">
        <f t="shared" si="4"/>
        <v>14.399628019454864</v>
      </c>
      <c r="N17" s="10">
        <f t="shared" si="4"/>
        <v>21.077800586788268</v>
      </c>
      <c r="O17" s="10">
        <f t="shared" si="4"/>
        <v>26.845361769926399</v>
      </c>
      <c r="P17" s="10">
        <f t="shared" si="4"/>
        <v>46.016666369723737</v>
      </c>
      <c r="Q17" s="10">
        <f t="shared" si="4"/>
        <v>33.162780854328986</v>
      </c>
      <c r="R17" s="10">
        <f t="shared" si="4"/>
        <v>37.416481765138087</v>
      </c>
      <c r="S17" s="10">
        <f t="shared" si="4"/>
        <v>33.342842806122434</v>
      </c>
      <c r="T17" s="10">
        <f t="shared" si="4"/>
        <v>40.927727040244953</v>
      </c>
      <c r="U17" s="10">
        <f t="shared" si="4"/>
        <v>5.4589179258619431</v>
      </c>
      <c r="V17" s="10">
        <f t="shared" si="4"/>
        <v>17.543846625250811</v>
      </c>
      <c r="W17" s="6">
        <f t="shared" si="0"/>
        <v>624.97592272006591</v>
      </c>
      <c r="Y17" s="1"/>
    </row>
    <row r="18" spans="1:25" ht="13" x14ac:dyDescent="0.15"/>
    <row r="19" spans="1:25" ht="15.75" customHeight="1" x14ac:dyDescent="0.2">
      <c r="D19" s="15"/>
      <c r="H19" s="15"/>
      <c r="I19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9"/>
  <sheetViews>
    <sheetView workbookViewId="0">
      <selection activeCell="N17" sqref="N17"/>
    </sheetView>
  </sheetViews>
  <sheetFormatPr baseColWidth="10" defaultColWidth="12.6640625" defaultRowHeight="15.75" customHeight="1" x14ac:dyDescent="0.15"/>
  <cols>
    <col min="1" max="1" width="19.1640625" customWidth="1"/>
    <col min="3" max="3" width="8.1640625" customWidth="1"/>
    <col min="4" max="4" width="7.6640625" customWidth="1"/>
    <col min="5" max="22" width="7.5" customWidth="1"/>
    <col min="23" max="23" width="9.1640625" customWidth="1"/>
  </cols>
  <sheetData>
    <row r="1" spans="1:25" ht="13" x14ac:dyDescent="0.15">
      <c r="A1" s="5" t="s">
        <v>25</v>
      </c>
    </row>
    <row r="2" spans="1:25" ht="13" x14ac:dyDescent="0.15">
      <c r="Y2" s="1"/>
    </row>
    <row r="3" spans="1:25" ht="15.75" customHeight="1" x14ac:dyDescent="0.15">
      <c r="A3" s="1" t="s">
        <v>26</v>
      </c>
      <c r="B3" s="6">
        <f>overview!B7</f>
        <v>358.3</v>
      </c>
    </row>
    <row r="4" spans="1:25" ht="13" x14ac:dyDescent="0.15">
      <c r="A4" s="1" t="s">
        <v>52</v>
      </c>
      <c r="B4" s="12" cm="1">
        <f t="array" ref="B4">SUM(C12:V12*C11:V11)/100</f>
        <v>111.327101829985</v>
      </c>
      <c r="D4" s="1"/>
      <c r="E4" s="2"/>
    </row>
    <row r="5" spans="1:25" ht="13" x14ac:dyDescent="0.15">
      <c r="A5" s="1" t="s">
        <v>58</v>
      </c>
      <c r="B5" s="8">
        <f>B3*0.000000000001/B4</f>
        <v>3.2184436144505378E-12</v>
      </c>
      <c r="C5" s="1"/>
      <c r="Y5" s="2"/>
    </row>
    <row r="6" spans="1:25" ht="13" x14ac:dyDescent="0.15">
      <c r="A6" s="1" t="s">
        <v>2</v>
      </c>
      <c r="B6" s="1">
        <f>overview!B3</f>
        <v>5098</v>
      </c>
      <c r="C6" s="1"/>
    </row>
    <row r="7" spans="1:25" ht="13" x14ac:dyDescent="0.15">
      <c r="A7" s="1" t="s">
        <v>59</v>
      </c>
      <c r="B7" s="6">
        <f>B5/B6 * 1000000000000000</f>
        <v>0.6313149498726045</v>
      </c>
      <c r="C7" s="1"/>
    </row>
    <row r="8" spans="1:25" ht="13" x14ac:dyDescent="0.15">
      <c r="C8" s="1"/>
      <c r="Y8" s="2"/>
    </row>
    <row r="9" spans="1:25" ht="13" x14ac:dyDescent="0.15"/>
    <row r="10" spans="1:25" ht="15.75" customHeight="1" x14ac:dyDescent="0.15">
      <c r="C10" s="19" t="s">
        <v>12</v>
      </c>
      <c r="D10" s="19" t="s">
        <v>15</v>
      </c>
      <c r="E10" s="19" t="s">
        <v>27</v>
      </c>
      <c r="F10" s="19" t="s">
        <v>30</v>
      </c>
      <c r="G10" s="19" t="s">
        <v>41</v>
      </c>
      <c r="H10" s="19" t="s">
        <v>13</v>
      </c>
      <c r="I10" s="19" t="s">
        <v>32</v>
      </c>
      <c r="J10" s="19" t="s">
        <v>42</v>
      </c>
      <c r="K10" s="19" t="s">
        <v>37</v>
      </c>
      <c r="L10" s="19" t="s">
        <v>39</v>
      </c>
      <c r="M10" s="19" t="s">
        <v>38</v>
      </c>
      <c r="N10" s="19" t="s">
        <v>28</v>
      </c>
      <c r="O10" s="19" t="s">
        <v>35</v>
      </c>
      <c r="P10" s="19" t="s">
        <v>33</v>
      </c>
      <c r="Q10" s="19" t="s">
        <v>29</v>
      </c>
      <c r="R10" s="19" t="s">
        <v>34</v>
      </c>
      <c r="S10" s="19" t="s">
        <v>24</v>
      </c>
      <c r="T10" s="19" t="s">
        <v>40</v>
      </c>
      <c r="U10" s="19" t="s">
        <v>36</v>
      </c>
      <c r="V10" s="19" t="s">
        <v>31</v>
      </c>
    </row>
    <row r="11" spans="1:25" ht="13" x14ac:dyDescent="0.15">
      <c r="A11" s="1" t="s">
        <v>17</v>
      </c>
      <c r="C11" s="7">
        <f>89.0932-18.01528</f>
        <v>71.077919999999992</v>
      </c>
      <c r="D11" s="7">
        <f>121.1582-18.01528</f>
        <v>103.14291999999999</v>
      </c>
      <c r="E11" s="7">
        <f>133.1027-18.01528</f>
        <v>115.08741999999999</v>
      </c>
      <c r="F11" s="7">
        <f>147.1293-18.01528</f>
        <v>129.11402000000001</v>
      </c>
      <c r="G11" s="7">
        <f>165.1891-18.01528</f>
        <v>147.17382000000001</v>
      </c>
      <c r="H11" s="7">
        <f>75.0666-18.01528</f>
        <v>57.05131999999999</v>
      </c>
      <c r="I11" s="7">
        <f>155.1546-18.01528</f>
        <v>137.13932</v>
      </c>
      <c r="J11" s="7">
        <f>131.1729-18.01528</f>
        <v>113.15761999999999</v>
      </c>
      <c r="K11" s="7">
        <f>146.1876-18.01528</f>
        <v>128.17232000000001</v>
      </c>
      <c r="L11" s="7">
        <f>131.1729-18.01528</f>
        <v>113.15761999999999</v>
      </c>
      <c r="M11" s="7">
        <f>149.2113-18.01528</f>
        <v>131.19602</v>
      </c>
      <c r="N11" s="7">
        <f>132.1179-18.01528</f>
        <v>114.10261999999999</v>
      </c>
      <c r="O11" s="7">
        <f>115.1305-18.01528</f>
        <v>97.115219999999994</v>
      </c>
      <c r="P11" s="7">
        <f>146.1445-18.01528</f>
        <v>128.12922</v>
      </c>
      <c r="Q11" s="7">
        <f>174.201-18.01528</f>
        <v>156.18572</v>
      </c>
      <c r="R11" s="7">
        <f>105.0926-18.01528</f>
        <v>87.07732</v>
      </c>
      <c r="S11" s="7">
        <f>119.1192-18.01528</f>
        <v>101.10392</v>
      </c>
      <c r="T11" s="7">
        <f>117.1463-18.01528</f>
        <v>99.131019999999992</v>
      </c>
      <c r="U11" s="7">
        <f>204.2252-18.01528</f>
        <v>186.20992000000001</v>
      </c>
      <c r="V11" s="7">
        <f>181.1885-18.01528</f>
        <v>163.17322000000001</v>
      </c>
      <c r="W11" s="1" t="s">
        <v>16</v>
      </c>
    </row>
    <row r="12" spans="1:25" ht="13" x14ac:dyDescent="0.15">
      <c r="A12" s="1" t="s">
        <v>71</v>
      </c>
      <c r="C12" s="20">
        <v>7.8692012063003371</v>
      </c>
      <c r="D12" s="20">
        <v>1.3986598849886951</v>
      </c>
      <c r="E12" s="20">
        <v>5.5568893648754552</v>
      </c>
      <c r="F12" s="20">
        <v>7.6083292809792491</v>
      </c>
      <c r="G12" s="20">
        <v>3.5654448693815586</v>
      </c>
      <c r="H12" s="20">
        <v>7.5153276047526374</v>
      </c>
      <c r="I12" s="20">
        <v>2.0150102523224778</v>
      </c>
      <c r="J12" s="20">
        <v>5.1481481009939083</v>
      </c>
      <c r="K12" s="20">
        <v>7.9082936692347339</v>
      </c>
      <c r="L12" s="20">
        <v>8.7787552011064562</v>
      </c>
      <c r="M12" s="20">
        <v>2.426018791145911</v>
      </c>
      <c r="N12" s="20">
        <v>3.772784644063794</v>
      </c>
      <c r="O12" s="20">
        <v>4.7759505794644577</v>
      </c>
      <c r="P12" s="20">
        <v>4.0914909588487838</v>
      </c>
      <c r="Q12" s="20">
        <v>5.6894397464213968</v>
      </c>
      <c r="R12" s="20">
        <v>6.2842505578355983</v>
      </c>
      <c r="S12" s="20">
        <v>5.1195868240886471</v>
      </c>
      <c r="T12" s="20">
        <v>6.7548872687041603</v>
      </c>
      <c r="U12" s="20">
        <v>0.89950473917149665</v>
      </c>
      <c r="V12" s="20">
        <v>2.8220264553202479</v>
      </c>
      <c r="W12" s="12">
        <f t="shared" ref="W12" si="0">SUM(C12:V12)</f>
        <v>99.999999999999986</v>
      </c>
      <c r="Y12" s="1"/>
    </row>
    <row r="13" spans="1:25" ht="13" x14ac:dyDescent="0.15">
      <c r="A13" s="1" t="s">
        <v>18</v>
      </c>
      <c r="C13" s="11">
        <f t="shared" ref="C13:V13" si="1">$B$5*C12/100</f>
        <v>2.5326580373243788E-13</v>
      </c>
      <c r="D13" s="11">
        <f t="shared" si="1"/>
        <v>4.5015079756299898E-14</v>
      </c>
      <c r="E13" s="11">
        <f t="shared" si="1"/>
        <v>1.7884535092591513E-13</v>
      </c>
      <c r="F13" s="11">
        <f t="shared" si="1"/>
        <v>2.4486978791004715E-13</v>
      </c>
      <c r="G13" s="11">
        <f t="shared" si="1"/>
        <v>1.1475183272536509E-13</v>
      </c>
      <c r="H13" s="11">
        <f t="shared" si="1"/>
        <v>2.4187658140019979E-13</v>
      </c>
      <c r="I13" s="11">
        <f t="shared" si="1"/>
        <v>6.4851968796396453E-14</v>
      </c>
      <c r="J13" s="11">
        <f t="shared" si="1"/>
        <v>1.6569024381889506E-13</v>
      </c>
      <c r="K13" s="11">
        <f t="shared" si="1"/>
        <v>2.5452397260948143E-13</v>
      </c>
      <c r="L13" s="11">
        <f t="shared" si="1"/>
        <v>2.8253928619825523E-13</v>
      </c>
      <c r="M13" s="11">
        <f t="shared" si="1"/>
        <v>7.8080046869005713E-14</v>
      </c>
      <c r="N13" s="11">
        <f t="shared" si="1"/>
        <v>1.2142494646384164E-13</v>
      </c>
      <c r="O13" s="11">
        <f t="shared" si="1"/>
        <v>1.5371127645408728E-13</v>
      </c>
      <c r="P13" s="11">
        <f t="shared" si="1"/>
        <v>1.3168232950088977E-13</v>
      </c>
      <c r="Q13" s="11">
        <f t="shared" si="1"/>
        <v>1.8311141021671031E-13</v>
      </c>
      <c r="R13" s="11">
        <f t="shared" si="1"/>
        <v>2.0225506079473209E-13</v>
      </c>
      <c r="S13" s="11">
        <f t="shared" si="1"/>
        <v>1.6477101522613215E-13</v>
      </c>
      <c r="T13" s="11">
        <f t="shared" si="1"/>
        <v>2.1740223796294139E-13</v>
      </c>
      <c r="U13" s="11">
        <f t="shared" si="1"/>
        <v>2.8950052839545E-14</v>
      </c>
      <c r="V13" s="11">
        <f t="shared" si="1"/>
        <v>9.0825330249359372E-14</v>
      </c>
      <c r="W13" s="11">
        <f>SUM(C13:V13)</f>
        <v>3.2184436144505382E-12</v>
      </c>
      <c r="X13" s="7"/>
    </row>
    <row r="14" spans="1:25" ht="13" x14ac:dyDescent="0.15">
      <c r="A14" s="1" t="s">
        <v>19</v>
      </c>
      <c r="C14" s="10">
        <f t="shared" ref="C14:V14" si="2">C11*C13*1000000000000</f>
        <v>18.001606536429918</v>
      </c>
      <c r="D14" s="10">
        <f t="shared" si="2"/>
        <v>4.642986770097659</v>
      </c>
      <c r="E14" s="10">
        <f t="shared" si="2"/>
        <v>20.582850017058181</v>
      </c>
      <c r="F14" s="10">
        <f t="shared" si="2"/>
        <v>31.616122693613587</v>
      </c>
      <c r="G14" s="10">
        <f t="shared" si="2"/>
        <v>16.888465574192992</v>
      </c>
      <c r="H14" s="10">
        <f t="shared" si="2"/>
        <v>13.799378245968844</v>
      </c>
      <c r="I14" s="10">
        <f t="shared" si="2"/>
        <v>8.8937549013990278</v>
      </c>
      <c r="J14" s="10">
        <f t="shared" si="2"/>
        <v>18.749113647765878</v>
      </c>
      <c r="K14" s="10">
        <f t="shared" si="2"/>
        <v>32.622928064973699</v>
      </c>
      <c r="L14" s="10">
        <f t="shared" si="2"/>
        <v>31.971473182693408</v>
      </c>
      <c r="M14" s="10">
        <f t="shared" si="2"/>
        <v>10.243791390627011</v>
      </c>
      <c r="N14" s="10">
        <f t="shared" si="2"/>
        <v>13.854904524884065</v>
      </c>
      <c r="O14" s="10">
        <f t="shared" si="2"/>
        <v>14.927704429319505</v>
      </c>
      <c r="P14" s="10">
        <f t="shared" si="2"/>
        <v>16.872354166731995</v>
      </c>
      <c r="Q14" s="10">
        <f t="shared" si="2"/>
        <v>28.599387444912256</v>
      </c>
      <c r="R14" s="10">
        <f t="shared" si="2"/>
        <v>17.611828650442341</v>
      </c>
      <c r="S14" s="10">
        <f t="shared" si="2"/>
        <v>16.65899554174165</v>
      </c>
      <c r="T14" s="10">
        <f t="shared" si="2"/>
        <v>21.551305599549099</v>
      </c>
      <c r="U14" s="10">
        <f t="shared" si="2"/>
        <v>5.3907870232474471</v>
      </c>
      <c r="V14" s="10">
        <f t="shared" si="2"/>
        <v>14.820261594351374</v>
      </c>
      <c r="W14" s="10">
        <f>SUM(C14:V14)</f>
        <v>358.30000000000007</v>
      </c>
      <c r="X14" s="11"/>
    </row>
    <row r="15" spans="1:25" ht="13" x14ac:dyDescent="0.15">
      <c r="A15" s="1" t="s">
        <v>20</v>
      </c>
      <c r="C15" s="10">
        <f t="shared" ref="C15:V15" si="3">C13/$B$6 * 1000000000000000*1000</f>
        <v>49.679443650929358</v>
      </c>
      <c r="D15" s="10">
        <f t="shared" si="3"/>
        <v>8.8299489518046101</v>
      </c>
      <c r="E15" s="10">
        <f t="shared" si="3"/>
        <v>35.081473308339568</v>
      </c>
      <c r="F15" s="10">
        <f t="shared" si="3"/>
        <v>48.032520186356834</v>
      </c>
      <c r="G15" s="10">
        <f t="shared" si="3"/>
        <v>22.509186489871535</v>
      </c>
      <c r="H15" s="10">
        <f t="shared" si="3"/>
        <v>47.445386700706116</v>
      </c>
      <c r="I15" s="10">
        <f t="shared" si="3"/>
        <v>12.721060964377491</v>
      </c>
      <c r="J15" s="10">
        <f t="shared" si="3"/>
        <v>32.501028603157138</v>
      </c>
      <c r="K15" s="10">
        <f t="shared" si="3"/>
        <v>49.926240213707615</v>
      </c>
      <c r="L15" s="10">
        <f t="shared" si="3"/>
        <v>55.42159399730388</v>
      </c>
      <c r="M15" s="10">
        <f t="shared" si="3"/>
        <v>15.315819315222777</v>
      </c>
      <c r="N15" s="10">
        <f t="shared" si="3"/>
        <v>23.81815348447266</v>
      </c>
      <c r="O15" s="10">
        <f t="shared" si="3"/>
        <v>30.151290006686398</v>
      </c>
      <c r="P15" s="10">
        <f t="shared" si="3"/>
        <v>25.830194095898346</v>
      </c>
      <c r="Q15" s="10">
        <f t="shared" si="3"/>
        <v>35.918283683152282</v>
      </c>
      <c r="R15" s="10">
        <f t="shared" si="3"/>
        <v>39.673413259068674</v>
      </c>
      <c r="S15" s="10">
        <f t="shared" si="3"/>
        <v>32.320716992179712</v>
      </c>
      <c r="T15" s="10">
        <f t="shared" si="3"/>
        <v>42.644613174370612</v>
      </c>
      <c r="U15" s="10">
        <f t="shared" si="3"/>
        <v>5.6787078932022359</v>
      </c>
      <c r="V15" s="10">
        <f t="shared" si="3"/>
        <v>17.815874901796658</v>
      </c>
      <c r="W15" s="10">
        <f>SUM(C15:V15)</f>
        <v>631.31494987260442</v>
      </c>
      <c r="X15" s="10"/>
    </row>
    <row r="16" spans="1:25" ht="15" x14ac:dyDescent="0.2">
      <c r="A16" s="1" t="s">
        <v>94</v>
      </c>
      <c r="C16" s="21">
        <v>678.9893753027568</v>
      </c>
      <c r="D16" s="22">
        <v>80</v>
      </c>
      <c r="E16" s="21">
        <v>427.03025567240769</v>
      </c>
      <c r="F16" s="21">
        <v>14725.90987740866</v>
      </c>
      <c r="G16" s="21">
        <v>1488.174798108987</v>
      </c>
      <c r="H16" s="22">
        <v>3710</v>
      </c>
      <c r="I16" s="22">
        <v>410</v>
      </c>
      <c r="J16" s="21">
        <v>2608.3605846107489</v>
      </c>
      <c r="K16" s="21">
        <v>1909.467068640693</v>
      </c>
      <c r="L16" s="21">
        <v>2835.8312579307858</v>
      </c>
      <c r="M16" s="21">
        <v>785.1661555548344</v>
      </c>
      <c r="N16" s="21">
        <v>49.271461827244572</v>
      </c>
      <c r="O16" s="21">
        <v>368.22253247508922</v>
      </c>
      <c r="P16" s="21">
        <v>22730.012364963401</v>
      </c>
      <c r="Q16" s="21">
        <v>823.06665460203942</v>
      </c>
      <c r="R16" s="21">
        <v>2051.8976742332552</v>
      </c>
      <c r="S16" s="21">
        <v>4854.084616509067</v>
      </c>
      <c r="T16" s="21">
        <v>2528.397225591179</v>
      </c>
      <c r="U16" s="21">
        <v>383.06212155295032</v>
      </c>
      <c r="V16" s="21">
        <v>1545.4821505920991</v>
      </c>
      <c r="W16" s="14">
        <f>SUM(C16:V16)</f>
        <v>64992.426175576198</v>
      </c>
      <c r="X16" s="10"/>
    </row>
    <row r="17" spans="1:25" ht="13" x14ac:dyDescent="0.15">
      <c r="A17" s="1" t="s">
        <v>21</v>
      </c>
      <c r="C17" s="10">
        <f>C15+C16/1000</f>
        <v>50.358433026232113</v>
      </c>
      <c r="D17" s="10">
        <f t="shared" ref="D17:V17" si="4">D15+D16/1000</f>
        <v>8.9099489518046102</v>
      </c>
      <c r="E17" s="10">
        <f t="shared" si="4"/>
        <v>35.508503564011974</v>
      </c>
      <c r="F17" s="10">
        <f t="shared" si="4"/>
        <v>62.758430063765495</v>
      </c>
      <c r="G17" s="10">
        <f t="shared" si="4"/>
        <v>23.997361287980521</v>
      </c>
      <c r="H17" s="10">
        <f t="shared" si="4"/>
        <v>51.155386700706117</v>
      </c>
      <c r="I17" s="10">
        <f t="shared" si="4"/>
        <v>13.131060964377491</v>
      </c>
      <c r="J17" s="10">
        <f t="shared" si="4"/>
        <v>35.109389187767889</v>
      </c>
      <c r="K17" s="10">
        <f t="shared" si="4"/>
        <v>51.835707282348309</v>
      </c>
      <c r="L17" s="10">
        <f t="shared" si="4"/>
        <v>58.257425255234665</v>
      </c>
      <c r="M17" s="10">
        <f t="shared" si="4"/>
        <v>16.100985470777612</v>
      </c>
      <c r="N17" s="10">
        <f t="shared" si="4"/>
        <v>23.867424946299906</v>
      </c>
      <c r="O17" s="10">
        <f t="shared" si="4"/>
        <v>30.519512539161489</v>
      </c>
      <c r="P17" s="10">
        <f t="shared" si="4"/>
        <v>48.56020646086175</v>
      </c>
      <c r="Q17" s="10">
        <f t="shared" si="4"/>
        <v>36.741350337754319</v>
      </c>
      <c r="R17" s="10">
        <f t="shared" si="4"/>
        <v>41.725310933301927</v>
      </c>
      <c r="S17" s="10">
        <f t="shared" si="4"/>
        <v>37.174801608688782</v>
      </c>
      <c r="T17" s="10">
        <f t="shared" si="4"/>
        <v>45.17301039996179</v>
      </c>
      <c r="U17" s="10">
        <f t="shared" si="4"/>
        <v>6.0617700147551865</v>
      </c>
      <c r="V17" s="10">
        <f t="shared" si="4"/>
        <v>19.361357052388758</v>
      </c>
      <c r="W17" s="6">
        <f>SUM(C17:V17)</f>
        <v>696.30737604818057</v>
      </c>
      <c r="X17" s="6"/>
      <c r="Y17" s="1"/>
    </row>
    <row r="18" spans="1:25" ht="13" x14ac:dyDescent="0.15"/>
    <row r="19" spans="1:25" ht="15.75" customHeight="1" x14ac:dyDescent="0.2">
      <c r="D19" s="15"/>
      <c r="H19" s="15"/>
      <c r="I1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43DE-5189-D648-8012-39E6DBD4546A}">
  <dimension ref="A1:W3"/>
  <sheetViews>
    <sheetView topLeftCell="E1" workbookViewId="0">
      <selection activeCell="R11" sqref="R11"/>
    </sheetView>
  </sheetViews>
  <sheetFormatPr baseColWidth="10" defaultRowHeight="13" x14ac:dyDescent="0.15"/>
  <cols>
    <col min="5" max="5" width="21.83203125" bestFit="1" customWidth="1"/>
    <col min="9" max="9" width="13.5" bestFit="1" customWidth="1"/>
  </cols>
  <sheetData>
    <row r="1" spans="1:23" ht="14" x14ac:dyDescent="0.15">
      <c r="A1" s="19" t="s">
        <v>43</v>
      </c>
      <c r="B1" s="19" t="s">
        <v>73</v>
      </c>
      <c r="C1" s="19" t="s">
        <v>74</v>
      </c>
      <c r="D1" s="19" t="s">
        <v>75</v>
      </c>
      <c r="E1" s="19" t="s">
        <v>95</v>
      </c>
      <c r="F1" s="19" t="s">
        <v>76</v>
      </c>
      <c r="G1" s="19" t="s">
        <v>77</v>
      </c>
      <c r="H1" s="19" t="s">
        <v>78</v>
      </c>
      <c r="I1" s="19" t="s">
        <v>79</v>
      </c>
      <c r="J1" s="19" t="s">
        <v>80</v>
      </c>
      <c r="K1" s="19" t="s">
        <v>81</v>
      </c>
      <c r="L1" s="19" t="s">
        <v>82</v>
      </c>
      <c r="M1" s="19" t="s">
        <v>83</v>
      </c>
      <c r="N1" s="19" t="s">
        <v>84</v>
      </c>
      <c r="O1" s="19" t="s">
        <v>85</v>
      </c>
      <c r="P1" s="19" t="s">
        <v>86</v>
      </c>
      <c r="Q1" s="19" t="s">
        <v>87</v>
      </c>
      <c r="R1" s="19" t="s">
        <v>88</v>
      </c>
      <c r="S1" s="19" t="s">
        <v>89</v>
      </c>
      <c r="T1" s="19" t="s">
        <v>90</v>
      </c>
      <c r="U1" s="19" t="s">
        <v>91</v>
      </c>
      <c r="V1" s="19" t="s">
        <v>92</v>
      </c>
      <c r="W1" s="23" t="s">
        <v>111</v>
      </c>
    </row>
    <row r="2" spans="1:23" x14ac:dyDescent="0.15">
      <c r="A2" t="s">
        <v>1</v>
      </c>
      <c r="B2">
        <v>50358.433026232116</v>
      </c>
      <c r="C2">
        <v>36741.350337754317</v>
      </c>
      <c r="D2">
        <v>35508.503564011975</v>
      </c>
      <c r="E2">
        <v>111318.63652462725</v>
      </c>
      <c r="F2">
        <v>35109.389187767891</v>
      </c>
      <c r="G2">
        <v>58257.425255234666</v>
      </c>
      <c r="H2">
        <v>51835.70728234831</v>
      </c>
      <c r="I2">
        <v>23997.361287980522</v>
      </c>
      <c r="J2">
        <v>30519.512539161489</v>
      </c>
      <c r="K2">
        <v>41725.310933301924</v>
      </c>
      <c r="L2">
        <v>37174.80160868878</v>
      </c>
      <c r="M2">
        <v>19361.357052388757</v>
      </c>
      <c r="N2">
        <v>45173.010399961793</v>
      </c>
      <c r="O2">
        <v>23867.424946299907</v>
      </c>
      <c r="P2" s="20">
        <v>10132.001266616884</v>
      </c>
      <c r="Q2">
        <v>11992.770252102649</v>
      </c>
      <c r="R2" s="20">
        <f>SUM(P2:Q2)</f>
        <v>22124.771518719535</v>
      </c>
      <c r="S2">
        <v>7267.1324164444395</v>
      </c>
      <c r="T2">
        <v>1232.6424485459652</v>
      </c>
      <c r="U2">
        <v>9687.3581769320772</v>
      </c>
      <c r="V2">
        <f>SUM(S2:U2)</f>
        <v>18187.133041922483</v>
      </c>
      <c r="W2">
        <f>R2/V2</f>
        <v>1.2165068275313404</v>
      </c>
    </row>
    <row r="3" spans="1:23" x14ac:dyDescent="0.15">
      <c r="A3" t="s">
        <v>0</v>
      </c>
      <c r="B3">
        <v>43828.648395712589</v>
      </c>
      <c r="C3">
        <v>33162.780854328987</v>
      </c>
      <c r="D3">
        <v>35134.306119351575</v>
      </c>
      <c r="E3">
        <v>98543.535306246267</v>
      </c>
      <c r="F3">
        <v>32142.193726623445</v>
      </c>
      <c r="G3">
        <v>52585.382119229202</v>
      </c>
      <c r="H3">
        <v>46120.368591343482</v>
      </c>
      <c r="I3">
        <v>21604.367719940161</v>
      </c>
      <c r="J3">
        <v>26845.3617699264</v>
      </c>
      <c r="K3">
        <v>37416.481765138087</v>
      </c>
      <c r="L3">
        <v>33342.842806122433</v>
      </c>
      <c r="M3">
        <v>17543.846625250811</v>
      </c>
      <c r="N3">
        <v>40927.72704024495</v>
      </c>
      <c r="O3">
        <v>21077.800586788268</v>
      </c>
      <c r="P3">
        <v>8924.0369074777227</v>
      </c>
      <c r="Q3">
        <v>11080.269124045728</v>
      </c>
      <c r="R3" s="20">
        <f>SUM(P3:Q3)</f>
        <v>20004.306031523451</v>
      </c>
      <c r="S3">
        <v>6618.4458238377811</v>
      </c>
      <c r="T3">
        <v>983.72122772187424</v>
      </c>
      <c r="U3">
        <v>8555.5152036600211</v>
      </c>
      <c r="V3">
        <f>SUM(S3:U3)</f>
        <v>16157.682255219675</v>
      </c>
      <c r="W3">
        <f>R3/V3</f>
        <v>1.2380677943497211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A286-DC8E-D14B-94A9-7E230954DBCC}">
  <dimension ref="A1:J36"/>
  <sheetViews>
    <sheetView tabSelected="1" topLeftCell="A11" workbookViewId="0">
      <selection activeCell="G29" sqref="G29"/>
    </sheetView>
  </sheetViews>
  <sheetFormatPr baseColWidth="10" defaultRowHeight="13" x14ac:dyDescent="0.15"/>
  <cols>
    <col min="2" max="2" width="17.6640625" customWidth="1"/>
  </cols>
  <sheetData>
    <row r="1" spans="2:10" ht="14" x14ac:dyDescent="0.15">
      <c r="B1" s="19" t="s">
        <v>98</v>
      </c>
      <c r="C1" s="19" t="s">
        <v>96</v>
      </c>
      <c r="D1" s="19" t="s">
        <v>97</v>
      </c>
      <c r="H1" s="19" t="s">
        <v>43</v>
      </c>
      <c r="I1" s="19" t="s">
        <v>75</v>
      </c>
      <c r="J1" s="19" t="s">
        <v>92</v>
      </c>
    </row>
    <row r="2" spans="2:10" x14ac:dyDescent="0.15">
      <c r="B2" t="s">
        <v>99</v>
      </c>
      <c r="C2">
        <v>-48.928361803517717</v>
      </c>
      <c r="D2">
        <v>-67.95476473019221</v>
      </c>
      <c r="H2" t="s">
        <v>1</v>
      </c>
      <c r="I2">
        <v>122022.2223731272</v>
      </c>
      <c r="J2">
        <v>38313.233572425786</v>
      </c>
    </row>
    <row r="3" spans="2:10" x14ac:dyDescent="0.15">
      <c r="B3" t="s">
        <v>100</v>
      </c>
      <c r="C3">
        <v>-51.078550033880433</v>
      </c>
      <c r="D3">
        <v>-66.613193384170856</v>
      </c>
      <c r="H3" t="s">
        <v>1</v>
      </c>
      <c r="I3">
        <v>118559.38179306551</v>
      </c>
      <c r="J3">
        <v>38445.294384899673</v>
      </c>
    </row>
    <row r="4" spans="2:10" x14ac:dyDescent="0.15">
      <c r="B4" t="s">
        <v>101</v>
      </c>
      <c r="C4">
        <v>-45.833821372603097</v>
      </c>
      <c r="D4">
        <v>-72.014141984260505</v>
      </c>
      <c r="H4" t="s">
        <v>1</v>
      </c>
      <c r="I4">
        <v>119470.4933218532</v>
      </c>
      <c r="J4">
        <v>38246.891201741862</v>
      </c>
    </row>
    <row r="5" spans="2:10" x14ac:dyDescent="0.15">
      <c r="B5" t="s">
        <v>102</v>
      </c>
      <c r="C5">
        <v>-39.677682423009237</v>
      </c>
      <c r="D5">
        <v>-68.823249957266469</v>
      </c>
      <c r="H5" t="s">
        <v>1</v>
      </c>
      <c r="I5">
        <v>118001.6462051688</v>
      </c>
      <c r="J5">
        <v>37624.400062232031</v>
      </c>
    </row>
    <row r="6" spans="2:10" x14ac:dyDescent="0.15">
      <c r="B6" t="s">
        <v>103</v>
      </c>
      <c r="C6">
        <v>-42.824356978403117</v>
      </c>
      <c r="D6">
        <v>-67.847010942551023</v>
      </c>
      <c r="H6" t="s">
        <v>1</v>
      </c>
      <c r="I6">
        <v>121115.08471373731</v>
      </c>
      <c r="J6">
        <v>38267.465210771152</v>
      </c>
    </row>
    <row r="7" spans="2:10" x14ac:dyDescent="0.15">
      <c r="B7" t="s">
        <v>104</v>
      </c>
      <c r="C7">
        <v>-46.321344965853733</v>
      </c>
      <c r="D7">
        <v>-70.186617189993839</v>
      </c>
    </row>
    <row r="9" spans="2:10" x14ac:dyDescent="0.15">
      <c r="C9">
        <f>AVERAGE(C2:C7)*-1</f>
        <v>45.777352929544548</v>
      </c>
      <c r="D9">
        <f>AVERAGE(D2:D7)*-1</f>
        <v>68.906496364739155</v>
      </c>
      <c r="I9">
        <f>AVERAGE(I2:I6)/1000</f>
        <v>119.83376568139042</v>
      </c>
      <c r="J9">
        <f>AVERAGE(J2:J6)/1000</f>
        <v>38.179456886414101</v>
      </c>
    </row>
    <row r="16" spans="2:10" x14ac:dyDescent="0.15">
      <c r="B16" s="16" t="s">
        <v>107</v>
      </c>
      <c r="C16" s="16" t="s">
        <v>108</v>
      </c>
      <c r="D16" s="16" t="s">
        <v>105</v>
      </c>
      <c r="E16" s="16" t="s">
        <v>106</v>
      </c>
      <c r="F16" s="16" t="s">
        <v>109</v>
      </c>
      <c r="G16" s="16" t="s">
        <v>110</v>
      </c>
    </row>
    <row r="17" spans="1:8" x14ac:dyDescent="0.15">
      <c r="A17" s="16" t="s">
        <v>112</v>
      </c>
      <c r="B17" s="25">
        <v>119.83376568139042</v>
      </c>
      <c r="C17" s="25">
        <f>B17-D17</f>
        <v>74.056412751845869</v>
      </c>
      <c r="D17" s="25">
        <v>45.777352929544548</v>
      </c>
      <c r="E17" s="25">
        <v>68.906496364739155</v>
      </c>
      <c r="F17" s="25">
        <v>38.179456886414101</v>
      </c>
      <c r="G17" s="25">
        <f>F17</f>
        <v>38.179456886414101</v>
      </c>
    </row>
    <row r="18" spans="1:8" x14ac:dyDescent="0.15">
      <c r="A18" s="16" t="s">
        <v>113</v>
      </c>
      <c r="B18" s="25">
        <f>B17/(SUM($C$17:$G$17)-$E$17) *100</f>
        <v>61.079631520784403</v>
      </c>
      <c r="C18" s="25">
        <f t="shared" ref="C18:G18" si="0">C17/(SUM($C$17:$G$17)-$E$17) *100</f>
        <v>37.746776769582205</v>
      </c>
      <c r="D18" s="25">
        <f t="shared" si="0"/>
        <v>23.332854751202202</v>
      </c>
      <c r="E18" s="25"/>
      <c r="F18" s="25">
        <f t="shared" si="0"/>
        <v>19.460184239607802</v>
      </c>
      <c r="G18" s="25">
        <f t="shared" si="0"/>
        <v>19.460184239607802</v>
      </c>
      <c r="H18" s="25">
        <f>SUM(C18:G18)</f>
        <v>100</v>
      </c>
    </row>
    <row r="19" spans="1:8" ht="26" customHeight="1" x14ac:dyDescent="0.15">
      <c r="A19" s="24" t="s">
        <v>114</v>
      </c>
      <c r="B19" s="25">
        <f>B17/(SUM($C$17:$G$17)) *100</f>
        <v>45.203371648061108</v>
      </c>
      <c r="C19" s="25">
        <f t="shared" ref="C19:G19" si="1">C17/(SUM($C$17:$G$17)) *100</f>
        <v>27.935361369218541</v>
      </c>
      <c r="D19" s="25">
        <f t="shared" si="1"/>
        <v>17.268010278842567</v>
      </c>
      <c r="E19" s="25">
        <f t="shared" si="1"/>
        <v>25.992723723817594</v>
      </c>
      <c r="F19" s="25">
        <f t="shared" si="1"/>
        <v>14.401952314060651</v>
      </c>
      <c r="G19" s="25">
        <f t="shared" si="1"/>
        <v>14.401952314060651</v>
      </c>
      <c r="H19" s="25">
        <f>SUM(C19:G19)</f>
        <v>100</v>
      </c>
    </row>
    <row r="26" spans="1:8" x14ac:dyDescent="0.15">
      <c r="B26" s="16" t="s">
        <v>116</v>
      </c>
      <c r="C26" s="16" t="s">
        <v>106</v>
      </c>
      <c r="D26" s="16" t="s">
        <v>113</v>
      </c>
    </row>
    <row r="27" spans="1:8" x14ac:dyDescent="0.15">
      <c r="B27" s="16" t="s">
        <v>117</v>
      </c>
      <c r="C27" s="16" t="s">
        <v>115</v>
      </c>
      <c r="D27">
        <v>37.746776769582205</v>
      </c>
    </row>
    <row r="28" spans="1:8" x14ac:dyDescent="0.15">
      <c r="B28" s="16" t="s">
        <v>118</v>
      </c>
      <c r="C28" s="16" t="s">
        <v>115</v>
      </c>
      <c r="D28">
        <v>23.332854751202202</v>
      </c>
    </row>
    <row r="29" spans="1:8" x14ac:dyDescent="0.15">
      <c r="B29" s="16" t="s">
        <v>119</v>
      </c>
      <c r="C29" s="16" t="s">
        <v>115</v>
      </c>
      <c r="D29">
        <v>0</v>
      </c>
    </row>
    <row r="30" spans="1:8" x14ac:dyDescent="0.15">
      <c r="B30" s="16" t="s">
        <v>92</v>
      </c>
      <c r="C30" s="16" t="s">
        <v>115</v>
      </c>
      <c r="D30">
        <v>19.460184239607802</v>
      </c>
    </row>
    <row r="31" spans="1:8" x14ac:dyDescent="0.15">
      <c r="B31" s="16" t="s">
        <v>88</v>
      </c>
      <c r="C31" s="16" t="s">
        <v>115</v>
      </c>
      <c r="D31">
        <v>19.460184239607802</v>
      </c>
    </row>
    <row r="32" spans="1:8" x14ac:dyDescent="0.15">
      <c r="B32" s="16" t="s">
        <v>117</v>
      </c>
      <c r="C32" s="16" t="s">
        <v>120</v>
      </c>
      <c r="D32">
        <v>27.935361369218541</v>
      </c>
    </row>
    <row r="33" spans="2:4" x14ac:dyDescent="0.15">
      <c r="B33" s="16" t="s">
        <v>118</v>
      </c>
      <c r="C33" s="16" t="s">
        <v>120</v>
      </c>
      <c r="D33">
        <v>17.268010278842567</v>
      </c>
    </row>
    <row r="34" spans="2:4" x14ac:dyDescent="0.15">
      <c r="B34" s="16" t="s">
        <v>119</v>
      </c>
      <c r="C34" s="16" t="s">
        <v>120</v>
      </c>
      <c r="D34">
        <v>25.992723723817594</v>
      </c>
    </row>
    <row r="35" spans="2:4" x14ac:dyDescent="0.15">
      <c r="B35" s="16" t="s">
        <v>92</v>
      </c>
      <c r="C35" s="16" t="s">
        <v>120</v>
      </c>
      <c r="D35">
        <v>14.401952314060651</v>
      </c>
    </row>
    <row r="36" spans="2:4" x14ac:dyDescent="0.15">
      <c r="B36" s="16" t="s">
        <v>88</v>
      </c>
      <c r="C36" s="16" t="s">
        <v>120</v>
      </c>
      <c r="D36">
        <v>14.401952314060651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dN_calc_H1299</vt:lpstr>
      <vt:lpstr>dN_calc_143B</vt:lpstr>
      <vt:lpstr>rN_calc_H1299</vt:lpstr>
      <vt:lpstr>rN_calc_143B</vt:lpstr>
      <vt:lpstr>prot_calc_H1299</vt:lpstr>
      <vt:lpstr>prot_calc_143B</vt:lpstr>
      <vt:lpstr>combined</vt:lpstr>
      <vt:lpstr>asp_fate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DAVIDSEN</cp:lastModifiedBy>
  <dcterms:modified xsi:type="dcterms:W3CDTF">2023-09-25T00:57:20Z</dcterms:modified>
</cp:coreProperties>
</file>